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tllc-my.sharepoint.com/personal/kjennings_genevatrading_com/Documents/My Files/Extra/"/>
    </mc:Choice>
  </mc:AlternateContent>
  <xr:revisionPtr revIDLastSave="0" documentId="8_{E6054E5A-754A-4477-9732-0B792A9462BA}" xr6:coauthVersionLast="47" xr6:coauthVersionMax="47" xr10:uidLastSave="{00000000-0000-0000-0000-000000000000}"/>
  <bookViews>
    <workbookView xWindow="-72435" yWindow="3795" windowWidth="31050" windowHeight="15810" firstSheet="52" activeTab="69" xr2:uid="{B396283D-94D7-4AED-9797-D7F171DEB968}"/>
  </bookViews>
  <sheets>
    <sheet name="CRWD" sheetId="1" r:id="rId1"/>
    <sheet name="CRWD 2" sheetId="10" r:id="rId2"/>
    <sheet name="Sheet2" sheetId="2" r:id="rId3"/>
    <sheet name="MU" sheetId="3" r:id="rId4"/>
    <sheet name="S" sheetId="4" r:id="rId5"/>
    <sheet name="FTNT" sheetId="5" r:id="rId6"/>
    <sheet name="AAOI" sheetId="6" r:id="rId7"/>
    <sheet name="COHR" sheetId="7" r:id="rId8"/>
    <sheet name="LITE" sheetId="9" r:id="rId9"/>
    <sheet name="BE" sheetId="8" r:id="rId10"/>
    <sheet name="AMD" sheetId="11" r:id="rId11"/>
    <sheet name="NVDA" sheetId="12" r:id="rId12"/>
    <sheet name="META" sheetId="13" r:id="rId13"/>
    <sheet name="AMZN" sheetId="14" r:id="rId14"/>
    <sheet name="ASML" sheetId="15" r:id="rId15"/>
    <sheet name="CRWV" sheetId="16" r:id="rId16"/>
    <sheet name="NBIS" sheetId="17" r:id="rId17"/>
    <sheet name="FRVO" sheetId="18" r:id="rId18"/>
    <sheet name="LRCX" sheetId="19" r:id="rId19"/>
    <sheet name="AMAt" sheetId="20" r:id="rId20"/>
    <sheet name="KLAC" sheetId="21" r:id="rId21"/>
    <sheet name="Sheet22" sheetId="22" r:id="rId22"/>
    <sheet name="Sheet23" sheetId="23" r:id="rId23"/>
    <sheet name="DUOT" sheetId="24" r:id="rId24"/>
    <sheet name="MRVL" sheetId="25" r:id="rId25"/>
    <sheet name="DELL" sheetId="26" r:id="rId26"/>
    <sheet name="ARM" sheetId="27" r:id="rId27"/>
    <sheet name="NET" sheetId="28" r:id="rId28"/>
    <sheet name="ZS" sheetId="29" r:id="rId29"/>
    <sheet name="PLTR" sheetId="30" r:id="rId30"/>
    <sheet name="ANET" sheetId="31" r:id="rId31"/>
    <sheet name="SHOP" sheetId="32" r:id="rId32"/>
    <sheet name="TOST" sheetId="33" r:id="rId33"/>
    <sheet name="SFM" sheetId="34" r:id="rId34"/>
    <sheet name="ORCL" sheetId="35" r:id="rId35"/>
    <sheet name="SRAD" sheetId="36" r:id="rId36"/>
    <sheet name="TTD" sheetId="37" r:id="rId37"/>
    <sheet name="AVGO" sheetId="38" r:id="rId38"/>
    <sheet name="TSM" sheetId="39" r:id="rId39"/>
    <sheet name="APO" sheetId="40" r:id="rId40"/>
    <sheet name="KKR" sheetId="41" r:id="rId41"/>
    <sheet name="BX" sheetId="42" r:id="rId42"/>
    <sheet name="ARES" sheetId="43" r:id="rId43"/>
    <sheet name="Sheet44" sheetId="44" r:id="rId44"/>
    <sheet name="CRCL" sheetId="45" r:id="rId45"/>
    <sheet name="aXTI " sheetId="46" r:id="rId46"/>
    <sheet name="CEG" sheetId="47" r:id="rId47"/>
    <sheet name="OKLO" sheetId="48" r:id="rId48"/>
    <sheet name="XE" sheetId="49" r:id="rId49"/>
    <sheet name="CBRS" sheetId="50" r:id="rId50"/>
    <sheet name="IREN" sheetId="51" r:id="rId51"/>
    <sheet name="ENTG" sheetId="52" r:id="rId52"/>
    <sheet name="LIN" sheetId="53" r:id="rId53"/>
    <sheet name="Sheet54" sheetId="54" r:id="rId54"/>
    <sheet name="PURR" sheetId="55" r:id="rId55"/>
    <sheet name="SAIA" sheetId="56" r:id="rId56"/>
    <sheet name="STM" sheetId="57" r:id="rId57"/>
    <sheet name="SPCX" sheetId="58" r:id="rId58"/>
    <sheet name="ASTS" sheetId="59" r:id="rId59"/>
    <sheet name="RKLB" sheetId="60" r:id="rId60"/>
    <sheet name="NTRA" sheetId="61" r:id="rId61"/>
    <sheet name="DTE" sheetId="62" r:id="rId62"/>
    <sheet name="VIST" sheetId="63" r:id="rId63"/>
    <sheet name="VST" sheetId="64" r:id="rId64"/>
    <sheet name="AEP" sheetId="65" r:id="rId65"/>
    <sheet name="LLY" sheetId="66" r:id="rId66"/>
    <sheet name="FE" sheetId="67" r:id="rId67"/>
    <sheet name="CMS" sheetId="68" r:id="rId68"/>
    <sheet name="APLD" sheetId="69" r:id="rId69"/>
    <sheet name="Sheet70" sheetId="70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 a="1"/>
  <c r="B3" i="2" s="1"/>
  <c r="C3" i="2" a="1"/>
  <c r="C3" i="2" s="1"/>
  <c r="D3" i="2" a="1"/>
  <c r="D3" i="2" s="1"/>
  <c r="E3" i="2" a="1"/>
  <c r="E3" i="2" s="1"/>
  <c r="F3" i="2" a="1"/>
  <c r="F3" i="2" s="1"/>
  <c r="G3" i="2" a="1"/>
  <c r="G3" i="2" s="1"/>
  <c r="H3" i="2" a="1"/>
  <c r="H3" i="2" s="1"/>
  <c r="I3" i="2" a="1"/>
  <c r="I3" i="2" s="1"/>
  <c r="J3" i="2" a="1"/>
  <c r="J3" i="2" s="1"/>
  <c r="K3" i="2" a="1"/>
  <c r="K3" i="2" s="1"/>
  <c r="B4" i="2" a="1"/>
  <c r="B4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I4" i="2" a="1"/>
  <c r="I4" i="2" s="1"/>
  <c r="J4" i="2" a="1"/>
  <c r="J4" i="2" s="1"/>
  <c r="K4" i="2" a="1"/>
  <c r="K4" i="2" s="1"/>
  <c r="B6" i="2" a="1"/>
  <c r="B6" i="2" s="1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 s="1"/>
  <c r="I6" i="2" a="1"/>
  <c r="I6" i="2" s="1"/>
  <c r="J6" i="2" a="1"/>
  <c r="J6" i="2" s="1"/>
  <c r="K6" i="2" a="1"/>
  <c r="K6" i="2" s="1"/>
  <c r="B7" i="2" a="1"/>
  <c r="B7" i="2" s="1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K7" i="2" a="1"/>
  <c r="K7" i="2" s="1"/>
  <c r="B9" i="2" a="1"/>
  <c r="B9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K9" i="2" a="1"/>
  <c r="K9" i="2" s="1"/>
  <c r="B10" i="2" a="1"/>
  <c r="B10" i="2" s="1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K10" i="2" a="1"/>
  <c r="K10" i="2" s="1"/>
  <c r="B11" i="2" a="1"/>
  <c r="B11" i="2" s="1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I11" i="2" a="1"/>
  <c r="I11" i="2" s="1"/>
  <c r="J11" i="2" a="1"/>
  <c r="J11" i="2" s="1"/>
  <c r="K11" i="2" a="1"/>
  <c r="K11" i="2" s="1"/>
  <c r="B12" i="2" a="1"/>
  <c r="B12" i="2" s="1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 s="1"/>
  <c r="I12" i="2" a="1"/>
  <c r="I12" i="2" s="1"/>
  <c r="J12" i="2" a="1"/>
  <c r="J12" i="2" s="1"/>
  <c r="K12" i="2" a="1"/>
  <c r="K12" i="2" s="1"/>
  <c r="B13" i="2" a="1"/>
  <c r="B13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I13" i="2" a="1"/>
  <c r="I13" i="2" s="1"/>
  <c r="J13" i="2" a="1"/>
  <c r="J13" i="2" s="1"/>
  <c r="K13" i="2" a="1"/>
  <c r="K13" i="2" s="1"/>
  <c r="B15" i="2" a="1"/>
  <c r="B15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I15" i="2" a="1"/>
  <c r="I15" i="2" s="1"/>
  <c r="J15" i="2" a="1"/>
  <c r="J15" i="2" s="1"/>
  <c r="K15" i="2" a="1"/>
  <c r="K15" i="2" s="1"/>
  <c r="B16" i="2" a="1"/>
  <c r="B16" i="2" s="1"/>
  <c r="C16" i="2" a="1"/>
  <c r="C16" i="2" s="1"/>
  <c r="D16" i="2" a="1"/>
  <c r="D16" i="2" s="1"/>
  <c r="E16" i="2" a="1"/>
  <c r="E16" i="2" s="1"/>
  <c r="F16" i="2" a="1"/>
  <c r="F16" i="2" s="1"/>
  <c r="G16" i="2" a="1"/>
  <c r="G16" i="2" s="1"/>
  <c r="H16" i="2" a="1"/>
  <c r="H16" i="2" s="1"/>
  <c r="I16" i="2" a="1"/>
  <c r="I16" i="2" s="1"/>
  <c r="J16" i="2" a="1"/>
  <c r="J16" i="2" s="1"/>
  <c r="K16" i="2" a="1"/>
  <c r="K16" i="2" s="1"/>
  <c r="B17" i="2" a="1"/>
  <c r="B17" i="2" s="1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 s="1"/>
  <c r="I17" i="2" a="1"/>
  <c r="I17" i="2" s="1"/>
  <c r="J17" i="2" a="1"/>
  <c r="J17" i="2" s="1"/>
  <c r="K17" i="2" a="1"/>
  <c r="K17" i="2" s="1"/>
  <c r="B18" i="2" a="1"/>
  <c r="B18" i="2" s="1"/>
  <c r="C18" i="2" a="1"/>
  <c r="C18" i="2" s="1"/>
  <c r="D18" i="2" a="1"/>
  <c r="D18" i="2" s="1"/>
  <c r="E18" i="2" a="1"/>
  <c r="E18" i="2" s="1"/>
  <c r="F18" i="2" a="1"/>
  <c r="F18" i="2" s="1"/>
  <c r="G18" i="2" a="1"/>
  <c r="G18" i="2" s="1"/>
  <c r="H18" i="2" a="1"/>
  <c r="H18" i="2" s="1"/>
  <c r="I18" i="2" a="1"/>
  <c r="I18" i="2" s="1"/>
  <c r="J18" i="2" a="1"/>
  <c r="J18" i="2" s="1"/>
  <c r="K18" i="2" a="1"/>
  <c r="K18" i="2" s="1"/>
  <c r="B20" i="2" a="1"/>
  <c r="B20" i="2" s="1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 s="1"/>
  <c r="I20" i="2" a="1"/>
  <c r="I20" i="2" s="1"/>
  <c r="J20" i="2" a="1"/>
  <c r="J20" i="2" s="1"/>
  <c r="K20" i="2" a="1"/>
  <c r="K20" i="2" s="1"/>
  <c r="B21" i="2" a="1"/>
  <c r="B21" i="2" s="1"/>
  <c r="C21" i="2" a="1"/>
  <c r="C21" i="2" s="1"/>
  <c r="D21" i="2" a="1"/>
  <c r="D21" i="2" s="1"/>
  <c r="E21" i="2" a="1"/>
  <c r="E21" i="2" s="1"/>
  <c r="F21" i="2" a="1"/>
  <c r="F21" i="2" s="1"/>
  <c r="G21" i="2" a="1"/>
  <c r="G21" i="2" s="1"/>
  <c r="H21" i="2" a="1"/>
  <c r="H21" i="2" s="1"/>
  <c r="I21" i="2" a="1"/>
  <c r="I21" i="2" s="1"/>
  <c r="J21" i="2" a="1"/>
  <c r="J21" i="2" s="1"/>
  <c r="K21" i="2" a="1"/>
  <c r="K21" i="2" s="1"/>
  <c r="B23" i="2" a="1"/>
  <c r="B23" i="2" s="1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I23" i="2" a="1"/>
  <c r="I23" i="2" s="1"/>
  <c r="J23" i="2" a="1"/>
  <c r="J23" i="2" s="1"/>
  <c r="K23" i="2" a="1"/>
  <c r="K23" i="2" s="1"/>
  <c r="B24" i="2" a="1"/>
  <c r="B24" i="2" s="1"/>
  <c r="C24" i="2" a="1"/>
  <c r="C24" i="2" s="1"/>
  <c r="D24" i="2" a="1"/>
  <c r="D24" i="2" s="1"/>
  <c r="E24" i="2" a="1"/>
  <c r="E24" i="2" s="1"/>
  <c r="F24" i="2" a="1"/>
  <c r="F24" i="2" s="1"/>
  <c r="G24" i="2" a="1"/>
  <c r="G24" i="2" s="1"/>
  <c r="H24" i="2" a="1"/>
  <c r="H24" i="2" s="1"/>
  <c r="I24" i="2" a="1"/>
  <c r="I24" i="2" s="1"/>
  <c r="J24" i="2" a="1"/>
  <c r="J24" i="2" s="1"/>
  <c r="K24" i="2" a="1"/>
  <c r="K24" i="2" s="1"/>
  <c r="B25" i="2" a="1"/>
  <c r="B25" i="2" s="1"/>
  <c r="C25" i="2" a="1"/>
  <c r="C25" i="2" s="1"/>
  <c r="D25" i="2" a="1"/>
  <c r="D25" i="2" s="1"/>
  <c r="E25" i="2" a="1"/>
  <c r="E25" i="2" s="1"/>
  <c r="F25" i="2" a="1"/>
  <c r="F25" i="2" s="1"/>
  <c r="G25" i="2" a="1"/>
  <c r="G25" i="2" s="1"/>
  <c r="H25" i="2" a="1"/>
  <c r="H25" i="2" s="1"/>
  <c r="I25" i="2" a="1"/>
  <c r="I25" i="2" s="1"/>
  <c r="J25" i="2" a="1"/>
  <c r="J25" i="2" s="1"/>
  <c r="K25" i="2" a="1"/>
  <c r="K25" i="2" s="1"/>
  <c r="B28" i="2" a="1"/>
  <c r="B28" i="2" s="1"/>
  <c r="C28" i="2" a="1"/>
  <c r="C28" i="2" s="1"/>
  <c r="D28" i="2" a="1"/>
  <c r="D28" i="2" s="1"/>
  <c r="E28" i="2" a="1"/>
  <c r="E28" i="2" s="1"/>
  <c r="F28" i="2" a="1"/>
  <c r="F28" i="2" s="1"/>
  <c r="G28" i="2" a="1"/>
  <c r="G28" i="2" s="1"/>
  <c r="H28" i="2" a="1"/>
  <c r="H28" i="2" s="1"/>
  <c r="I28" i="2" a="1"/>
  <c r="I28" i="2" s="1"/>
  <c r="J28" i="2" a="1"/>
  <c r="J28" i="2" s="1"/>
  <c r="K28" i="2" a="1"/>
  <c r="K28" i="2" s="1"/>
  <c r="B29" i="2" a="1"/>
  <c r="B29" i="2" s="1"/>
  <c r="C29" i="2" a="1"/>
  <c r="C29" i="2" s="1"/>
  <c r="D29" i="2" a="1"/>
  <c r="D29" i="2" s="1"/>
  <c r="E29" i="2" a="1"/>
  <c r="E29" i="2" s="1"/>
  <c r="F29" i="2" a="1"/>
  <c r="F29" i="2" s="1"/>
  <c r="G29" i="2" a="1"/>
  <c r="G29" i="2" s="1"/>
  <c r="H29" i="2" a="1"/>
  <c r="H29" i="2" s="1"/>
  <c r="I29" i="2" a="1"/>
  <c r="I29" i="2" s="1"/>
  <c r="J29" i="2" a="1"/>
  <c r="J29" i="2" s="1"/>
  <c r="K29" i="2" a="1"/>
  <c r="K29" i="2" s="1"/>
  <c r="B31" i="2" a="1"/>
  <c r="B31" i="2" s="1"/>
  <c r="C31" i="2" a="1"/>
  <c r="C31" i="2" s="1"/>
  <c r="D31" i="2" a="1"/>
  <c r="D31" i="2" s="1"/>
  <c r="E31" i="2" a="1"/>
  <c r="E31" i="2" s="1"/>
  <c r="F31" i="2" a="1"/>
  <c r="F31" i="2" s="1"/>
  <c r="G31" i="2" a="1"/>
  <c r="G31" i="2" s="1"/>
  <c r="H31" i="2" a="1"/>
  <c r="H31" i="2" s="1"/>
  <c r="I31" i="2" a="1"/>
  <c r="I31" i="2" s="1"/>
  <c r="J31" i="2" a="1"/>
  <c r="J31" i="2" s="1"/>
  <c r="K31" i="2" a="1"/>
  <c r="K31" i="2" s="1"/>
  <c r="B33" i="2" a="1"/>
  <c r="B33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B39" i="2" a="1"/>
  <c r="B39" i="2" s="1"/>
  <c r="C39" i="2" a="1"/>
  <c r="C39" i="2" s="1"/>
  <c r="D39" i="2" a="1"/>
  <c r="D39" i="2" s="1"/>
  <c r="E39" i="2" a="1"/>
  <c r="E39" i="2" s="1"/>
  <c r="F39" i="2" a="1"/>
  <c r="F39" i="2" s="1"/>
  <c r="G39" i="2" a="1"/>
  <c r="G39" i="2" s="1"/>
  <c r="H39" i="2" a="1"/>
  <c r="H39" i="2" s="1"/>
  <c r="I39" i="2" a="1"/>
  <c r="I39" i="2" s="1"/>
  <c r="J39" i="2" a="1"/>
  <c r="J39" i="2" s="1"/>
  <c r="K39" i="2" a="1"/>
  <c r="K39" i="2" s="1"/>
  <c r="B40" i="2" a="1"/>
  <c r="B40" i="2" s="1"/>
  <c r="C40" i="2" a="1"/>
  <c r="C40" i="2" s="1"/>
  <c r="D40" i="2" a="1"/>
  <c r="D40" i="2" s="1"/>
  <c r="E40" i="2" a="1"/>
  <c r="E40" i="2" s="1"/>
  <c r="F40" i="2" a="1"/>
  <c r="F40" i="2" s="1"/>
  <c r="G40" i="2" a="1"/>
  <c r="G40" i="2" s="1"/>
  <c r="H40" i="2" a="1"/>
  <c r="H40" i="2" s="1"/>
  <c r="I40" i="2" a="1"/>
  <c r="I40" i="2" s="1"/>
  <c r="J40" i="2" a="1"/>
  <c r="J40" i="2" s="1"/>
  <c r="K40" i="2" a="1"/>
  <c r="K40" i="2" s="1"/>
  <c r="B41" i="2" a="1"/>
  <c r="B41" i="2" s="1"/>
  <c r="C41" i="2" a="1"/>
  <c r="C41" i="2" s="1"/>
  <c r="D41" i="2" a="1"/>
  <c r="D41" i="2" s="1"/>
  <c r="E41" i="2" a="1"/>
  <c r="E41" i="2" s="1"/>
  <c r="F41" i="2" a="1"/>
  <c r="F41" i="2" s="1"/>
  <c r="G41" i="2" a="1"/>
  <c r="G41" i="2" s="1"/>
  <c r="H41" i="2" a="1"/>
  <c r="H41" i="2" s="1"/>
  <c r="I41" i="2" a="1"/>
  <c r="I41" i="2" s="1"/>
  <c r="J41" i="2" a="1"/>
  <c r="J41" i="2" s="1"/>
  <c r="K41" i="2" a="1"/>
  <c r="K41" i="2" s="1"/>
  <c r="B43" i="2" a="1"/>
  <c r="B43" i="2" s="1"/>
  <c r="C43" i="2" a="1"/>
  <c r="C43" i="2" s="1"/>
  <c r="D43" i="2" a="1"/>
  <c r="D43" i="2" s="1"/>
  <c r="E43" i="2" a="1"/>
  <c r="E43" i="2" s="1"/>
  <c r="F43" i="2" a="1"/>
  <c r="F43" i="2" s="1"/>
  <c r="G43" i="2" a="1"/>
  <c r="G43" i="2" s="1"/>
  <c r="H43" i="2" a="1"/>
  <c r="H43" i="2" s="1"/>
  <c r="I43" i="2" a="1"/>
  <c r="I43" i="2" s="1"/>
  <c r="J43" i="2" a="1"/>
  <c r="J43" i="2" s="1"/>
  <c r="K43" i="2" a="1"/>
  <c r="K43" i="2" s="1"/>
  <c r="B45" i="2" a="1"/>
  <c r="B45" i="2" s="1"/>
  <c r="C45" i="2" a="1"/>
  <c r="C45" i="2" s="1"/>
  <c r="D45" i="2" a="1"/>
  <c r="D45" i="2" s="1"/>
  <c r="E45" i="2" a="1"/>
  <c r="E45" i="2" s="1"/>
  <c r="F45" i="2" a="1"/>
  <c r="F45" i="2" s="1"/>
  <c r="G45" i="2" a="1"/>
  <c r="G45" i="2" s="1"/>
  <c r="H45" i="2" a="1"/>
  <c r="H45" i="2" s="1"/>
  <c r="I45" i="2" a="1"/>
  <c r="I45" i="2" s="1"/>
  <c r="J45" i="2" a="1"/>
  <c r="J45" i="2" s="1"/>
  <c r="K45" i="2" a="1"/>
  <c r="K45" i="2" s="1"/>
  <c r="B46" i="2" a="1"/>
  <c r="B46" i="2" s="1"/>
  <c r="C46" i="2" a="1"/>
  <c r="C46" i="2" s="1"/>
  <c r="D46" i="2" a="1"/>
  <c r="D46" i="2" s="1"/>
  <c r="E46" i="2" a="1"/>
  <c r="E46" i="2" s="1"/>
  <c r="F46" i="2" a="1"/>
  <c r="F46" i="2" s="1"/>
  <c r="G46" i="2" a="1"/>
  <c r="G46" i="2" s="1"/>
  <c r="H46" i="2" a="1"/>
  <c r="H46" i="2" s="1"/>
  <c r="I46" i="2" a="1"/>
  <c r="I46" i="2" s="1"/>
  <c r="J46" i="2" a="1"/>
  <c r="J46" i="2" s="1"/>
  <c r="K46" i="2" a="1"/>
  <c r="K46" i="2" s="1"/>
  <c r="B47" i="2" a="1"/>
  <c r="B47" i="2" s="1"/>
  <c r="C47" i="2" a="1"/>
  <c r="C47" i="2" s="1"/>
  <c r="D47" i="2" a="1"/>
  <c r="D47" i="2" s="1"/>
  <c r="E47" i="2" a="1"/>
  <c r="E47" i="2" s="1"/>
  <c r="F47" i="2" a="1"/>
  <c r="F47" i="2" s="1"/>
  <c r="G47" i="2" a="1"/>
  <c r="G47" i="2" s="1"/>
  <c r="H47" i="2" a="1"/>
  <c r="H47" i="2" s="1"/>
  <c r="I47" i="2" a="1"/>
  <c r="I47" i="2" s="1"/>
  <c r="J47" i="2" a="1"/>
  <c r="J47" i="2" s="1"/>
  <c r="K47" i="2" a="1"/>
  <c r="K47" i="2" s="1"/>
  <c r="B50" i="2" a="1"/>
  <c r="B50" i="2" s="1"/>
  <c r="C50" i="2" a="1"/>
  <c r="C50" i="2" s="1"/>
  <c r="D50" i="2" a="1"/>
  <c r="D50" i="2" s="1"/>
  <c r="E50" i="2" a="1"/>
  <c r="E50" i="2" s="1"/>
  <c r="F50" i="2" a="1"/>
  <c r="F50" i="2" s="1"/>
  <c r="G50" i="2" a="1"/>
  <c r="G50" i="2" s="1"/>
  <c r="H50" i="2" a="1"/>
  <c r="H50" i="2" s="1"/>
  <c r="I50" i="2" a="1"/>
  <c r="I50" i="2" s="1"/>
  <c r="J50" i="2" a="1"/>
  <c r="J50" i="2" s="1"/>
  <c r="K50" i="2" a="1"/>
  <c r="K50" i="2" s="1"/>
  <c r="B51" i="2" a="1"/>
  <c r="B51" i="2" s="1"/>
  <c r="C51" i="2" a="1"/>
  <c r="C51" i="2" s="1"/>
  <c r="D51" i="2" a="1"/>
  <c r="D51" i="2" s="1"/>
  <c r="E51" i="2" a="1"/>
  <c r="E51" i="2" s="1"/>
  <c r="F51" i="2" a="1"/>
  <c r="F51" i="2" s="1"/>
  <c r="G51" i="2" a="1"/>
  <c r="G51" i="2" s="1"/>
  <c r="H51" i="2" a="1"/>
  <c r="H51" i="2" s="1"/>
  <c r="I51" i="2" a="1"/>
  <c r="I51" i="2" s="1"/>
  <c r="J51" i="2" a="1"/>
  <c r="J51" i="2" s="1"/>
  <c r="K51" i="2" a="1"/>
  <c r="K51" i="2" s="1"/>
  <c r="B52" i="2" a="1"/>
  <c r="B52" i="2" s="1"/>
  <c r="C52" i="2" a="1"/>
  <c r="C52" i="2" s="1"/>
  <c r="D52" i="2" a="1"/>
  <c r="D52" i="2" s="1"/>
  <c r="E52" i="2" a="1"/>
  <c r="E52" i="2" s="1"/>
  <c r="F52" i="2" a="1"/>
  <c r="F52" i="2" s="1"/>
  <c r="G52" i="2" a="1"/>
  <c r="G52" i="2" s="1"/>
  <c r="H52" i="2" a="1"/>
  <c r="H52" i="2" s="1"/>
  <c r="I52" i="2" a="1"/>
  <c r="I52" i="2" s="1"/>
  <c r="J52" i="2" a="1"/>
  <c r="J52" i="2" s="1"/>
  <c r="K52" i="2" a="1"/>
  <c r="K52" i="2" s="1"/>
  <c r="B54" i="2" a="1"/>
  <c r="B54" i="2" s="1"/>
  <c r="C54" i="2" a="1"/>
  <c r="C54" i="2" s="1"/>
  <c r="D54" i="2" a="1"/>
  <c r="D54" i="2" s="1"/>
  <c r="E54" i="2" a="1"/>
  <c r="E54" i="2" s="1"/>
  <c r="F54" i="2" a="1"/>
  <c r="F54" i="2" s="1"/>
  <c r="G54" i="2" a="1"/>
  <c r="G54" i="2" s="1"/>
  <c r="H54" i="2" a="1"/>
  <c r="H54" i="2" s="1"/>
  <c r="I54" i="2" a="1"/>
  <c r="I54" i="2" s="1"/>
  <c r="J54" i="2" a="1"/>
  <c r="J54" i="2" s="1"/>
  <c r="K54" i="2" a="1"/>
  <c r="K54" i="2" s="1"/>
  <c r="B55" i="2" a="1"/>
  <c r="B55" i="2" s="1"/>
  <c r="C55" i="2" a="1"/>
  <c r="C55" i="2" s="1"/>
  <c r="D55" i="2" a="1"/>
  <c r="D55" i="2" s="1"/>
  <c r="E55" i="2" a="1"/>
  <c r="E55" i="2" s="1"/>
  <c r="F55" i="2" a="1"/>
  <c r="F55" i="2" s="1"/>
  <c r="G55" i="2" a="1"/>
  <c r="G55" i="2" s="1"/>
  <c r="H55" i="2" a="1"/>
  <c r="H55" i="2" s="1"/>
  <c r="I55" i="2" a="1"/>
  <c r="I55" i="2" s="1"/>
  <c r="J55" i="2" a="1"/>
  <c r="J55" i="2" s="1"/>
  <c r="K55" i="2" a="1"/>
  <c r="K55" i="2" s="1"/>
  <c r="B56" i="2" a="1"/>
  <c r="B56" i="2" s="1"/>
  <c r="C56" i="2" a="1"/>
  <c r="C56" i="2" s="1"/>
  <c r="D56" i="2" a="1"/>
  <c r="D56" i="2" s="1"/>
  <c r="E56" i="2" a="1"/>
  <c r="E56" i="2" s="1"/>
  <c r="F56" i="2" a="1"/>
  <c r="F56" i="2" s="1"/>
  <c r="G56" i="2" a="1"/>
  <c r="G56" i="2" s="1"/>
  <c r="H56" i="2" a="1"/>
  <c r="H56" i="2" s="1"/>
  <c r="I56" i="2" a="1"/>
  <c r="I56" i="2" s="1"/>
  <c r="J56" i="2" a="1"/>
  <c r="J56" i="2" s="1"/>
  <c r="K56" i="2" a="1"/>
  <c r="K56" i="2" s="1"/>
  <c r="B57" i="2" a="1"/>
  <c r="B57" i="2" s="1"/>
  <c r="C57" i="2" a="1"/>
  <c r="C57" i="2" s="1"/>
  <c r="D57" i="2" a="1"/>
  <c r="D57" i="2" s="1"/>
  <c r="E57" i="2" a="1"/>
  <c r="E57" i="2" s="1"/>
  <c r="F57" i="2" a="1"/>
  <c r="F57" i="2" s="1"/>
  <c r="G57" i="2" a="1"/>
  <c r="G57" i="2" s="1"/>
  <c r="H57" i="2" a="1"/>
  <c r="H57" i="2" s="1"/>
  <c r="I57" i="2" a="1"/>
  <c r="I57" i="2" s="1"/>
  <c r="J57" i="2" a="1"/>
  <c r="J57" i="2" s="1"/>
  <c r="K57" i="2" a="1"/>
  <c r="K57" i="2" s="1"/>
  <c r="B58" i="2" a="1"/>
  <c r="B58" i="2" s="1"/>
  <c r="C58" i="2" a="1"/>
  <c r="C58" i="2" s="1"/>
  <c r="D58" i="2" a="1"/>
  <c r="D58" i="2" s="1"/>
  <c r="E58" i="2" a="1"/>
  <c r="E58" i="2" s="1"/>
  <c r="F58" i="2" a="1"/>
  <c r="F58" i="2" s="1"/>
  <c r="G58" i="2" a="1"/>
  <c r="G58" i="2" s="1"/>
  <c r="H58" i="2" a="1"/>
  <c r="H58" i="2" s="1"/>
  <c r="I58" i="2" a="1"/>
  <c r="I58" i="2" s="1"/>
  <c r="J58" i="2" a="1"/>
  <c r="J58" i="2" s="1"/>
  <c r="K58" i="2" a="1"/>
  <c r="K58" i="2" s="1"/>
  <c r="B59" i="2" a="1"/>
  <c r="B59" i="2" s="1"/>
  <c r="C59" i="2" a="1"/>
  <c r="C59" i="2" s="1"/>
  <c r="D59" i="2" a="1"/>
  <c r="D59" i="2" s="1"/>
  <c r="E59" i="2" a="1"/>
  <c r="E59" i="2" s="1"/>
  <c r="F59" i="2" a="1"/>
  <c r="F59" i="2" s="1"/>
  <c r="G59" i="2" a="1"/>
  <c r="G59" i="2" s="1"/>
  <c r="H59" i="2" a="1"/>
  <c r="H59" i="2" s="1"/>
  <c r="I59" i="2" a="1"/>
  <c r="I59" i="2" s="1"/>
  <c r="J59" i="2" a="1"/>
  <c r="J59" i="2" s="1"/>
  <c r="K59" i="2" a="1"/>
  <c r="K59" i="2" s="1"/>
  <c r="B60" i="2" a="1"/>
  <c r="B60" i="2" s="1"/>
  <c r="C60" i="2" a="1"/>
  <c r="C60" i="2" s="1"/>
  <c r="D60" i="2" a="1"/>
  <c r="D60" i="2" s="1"/>
  <c r="E60" i="2" a="1"/>
  <c r="E60" i="2" s="1"/>
  <c r="F60" i="2" a="1"/>
  <c r="F60" i="2" s="1"/>
  <c r="G60" i="2" a="1"/>
  <c r="G60" i="2" s="1"/>
  <c r="H60" i="2" a="1"/>
  <c r="H60" i="2" s="1"/>
  <c r="I60" i="2" a="1"/>
  <c r="I60" i="2" s="1"/>
  <c r="J60" i="2" a="1"/>
  <c r="J60" i="2" s="1"/>
  <c r="K60" i="2" a="1"/>
  <c r="K60" i="2" s="1"/>
  <c r="B63" i="2" a="1"/>
  <c r="B63" i="2" s="1"/>
  <c r="C63" i="2" a="1"/>
  <c r="C63" i="2" s="1"/>
  <c r="D63" i="2" a="1"/>
  <c r="D63" i="2" s="1"/>
  <c r="E63" i="2" a="1"/>
  <c r="E63" i="2" s="1"/>
  <c r="F63" i="2" a="1"/>
  <c r="F63" i="2" s="1"/>
  <c r="G63" i="2" a="1"/>
  <c r="G63" i="2" s="1"/>
  <c r="H63" i="2" a="1"/>
  <c r="H63" i="2" s="1"/>
  <c r="I63" i="2" a="1"/>
  <c r="I63" i="2" s="1"/>
  <c r="J63" i="2" a="1"/>
  <c r="J63" i="2" s="1"/>
  <c r="K63" i="2" a="1"/>
  <c r="K63" i="2" s="1"/>
  <c r="B64" i="2" a="1"/>
  <c r="B64" i="2" s="1"/>
  <c r="C64" i="2" a="1"/>
  <c r="C64" i="2" s="1"/>
  <c r="D64" i="2" a="1"/>
  <c r="D64" i="2" s="1"/>
  <c r="E64" i="2" a="1"/>
  <c r="E64" i="2" s="1"/>
  <c r="F64" i="2" a="1"/>
  <c r="F64" i="2" s="1"/>
  <c r="G64" i="2" a="1"/>
  <c r="G64" i="2" s="1"/>
  <c r="H64" i="2" a="1"/>
  <c r="H64" i="2" s="1"/>
  <c r="I64" i="2" a="1"/>
  <c r="I64" i="2" s="1"/>
  <c r="J64" i="2" a="1"/>
  <c r="J64" i="2" s="1"/>
  <c r="K64" i="2" a="1"/>
  <c r="K64" i="2" s="1"/>
  <c r="B65" i="2" a="1"/>
  <c r="B65" i="2" s="1"/>
  <c r="C65" i="2" a="1"/>
  <c r="C65" i="2" s="1"/>
  <c r="D65" i="2" a="1"/>
  <c r="D65" i="2" s="1"/>
  <c r="E65" i="2" a="1"/>
  <c r="E65" i="2" s="1"/>
  <c r="F65" i="2" a="1"/>
  <c r="F65" i="2" s="1"/>
  <c r="G65" i="2" a="1"/>
  <c r="G65" i="2" s="1"/>
  <c r="H65" i="2" a="1"/>
  <c r="H65" i="2" s="1"/>
  <c r="I65" i="2" a="1"/>
  <c r="I65" i="2" s="1"/>
  <c r="J65" i="2" a="1"/>
  <c r="J65" i="2" s="1"/>
  <c r="K65" i="2" a="1"/>
  <c r="K65" i="2" s="1"/>
  <c r="B66" i="2" a="1"/>
  <c r="B66" i="2" s="1"/>
  <c r="C66" i="2" a="1"/>
  <c r="C66" i="2" s="1"/>
  <c r="D66" i="2" a="1"/>
  <c r="D66" i="2" s="1"/>
  <c r="E66" i="2" a="1"/>
  <c r="E66" i="2" s="1"/>
  <c r="F66" i="2" a="1"/>
  <c r="F66" i="2" s="1"/>
  <c r="G66" i="2" a="1"/>
  <c r="G66" i="2" s="1"/>
  <c r="H66" i="2" a="1"/>
  <c r="H66" i="2" s="1"/>
  <c r="I66" i="2" a="1"/>
  <c r="I66" i="2" s="1"/>
  <c r="J66" i="2" a="1"/>
  <c r="J66" i="2" s="1"/>
  <c r="K66" i="2" a="1"/>
  <c r="K66" i="2" s="1"/>
  <c r="B68" i="2" a="1"/>
  <c r="B68" i="2" s="1"/>
  <c r="C68" i="2" a="1"/>
  <c r="C68" i="2" s="1"/>
  <c r="D68" i="2" a="1"/>
  <c r="D68" i="2" s="1"/>
  <c r="E68" i="2" a="1"/>
  <c r="E68" i="2" s="1"/>
  <c r="F68" i="2" a="1"/>
  <c r="F68" i="2" s="1"/>
  <c r="G68" i="2" a="1"/>
  <c r="G68" i="2" s="1"/>
  <c r="H68" i="2" a="1"/>
  <c r="H68" i="2" s="1"/>
  <c r="I68" i="2" a="1"/>
  <c r="I68" i="2" s="1"/>
  <c r="J68" i="2" a="1"/>
  <c r="J68" i="2" s="1"/>
  <c r="K68" i="2" a="1"/>
  <c r="K68" i="2" s="1"/>
  <c r="B69" i="2" a="1"/>
  <c r="B69" i="2" s="1"/>
  <c r="C69" i="2" a="1"/>
  <c r="C69" i="2" s="1"/>
  <c r="D69" i="2" a="1"/>
  <c r="D69" i="2" s="1"/>
  <c r="E69" i="2" a="1"/>
  <c r="E69" i="2" s="1"/>
  <c r="F69" i="2" a="1"/>
  <c r="F69" i="2" s="1"/>
  <c r="G69" i="2" a="1"/>
  <c r="G69" i="2" s="1"/>
  <c r="H69" i="2" a="1"/>
  <c r="H69" i="2" s="1"/>
  <c r="I69" i="2" a="1"/>
  <c r="I69" i="2" s="1"/>
  <c r="J69" i="2" a="1"/>
  <c r="J69" i="2" s="1"/>
  <c r="K69" i="2" a="1"/>
  <c r="K69" i="2" s="1"/>
  <c r="B73" i="2" a="1"/>
  <c r="B73" i="2" s="1"/>
  <c r="C73" i="2" a="1"/>
  <c r="C73" i="2" s="1"/>
  <c r="D73" i="2" a="1"/>
  <c r="D73" i="2" s="1"/>
  <c r="E73" i="2" a="1"/>
  <c r="E73" i="2" s="1"/>
  <c r="F73" i="2" a="1"/>
  <c r="F73" i="2" s="1"/>
  <c r="G73" i="2" a="1"/>
  <c r="G73" i="2" s="1"/>
  <c r="H73" i="2" a="1"/>
  <c r="H73" i="2" s="1"/>
  <c r="I73" i="2" a="1"/>
  <c r="I73" i="2" s="1"/>
  <c r="J73" i="2" a="1"/>
  <c r="J73" i="2" s="1"/>
  <c r="K73" i="2" a="1"/>
  <c r="K73" i="2" s="1"/>
  <c r="B74" i="2" a="1"/>
  <c r="B74" i="2" s="1"/>
  <c r="C74" i="2" a="1"/>
  <c r="C74" i="2" s="1"/>
  <c r="D74" i="2" a="1"/>
  <c r="D74" i="2" s="1"/>
  <c r="E74" i="2" a="1"/>
  <c r="E74" i="2" s="1"/>
  <c r="F74" i="2" a="1"/>
  <c r="F74" i="2" s="1"/>
  <c r="G74" i="2" a="1"/>
  <c r="G74" i="2" s="1"/>
  <c r="H74" i="2" a="1"/>
  <c r="H74" i="2" s="1"/>
  <c r="I74" i="2" a="1"/>
  <c r="I74" i="2" s="1"/>
  <c r="J74" i="2" a="1"/>
  <c r="J74" i="2" s="1"/>
  <c r="K74" i="2" a="1"/>
  <c r="K74" i="2" s="1"/>
  <c r="B75" i="2" a="1"/>
  <c r="B75" i="2" s="1"/>
  <c r="C75" i="2" a="1"/>
  <c r="C75" i="2" s="1"/>
  <c r="D75" i="2" a="1"/>
  <c r="D75" i="2" s="1"/>
  <c r="E75" i="2" a="1"/>
  <c r="E75" i="2" s="1"/>
  <c r="F75" i="2" a="1"/>
  <c r="F75" i="2" s="1"/>
  <c r="G75" i="2" a="1"/>
  <c r="G75" i="2" s="1"/>
  <c r="H75" i="2" a="1"/>
  <c r="H75" i="2" s="1"/>
  <c r="I75" i="2" a="1"/>
  <c r="I75" i="2" s="1"/>
  <c r="J75" i="2" a="1"/>
  <c r="J75" i="2" s="1"/>
  <c r="K75" i="2" a="1"/>
  <c r="K75" i="2" s="1"/>
  <c r="B76" i="2" a="1"/>
  <c r="B76" i="2" s="1"/>
  <c r="C76" i="2" a="1"/>
  <c r="C76" i="2" s="1"/>
  <c r="D76" i="2" a="1"/>
  <c r="D76" i="2" s="1"/>
  <c r="E76" i="2" a="1"/>
  <c r="E76" i="2" s="1"/>
  <c r="F76" i="2" a="1"/>
  <c r="F76" i="2" s="1"/>
  <c r="G76" i="2" a="1"/>
  <c r="G76" i="2" s="1"/>
  <c r="H76" i="2" a="1"/>
  <c r="H76" i="2" s="1"/>
  <c r="I76" i="2" a="1"/>
  <c r="I76" i="2" s="1"/>
  <c r="J76" i="2" a="1"/>
  <c r="J76" i="2" s="1"/>
  <c r="K76" i="2" a="1"/>
  <c r="K76" i="2" s="1"/>
  <c r="B77" i="2" a="1"/>
  <c r="B77" i="2" s="1"/>
  <c r="C77" i="2" a="1"/>
  <c r="C77" i="2" s="1"/>
  <c r="D77" i="2" a="1"/>
  <c r="D77" i="2" s="1"/>
  <c r="E77" i="2" a="1"/>
  <c r="E77" i="2" s="1"/>
  <c r="F77" i="2" a="1"/>
  <c r="F77" i="2" s="1"/>
  <c r="G77" i="2" a="1"/>
  <c r="G77" i="2" s="1"/>
  <c r="H77" i="2" a="1"/>
  <c r="H77" i="2" s="1"/>
  <c r="I77" i="2" a="1"/>
  <c r="I77" i="2" s="1"/>
  <c r="J77" i="2" a="1"/>
  <c r="J77" i="2" s="1"/>
  <c r="K77" i="2" a="1"/>
  <c r="K77" i="2" s="1"/>
  <c r="B78" i="2" a="1"/>
  <c r="B78" i="2" s="1"/>
  <c r="C78" i="2" a="1"/>
  <c r="C78" i="2" s="1"/>
  <c r="D78" i="2" a="1"/>
  <c r="D78" i="2" s="1"/>
  <c r="E78" i="2" a="1"/>
  <c r="E78" i="2" s="1"/>
  <c r="F78" i="2" a="1"/>
  <c r="F78" i="2" s="1"/>
  <c r="G78" i="2" a="1"/>
  <c r="G78" i="2" s="1"/>
  <c r="H78" i="2" a="1"/>
  <c r="H78" i="2" s="1"/>
  <c r="I78" i="2" a="1"/>
  <c r="I78" i="2" s="1"/>
  <c r="J78" i="2" a="1"/>
  <c r="J78" i="2" s="1"/>
  <c r="K78" i="2" a="1"/>
  <c r="K78" i="2" s="1"/>
  <c r="B79" i="2" a="1"/>
  <c r="B79" i="2" s="1"/>
  <c r="C79" i="2" a="1"/>
  <c r="C79" i="2" s="1"/>
  <c r="D79" i="2" a="1"/>
  <c r="D79" i="2" s="1"/>
  <c r="E79" i="2" a="1"/>
  <c r="E79" i="2" s="1"/>
  <c r="F79" i="2" a="1"/>
  <c r="F79" i="2" s="1"/>
  <c r="G79" i="2" a="1"/>
  <c r="G79" i="2" s="1"/>
  <c r="H79" i="2" a="1"/>
  <c r="H79" i="2" s="1"/>
  <c r="I79" i="2" a="1"/>
  <c r="I79" i="2" s="1"/>
  <c r="J79" i="2" a="1"/>
  <c r="J79" i="2" s="1"/>
  <c r="K79" i="2" a="1"/>
  <c r="K79" i="2" s="1"/>
  <c r="B80" i="2" a="1"/>
  <c r="B80" i="2" s="1"/>
  <c r="C80" i="2" a="1"/>
  <c r="C80" i="2" s="1"/>
  <c r="D80" i="2" a="1"/>
  <c r="D80" i="2" s="1"/>
  <c r="E80" i="2" a="1"/>
  <c r="E80" i="2" s="1"/>
  <c r="F80" i="2" a="1"/>
  <c r="F80" i="2" s="1"/>
  <c r="G80" i="2" a="1"/>
  <c r="G80" i="2" s="1"/>
  <c r="H80" i="2" a="1"/>
  <c r="H80" i="2" s="1"/>
  <c r="I80" i="2" a="1"/>
  <c r="I80" i="2" s="1"/>
  <c r="J80" i="2" a="1"/>
  <c r="J80" i="2" s="1"/>
  <c r="K80" i="2" a="1"/>
  <c r="K80" i="2" s="1"/>
  <c r="B83" i="2" a="1"/>
  <c r="B83" i="2" s="1"/>
  <c r="C83" i="2" a="1"/>
  <c r="C83" i="2" s="1"/>
  <c r="D83" i="2" a="1"/>
  <c r="D83" i="2" s="1"/>
  <c r="E83" i="2" a="1"/>
  <c r="E83" i="2" s="1"/>
  <c r="F83" i="2" a="1"/>
  <c r="F83" i="2" s="1"/>
  <c r="G83" i="2" a="1"/>
  <c r="G83" i="2" s="1"/>
  <c r="H83" i="2" a="1"/>
  <c r="H83" i="2" s="1"/>
  <c r="I83" i="2" a="1"/>
  <c r="I83" i="2" s="1"/>
  <c r="J83" i="2" a="1"/>
  <c r="J83" i="2" s="1"/>
  <c r="K83" i="2" a="1"/>
  <c r="K83" i="2" s="1"/>
  <c r="B84" i="2" a="1"/>
  <c r="B84" i="2" s="1"/>
  <c r="C84" i="2" a="1"/>
  <c r="C84" i="2" s="1"/>
  <c r="D84" i="2" a="1"/>
  <c r="D84" i="2" s="1"/>
  <c r="E84" i="2" a="1"/>
  <c r="E84" i="2" s="1"/>
  <c r="F84" i="2" a="1"/>
  <c r="F84" i="2" s="1"/>
  <c r="G84" i="2" a="1"/>
  <c r="G84" i="2" s="1"/>
  <c r="H84" i="2" a="1"/>
  <c r="H84" i="2" s="1"/>
  <c r="I84" i="2" a="1"/>
  <c r="I84" i="2" s="1"/>
  <c r="J84" i="2" a="1"/>
  <c r="J84" i="2" s="1"/>
  <c r="K84" i="2" a="1"/>
  <c r="K84" i="2" s="1"/>
  <c r="B85" i="2" a="1"/>
  <c r="B85" i="2" s="1"/>
  <c r="C85" i="2" a="1"/>
  <c r="C85" i="2" s="1"/>
  <c r="D85" i="2" a="1"/>
  <c r="D85" i="2" s="1"/>
  <c r="E85" i="2" a="1"/>
  <c r="E85" i="2" s="1"/>
  <c r="F85" i="2" a="1"/>
  <c r="F85" i="2" s="1"/>
  <c r="G85" i="2" a="1"/>
  <c r="G85" i="2" s="1"/>
  <c r="H85" i="2" a="1"/>
  <c r="H85" i="2" s="1"/>
  <c r="I85" i="2" a="1"/>
  <c r="I85" i="2" s="1"/>
  <c r="J85" i="2" a="1"/>
  <c r="J85" i="2" s="1"/>
  <c r="K85" i="2" a="1"/>
  <c r="K85" i="2" s="1"/>
  <c r="B86" i="2" a="1"/>
  <c r="B86" i="2" s="1"/>
  <c r="C86" i="2" a="1"/>
  <c r="C86" i="2" s="1"/>
  <c r="D86" i="2" a="1"/>
  <c r="D86" i="2" s="1"/>
  <c r="E86" i="2" a="1"/>
  <c r="E86" i="2" s="1"/>
  <c r="F86" i="2" a="1"/>
  <c r="F86" i="2" s="1"/>
  <c r="G86" i="2" a="1"/>
  <c r="G86" i="2" s="1"/>
  <c r="H86" i="2" a="1"/>
  <c r="H86" i="2" s="1"/>
  <c r="I86" i="2" a="1"/>
  <c r="I86" i="2" s="1"/>
  <c r="J86" i="2" a="1"/>
  <c r="J86" i="2" s="1"/>
  <c r="K86" i="2" a="1"/>
  <c r="K86" i="2" s="1"/>
  <c r="B87" i="2" a="1"/>
  <c r="B87" i="2" s="1"/>
  <c r="C87" i="2" a="1"/>
  <c r="C87" i="2" s="1"/>
  <c r="D87" i="2" a="1"/>
  <c r="D87" i="2" s="1"/>
  <c r="E87" i="2" a="1"/>
  <c r="E87" i="2" s="1"/>
  <c r="F87" i="2" a="1"/>
  <c r="F87" i="2" s="1"/>
  <c r="G87" i="2" a="1"/>
  <c r="G87" i="2" s="1"/>
  <c r="H87" i="2" a="1"/>
  <c r="H87" i="2" s="1"/>
  <c r="I87" i="2" a="1"/>
  <c r="I87" i="2" s="1"/>
  <c r="J87" i="2" a="1"/>
  <c r="J87" i="2" s="1"/>
  <c r="K87" i="2" a="1"/>
  <c r="K87" i="2" s="1"/>
  <c r="B88" i="2" a="1"/>
  <c r="B88" i="2" s="1"/>
  <c r="C88" i="2" a="1"/>
  <c r="C88" i="2" s="1"/>
  <c r="D88" i="2" a="1"/>
  <c r="D88" i="2" s="1"/>
  <c r="E88" i="2" a="1"/>
  <c r="E88" i="2" s="1"/>
  <c r="F88" i="2" a="1"/>
  <c r="F88" i="2" s="1"/>
  <c r="G88" i="2" a="1"/>
  <c r="G88" i="2" s="1"/>
  <c r="H88" i="2" a="1"/>
  <c r="H88" i="2" s="1"/>
  <c r="I88" i="2" a="1"/>
  <c r="I88" i="2" s="1"/>
  <c r="J88" i="2" a="1"/>
  <c r="J88" i="2" s="1"/>
  <c r="K88" i="2" a="1"/>
  <c r="K88" i="2" s="1"/>
  <c r="B89" i="2" a="1"/>
  <c r="B89" i="2" s="1"/>
  <c r="C89" i="2" a="1"/>
  <c r="C89" i="2" s="1"/>
  <c r="D89" i="2" a="1"/>
  <c r="D89" i="2" s="1"/>
  <c r="E89" i="2" a="1"/>
  <c r="E89" i="2" s="1"/>
  <c r="F89" i="2" a="1"/>
  <c r="F89" i="2" s="1"/>
  <c r="G89" i="2" a="1"/>
  <c r="G89" i="2" s="1"/>
  <c r="H89" i="2" a="1"/>
  <c r="H89" i="2" s="1"/>
  <c r="I89" i="2" a="1"/>
  <c r="I89" i="2" s="1"/>
  <c r="J89" i="2" a="1"/>
  <c r="J89" i="2" s="1"/>
  <c r="K89" i="2" a="1"/>
  <c r="K89" i="2" s="1"/>
  <c r="B90" i="2" a="1"/>
  <c r="B90" i="2" s="1"/>
  <c r="C90" i="2" a="1"/>
  <c r="C90" i="2" s="1"/>
  <c r="D90" i="2" a="1"/>
  <c r="D90" i="2" s="1"/>
  <c r="E90" i="2" a="1"/>
  <c r="E90" i="2" s="1"/>
  <c r="F90" i="2" a="1"/>
  <c r="F90" i="2" s="1"/>
  <c r="G90" i="2" a="1"/>
  <c r="G90" i="2" s="1"/>
  <c r="H90" i="2" a="1"/>
  <c r="H90" i="2" s="1"/>
  <c r="I90" i="2" a="1"/>
  <c r="I90" i="2" s="1"/>
  <c r="J90" i="2" a="1"/>
  <c r="J90" i="2" s="1"/>
  <c r="K90" i="2" a="1"/>
  <c r="K90" i="2" s="1"/>
  <c r="B94" i="2" a="1"/>
  <c r="B94" i="2" s="1"/>
  <c r="C94" i="2" a="1"/>
  <c r="C94" i="2" s="1"/>
  <c r="D94" i="2" a="1"/>
  <c r="D94" i="2" s="1"/>
  <c r="E94" i="2" a="1"/>
  <c r="E94" i="2" s="1"/>
  <c r="F94" i="2" a="1"/>
  <c r="F94" i="2" s="1"/>
  <c r="G94" i="2" a="1"/>
  <c r="G94" i="2" s="1"/>
  <c r="H94" i="2" a="1"/>
  <c r="H94" i="2" s="1"/>
  <c r="I94" i="2" a="1"/>
  <c r="I94" i="2" s="1"/>
  <c r="J94" i="2" a="1"/>
  <c r="J94" i="2" s="1"/>
  <c r="K94" i="2" a="1"/>
  <c r="K94" i="2" s="1"/>
  <c r="B96" i="2" a="1"/>
  <c r="B96" i="2" s="1"/>
  <c r="C96" i="2" a="1"/>
  <c r="C96" i="2" s="1"/>
  <c r="D96" i="2" a="1"/>
  <c r="D96" i="2" s="1"/>
  <c r="E96" i="2" a="1"/>
  <c r="E96" i="2" s="1"/>
  <c r="F96" i="2" a="1"/>
  <c r="F96" i="2" s="1"/>
  <c r="G96" i="2" a="1"/>
  <c r="G96" i="2" s="1"/>
  <c r="H96" i="2" a="1"/>
  <c r="H96" i="2" s="1"/>
  <c r="I96" i="2" a="1"/>
  <c r="I96" i="2" s="1"/>
  <c r="J96" i="2" a="1"/>
  <c r="J96" i="2" s="1"/>
  <c r="K96" i="2" a="1"/>
  <c r="K96" i="2" s="1"/>
  <c r="B100" i="2" a="1"/>
  <c r="B100" i="2" s="1"/>
  <c r="C100" i="2" a="1"/>
  <c r="C100" i="2" s="1"/>
  <c r="D100" i="2" a="1"/>
  <c r="D100" i="2" s="1"/>
  <c r="E100" i="2" a="1"/>
  <c r="E100" i="2" s="1"/>
  <c r="F100" i="2" a="1"/>
  <c r="F100" i="2" s="1"/>
  <c r="G100" i="2" a="1"/>
  <c r="G100" i="2" s="1"/>
  <c r="H100" i="2" a="1"/>
  <c r="H100" i="2" s="1"/>
  <c r="I100" i="2" a="1"/>
  <c r="I100" i="2" s="1"/>
  <c r="J100" i="2" a="1"/>
  <c r="J100" i="2" s="1"/>
  <c r="K100" i="2" a="1"/>
  <c r="K100" i="2" s="1"/>
  <c r="B101" i="2" a="1"/>
  <c r="B101" i="2" s="1"/>
  <c r="C101" i="2" a="1"/>
  <c r="C101" i="2" s="1"/>
  <c r="D101" i="2" a="1"/>
  <c r="D101" i="2" s="1"/>
  <c r="E101" i="2" a="1"/>
  <c r="E101" i="2" s="1"/>
  <c r="F101" i="2" a="1"/>
  <c r="F101" i="2" s="1"/>
  <c r="G101" i="2" a="1"/>
  <c r="G101" i="2" s="1"/>
  <c r="H101" i="2" a="1"/>
  <c r="H101" i="2" s="1"/>
  <c r="I101" i="2" a="1"/>
  <c r="I101" i="2" s="1"/>
  <c r="J101" i="2" a="1"/>
  <c r="J101" i="2" s="1"/>
  <c r="K101" i="2" a="1"/>
  <c r="K101" i="2" s="1"/>
  <c r="B102" i="2" a="1"/>
  <c r="B102" i="2" s="1"/>
  <c r="C102" i="2" a="1"/>
  <c r="C102" i="2" s="1"/>
  <c r="D102" i="2" a="1"/>
  <c r="D102" i="2" s="1"/>
  <c r="E102" i="2" a="1"/>
  <c r="E102" i="2" s="1"/>
  <c r="F102" i="2" a="1"/>
  <c r="F102" i="2" s="1"/>
  <c r="G102" i="2" a="1"/>
  <c r="G102" i="2" s="1"/>
  <c r="H102" i="2" a="1"/>
  <c r="H102" i="2" s="1"/>
  <c r="I102" i="2" a="1"/>
  <c r="I102" i="2" s="1"/>
  <c r="J102" i="2" a="1"/>
  <c r="J102" i="2" s="1"/>
  <c r="K102" i="2" a="1"/>
  <c r="K102" i="2" s="1"/>
  <c r="B103" i="2" a="1"/>
  <c r="B103" i="2" s="1"/>
  <c r="C103" i="2" a="1"/>
  <c r="C103" i="2" s="1"/>
  <c r="D103" i="2" a="1"/>
  <c r="D103" i="2" s="1"/>
  <c r="E103" i="2" a="1"/>
  <c r="E103" i="2" s="1"/>
  <c r="F103" i="2" a="1"/>
  <c r="F103" i="2" s="1"/>
  <c r="G103" i="2" a="1"/>
  <c r="G103" i="2" s="1"/>
  <c r="H103" i="2" a="1"/>
  <c r="H103" i="2" s="1"/>
  <c r="I103" i="2" a="1"/>
  <c r="I103" i="2" s="1"/>
  <c r="J103" i="2" a="1"/>
  <c r="J103" i="2" s="1"/>
  <c r="K103" i="2" a="1"/>
  <c r="K103" i="2" s="1"/>
  <c r="B104" i="2" a="1"/>
  <c r="B104" i="2" s="1"/>
  <c r="C104" i="2" a="1"/>
  <c r="C104" i="2" s="1"/>
  <c r="D104" i="2" a="1"/>
  <c r="D104" i="2" s="1"/>
  <c r="E104" i="2" a="1"/>
  <c r="E104" i="2" s="1"/>
  <c r="F104" i="2" a="1"/>
  <c r="F104" i="2" s="1"/>
  <c r="G104" i="2" a="1"/>
  <c r="G104" i="2" s="1"/>
  <c r="H104" i="2" a="1"/>
  <c r="H104" i="2" s="1"/>
  <c r="I104" i="2" a="1"/>
  <c r="I104" i="2" s="1"/>
  <c r="J104" i="2" a="1"/>
  <c r="J104" i="2" s="1"/>
  <c r="K104" i="2" a="1"/>
  <c r="K104" i="2" s="1"/>
  <c r="B105" i="2" a="1"/>
  <c r="B105" i="2" s="1"/>
  <c r="C105" i="2" a="1"/>
  <c r="C105" i="2" s="1"/>
  <c r="D105" i="2" a="1"/>
  <c r="D105" i="2" s="1"/>
  <c r="E105" i="2" a="1"/>
  <c r="E105" i="2" s="1"/>
  <c r="F105" i="2" a="1"/>
  <c r="F105" i="2" s="1"/>
  <c r="G105" i="2" a="1"/>
  <c r="G105" i="2" s="1"/>
  <c r="H105" i="2" a="1"/>
  <c r="H105" i="2" s="1"/>
  <c r="I105" i="2" a="1"/>
  <c r="I105" i="2" s="1"/>
  <c r="J105" i="2" a="1"/>
  <c r="J105" i="2" s="1"/>
  <c r="K105" i="2" a="1"/>
  <c r="K105" i="2" s="1"/>
  <c r="B106" i="2" a="1"/>
  <c r="B106" i="2" s="1"/>
  <c r="C106" i="2" a="1"/>
  <c r="C106" i="2" s="1"/>
  <c r="D106" i="2" a="1"/>
  <c r="D106" i="2" s="1"/>
  <c r="E106" i="2" a="1"/>
  <c r="E106" i="2" s="1"/>
  <c r="F106" i="2" a="1"/>
  <c r="F106" i="2" s="1"/>
  <c r="G106" i="2" a="1"/>
  <c r="G106" i="2" s="1"/>
  <c r="H106" i="2" a="1"/>
  <c r="H106" i="2" s="1"/>
  <c r="I106" i="2" a="1"/>
  <c r="I106" i="2" s="1"/>
  <c r="J106" i="2" a="1"/>
  <c r="J106" i="2" s="1"/>
  <c r="K106" i="2" a="1"/>
  <c r="K106" i="2" s="1"/>
  <c r="B107" i="2" a="1"/>
  <c r="B107" i="2" s="1"/>
  <c r="C107" i="2" a="1"/>
  <c r="C107" i="2" s="1"/>
  <c r="D107" i="2" a="1"/>
  <c r="D107" i="2" s="1"/>
  <c r="E107" i="2" a="1"/>
  <c r="E107" i="2" s="1"/>
  <c r="F107" i="2" a="1"/>
  <c r="F107" i="2" s="1"/>
  <c r="G107" i="2" a="1"/>
  <c r="G107" i="2" s="1"/>
  <c r="H107" i="2" a="1"/>
  <c r="H107" i="2" s="1"/>
  <c r="I107" i="2" a="1"/>
  <c r="I107" i="2" s="1"/>
  <c r="J107" i="2" a="1"/>
  <c r="J107" i="2" s="1"/>
  <c r="K107" i="2" a="1"/>
  <c r="K107" i="2" s="1"/>
  <c r="B108" i="2" a="1"/>
  <c r="B108" i="2" s="1"/>
  <c r="C108" i="2" a="1"/>
  <c r="C108" i="2" s="1"/>
  <c r="D108" i="2" a="1"/>
  <c r="D108" i="2" s="1"/>
  <c r="E108" i="2" a="1"/>
  <c r="E108" i="2" s="1"/>
  <c r="F108" i="2" a="1"/>
  <c r="F108" i="2" s="1"/>
  <c r="G108" i="2" a="1"/>
  <c r="G108" i="2" s="1"/>
  <c r="H108" i="2" a="1"/>
  <c r="H108" i="2" s="1"/>
  <c r="I108" i="2" a="1"/>
  <c r="I108" i="2" s="1"/>
  <c r="J108" i="2" a="1"/>
  <c r="J108" i="2" s="1"/>
  <c r="K108" i="2" a="1"/>
  <c r="K108" i="2" s="1"/>
  <c r="B109" i="2" a="1"/>
  <c r="B109" i="2" s="1"/>
  <c r="C109" i="2" a="1"/>
  <c r="C109" i="2" s="1"/>
  <c r="D109" i="2" a="1"/>
  <c r="D109" i="2" s="1"/>
  <c r="E109" i="2" a="1"/>
  <c r="E109" i="2" s="1"/>
  <c r="F109" i="2" a="1"/>
  <c r="F109" i="2" s="1"/>
  <c r="G109" i="2" a="1"/>
  <c r="G109" i="2" s="1"/>
  <c r="H109" i="2" a="1"/>
  <c r="H109" i="2" s="1"/>
  <c r="I109" i="2" a="1"/>
  <c r="I109" i="2" s="1"/>
  <c r="J109" i="2" a="1"/>
  <c r="J109" i="2" s="1"/>
  <c r="K109" i="2" a="1"/>
  <c r="K109" i="2" s="1"/>
  <c r="B112" i="2" a="1"/>
  <c r="B112" i="2" s="1"/>
  <c r="C112" i="2" a="1"/>
  <c r="C112" i="2" s="1"/>
  <c r="D112" i="2" a="1"/>
  <c r="D112" i="2" s="1"/>
  <c r="E112" i="2" a="1"/>
  <c r="E112" i="2" s="1"/>
  <c r="F112" i="2" a="1"/>
  <c r="F112" i="2" s="1"/>
  <c r="G112" i="2" a="1"/>
  <c r="G112" i="2" s="1"/>
  <c r="H112" i="2" a="1"/>
  <c r="H112" i="2" s="1"/>
  <c r="I112" i="2" a="1"/>
  <c r="I112" i="2" s="1"/>
  <c r="J112" i="2" a="1"/>
  <c r="J112" i="2" s="1"/>
  <c r="K112" i="2" a="1"/>
  <c r="K112" i="2" s="1"/>
  <c r="B113" i="2" a="1"/>
  <c r="B113" i="2" s="1"/>
  <c r="C113" i="2" a="1"/>
  <c r="C113" i="2" s="1"/>
  <c r="D113" i="2" a="1"/>
  <c r="D113" i="2" s="1"/>
  <c r="E113" i="2" a="1"/>
  <c r="E113" i="2" s="1"/>
  <c r="F113" i="2" a="1"/>
  <c r="F113" i="2" s="1"/>
  <c r="G113" i="2" a="1"/>
  <c r="G113" i="2" s="1"/>
  <c r="H113" i="2" a="1"/>
  <c r="H113" i="2" s="1"/>
  <c r="I113" i="2" a="1"/>
  <c r="I113" i="2" s="1"/>
  <c r="J113" i="2" a="1"/>
  <c r="J113" i="2" s="1"/>
  <c r="K113" i="2" a="1"/>
  <c r="K113" i="2" s="1"/>
  <c r="B115" i="2" a="1"/>
  <c r="B115" i="2" s="1"/>
  <c r="C115" i="2" a="1"/>
  <c r="C115" i="2" s="1"/>
  <c r="D115" i="2" a="1"/>
  <c r="D115" i="2" s="1"/>
  <c r="E115" i="2" a="1"/>
  <c r="E115" i="2" s="1"/>
  <c r="F115" i="2" a="1"/>
  <c r="F115" i="2" s="1"/>
  <c r="G115" i="2" a="1"/>
  <c r="G115" i="2" s="1"/>
  <c r="H115" i="2" a="1"/>
  <c r="H115" i="2" s="1"/>
  <c r="I115" i="2" a="1"/>
  <c r="I115" i="2" s="1"/>
  <c r="J115" i="2" a="1"/>
  <c r="J115" i="2" s="1"/>
  <c r="K115" i="2" a="1"/>
  <c r="K115" i="2" s="1"/>
  <c r="B116" i="2" a="1"/>
  <c r="B116" i="2" s="1"/>
  <c r="C116" i="2" a="1"/>
  <c r="C116" i="2" s="1"/>
  <c r="D116" i="2" a="1"/>
  <c r="D116" i="2" s="1"/>
  <c r="E116" i="2" a="1"/>
  <c r="E116" i="2" s="1"/>
  <c r="F116" i="2" a="1"/>
  <c r="F116" i="2" s="1"/>
  <c r="G116" i="2" a="1"/>
  <c r="G116" i="2" s="1"/>
  <c r="H116" i="2" a="1"/>
  <c r="H116" i="2" s="1"/>
  <c r="I116" i="2" a="1"/>
  <c r="I116" i="2" s="1"/>
  <c r="J116" i="2" a="1"/>
  <c r="J116" i="2" s="1"/>
  <c r="K116" i="2" a="1"/>
  <c r="K116" i="2" s="1"/>
  <c r="B118" i="2" a="1"/>
  <c r="B118" i="2" s="1"/>
  <c r="C118" i="2" a="1"/>
  <c r="C118" i="2" s="1"/>
  <c r="D118" i="2" a="1"/>
  <c r="D118" i="2" s="1"/>
  <c r="E118" i="2" a="1"/>
  <c r="E118" i="2" s="1"/>
  <c r="F118" i="2" a="1"/>
  <c r="F118" i="2" s="1"/>
  <c r="G118" i="2" a="1"/>
  <c r="G118" i="2" s="1"/>
  <c r="H118" i="2" a="1"/>
  <c r="H118" i="2" s="1"/>
  <c r="I118" i="2" a="1"/>
  <c r="I118" i="2" s="1"/>
  <c r="J118" i="2" a="1"/>
  <c r="J118" i="2" s="1"/>
  <c r="K118" i="2" a="1"/>
  <c r="K118" i="2" s="1"/>
  <c r="B119" i="2" a="1"/>
  <c r="B119" i="2" s="1"/>
  <c r="C119" i="2" a="1"/>
  <c r="C119" i="2" s="1"/>
  <c r="D119" i="2" a="1"/>
  <c r="D119" i="2" s="1"/>
  <c r="E119" i="2" a="1"/>
  <c r="E119" i="2" s="1"/>
  <c r="F119" i="2" a="1"/>
  <c r="F119" i="2" s="1"/>
  <c r="G119" i="2" a="1"/>
  <c r="G119" i="2" s="1"/>
  <c r="H119" i="2" a="1"/>
  <c r="H119" i="2" s="1"/>
  <c r="I119" i="2" a="1"/>
  <c r="I119" i="2" s="1"/>
  <c r="J119" i="2" a="1"/>
  <c r="J119" i="2" s="1"/>
  <c r="K119" i="2" a="1"/>
  <c r="K119" i="2" s="1"/>
  <c r="B121" i="2" a="1"/>
  <c r="B121" i="2" s="1"/>
  <c r="C121" i="2" a="1"/>
  <c r="C121" i="2" s="1"/>
  <c r="D121" i="2" a="1"/>
  <c r="D121" i="2" s="1"/>
  <c r="E121" i="2" a="1"/>
  <c r="E121" i="2" s="1"/>
  <c r="F121" i="2" a="1"/>
  <c r="F121" i="2" s="1"/>
  <c r="G121" i="2" a="1"/>
  <c r="G121" i="2" s="1"/>
  <c r="H121" i="2" a="1"/>
  <c r="H121" i="2" s="1"/>
  <c r="I121" i="2" a="1"/>
  <c r="I121" i="2" s="1"/>
  <c r="J121" i="2" a="1"/>
  <c r="J121" i="2" s="1"/>
  <c r="K121" i="2" a="1"/>
  <c r="K121" i="2" s="1"/>
  <c r="B122" i="2" a="1"/>
  <c r="B122" i="2" s="1"/>
  <c r="C122" i="2" a="1"/>
  <c r="C122" i="2" s="1"/>
  <c r="D122" i="2" a="1"/>
  <c r="D122" i="2" s="1"/>
  <c r="E122" i="2" a="1"/>
  <c r="E122" i="2" s="1"/>
  <c r="F122" i="2" a="1"/>
  <c r="F122" i="2" s="1"/>
  <c r="G122" i="2" a="1"/>
  <c r="G122" i="2" s="1"/>
  <c r="H122" i="2" a="1"/>
  <c r="H122" i="2" s="1"/>
  <c r="I122" i="2" a="1"/>
  <c r="I122" i="2" s="1"/>
  <c r="J122" i="2" a="1"/>
  <c r="J122" i="2" s="1"/>
  <c r="K122" i="2" a="1"/>
  <c r="K122" i="2" s="1"/>
  <c r="B123" i="2" a="1"/>
  <c r="B123" i="2" s="1"/>
  <c r="C123" i="2" a="1"/>
  <c r="C123" i="2" s="1"/>
  <c r="D123" i="2" a="1"/>
  <c r="D123" i="2" s="1"/>
  <c r="E123" i="2" a="1"/>
  <c r="E123" i="2" s="1"/>
  <c r="F123" i="2" a="1"/>
  <c r="F123" i="2" s="1"/>
  <c r="G123" i="2" a="1"/>
  <c r="G123" i="2" s="1"/>
  <c r="H123" i="2" a="1"/>
  <c r="H123" i="2" s="1"/>
  <c r="I123" i="2" a="1"/>
  <c r="I123" i="2" s="1"/>
  <c r="J123" i="2" a="1"/>
  <c r="J123" i="2" s="1"/>
  <c r="K123" i="2" a="1"/>
  <c r="K123" i="2" s="1"/>
  <c r="B124" i="2" a="1"/>
  <c r="B124" i="2" s="1"/>
  <c r="C124" i="2" a="1"/>
  <c r="C124" i="2" s="1"/>
  <c r="D124" i="2" a="1"/>
  <c r="D124" i="2" s="1"/>
  <c r="E124" i="2" a="1"/>
  <c r="E124" i="2" s="1"/>
  <c r="F124" i="2" a="1"/>
  <c r="F124" i="2" s="1"/>
  <c r="G124" i="2" a="1"/>
  <c r="G124" i="2" s="1"/>
  <c r="H124" i="2" a="1"/>
  <c r="H124" i="2" s="1"/>
  <c r="I124" i="2" a="1"/>
  <c r="I124" i="2" s="1"/>
  <c r="J124" i="2" a="1"/>
  <c r="J124" i="2" s="1"/>
  <c r="K124" i="2" a="1"/>
  <c r="K124" i="2" s="1"/>
  <c r="B125" i="2" a="1"/>
  <c r="B125" i="2" s="1"/>
  <c r="C125" i="2" a="1"/>
  <c r="C125" i="2" s="1"/>
  <c r="D125" i="2" a="1"/>
  <c r="D125" i="2" s="1"/>
  <c r="E125" i="2" a="1"/>
  <c r="E125" i="2" s="1"/>
  <c r="F125" i="2" a="1"/>
  <c r="F125" i="2" s="1"/>
  <c r="G125" i="2" a="1"/>
  <c r="G125" i="2" s="1"/>
  <c r="H125" i="2" a="1"/>
  <c r="H125" i="2" s="1"/>
  <c r="I125" i="2" a="1"/>
  <c r="I125" i="2" s="1"/>
  <c r="J125" i="2" a="1"/>
  <c r="J125" i="2" s="1"/>
  <c r="K125" i="2" a="1"/>
  <c r="K125" i="2" s="1"/>
  <c r="B126" i="2" a="1"/>
  <c r="B126" i="2" s="1"/>
  <c r="C126" i="2" a="1"/>
  <c r="C126" i="2" s="1"/>
  <c r="D126" i="2" a="1"/>
  <c r="D126" i="2" s="1"/>
  <c r="E126" i="2" a="1"/>
  <c r="E126" i="2" s="1"/>
  <c r="F126" i="2" a="1"/>
  <c r="F126" i="2" s="1"/>
  <c r="G126" i="2" a="1"/>
  <c r="G126" i="2" s="1"/>
  <c r="H126" i="2" a="1"/>
  <c r="H126" i="2" s="1"/>
  <c r="I126" i="2" a="1"/>
  <c r="I126" i="2" s="1"/>
  <c r="J126" i="2" a="1"/>
  <c r="J126" i="2" s="1"/>
  <c r="K126" i="2" a="1"/>
  <c r="K126" i="2" s="1"/>
  <c r="B127" i="2" a="1"/>
  <c r="B127" i="2" s="1"/>
  <c r="C127" i="2" a="1"/>
  <c r="C127" i="2" s="1"/>
  <c r="D127" i="2" a="1"/>
  <c r="D127" i="2" s="1"/>
  <c r="E127" i="2" a="1"/>
  <c r="E127" i="2" s="1"/>
  <c r="F127" i="2" a="1"/>
  <c r="F127" i="2" s="1"/>
  <c r="G127" i="2" a="1"/>
  <c r="G127" i="2" s="1"/>
  <c r="H127" i="2" a="1"/>
  <c r="H127" i="2" s="1"/>
  <c r="I127" i="2" a="1"/>
  <c r="I127" i="2" s="1"/>
  <c r="J127" i="2" a="1"/>
  <c r="J127" i="2" s="1"/>
  <c r="K127" i="2" a="1"/>
  <c r="K127" i="2" s="1"/>
  <c r="B129" i="2" a="1"/>
  <c r="B129" i="2" s="1"/>
  <c r="C129" i="2" a="1"/>
  <c r="C129" i="2" s="1"/>
  <c r="D129" i="2" a="1"/>
  <c r="D129" i="2" s="1"/>
  <c r="E129" i="2" a="1"/>
  <c r="E129" i="2" s="1"/>
  <c r="F129" i="2" a="1"/>
  <c r="F129" i="2" s="1"/>
  <c r="G129" i="2" a="1"/>
  <c r="G129" i="2" s="1"/>
  <c r="H129" i="2" a="1"/>
  <c r="H129" i="2" s="1"/>
  <c r="I129" i="2" a="1"/>
  <c r="I129" i="2" s="1"/>
  <c r="J129" i="2" a="1"/>
  <c r="J129" i="2" s="1"/>
  <c r="K129" i="2" a="1"/>
  <c r="K129" i="2" s="1"/>
  <c r="B130" i="2" a="1"/>
  <c r="B130" i="2" s="1"/>
  <c r="C130" i="2" a="1"/>
  <c r="C130" i="2" s="1"/>
  <c r="D130" i="2" a="1"/>
  <c r="D130" i="2" s="1"/>
  <c r="E130" i="2" a="1"/>
  <c r="E130" i="2" s="1"/>
  <c r="F130" i="2" a="1"/>
  <c r="F130" i="2" s="1"/>
  <c r="G130" i="2" a="1"/>
  <c r="G130" i="2" s="1"/>
  <c r="H130" i="2" a="1"/>
  <c r="H130" i="2" s="1"/>
  <c r="I130" i="2" a="1"/>
  <c r="I130" i="2" s="1"/>
  <c r="J130" i="2" a="1"/>
  <c r="J130" i="2" s="1"/>
  <c r="K130" i="2" a="1"/>
  <c r="K130" i="2" s="1"/>
  <c r="B132" i="2" a="1"/>
  <c r="B132" i="2" s="1"/>
  <c r="C132" i="2" a="1"/>
  <c r="C132" i="2" s="1"/>
  <c r="D132" i="2" a="1"/>
  <c r="D132" i="2" s="1"/>
  <c r="E132" i="2" a="1"/>
  <c r="E132" i="2" s="1"/>
  <c r="F132" i="2" a="1"/>
  <c r="F132" i="2" s="1"/>
  <c r="G132" i="2" a="1"/>
  <c r="G132" i="2" s="1"/>
  <c r="H132" i="2" a="1"/>
  <c r="H132" i="2" s="1"/>
  <c r="I132" i="2" a="1"/>
  <c r="I132" i="2" s="1"/>
  <c r="J132" i="2" a="1"/>
  <c r="J132" i="2" s="1"/>
  <c r="K132" i="2" a="1"/>
  <c r="K132" i="2" s="1"/>
  <c r="B133" i="2" a="1"/>
  <c r="B133" i="2" s="1"/>
  <c r="C133" i="2" a="1"/>
  <c r="C133" i="2" s="1"/>
  <c r="D133" i="2" a="1"/>
  <c r="D133" i="2" s="1"/>
  <c r="E133" i="2" a="1"/>
  <c r="E133" i="2" s="1"/>
  <c r="F133" i="2" a="1"/>
  <c r="F133" i="2" s="1"/>
  <c r="G133" i="2" a="1"/>
  <c r="G133" i="2" s="1"/>
  <c r="H133" i="2" a="1"/>
  <c r="H133" i="2" s="1"/>
  <c r="I133" i="2" a="1"/>
  <c r="I133" i="2" s="1"/>
  <c r="J133" i="2" a="1"/>
  <c r="J133" i="2" s="1"/>
  <c r="K133" i="2" a="1"/>
  <c r="K133" i="2" s="1"/>
  <c r="B134" i="2" a="1"/>
  <c r="B134" i="2" s="1"/>
  <c r="C134" i="2" a="1"/>
  <c r="C134" i="2" s="1"/>
  <c r="D134" i="2" a="1"/>
  <c r="D134" i="2" s="1"/>
  <c r="E134" i="2" a="1"/>
  <c r="E134" i="2" s="1"/>
  <c r="F134" i="2" a="1"/>
  <c r="F134" i="2" s="1"/>
  <c r="G134" i="2" a="1"/>
  <c r="G134" i="2" s="1"/>
  <c r="H134" i="2" a="1"/>
  <c r="H134" i="2" s="1"/>
  <c r="I134" i="2" a="1"/>
  <c r="I134" i="2" s="1"/>
  <c r="J134" i="2" a="1"/>
  <c r="J134" i="2" s="1"/>
  <c r="K134" i="2" a="1"/>
  <c r="K134" i="2" s="1"/>
  <c r="B136" i="2" a="1"/>
  <c r="B136" i="2" s="1"/>
  <c r="C136" i="2" a="1"/>
  <c r="C136" i="2" s="1"/>
  <c r="D136" i="2" a="1"/>
  <c r="D136" i="2" s="1"/>
  <c r="E136" i="2" a="1"/>
  <c r="E136" i="2" s="1"/>
  <c r="F136" i="2" a="1"/>
  <c r="F136" i="2" s="1"/>
  <c r="G136" i="2" a="1"/>
  <c r="G136" i="2" s="1"/>
  <c r="H136" i="2" a="1"/>
  <c r="H136" i="2" s="1"/>
  <c r="I136" i="2" a="1"/>
  <c r="I136" i="2" s="1"/>
  <c r="J136" i="2" a="1"/>
  <c r="J136" i="2" s="1"/>
  <c r="K136" i="2" a="1"/>
  <c r="K136" i="2" s="1"/>
  <c r="B137" i="2" a="1"/>
  <c r="B137" i="2" s="1"/>
  <c r="C137" i="2" a="1"/>
  <c r="C137" i="2" s="1"/>
  <c r="D137" i="2" a="1"/>
  <c r="D137" i="2" s="1"/>
  <c r="E137" i="2" a="1"/>
  <c r="E137" i="2" s="1"/>
  <c r="F137" i="2" a="1"/>
  <c r="F137" i="2" s="1"/>
  <c r="G137" i="2" a="1"/>
  <c r="G137" i="2" s="1"/>
  <c r="H137" i="2" a="1"/>
  <c r="H137" i="2" s="1"/>
  <c r="I137" i="2" a="1"/>
  <c r="I137" i="2" s="1"/>
  <c r="J137" i="2" a="1"/>
  <c r="J137" i="2" s="1"/>
  <c r="K137" i="2" a="1"/>
  <c r="K137" i="2" s="1"/>
  <c r="B138" i="2" a="1"/>
  <c r="B138" i="2" s="1"/>
  <c r="C138" i="2" a="1"/>
  <c r="C138" i="2" s="1"/>
  <c r="D138" i="2" a="1"/>
  <c r="D138" i="2" s="1"/>
  <c r="E138" i="2" a="1"/>
  <c r="E138" i="2" s="1"/>
  <c r="F138" i="2" a="1"/>
  <c r="F138" i="2" s="1"/>
  <c r="G138" i="2" a="1"/>
  <c r="G138" i="2" s="1"/>
  <c r="H138" i="2" a="1"/>
  <c r="H138" i="2" s="1"/>
  <c r="I138" i="2" a="1"/>
  <c r="I138" i="2" s="1"/>
  <c r="J138" i="2" a="1"/>
  <c r="J138" i="2" s="1"/>
  <c r="K138" i="2" a="1"/>
  <c r="K138" i="2" s="1"/>
  <c r="B139" i="2" a="1"/>
  <c r="B139" i="2" s="1"/>
  <c r="C139" i="2" a="1"/>
  <c r="C139" i="2" s="1"/>
  <c r="D139" i="2" a="1"/>
  <c r="D139" i="2" s="1"/>
  <c r="E139" i="2" a="1"/>
  <c r="E139" i="2" s="1"/>
  <c r="F139" i="2" a="1"/>
  <c r="F139" i="2" s="1"/>
  <c r="G139" i="2" a="1"/>
  <c r="G139" i="2" s="1"/>
  <c r="H139" i="2" a="1"/>
  <c r="H139" i="2" s="1"/>
  <c r="I139" i="2" a="1"/>
  <c r="I139" i="2" s="1"/>
  <c r="J139" i="2" a="1"/>
  <c r="J139" i="2" s="1"/>
  <c r="K139" i="2" a="1"/>
  <c r="K139" i="2" s="1"/>
  <c r="B140" i="2" a="1"/>
  <c r="B140" i="2" s="1"/>
  <c r="C140" i="2" a="1"/>
  <c r="C140" i="2" s="1"/>
  <c r="D140" i="2" a="1"/>
  <c r="D140" i="2" s="1"/>
  <c r="E140" i="2" a="1"/>
  <c r="E140" i="2" s="1"/>
  <c r="F140" i="2" a="1"/>
  <c r="F140" i="2" s="1"/>
  <c r="G140" i="2" a="1"/>
  <c r="G140" i="2" s="1"/>
  <c r="H140" i="2" a="1"/>
  <c r="H140" i="2" s="1"/>
  <c r="I140" i="2" a="1"/>
  <c r="I140" i="2" s="1"/>
  <c r="J140" i="2" a="1"/>
  <c r="J140" i="2" s="1"/>
  <c r="K140" i="2" a="1"/>
  <c r="K140" i="2" s="1"/>
  <c r="B141" i="2" a="1"/>
  <c r="B141" i="2" s="1"/>
  <c r="C141" i="2" a="1"/>
  <c r="C141" i="2" s="1"/>
  <c r="D141" i="2" a="1"/>
  <c r="D141" i="2" s="1"/>
  <c r="E141" i="2" a="1"/>
  <c r="E141" i="2" s="1"/>
  <c r="F141" i="2" a="1"/>
  <c r="F141" i="2" s="1"/>
  <c r="G141" i="2" a="1"/>
  <c r="G141" i="2" s="1"/>
  <c r="H141" i="2" a="1"/>
  <c r="H141" i="2" s="1"/>
  <c r="I141" i="2" a="1"/>
  <c r="I141" i="2" s="1"/>
  <c r="J141" i="2" a="1"/>
  <c r="J141" i="2" s="1"/>
  <c r="K141" i="2" a="1"/>
  <c r="K141" i="2" s="1"/>
  <c r="B142" i="2" a="1"/>
  <c r="B142" i="2" s="1"/>
  <c r="C142" i="2" a="1"/>
  <c r="C142" i="2" s="1"/>
  <c r="D142" i="2" a="1"/>
  <c r="D142" i="2" s="1"/>
  <c r="E142" i="2" a="1"/>
  <c r="E142" i="2" s="1"/>
  <c r="F142" i="2" a="1"/>
  <c r="F142" i="2" s="1"/>
  <c r="G142" i="2" a="1"/>
  <c r="G142" i="2" s="1"/>
  <c r="H142" i="2" a="1"/>
  <c r="H142" i="2" s="1"/>
  <c r="I142" i="2" a="1"/>
  <c r="I142" i="2" s="1"/>
  <c r="J142" i="2" a="1"/>
  <c r="J142" i="2" s="1"/>
  <c r="K142" i="2" a="1"/>
  <c r="K142" i="2" s="1"/>
  <c r="B144" i="2" a="1"/>
  <c r="B144" i="2" s="1"/>
  <c r="C144" i="2" a="1"/>
  <c r="C144" i="2" s="1"/>
  <c r="D144" i="2" a="1"/>
  <c r="D144" i="2" s="1"/>
  <c r="E144" i="2" a="1"/>
  <c r="E144" i="2" s="1"/>
  <c r="F144" i="2" a="1"/>
  <c r="F144" i="2" s="1"/>
  <c r="G144" i="2" a="1"/>
  <c r="G144" i="2" s="1"/>
  <c r="H144" i="2" a="1"/>
  <c r="H144" i="2" s="1"/>
  <c r="I144" i="2" a="1"/>
  <c r="I144" i="2" s="1"/>
  <c r="J144" i="2" a="1"/>
  <c r="J144" i="2" s="1"/>
  <c r="K144" i="2" a="1"/>
  <c r="K144" i="2" s="1"/>
  <c r="B145" i="2" a="1"/>
  <c r="B145" i="2" s="1"/>
  <c r="C145" i="2" a="1"/>
  <c r="C145" i="2" s="1"/>
  <c r="D145" i="2" a="1"/>
  <c r="D145" i="2" s="1"/>
  <c r="E145" i="2" a="1"/>
  <c r="E145" i="2" s="1"/>
  <c r="F145" i="2" a="1"/>
  <c r="F145" i="2" s="1"/>
  <c r="G145" i="2" a="1"/>
  <c r="G145" i="2" s="1"/>
  <c r="H145" i="2" a="1"/>
  <c r="H145" i="2" s="1"/>
  <c r="I145" i="2" a="1"/>
  <c r="I145" i="2" s="1"/>
  <c r="J145" i="2" a="1"/>
  <c r="J145" i="2" s="1"/>
  <c r="K145" i="2" a="1"/>
  <c r="K145" i="2" s="1"/>
  <c r="B146" i="2" a="1"/>
  <c r="B146" i="2" s="1"/>
  <c r="C146" i="2" a="1"/>
  <c r="C146" i="2" s="1"/>
  <c r="D146" i="2" a="1"/>
  <c r="D146" i="2" s="1"/>
  <c r="E146" i="2" a="1"/>
  <c r="E146" i="2" s="1"/>
  <c r="F146" i="2" a="1"/>
  <c r="F146" i="2" s="1"/>
  <c r="G146" i="2" a="1"/>
  <c r="G146" i="2" s="1"/>
  <c r="H146" i="2" a="1"/>
  <c r="H146" i="2" s="1"/>
  <c r="I146" i="2" a="1"/>
  <c r="I146" i="2" s="1"/>
  <c r="J146" i="2" a="1"/>
  <c r="J146" i="2" s="1"/>
  <c r="K146" i="2" a="1"/>
  <c r="K146" i="2" s="1"/>
  <c r="B148" i="2" a="1"/>
  <c r="B148" i="2" s="1"/>
  <c r="C148" i="2" a="1"/>
  <c r="C148" i="2" s="1"/>
  <c r="D148" i="2" a="1"/>
  <c r="D148" i="2" s="1"/>
  <c r="E148" i="2" a="1"/>
  <c r="E148" i="2" s="1"/>
  <c r="F148" i="2" a="1"/>
  <c r="F148" i="2" s="1"/>
  <c r="G148" i="2" a="1"/>
  <c r="G148" i="2" s="1"/>
  <c r="H148" i="2" a="1"/>
  <c r="H148" i="2" s="1"/>
  <c r="I148" i="2" a="1"/>
  <c r="I148" i="2" s="1"/>
  <c r="J148" i="2" a="1"/>
  <c r="J148" i="2" s="1"/>
  <c r="K148" i="2" a="1"/>
  <c r="K148" i="2" s="1"/>
  <c r="B149" i="2" a="1"/>
  <c r="B149" i="2" s="1"/>
  <c r="C149" i="2" a="1"/>
  <c r="C149" i="2" s="1"/>
  <c r="D149" i="2" a="1"/>
  <c r="D149" i="2" s="1"/>
  <c r="E149" i="2" a="1"/>
  <c r="E149" i="2" s="1"/>
  <c r="F149" i="2" a="1"/>
  <c r="F149" i="2" s="1"/>
  <c r="G149" i="2" a="1"/>
  <c r="G149" i="2" s="1"/>
  <c r="H149" i="2" a="1"/>
  <c r="H149" i="2" s="1"/>
  <c r="I149" i="2" a="1"/>
  <c r="I149" i="2" s="1"/>
  <c r="J149" i="2" a="1"/>
  <c r="J149" i="2" s="1"/>
  <c r="K149" i="2" a="1"/>
  <c r="K149" i="2" s="1"/>
  <c r="B150" i="2" a="1"/>
  <c r="B150" i="2" s="1"/>
  <c r="C150" i="2" a="1"/>
  <c r="C150" i="2" s="1"/>
  <c r="D150" i="2" a="1"/>
  <c r="D150" i="2" s="1"/>
  <c r="E150" i="2" a="1"/>
  <c r="E150" i="2" s="1"/>
  <c r="F150" i="2" a="1"/>
  <c r="F150" i="2" s="1"/>
  <c r="G150" i="2" a="1"/>
  <c r="G150" i="2" s="1"/>
  <c r="H150" i="2" a="1"/>
  <c r="H150" i="2" s="1"/>
  <c r="I150" i="2" a="1"/>
  <c r="I150" i="2" s="1"/>
  <c r="J150" i="2" a="1"/>
  <c r="J150" i="2" s="1"/>
  <c r="K150" i="2" a="1"/>
  <c r="K150" i="2" s="1"/>
  <c r="B151" i="2" a="1"/>
  <c r="B151" i="2" s="1"/>
  <c r="C151" i="2" a="1"/>
  <c r="C151" i="2" s="1"/>
  <c r="D151" i="2" a="1"/>
  <c r="D151" i="2" s="1"/>
  <c r="E151" i="2" a="1"/>
  <c r="E151" i="2" s="1"/>
  <c r="F151" i="2" a="1"/>
  <c r="F151" i="2" s="1"/>
  <c r="G151" i="2" a="1"/>
  <c r="G151" i="2" s="1"/>
  <c r="H151" i="2" a="1"/>
  <c r="H151" i="2" s="1"/>
  <c r="I151" i="2" a="1"/>
  <c r="I151" i="2" s="1"/>
  <c r="J151" i="2" a="1"/>
  <c r="J151" i="2" s="1"/>
  <c r="K151" i="2" a="1"/>
  <c r="K151" i="2" s="1"/>
  <c r="B153" i="2" a="1"/>
  <c r="B153" i="2" s="1"/>
  <c r="C153" i="2" a="1"/>
  <c r="C153" i="2" s="1"/>
  <c r="D153" i="2" a="1"/>
  <c r="D153" i="2" s="1"/>
  <c r="E153" i="2" a="1"/>
  <c r="E153" i="2" s="1"/>
  <c r="F153" i="2" a="1"/>
  <c r="F153" i="2" s="1"/>
  <c r="G153" i="2" a="1"/>
  <c r="G153" i="2" s="1"/>
  <c r="H153" i="2" a="1"/>
  <c r="H153" i="2" s="1"/>
  <c r="I153" i="2" a="1"/>
  <c r="I153" i="2" s="1"/>
  <c r="J153" i="2" a="1"/>
  <c r="J153" i="2" s="1"/>
  <c r="K153" i="2" a="1"/>
  <c r="K153" i="2" s="1"/>
  <c r="B155" i="2" a="1"/>
  <c r="B155" i="2" s="1"/>
  <c r="C155" i="2" a="1"/>
  <c r="C155" i="2" s="1"/>
  <c r="D155" i="2" a="1"/>
  <c r="D155" i="2" s="1"/>
  <c r="E155" i="2" a="1"/>
  <c r="E155" i="2" s="1"/>
  <c r="F155" i="2" a="1"/>
  <c r="F155" i="2" s="1"/>
  <c r="G155" i="2" a="1"/>
  <c r="G155" i="2" s="1"/>
  <c r="H155" i="2" a="1"/>
  <c r="H155" i="2" s="1"/>
  <c r="I155" i="2" a="1"/>
  <c r="I155" i="2" s="1"/>
  <c r="J155" i="2" a="1"/>
  <c r="J155" i="2" s="1"/>
  <c r="K155" i="2" a="1"/>
  <c r="K155" i="2" s="1"/>
  <c r="B156" i="2" a="1"/>
  <c r="B156" i="2" s="1"/>
  <c r="C156" i="2" a="1"/>
  <c r="C156" i="2" s="1"/>
  <c r="D156" i="2" a="1"/>
  <c r="D156" i="2" s="1"/>
  <c r="E156" i="2" a="1"/>
  <c r="E156" i="2" s="1"/>
  <c r="F156" i="2" a="1"/>
  <c r="F156" i="2" s="1"/>
  <c r="G156" i="2" a="1"/>
  <c r="G156" i="2" s="1"/>
  <c r="H156" i="2" a="1"/>
  <c r="H156" i="2" s="1"/>
  <c r="I156" i="2" a="1"/>
  <c r="I156" i="2" s="1"/>
  <c r="J156" i="2" a="1"/>
  <c r="J156" i="2" s="1"/>
  <c r="K156" i="2" a="1"/>
  <c r="K156" i="2" s="1"/>
  <c r="B159" i="2" a="1"/>
  <c r="B159" i="2" s="1"/>
  <c r="C159" i="2" a="1"/>
  <c r="C159" i="2" s="1"/>
  <c r="D159" i="2" a="1"/>
  <c r="D159" i="2" s="1"/>
  <c r="E159" i="2" a="1"/>
  <c r="E159" i="2" s="1"/>
  <c r="F159" i="2" a="1"/>
  <c r="F159" i="2" s="1"/>
  <c r="G159" i="2" a="1"/>
  <c r="G159" i="2" s="1"/>
  <c r="H159" i="2" a="1"/>
  <c r="H159" i="2" s="1"/>
  <c r="I159" i="2" a="1"/>
  <c r="I159" i="2" s="1"/>
  <c r="J159" i="2" a="1"/>
  <c r="J159" i="2" s="1"/>
  <c r="K159" i="2" a="1"/>
  <c r="K159" i="2" s="1"/>
  <c r="B160" i="2" a="1"/>
  <c r="B160" i="2" s="1"/>
  <c r="C160" i="2" a="1"/>
  <c r="C160" i="2" s="1"/>
  <c r="D160" i="2" a="1"/>
  <c r="D160" i="2" s="1"/>
  <c r="E160" i="2" a="1"/>
  <c r="E160" i="2" s="1"/>
  <c r="F160" i="2" a="1"/>
  <c r="F160" i="2" s="1"/>
  <c r="G160" i="2" a="1"/>
  <c r="G160" i="2" s="1"/>
  <c r="H160" i="2" a="1"/>
  <c r="H160" i="2" s="1"/>
  <c r="I160" i="2" a="1"/>
  <c r="I160" i="2" s="1"/>
  <c r="J160" i="2" a="1"/>
  <c r="J160" i="2" s="1"/>
  <c r="K160" i="2" a="1"/>
  <c r="K160" i="2" s="1"/>
  <c r="B161" i="2" a="1"/>
  <c r="B161" i="2" s="1"/>
  <c r="C161" i="2" a="1"/>
  <c r="C161" i="2" s="1"/>
  <c r="D161" i="2" a="1"/>
  <c r="D161" i="2" s="1"/>
  <c r="E161" i="2" a="1"/>
  <c r="E161" i="2" s="1"/>
  <c r="F161" i="2" a="1"/>
  <c r="F161" i="2" s="1"/>
  <c r="G161" i="2" a="1"/>
  <c r="G161" i="2" s="1"/>
  <c r="H161" i="2" a="1"/>
  <c r="H161" i="2" s="1"/>
  <c r="I161" i="2" a="1"/>
  <c r="I161" i="2" s="1"/>
  <c r="J161" i="2" a="1"/>
  <c r="J161" i="2" s="1"/>
  <c r="K161" i="2" a="1"/>
  <c r="K161" i="2" s="1"/>
  <c r="B162" i="2" a="1"/>
  <c r="B162" i="2" s="1"/>
  <c r="C162" i="2" a="1"/>
  <c r="C162" i="2" s="1"/>
  <c r="D162" i="2" a="1"/>
  <c r="D162" i="2" s="1"/>
  <c r="E162" i="2" a="1"/>
  <c r="E162" i="2" s="1"/>
  <c r="F162" i="2" a="1"/>
  <c r="F162" i="2" s="1"/>
  <c r="G162" i="2" a="1"/>
  <c r="G162" i="2" s="1"/>
  <c r="H162" i="2" a="1"/>
  <c r="H162" i="2" s="1"/>
  <c r="I162" i="2" a="1"/>
  <c r="I162" i="2" s="1"/>
  <c r="J162" i="2" a="1"/>
  <c r="J162" i="2" s="1"/>
  <c r="K162" i="2" a="1"/>
  <c r="K162" i="2" s="1"/>
  <c r="B163" i="2" a="1"/>
  <c r="B163" i="2" s="1"/>
  <c r="C163" i="2" a="1"/>
  <c r="C163" i="2" s="1"/>
  <c r="D163" i="2" a="1"/>
  <c r="D163" i="2" s="1"/>
  <c r="E163" i="2" a="1"/>
  <c r="E163" i="2" s="1"/>
  <c r="F163" i="2" a="1"/>
  <c r="F163" i="2" s="1"/>
  <c r="G163" i="2" a="1"/>
  <c r="G163" i="2" s="1"/>
  <c r="H163" i="2" a="1"/>
  <c r="H163" i="2" s="1"/>
  <c r="I163" i="2" a="1"/>
  <c r="I163" i="2" s="1"/>
  <c r="J163" i="2" a="1"/>
  <c r="J163" i="2" s="1"/>
  <c r="K163" i="2" a="1"/>
  <c r="K163" i="2" s="1"/>
  <c r="B164" i="2" a="1"/>
  <c r="B164" i="2" s="1"/>
  <c r="C164" i="2" a="1"/>
  <c r="C164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B165" i="2" a="1"/>
  <c r="B165" i="2" s="1"/>
  <c r="C165" i="2" a="1"/>
  <c r="C16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B166" i="2" a="1"/>
  <c r="B166" i="2" s="1"/>
  <c r="C166" i="2" a="1"/>
  <c r="C166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B167" i="2" a="1"/>
  <c r="B167" i="2" s="1"/>
  <c r="C167" i="2" a="1"/>
  <c r="C167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B168" i="2" a="1"/>
  <c r="B168" i="2" s="1"/>
  <c r="C168" i="2" a="1"/>
  <c r="C168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B169" i="2" a="1"/>
  <c r="B169" i="2" s="1"/>
  <c r="C169" i="2" a="1"/>
  <c r="C169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B170" i="2" a="1"/>
  <c r="B170" i="2" s="1"/>
  <c r="C170" i="2" a="1"/>
  <c r="C170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B171" i="2" a="1"/>
  <c r="B171" i="2" s="1"/>
  <c r="C171" i="2" a="1"/>
  <c r="C171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B172" i="2" a="1"/>
  <c r="B172" i="2" s="1"/>
  <c r="C172" i="2" a="1"/>
  <c r="C172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B173" i="2" a="1"/>
  <c r="B173" i="2" s="1"/>
  <c r="C173" i="2" a="1"/>
  <c r="C173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B174" i="2" a="1"/>
  <c r="B174" i="2" s="1"/>
  <c r="C174" i="2" a="1"/>
  <c r="C174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B175" i="2" a="1"/>
  <c r="B175" i="2" s="1"/>
  <c r="C175" i="2" a="1"/>
  <c r="C175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B176" i="2" a="1"/>
  <c r="B176" i="2" s="1"/>
  <c r="C176" i="2" a="1"/>
  <c r="C176" i="2" s="1"/>
  <c r="D176" i="2" a="1"/>
  <c r="D176" i="2" s="1"/>
  <c r="E176" i="2" a="1"/>
  <c r="E176" i="2" s="1"/>
  <c r="F176" i="2" a="1"/>
  <c r="F176" i="2" s="1"/>
  <c r="G176" i="2" a="1"/>
  <c r="G176" i="2" s="1"/>
  <c r="H176" i="2" a="1"/>
  <c r="H176" i="2" s="1"/>
  <c r="I176" i="2" a="1"/>
  <c r="I176" i="2" s="1"/>
  <c r="J176" i="2" a="1"/>
  <c r="J176" i="2" s="1"/>
  <c r="K176" i="2" a="1"/>
  <c r="K176" i="2" s="1"/>
  <c r="B179" i="2" a="1"/>
  <c r="B179" i="2" s="1"/>
  <c r="C179" i="2" a="1"/>
  <c r="C179" i="2" s="1"/>
  <c r="D179" i="2" a="1"/>
  <c r="D179" i="2" s="1"/>
  <c r="E179" i="2" a="1"/>
  <c r="E179" i="2" s="1"/>
  <c r="F179" i="2" a="1"/>
  <c r="F179" i="2" s="1"/>
  <c r="G179" i="2" a="1"/>
  <c r="G179" i="2" s="1"/>
  <c r="H179" i="2" a="1"/>
  <c r="H179" i="2" s="1"/>
  <c r="I179" i="2" a="1"/>
  <c r="I179" i="2" s="1"/>
  <c r="J179" i="2" a="1"/>
  <c r="J179" i="2" s="1"/>
  <c r="K179" i="2" a="1"/>
  <c r="K179" i="2" s="1"/>
  <c r="B180" i="2" a="1"/>
  <c r="B180" i="2" s="1"/>
  <c r="C180" i="2" a="1"/>
  <c r="C180" i="2" s="1"/>
  <c r="D180" i="2" a="1"/>
  <c r="D180" i="2" s="1"/>
  <c r="E180" i="2" a="1"/>
  <c r="E180" i="2" s="1"/>
  <c r="F180" i="2" a="1"/>
  <c r="F180" i="2" s="1"/>
  <c r="G180" i="2" a="1"/>
  <c r="G180" i="2" s="1"/>
  <c r="H180" i="2" a="1"/>
  <c r="H180" i="2" s="1"/>
  <c r="I180" i="2" a="1"/>
  <c r="I180" i="2" s="1"/>
  <c r="J180" i="2" a="1"/>
  <c r="J180" i="2" s="1"/>
  <c r="K180" i="2" a="1"/>
  <c r="K180" i="2" s="1"/>
  <c r="B181" i="2" a="1"/>
  <c r="B181" i="2" s="1"/>
  <c r="C181" i="2" a="1"/>
  <c r="C181" i="2" s="1"/>
  <c r="D181" i="2" a="1"/>
  <c r="D181" i="2" s="1"/>
  <c r="E181" i="2" a="1"/>
  <c r="E181" i="2" s="1"/>
  <c r="F181" i="2" a="1"/>
  <c r="F181" i="2" s="1"/>
  <c r="G181" i="2" a="1"/>
  <c r="G181" i="2" s="1"/>
  <c r="H181" i="2" a="1"/>
  <c r="H181" i="2" s="1"/>
  <c r="I181" i="2" a="1"/>
  <c r="I181" i="2" s="1"/>
  <c r="J181" i="2" a="1"/>
  <c r="J181" i="2" s="1"/>
  <c r="K181" i="2" a="1"/>
  <c r="K181" i="2" s="1"/>
  <c r="B182" i="2" a="1"/>
  <c r="B182" i="2" s="1"/>
  <c r="C182" i="2" a="1"/>
  <c r="C182" i="2" s="1"/>
  <c r="D182" i="2" a="1"/>
  <c r="D182" i="2" s="1"/>
  <c r="E182" i="2" a="1"/>
  <c r="E182" i="2" s="1"/>
  <c r="F182" i="2" a="1"/>
  <c r="F182" i="2" s="1"/>
  <c r="G182" i="2" a="1"/>
  <c r="G182" i="2" s="1"/>
  <c r="H182" i="2" a="1"/>
  <c r="H182" i="2" s="1"/>
  <c r="I182" i="2" a="1"/>
  <c r="I182" i="2" s="1"/>
  <c r="J182" i="2" a="1"/>
  <c r="J182" i="2" s="1"/>
  <c r="K182" i="2" a="1"/>
  <c r="K182" i="2" s="1"/>
  <c r="B183" i="2" a="1"/>
  <c r="B183" i="2" s="1"/>
  <c r="C183" i="2" a="1"/>
  <c r="C183" i="2" s="1"/>
  <c r="D183" i="2" a="1"/>
  <c r="D183" i="2" s="1"/>
  <c r="E183" i="2" a="1"/>
  <c r="E183" i="2" s="1"/>
  <c r="F183" i="2" a="1"/>
  <c r="F183" i="2" s="1"/>
  <c r="G183" i="2" a="1"/>
  <c r="G183" i="2" s="1"/>
  <c r="H183" i="2" a="1"/>
  <c r="H183" i="2" s="1"/>
  <c r="I183" i="2" a="1"/>
  <c r="I183" i="2" s="1"/>
  <c r="J183" i="2" a="1"/>
  <c r="J183" i="2" s="1"/>
  <c r="K183" i="2" a="1"/>
  <c r="K183" i="2" s="1"/>
  <c r="B184" i="2" a="1"/>
  <c r="B184" i="2" s="1"/>
  <c r="C184" i="2" a="1"/>
  <c r="C184" i="2" s="1"/>
  <c r="D184" i="2" a="1"/>
  <c r="D184" i="2" s="1"/>
  <c r="E184" i="2" a="1"/>
  <c r="E184" i="2" s="1"/>
  <c r="F184" i="2" a="1"/>
  <c r="F184" i="2" s="1"/>
  <c r="G184" i="2" a="1"/>
  <c r="G184" i="2" s="1"/>
  <c r="H184" i="2" a="1"/>
  <c r="H184" i="2" s="1"/>
  <c r="I184" i="2" a="1"/>
  <c r="I184" i="2" s="1"/>
  <c r="J184" i="2" a="1"/>
  <c r="J184" i="2" s="1"/>
  <c r="K184" i="2" a="1"/>
  <c r="K184" i="2" s="1"/>
  <c r="B185" i="2" a="1"/>
  <c r="B185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B186" i="2" a="1"/>
  <c r="B186" i="2" s="1"/>
  <c r="C186" i="2" a="1"/>
  <c r="C186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B187" i="2" a="1"/>
  <c r="B187" i="2" s="1"/>
  <c r="C187" i="2" a="1"/>
  <c r="C187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B188" i="2" a="1"/>
  <c r="B188" i="2" s="1"/>
  <c r="C188" i="2" a="1"/>
  <c r="C188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B189" i="2" a="1"/>
  <c r="B189" i="2" s="1"/>
  <c r="C189" i="2" a="1"/>
  <c r="C189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B190" i="2" a="1"/>
  <c r="B190" i="2" s="1"/>
  <c r="C190" i="2" a="1"/>
  <c r="C190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B192" i="2" a="1"/>
  <c r="B192" i="2" s="1"/>
  <c r="C192" i="2" a="1"/>
  <c r="C192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B193" i="2" a="1"/>
  <c r="B193" i="2" s="1"/>
  <c r="C193" i="2" a="1"/>
  <c r="C193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B197" i="2" a="1"/>
  <c r="B197" i="2" s="1"/>
  <c r="C197" i="2" a="1"/>
  <c r="C197" i="2" s="1"/>
  <c r="D197" i="2" a="1"/>
  <c r="D197" i="2" s="1"/>
  <c r="E197" i="2" a="1"/>
  <c r="E197" i="2" s="1"/>
  <c r="F197" i="2" a="1"/>
  <c r="F197" i="2" s="1"/>
  <c r="G197" i="2" a="1"/>
  <c r="G197" i="2" s="1"/>
  <c r="H197" i="2" a="1"/>
  <c r="H197" i="2" s="1"/>
  <c r="I197" i="2" a="1"/>
  <c r="I197" i="2" s="1"/>
  <c r="J197" i="2" a="1"/>
  <c r="J197" i="2" s="1"/>
  <c r="K197" i="2" a="1"/>
  <c r="K197" i="2" s="1"/>
  <c r="B198" i="2" a="1"/>
  <c r="B198" i="2" s="1"/>
  <c r="C198" i="2" a="1"/>
  <c r="C198" i="2" s="1"/>
  <c r="D198" i="2" a="1"/>
  <c r="D198" i="2" s="1"/>
  <c r="E198" i="2" a="1"/>
  <c r="E198" i="2" s="1"/>
  <c r="F198" i="2" a="1"/>
  <c r="F198" i="2" s="1"/>
  <c r="G198" i="2" a="1"/>
  <c r="G198" i="2" s="1"/>
  <c r="H198" i="2" a="1"/>
  <c r="H198" i="2" s="1"/>
  <c r="I198" i="2" a="1"/>
  <c r="I198" i="2" s="1"/>
  <c r="J198" i="2" a="1"/>
  <c r="J198" i="2" s="1"/>
  <c r="K198" i="2" a="1"/>
  <c r="K198" i="2" s="1"/>
  <c r="B199" i="2" a="1"/>
  <c r="B199" i="2" s="1"/>
  <c r="C199" i="2" a="1"/>
  <c r="C199" i="2" s="1"/>
  <c r="D199" i="2" a="1"/>
  <c r="D199" i="2" s="1"/>
  <c r="E199" i="2" a="1"/>
  <c r="E199" i="2" s="1"/>
  <c r="F199" i="2" a="1"/>
  <c r="F199" i="2" s="1"/>
  <c r="G199" i="2" a="1"/>
  <c r="G199" i="2" s="1"/>
  <c r="H199" i="2" a="1"/>
  <c r="H199" i="2" s="1"/>
  <c r="I199" i="2" a="1"/>
  <c r="I199" i="2" s="1"/>
  <c r="J199" i="2" a="1"/>
  <c r="J199" i="2" s="1"/>
  <c r="K199" i="2" a="1"/>
  <c r="K199" i="2" s="1"/>
  <c r="B200" i="2" a="1"/>
  <c r="B200" i="2" s="1"/>
  <c r="C200" i="2" a="1"/>
  <c r="C200" i="2" s="1"/>
  <c r="D200" i="2" a="1"/>
  <c r="D200" i="2" s="1"/>
  <c r="E200" i="2" a="1"/>
  <c r="E200" i="2" s="1"/>
  <c r="F200" i="2" a="1"/>
  <c r="F200" i="2" s="1"/>
  <c r="G200" i="2" a="1"/>
  <c r="G200" i="2" s="1"/>
  <c r="H200" i="2" a="1"/>
  <c r="H200" i="2" s="1"/>
  <c r="I200" i="2" a="1"/>
  <c r="I200" i="2" s="1"/>
  <c r="J200" i="2" a="1"/>
  <c r="J200" i="2" s="1"/>
  <c r="K200" i="2" a="1"/>
  <c r="K200" i="2" s="1"/>
  <c r="B201" i="2" a="1"/>
  <c r="B201" i="2" s="1"/>
  <c r="C201" i="2" a="1"/>
  <c r="C201" i="2" s="1"/>
  <c r="D201" i="2" a="1"/>
  <c r="D201" i="2" s="1"/>
  <c r="E201" i="2" a="1"/>
  <c r="E201" i="2" s="1"/>
  <c r="F201" i="2" a="1"/>
  <c r="F201" i="2" s="1"/>
  <c r="G201" i="2" a="1"/>
  <c r="G201" i="2" s="1"/>
  <c r="H201" i="2" a="1"/>
  <c r="H201" i="2" s="1"/>
  <c r="I201" i="2" a="1"/>
  <c r="I201" i="2" s="1"/>
  <c r="J201" i="2" a="1"/>
  <c r="J201" i="2" s="1"/>
  <c r="K201" i="2" a="1"/>
  <c r="K201" i="2" s="1"/>
  <c r="B202" i="2" a="1"/>
  <c r="B202" i="2" s="1"/>
  <c r="C202" i="2" a="1"/>
  <c r="C202" i="2" s="1"/>
  <c r="D202" i="2" a="1"/>
  <c r="D202" i="2" s="1"/>
  <c r="E202" i="2" a="1"/>
  <c r="E202" i="2" s="1"/>
  <c r="F202" i="2" a="1"/>
  <c r="F202" i="2" s="1"/>
  <c r="G202" i="2" a="1"/>
  <c r="G202" i="2" s="1"/>
  <c r="H202" i="2" a="1"/>
  <c r="H202" i="2" s="1"/>
  <c r="I202" i="2" a="1"/>
  <c r="I202" i="2" s="1"/>
  <c r="J202" i="2" a="1"/>
  <c r="J202" i="2" s="1"/>
  <c r="K202" i="2" a="1"/>
  <c r="K202" i="2" s="1"/>
  <c r="B203" i="2" a="1"/>
  <c r="B203" i="2" s="1"/>
  <c r="C203" i="2" a="1"/>
  <c r="C203" i="2" s="1"/>
  <c r="D203" i="2" a="1"/>
  <c r="D203" i="2" s="1"/>
  <c r="E203" i="2" a="1"/>
  <c r="E203" i="2" s="1"/>
  <c r="F203" i="2" a="1"/>
  <c r="F203" i="2" s="1"/>
  <c r="G203" i="2" a="1"/>
  <c r="G203" i="2" s="1"/>
  <c r="H203" i="2" a="1"/>
  <c r="H203" i="2" s="1"/>
  <c r="I203" i="2" a="1"/>
  <c r="I203" i="2" s="1"/>
  <c r="J203" i="2" a="1"/>
  <c r="J203" i="2" s="1"/>
  <c r="K203" i="2" a="1"/>
  <c r="K203" i="2" s="1"/>
  <c r="B204" i="2" a="1"/>
  <c r="B204" i="2" s="1"/>
  <c r="C204" i="2" a="1"/>
  <c r="C204" i="2" s="1"/>
  <c r="D204" i="2" a="1"/>
  <c r="D204" i="2" s="1"/>
  <c r="E204" i="2" a="1"/>
  <c r="E204" i="2" s="1"/>
  <c r="F204" i="2" a="1"/>
  <c r="F204" i="2" s="1"/>
  <c r="G204" i="2" a="1"/>
  <c r="G204" i="2" s="1"/>
  <c r="H204" i="2" a="1"/>
  <c r="H204" i="2" s="1"/>
  <c r="I204" i="2" a="1"/>
  <c r="I204" i="2" s="1"/>
  <c r="J204" i="2" a="1"/>
  <c r="J204" i="2" s="1"/>
  <c r="K204" i="2" a="1"/>
  <c r="K204" i="2" s="1"/>
  <c r="B205" i="2" a="1"/>
  <c r="B205" i="2" s="1"/>
  <c r="C205" i="2" a="1"/>
  <c r="C205" i="2" s="1"/>
  <c r="D205" i="2" a="1"/>
  <c r="D205" i="2" s="1"/>
  <c r="E205" i="2" a="1"/>
  <c r="E205" i="2" s="1"/>
  <c r="F205" i="2" a="1"/>
  <c r="F205" i="2" s="1"/>
  <c r="G205" i="2" a="1"/>
  <c r="G205" i="2" s="1"/>
  <c r="H205" i="2" a="1"/>
  <c r="H205" i="2" s="1"/>
  <c r="I205" i="2" a="1"/>
  <c r="I205" i="2" s="1"/>
  <c r="J205" i="2" a="1"/>
  <c r="J205" i="2" s="1"/>
  <c r="K205" i="2" a="1"/>
  <c r="K205" i="2" s="1"/>
  <c r="B206" i="2" a="1"/>
  <c r="B206" i="2" s="1"/>
  <c r="C206" i="2" a="1"/>
  <c r="C206" i="2" s="1"/>
  <c r="D206" i="2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B207" i="2" a="1"/>
  <c r="B207" i="2" s="1"/>
  <c r="C207" i="2" a="1"/>
  <c r="C207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B208" i="2" a="1"/>
  <c r="B208" i="2" s="1"/>
  <c r="C208" i="2" a="1"/>
  <c r="C208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B209" i="2" a="1"/>
  <c r="B209" i="2" s="1"/>
  <c r="C209" i="2" a="1"/>
  <c r="C209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B210" i="2" a="1"/>
  <c r="B210" i="2" s="1"/>
  <c r="C210" i="2" a="1"/>
  <c r="C210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B211" i="2" a="1"/>
  <c r="B211" i="2" s="1"/>
  <c r="C211" i="2" a="1"/>
  <c r="C211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B212" i="2" a="1"/>
  <c r="B212" i="2" s="1"/>
  <c r="C212" i="2" a="1"/>
  <c r="C212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B213" i="2" a="1"/>
  <c r="B213" i="2" s="1"/>
  <c r="C213" i="2" a="1"/>
  <c r="C213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B214" i="2" a="1"/>
  <c r="B214" i="2" s="1"/>
  <c r="C214" i="2" a="1"/>
  <c r="C214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B215" i="2" a="1"/>
  <c r="B215" i="2" s="1"/>
  <c r="C215" i="2" a="1"/>
  <c r="C215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B216" i="2" a="1"/>
  <c r="B216" i="2" s="1"/>
  <c r="C216" i="2" a="1"/>
  <c r="C216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 s="1"/>
  <c r="K216" i="2" a="1"/>
  <c r="K216" i="2" s="1"/>
  <c r="B217" i="2" a="1"/>
  <c r="B217" i="2" s="1"/>
  <c r="C217" i="2" a="1"/>
  <c r="C217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B220" i="2" a="1"/>
  <c r="B220" i="2" s="1"/>
  <c r="C220" i="2" a="1"/>
  <c r="C220" i="2" s="1"/>
  <c r="D220" i="2" a="1"/>
  <c r="D220" i="2" s="1"/>
  <c r="E220" i="2" a="1"/>
  <c r="E220" i="2" s="1"/>
  <c r="F220" i="2" a="1"/>
  <c r="F220" i="2" s="1"/>
  <c r="G220" i="2" a="1"/>
  <c r="G220" i="2" s="1"/>
  <c r="H220" i="2" a="1"/>
  <c r="H220" i="2" s="1"/>
  <c r="I220" i="2" a="1"/>
  <c r="I220" i="2" s="1"/>
  <c r="J220" i="2" a="1"/>
  <c r="J220" i="2" s="1"/>
  <c r="K220" i="2" a="1"/>
  <c r="K220" i="2" s="1"/>
  <c r="B221" i="2" a="1"/>
  <c r="B221" i="2" s="1"/>
  <c r="C221" i="2" a="1"/>
  <c r="C221" i="2" s="1"/>
  <c r="D221" i="2" a="1"/>
  <c r="D221" i="2" s="1"/>
  <c r="E221" i="2" a="1"/>
  <c r="E221" i="2" s="1"/>
  <c r="F221" i="2" a="1"/>
  <c r="F221" i="2" s="1"/>
  <c r="G221" i="2" a="1"/>
  <c r="G221" i="2" s="1"/>
  <c r="H221" i="2" a="1"/>
  <c r="H221" i="2" s="1"/>
  <c r="I221" i="2" a="1"/>
  <c r="I221" i="2" s="1"/>
  <c r="J221" i="2" a="1"/>
  <c r="J221" i="2" s="1"/>
  <c r="K221" i="2" a="1"/>
  <c r="K221" i="2" s="1"/>
  <c r="B222" i="2" a="1"/>
  <c r="B222" i="2" s="1"/>
  <c r="C222" i="2" a="1"/>
  <c r="C222" i="2" s="1"/>
  <c r="D222" i="2" a="1"/>
  <c r="D222" i="2" s="1"/>
  <c r="E222" i="2" a="1"/>
  <c r="E222" i="2" s="1"/>
  <c r="F222" i="2" a="1"/>
  <c r="F222" i="2" s="1"/>
  <c r="G222" i="2" a="1"/>
  <c r="G222" i="2" s="1"/>
  <c r="H222" i="2" a="1"/>
  <c r="H222" i="2" s="1"/>
  <c r="I222" i="2" a="1"/>
  <c r="I222" i="2" s="1"/>
  <c r="J222" i="2" a="1"/>
  <c r="J222" i="2" s="1"/>
  <c r="K222" i="2" a="1"/>
  <c r="K222" i="2" s="1"/>
  <c r="B223" i="2" a="1"/>
  <c r="B223" i="2" s="1"/>
  <c r="C223" i="2" a="1"/>
  <c r="C223" i="2" s="1"/>
  <c r="D223" i="2" a="1"/>
  <c r="D223" i="2" s="1"/>
  <c r="E223" i="2" a="1"/>
  <c r="E223" i="2" s="1"/>
  <c r="F223" i="2" a="1"/>
  <c r="F223" i="2" s="1"/>
  <c r="G223" i="2" a="1"/>
  <c r="G223" i="2" s="1"/>
  <c r="H223" i="2" a="1"/>
  <c r="H223" i="2" s="1"/>
  <c r="I223" i="2" a="1"/>
  <c r="I223" i="2" s="1"/>
  <c r="J223" i="2" a="1"/>
  <c r="J223" i="2" s="1"/>
  <c r="K223" i="2" a="1"/>
  <c r="K223" i="2" s="1"/>
  <c r="B224" i="2" a="1"/>
  <c r="B224" i="2" s="1"/>
  <c r="C224" i="2" a="1"/>
  <c r="C224" i="2" s="1"/>
  <c r="D224" i="2" a="1"/>
  <c r="D224" i="2" s="1"/>
  <c r="E224" i="2" a="1"/>
  <c r="E224" i="2" s="1"/>
  <c r="F224" i="2" a="1"/>
  <c r="F224" i="2" s="1"/>
  <c r="G224" i="2" a="1"/>
  <c r="G224" i="2" s="1"/>
  <c r="H224" i="2" a="1"/>
  <c r="H224" i="2" s="1"/>
  <c r="I224" i="2" a="1"/>
  <c r="I224" i="2" s="1"/>
  <c r="J224" i="2" a="1"/>
  <c r="J224" i="2" s="1"/>
  <c r="K224" i="2" a="1"/>
  <c r="K224" i="2" s="1"/>
  <c r="B225" i="2" a="1"/>
  <c r="B225" i="2" s="1"/>
  <c r="C225" i="2" a="1"/>
  <c r="C225" i="2" s="1"/>
  <c r="D225" i="2" a="1"/>
  <c r="D225" i="2" s="1"/>
  <c r="E225" i="2" a="1"/>
  <c r="E225" i="2" s="1"/>
  <c r="F225" i="2" a="1"/>
  <c r="F225" i="2" s="1"/>
  <c r="G225" i="2" a="1"/>
  <c r="G225" i="2" s="1"/>
  <c r="H225" i="2" a="1"/>
  <c r="H225" i="2" s="1"/>
  <c r="I225" i="2" a="1"/>
  <c r="I225" i="2" s="1"/>
  <c r="J225" i="2" a="1"/>
  <c r="J225" i="2" s="1"/>
  <c r="K225" i="2" a="1"/>
  <c r="K225" i="2" s="1"/>
  <c r="B226" i="2" a="1"/>
  <c r="B226" i="2" s="1"/>
  <c r="C226" i="2" a="1"/>
  <c r="C226" i="2" s="1"/>
  <c r="D226" i="2" a="1"/>
  <c r="D226" i="2" s="1"/>
  <c r="E226" i="2" a="1"/>
  <c r="E226" i="2" s="1"/>
  <c r="F226" i="2" a="1"/>
  <c r="F226" i="2" s="1"/>
  <c r="G226" i="2" a="1"/>
  <c r="G226" i="2" s="1"/>
  <c r="H226" i="2" a="1"/>
  <c r="H226" i="2" s="1"/>
  <c r="I226" i="2" a="1"/>
  <c r="I226" i="2" s="1"/>
  <c r="J226" i="2" a="1"/>
  <c r="J226" i="2" s="1"/>
  <c r="K226" i="2" a="1"/>
  <c r="K226" i="2" s="1"/>
  <c r="B227" i="2" a="1"/>
  <c r="B227" i="2" s="1"/>
  <c r="C227" i="2" a="1"/>
  <c r="C227" i="2" s="1"/>
  <c r="D227" i="2" a="1"/>
  <c r="D227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B228" i="2" a="1"/>
  <c r="B228" i="2" s="1"/>
  <c r="C228" i="2" a="1"/>
  <c r="C228" i="2" s="1"/>
  <c r="D228" i="2" a="1"/>
  <c r="D228" i="2" s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B229" i="2" a="1"/>
  <c r="B229" i="2" s="1"/>
  <c r="C229" i="2" a="1"/>
  <c r="C229" i="2" s="1"/>
  <c r="D229" i="2" a="1"/>
  <c r="D229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B230" i="2" a="1"/>
  <c r="B230" i="2" s="1"/>
  <c r="C230" i="2" a="1"/>
  <c r="C230" i="2" s="1"/>
  <c r="D230" i="2" a="1"/>
  <c r="D230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B231" i="2" a="1"/>
  <c r="B231" i="2" s="1"/>
  <c r="C231" i="2" a="1"/>
  <c r="C231" i="2" s="1"/>
  <c r="D231" i="2" a="1"/>
  <c r="D231" i="2" s="1"/>
  <c r="E231" i="2" a="1"/>
  <c r="E231" i="2" s="1"/>
  <c r="F231" i="2" a="1"/>
  <c r="F231" i="2" s="1"/>
  <c r="G231" i="2" a="1"/>
  <c r="G231" i="2" s="1"/>
  <c r="H231" i="2" a="1"/>
  <c r="H231" i="2" s="1"/>
  <c r="I231" i="2" a="1"/>
  <c r="I231" i="2" s="1"/>
  <c r="J231" i="2" a="1"/>
  <c r="J231" i="2" s="1"/>
  <c r="K231" i="2" a="1"/>
  <c r="K231" i="2" s="1"/>
  <c r="B232" i="2" a="1"/>
  <c r="B232" i="2" s="1"/>
  <c r="C232" i="2" a="1"/>
  <c r="C232" i="2" s="1"/>
  <c r="D232" i="2" a="1"/>
  <c r="D232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B233" i="2" a="1"/>
  <c r="B233" i="2" s="1"/>
  <c r="C233" i="2" a="1"/>
  <c r="C233" i="2" s="1"/>
  <c r="D233" i="2" a="1"/>
  <c r="D233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B234" i="2" a="1"/>
  <c r="B234" i="2" s="1"/>
  <c r="C234" i="2" a="1"/>
  <c r="C234" i="2" s="1"/>
  <c r="D234" i="2" a="1"/>
  <c r="D234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B235" i="2" a="1"/>
  <c r="B235" i="2" s="1"/>
  <c r="C235" i="2" a="1"/>
  <c r="C235" i="2" s="1"/>
  <c r="D235" i="2" a="1"/>
  <c r="D235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B236" i="2" a="1"/>
  <c r="B236" i="2" s="1"/>
  <c r="C236" i="2" a="1"/>
  <c r="C236" i="2" s="1"/>
  <c r="D236" i="2" a="1"/>
  <c r="D236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B237" i="2" a="1"/>
  <c r="B237" i="2" s="1"/>
  <c r="C237" i="2" a="1"/>
  <c r="C237" i="2" s="1"/>
  <c r="D237" i="2" a="1"/>
  <c r="D237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B238" i="2" a="1"/>
  <c r="B238" i="2" s="1"/>
  <c r="C238" i="2" a="1"/>
  <c r="C238" i="2" s="1"/>
  <c r="D238" i="2" a="1"/>
  <c r="D238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B239" i="2" a="1"/>
  <c r="B239" i="2" s="1"/>
  <c r="C239" i="2" a="1"/>
  <c r="C239" i="2" s="1"/>
  <c r="D239" i="2" a="1"/>
  <c r="D239" i="2" s="1"/>
  <c r="E239" i="2" a="1"/>
  <c r="E239" i="2" s="1"/>
  <c r="F239" i="2" a="1"/>
  <c r="F239" i="2" s="1"/>
  <c r="G239" i="2" a="1"/>
  <c r="G239" i="2" s="1"/>
  <c r="H239" i="2" a="1"/>
  <c r="H239" i="2" s="1"/>
  <c r="I239" i="2" a="1"/>
  <c r="I239" i="2" s="1"/>
  <c r="J239" i="2" a="1"/>
  <c r="J239" i="2" s="1"/>
  <c r="K239" i="2" a="1"/>
  <c r="K239" i="2" s="1"/>
  <c r="B240" i="2" a="1"/>
  <c r="B240" i="2" s="1"/>
  <c r="C240" i="2" a="1"/>
  <c r="C240" i="2" s="1"/>
  <c r="D240" i="2" a="1"/>
  <c r="D240" i="2" s="1"/>
  <c r="E240" i="2" a="1"/>
  <c r="E240" i="2" s="1"/>
  <c r="F240" i="2" a="1"/>
  <c r="F240" i="2" s="1"/>
  <c r="G240" i="2" a="1"/>
  <c r="G240" i="2" s="1"/>
  <c r="H240" i="2" a="1"/>
  <c r="H240" i="2" s="1"/>
  <c r="I240" i="2" a="1"/>
  <c r="I240" i="2" s="1"/>
  <c r="J240" i="2" a="1"/>
  <c r="J240" i="2" s="1"/>
  <c r="K240" i="2" a="1"/>
  <c r="K240" i="2" s="1"/>
  <c r="B241" i="2" a="1"/>
  <c r="B241" i="2" s="1"/>
  <c r="C241" i="2" a="1"/>
  <c r="C241" i="2" s="1"/>
  <c r="D241" i="2" a="1"/>
  <c r="D241" i="2" s="1"/>
  <c r="E241" i="2" a="1"/>
  <c r="E241" i="2" s="1"/>
  <c r="F241" i="2" a="1"/>
  <c r="F241" i="2" s="1"/>
  <c r="G241" i="2" a="1"/>
  <c r="G241" i="2" s="1"/>
  <c r="H241" i="2" a="1"/>
  <c r="H241" i="2" s="1"/>
  <c r="I241" i="2" a="1"/>
  <c r="I241" i="2" s="1"/>
  <c r="J241" i="2" a="1"/>
  <c r="J241" i="2" s="1"/>
  <c r="K241" i="2" a="1"/>
  <c r="K241" i="2" s="1"/>
  <c r="B244" i="2" a="1"/>
  <c r="B244" i="2" s="1"/>
  <c r="C244" i="2" a="1"/>
  <c r="C244" i="2" s="1"/>
  <c r="D244" i="2" a="1"/>
  <c r="D244" i="2" s="1"/>
  <c r="E244" i="2" a="1"/>
  <c r="E244" i="2" s="1"/>
  <c r="F244" i="2" a="1"/>
  <c r="F244" i="2" s="1"/>
  <c r="G244" i="2" a="1"/>
  <c r="G244" i="2" s="1"/>
  <c r="H244" i="2" a="1"/>
  <c r="H244" i="2" s="1"/>
  <c r="I244" i="2" a="1"/>
  <c r="I244" i="2" s="1"/>
  <c r="J244" i="2" a="1"/>
  <c r="J244" i="2" s="1"/>
  <c r="K244" i="2" a="1"/>
  <c r="K244" i="2" s="1"/>
  <c r="B246" i="2" a="1"/>
  <c r="B246" i="2" s="1"/>
  <c r="C246" i="2" a="1"/>
  <c r="C246" i="2" s="1"/>
  <c r="D246" i="2" a="1"/>
  <c r="D246" i="2" s="1"/>
  <c r="E246" i="2" a="1"/>
  <c r="E246" i="2" s="1"/>
  <c r="F246" i="2" a="1"/>
  <c r="F246" i="2" s="1"/>
  <c r="G246" i="2" a="1"/>
  <c r="G246" i="2" s="1"/>
  <c r="H246" i="2" a="1"/>
  <c r="H246" i="2" s="1"/>
  <c r="I246" i="2" a="1"/>
  <c r="I246" i="2" s="1"/>
  <c r="J246" i="2" a="1"/>
  <c r="J246" i="2" s="1"/>
  <c r="K246" i="2" a="1"/>
  <c r="K246" i="2" s="1"/>
  <c r="B247" i="2" a="1"/>
  <c r="B247" i="2" s="1"/>
  <c r="C247" i="2" a="1"/>
  <c r="C247" i="2" s="1"/>
  <c r="D247" i="2" a="1"/>
  <c r="D247" i="2" s="1"/>
  <c r="E247" i="2" a="1"/>
  <c r="E247" i="2" s="1"/>
  <c r="F247" i="2" a="1"/>
  <c r="F247" i="2" s="1"/>
  <c r="G247" i="2" a="1"/>
  <c r="G247" i="2" s="1"/>
  <c r="H247" i="2" a="1"/>
  <c r="H247" i="2" s="1"/>
  <c r="I247" i="2" a="1"/>
  <c r="I247" i="2" s="1"/>
  <c r="J247" i="2" a="1"/>
  <c r="J247" i="2" s="1"/>
  <c r="K247" i="2" a="1"/>
  <c r="K247" i="2" s="1"/>
  <c r="B248" i="2" a="1"/>
  <c r="B248" i="2" s="1"/>
  <c r="C248" i="2" a="1"/>
  <c r="C248" i="2" s="1"/>
  <c r="D248" i="2" a="1"/>
  <c r="D248" i="2" s="1"/>
  <c r="E248" i="2" a="1"/>
  <c r="E24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<sst xmlns="http://schemas.openxmlformats.org/spreadsheetml/2006/main" count="18411" uniqueCount="3958">
  <si>
    <t>CRWD US Equity- Company Financial (Multiple Periods)</t>
  </si>
  <si>
    <t>CRWD US Equity    Periodicity:A    Currency:USD    Estimate Source:BST    Actual Source:Bloomberg</t>
  </si>
  <si>
    <t>In Millions of USD</t>
  </si>
  <si>
    <t>2024 A (Rep)</t>
  </si>
  <si>
    <t>2025 A (Rep)</t>
  </si>
  <si>
    <t>2026 A (Rep)</t>
  </si>
  <si>
    <t>2027 A (Fwd)</t>
  </si>
  <si>
    <t>2028 A (Fwd)</t>
  </si>
  <si>
    <t>2029 A (Fwd)</t>
  </si>
  <si>
    <t>2030 A (Fwd)</t>
  </si>
  <si>
    <t>2031 A (Fwd)</t>
  </si>
  <si>
    <t>2032 A (Fwd)</t>
  </si>
  <si>
    <t>2033 A (Fwd)</t>
  </si>
  <si>
    <t>12 Months Ending</t>
  </si>
  <si>
    <t xml:space="preserve">  Highlights</t>
  </si>
  <si>
    <t xml:space="preserve">  Adjusted Diluted EPS</t>
  </si>
  <si>
    <t xml:space="preserve">  Revenue</t>
  </si>
  <si>
    <t xml:space="preserve">  </t>
  </si>
  <si>
    <t xml:space="preserve">  Annual Recurring Revenue (ARR)</t>
  </si>
  <si>
    <t xml:space="preserve">    Cloud Security</t>
  </si>
  <si>
    <t xml:space="preserve">    Identity Security</t>
  </si>
  <si>
    <t xml:space="preserve">    LogScale Next-Gen SIEM</t>
  </si>
  <si>
    <t xml:space="preserve">  Net New ARR</t>
  </si>
  <si>
    <t xml:space="preserve">  Net Retention Rate (%)</t>
  </si>
  <si>
    <t xml:space="preserve">  Total Billings</t>
  </si>
  <si>
    <t xml:space="preserve">  Remaining Performance Obligations</t>
  </si>
  <si>
    <t xml:space="preserve">  Order Backlog</t>
  </si>
  <si>
    <t xml:space="preserve">  Deferred Revenue</t>
  </si>
  <si>
    <t xml:space="preserve">  Change in Deferred Revenue</t>
  </si>
  <si>
    <t xml:space="preserve">  Adjusted Operating Income</t>
  </si>
  <si>
    <t xml:space="preserve">  Adjusted Gross Margin (%)</t>
  </si>
  <si>
    <t xml:space="preserve">  Adjusted Operating Margin (%)</t>
  </si>
  <si>
    <t xml:space="preserve">  Segment Revenue</t>
  </si>
  <si>
    <t xml:space="preserve">    Subscription</t>
  </si>
  <si>
    <t xml:space="preserve">    Professional Services</t>
  </si>
  <si>
    <t xml:space="preserve">  Stock-Based Compensation</t>
  </si>
  <si>
    <t xml:space="preserve">  Free Cash Flow</t>
  </si>
  <si>
    <t xml:space="preserve">  Company Operating Metrics</t>
  </si>
  <si>
    <t xml:space="preserve">  Company-Level Industry Statistics</t>
  </si>
  <si>
    <t xml:space="preserve">  Annual Recurring Revenue, Net (ARR)</t>
  </si>
  <si>
    <t xml:space="preserve">    Annual Recurring Revenue (End of Period)</t>
  </si>
  <si>
    <t xml:space="preserve">  Avg. Revenue per User</t>
  </si>
  <si>
    <t xml:space="preserve">  Legal Reserve and Settlement Charges</t>
  </si>
  <si>
    <t xml:space="preserve">  Number of Employees</t>
  </si>
  <si>
    <t xml:space="preserve">  Core Client Retention Rate (%)</t>
  </si>
  <si>
    <t xml:space="preserve">  Percent of Subscription Customers (%)</t>
  </si>
  <si>
    <t xml:space="preserve">    6+ Modules</t>
  </si>
  <si>
    <t xml:space="preserve">    7+ Modules</t>
  </si>
  <si>
    <t xml:space="preserve">    8+ Modules</t>
  </si>
  <si>
    <t xml:space="preserve">  Days Sales Outstanding</t>
  </si>
  <si>
    <t xml:space="preserve">    Current Remaining Performance Obligations (cRPO)</t>
  </si>
  <si>
    <t xml:space="preserve">  Prior Disclosure</t>
  </si>
  <si>
    <t xml:space="preserve">  Total Subscription Customer</t>
  </si>
  <si>
    <t xml:space="preserve">  Net New Subscription Customers</t>
  </si>
  <si>
    <t xml:space="preserve">  Number of Customers Growth (%)</t>
  </si>
  <si>
    <t xml:space="preserve">  Number of Active Clients</t>
  </si>
  <si>
    <t xml:space="preserve">    4+ Modules</t>
  </si>
  <si>
    <t xml:space="preserve">    5+ Modules</t>
  </si>
  <si>
    <t xml:space="preserve">  Business Breakdown</t>
  </si>
  <si>
    <t xml:space="preserve">  Subscription</t>
  </si>
  <si>
    <t xml:space="preserve">    Revenue</t>
  </si>
  <si>
    <t xml:space="preserve">      As % of Revenue</t>
  </si>
  <si>
    <t xml:space="preserve">    Cost of Revenue</t>
  </si>
  <si>
    <t xml:space="preserve">    Gross Profit</t>
  </si>
  <si>
    <t xml:space="preserve">      Gross Margin (%)</t>
  </si>
  <si>
    <t xml:space="preserve">    Adjusted Gross Profit</t>
  </si>
  <si>
    <t xml:space="preserve">      Adjusted Gross Margin (%)</t>
  </si>
  <si>
    <t xml:space="preserve">    Stock-Based Compensation</t>
  </si>
  <si>
    <t xml:space="preserve">  Professional Services</t>
  </si>
  <si>
    <t xml:space="preserve">      As % of Revenue </t>
  </si>
  <si>
    <t xml:space="preserve">  Channel Partners</t>
  </si>
  <si>
    <t xml:space="preserve">  Direct Partners</t>
  </si>
  <si>
    <t xml:space="preserve">  Regional Breakdown</t>
  </si>
  <si>
    <t xml:space="preserve">    United States</t>
  </si>
  <si>
    <t xml:space="preserve">    International</t>
  </si>
  <si>
    <t xml:space="preserve">      Europe, Middle East, and Africa</t>
  </si>
  <si>
    <t xml:space="preserve">        As % of Revenue</t>
  </si>
  <si>
    <t xml:space="preserve">      Asia Pacific</t>
  </si>
  <si>
    <t xml:space="preserve">      Other</t>
  </si>
  <si>
    <t xml:space="preserve">  Income Statement</t>
  </si>
  <si>
    <t xml:space="preserve">  Total Revenue</t>
  </si>
  <si>
    <t xml:space="preserve">    Sales &amp; Services Revenue</t>
  </si>
  <si>
    <t xml:space="preserve">  Cost of Revenue</t>
  </si>
  <si>
    <t xml:space="preserve">    As % of Revenue</t>
  </si>
  <si>
    <t xml:space="preserve">  Gross Profit</t>
  </si>
  <si>
    <t xml:space="preserve">    Gross Margin (%)</t>
  </si>
  <si>
    <t xml:space="preserve">  Operating Expenses (incl. CoR)</t>
  </si>
  <si>
    <t xml:space="preserve">    Total Operating Expenses</t>
  </si>
  <si>
    <t xml:space="preserve">    General &amp; Administrative</t>
  </si>
  <si>
    <t xml:space="preserve">    Research &amp; Development</t>
  </si>
  <si>
    <t xml:space="preserve">    Sales &amp; Marketing</t>
  </si>
  <si>
    <t xml:space="preserve">  Operating Income</t>
  </si>
  <si>
    <t xml:space="preserve">    Operating Margin (%)</t>
  </si>
  <si>
    <t xml:space="preserve">  Depreciation &amp; Amortization</t>
  </si>
  <si>
    <t xml:space="preserve">    Depreciation</t>
  </si>
  <si>
    <t xml:space="preserve">  Non-Operating Income</t>
  </si>
  <si>
    <t xml:space="preserve">  Interest Expense</t>
  </si>
  <si>
    <t xml:space="preserve">  Interest Income</t>
  </si>
  <si>
    <t xml:space="preserve">  Other Non-Operating (Income) Loss</t>
  </si>
  <si>
    <t xml:space="preserve">  Other Income (Expense)</t>
  </si>
  <si>
    <t xml:space="preserve">  Pre-Tax Income</t>
  </si>
  <si>
    <t xml:space="preserve">  Income Tax Expense</t>
  </si>
  <si>
    <t xml:space="preserve">    Tax Rate (%)</t>
  </si>
  <si>
    <t xml:space="preserve">  Deferred Income Tax</t>
  </si>
  <si>
    <t xml:space="preserve">  Net Income (Loss)</t>
  </si>
  <si>
    <t xml:space="preserve">  Non-Controlling Interest</t>
  </si>
  <si>
    <t xml:space="preserve">  Net Income</t>
  </si>
  <si>
    <t xml:space="preserve">    Net Income Margin (%)</t>
  </si>
  <si>
    <t xml:space="preserve">  Basic Weighted Avg. Shares</t>
  </si>
  <si>
    <t xml:space="preserve">  Diluted Weighted Avg. Shares</t>
  </si>
  <si>
    <t xml:space="preserve">  Diluted EPS</t>
  </si>
  <si>
    <t xml:space="preserve">  Adjusted Results</t>
  </si>
  <si>
    <t xml:space="preserve">    Adjusted Operating Expenses</t>
  </si>
  <si>
    <t xml:space="preserve">      Sales &amp; Marketing</t>
  </si>
  <si>
    <t xml:space="preserve">      Research &amp; Development</t>
  </si>
  <si>
    <t xml:space="preserve">      General &amp; Administrative</t>
  </si>
  <si>
    <t xml:space="preserve">    Operating Income</t>
  </si>
  <si>
    <t xml:space="preserve">    EBITDA</t>
  </si>
  <si>
    <t xml:space="preserve">    Other Income (Expense)</t>
  </si>
  <si>
    <t xml:space="preserve">    Pre-Tax Income</t>
  </si>
  <si>
    <t xml:space="preserve">    Income Tax Expense</t>
  </si>
  <si>
    <t xml:space="preserve">    Net Income</t>
  </si>
  <si>
    <t xml:space="preserve">      Net Margin (%)</t>
  </si>
  <si>
    <t xml:space="preserve">    Diluted Weighted Avg. Shares</t>
  </si>
  <si>
    <t xml:space="preserve">    Diluted EPS</t>
  </si>
  <si>
    <t xml:space="preserve">  Company Specific Adjustments</t>
  </si>
  <si>
    <t xml:space="preserve">      Cost of Revenue</t>
  </si>
  <si>
    <t xml:space="preserve">    Amortization</t>
  </si>
  <si>
    <t xml:space="preserve">      Cost of Goods Sold</t>
  </si>
  <si>
    <t xml:space="preserve">      Selling &amp; Marketing</t>
  </si>
  <si>
    <t xml:space="preserve">    Income Tax Effect of Adjustments</t>
  </si>
  <si>
    <t xml:space="preserve">    Pretax Income Adjustment</t>
  </si>
  <si>
    <t xml:space="preserve">      Acquisition-Related Expenses, Net</t>
  </si>
  <si>
    <t xml:space="preserve">      Selling General and Administrative </t>
  </si>
  <si>
    <t xml:space="preserve">  Condensed Balance Sheet</t>
  </si>
  <si>
    <t xml:space="preserve">  Assets</t>
  </si>
  <si>
    <t xml:space="preserve">    Current Assets</t>
  </si>
  <si>
    <t xml:space="preserve">      Cash, Cash Equivalents &amp; Short-Term Investments</t>
  </si>
  <si>
    <t xml:space="preserve">      Cash &amp; Short Term &amp; Long Term Investments</t>
  </si>
  <si>
    <t xml:space="preserve">        Cash &amp; Cash Equivalents</t>
  </si>
  <si>
    <t xml:space="preserve">        Short-Term Investments</t>
  </si>
  <si>
    <t xml:space="preserve">      Accounts Receivable</t>
  </si>
  <si>
    <t xml:space="preserve">      Deferred Contract Acquisition Costs</t>
  </si>
  <si>
    <t xml:space="preserve">      Prepaid &amp; Other Expenses</t>
  </si>
  <si>
    <t xml:space="preserve">      Operating Lease Right-Of-Use Assets</t>
  </si>
  <si>
    <t xml:space="preserve">      Other Current Assets</t>
  </si>
  <si>
    <t xml:space="preserve">    Non-Current Assets</t>
  </si>
  <si>
    <t xml:space="preserve">      Gross Fixed Assets</t>
  </si>
  <si>
    <t xml:space="preserve">      Property, Plant &amp; Equipment, Net</t>
  </si>
  <si>
    <t xml:space="preserve">      Long-Term Investments &amp; Receivables</t>
  </si>
  <si>
    <t xml:space="preserve">      Intangible Assets </t>
  </si>
  <si>
    <t xml:space="preserve">        Other Intangible Assets</t>
  </si>
  <si>
    <t xml:space="preserve">        Goodwill</t>
  </si>
  <si>
    <t xml:space="preserve">      Total Contract Assets</t>
  </si>
  <si>
    <t xml:space="preserve">      Other Non-Current Assets</t>
  </si>
  <si>
    <t xml:space="preserve">    Total Assets</t>
  </si>
  <si>
    <t xml:space="preserve">  Liabilities &amp; Equity</t>
  </si>
  <si>
    <t xml:space="preserve">    Current Liabilities</t>
  </si>
  <si>
    <t xml:space="preserve">      Accounts Payable</t>
  </si>
  <si>
    <t xml:space="preserve">      Accrued Vendor Expenses</t>
  </si>
  <si>
    <t xml:space="preserve">      Accrued Compensation</t>
  </si>
  <si>
    <t xml:space="preserve">      Deferred Revenue</t>
  </si>
  <si>
    <t xml:space="preserve">      Operating Lease</t>
  </si>
  <si>
    <t xml:space="preserve">        Other Current Liabilities</t>
  </si>
  <si>
    <t xml:space="preserve">    Non-Current Liabilities</t>
  </si>
  <si>
    <t xml:space="preserve">      Long-Term Borrowings</t>
  </si>
  <si>
    <t xml:space="preserve">      Other Liabilities</t>
  </si>
  <si>
    <t xml:space="preserve">    Total Liabilities</t>
  </si>
  <si>
    <t xml:space="preserve">    Total Shareholders' Equity Excl. Non-Controlling Interest</t>
  </si>
  <si>
    <t xml:space="preserve">    Non-Controlling Interest</t>
  </si>
  <si>
    <t xml:space="preserve">    Total Shareholders' Equity</t>
  </si>
  <si>
    <t xml:space="preserve">      Common Stock</t>
  </si>
  <si>
    <t xml:space="preserve">      Additional Paid in Capital</t>
  </si>
  <si>
    <t xml:space="preserve">      Retained Earnings</t>
  </si>
  <si>
    <t xml:space="preserve">      Accumulated Other Comprehensive Income</t>
  </si>
  <si>
    <t xml:space="preserve">    Total Liabilities &amp; Shareholder Equity</t>
  </si>
  <si>
    <t xml:space="preserve">  Special Company Reference Items</t>
  </si>
  <si>
    <t xml:space="preserve">    Net Debt</t>
  </si>
  <si>
    <t xml:space="preserve">    </t>
  </si>
  <si>
    <t xml:space="preserve">    Return on Assets (%)</t>
  </si>
  <si>
    <t xml:space="preserve">    Return on Equity (%)</t>
  </si>
  <si>
    <t xml:space="preserve">    Total Deferred Revenue</t>
  </si>
  <si>
    <t xml:space="preserve">    Book Value Per Share</t>
  </si>
  <si>
    <t xml:space="preserve">    Shares Outstanding</t>
  </si>
  <si>
    <t xml:space="preserve">    Total Value of Shares Repurchased</t>
  </si>
  <si>
    <t xml:space="preserve">    Number of Shares Repurchased</t>
  </si>
  <si>
    <t xml:space="preserve">    Current Ratio</t>
  </si>
  <si>
    <t xml:space="preserve">    Accumulated Amortization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</si>
  <si>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</si>
  <si>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</si>
  <si>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</si>
  <si>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  Depreciation</t>
  </si>
  <si>
    <t xml:space="preserve">      Amortization</t>
  </si>
  <si>
    <t xml:space="preserve">    Amortization Of Deferred Compensation</t>
  </si>
  <si>
    <t xml:space="preserve">    Finance Cost</t>
  </si>
  <si>
    <t xml:space="preserve">    Net Working Capital</t>
  </si>
  <si>
    <t xml:space="preserve">    Change in Fair Value of Strategic Investments</t>
  </si>
  <si>
    <t xml:space="preserve">      Trade Receivables</t>
  </si>
  <si>
    <t xml:space="preserve">      Operating Lease Right Of Use Assets</t>
  </si>
  <si>
    <t xml:space="preserve">      Change in Deferred Revenue</t>
  </si>
  <si>
    <t xml:space="preserve">      Accrued Vendor Liability</t>
  </si>
  <si>
    <t xml:space="preserve">      Accrued Expenses</t>
  </si>
  <si>
    <t xml:space="preserve">      Operating Lease Liabilities</t>
  </si>
  <si>
    <t xml:space="preserve">      Prepaid Expenses</t>
  </si>
  <si>
    <t xml:space="preserve">  Cash Flow from Operations</t>
  </si>
  <si>
    <t xml:space="preserve">  Cash from Investing Activities</t>
  </si>
  <si>
    <t xml:space="preserve">    Capital Expenditures</t>
  </si>
  <si>
    <t xml:space="preserve">    Capitalized Software</t>
  </si>
  <si>
    <t xml:space="preserve">    Acquisition of Intangibles</t>
  </si>
  <si>
    <t xml:space="preserve">    Proceeds from Short-Term Investments</t>
  </si>
  <si>
    <t xml:space="preserve">    Purchases of Short-Term Marketable Securities</t>
  </si>
  <si>
    <t xml:space="preserve">    Acquisition of Subsidiaries</t>
  </si>
  <si>
    <t xml:space="preserve">    Other</t>
  </si>
  <si>
    <t xml:space="preserve">  Cash Flow from Investing</t>
  </si>
  <si>
    <t xml:space="preserve">  Cash from Financing Activities</t>
  </si>
  <si>
    <t xml:space="preserve">    Proceeds from Issuance of Common Stock</t>
  </si>
  <si>
    <t xml:space="preserve">    Proceeds from Exercise of Stock Options</t>
  </si>
  <si>
    <t xml:space="preserve">    Minority Interest</t>
  </si>
  <si>
    <t xml:space="preserve">  Cash Flow from Financing</t>
  </si>
  <si>
    <t xml:space="preserve">    Effect of Foreign Exchange Rates</t>
  </si>
  <si>
    <t xml:space="preserve">    Net Change in Cash</t>
  </si>
  <si>
    <t xml:space="preserve">      Cash &amp; Cash Equivalents (BOP)</t>
  </si>
  <si>
    <t xml:space="preserve">      Cash &amp; Cash Equivalents (EOP)</t>
  </si>
  <si>
    <t xml:space="preserve">    Income Taxes Paid, Net of Refunds Received</t>
  </si>
  <si>
    <t xml:space="preserve">    Cash Flow per Share</t>
  </si>
  <si>
    <t xml:space="preserve">    Free Cash Flow</t>
  </si>
  <si>
    <t xml:space="preserve">      Free Cash Flow per Basic Share</t>
  </si>
  <si>
    <t xml:space="preserve">      Free Cash Flow per Diluted Share</t>
  </si>
  <si>
    <t xml:space="preserve">      Free Cash Flow Margin (%)</t>
  </si>
  <si>
    <t xml:space="preserve">    CFO to Sales (%)</t>
  </si>
  <si>
    <t xml:space="preserve">    Capital Expenditures/Revenue (%)</t>
  </si>
  <si>
    <t>Source: Bloomberg</t>
  </si>
  <si>
    <t>=BQL("CRWD US</t>
  </si>
  <si>
    <t>MU US Equity- Company Financial (Multiple Periods)</t>
  </si>
  <si>
    <t>MU US Equity    Periodicity:A    Currency:USD    Estimate Source:BST    Actual Source:Bloomberg</t>
  </si>
  <si>
    <t>2023 A (Rep)</t>
  </si>
  <si>
    <t>2026 A (Fwd)</t>
  </si>
  <si>
    <t xml:space="preserve">    DRAM</t>
  </si>
  <si>
    <t xml:space="preserve">    NAND</t>
  </si>
  <si>
    <t xml:space="preserve">  Adjusted R&amp;D Expense</t>
  </si>
  <si>
    <t xml:space="preserve">    Adjusted Operating Margin (%)</t>
  </si>
  <si>
    <t xml:space="preserve">  Adjusted Net Income Margin (%)</t>
  </si>
  <si>
    <t xml:space="preserve">  Capital Expenditures</t>
  </si>
  <si>
    <t xml:space="preserve">  Adjusted Free Cash Flow</t>
  </si>
  <si>
    <t xml:space="preserve">  DRAM</t>
  </si>
  <si>
    <t xml:space="preserve">    Bit Shipments</t>
  </si>
  <si>
    <t xml:space="preserve">      Bit QoQ Growth (%)</t>
  </si>
  <si>
    <t xml:space="preserve">    ASP Per GB</t>
  </si>
  <si>
    <t xml:space="preserve">      ASP QoQ Growth (%)</t>
  </si>
  <si>
    <t xml:space="preserve">  NAND</t>
  </si>
  <si>
    <t xml:space="preserve">  HBM</t>
  </si>
  <si>
    <t xml:space="preserve">  DDR</t>
  </si>
  <si>
    <t xml:space="preserve">  Balance Sheet &amp; Cash Flow Metrics</t>
  </si>
  <si>
    <t xml:space="preserve">  Annualized Days Inventory Outstanding</t>
  </si>
  <si>
    <t xml:space="preserve">  Annualized Days Sales Outstanding</t>
  </si>
  <si>
    <t xml:space="preserve">  Days Payable Outstanding</t>
  </si>
  <si>
    <t xml:space="preserve">  Cash Conversion Cycle</t>
  </si>
  <si>
    <t xml:space="preserve">  Quick Ratio</t>
  </si>
  <si>
    <t xml:space="preserve">  Product Breakdown</t>
  </si>
  <si>
    <t xml:space="preserve">    Operating Expense</t>
  </si>
  <si>
    <t xml:space="preserve">  Other</t>
  </si>
  <si>
    <t xml:space="preserve">  Prior Disclosure NAND Revenue</t>
  </si>
  <si>
    <t xml:space="preserve">  Trade NAND</t>
  </si>
  <si>
    <t xml:space="preserve">  Non-Trade</t>
  </si>
  <si>
    <t xml:space="preserve">    Cloud Memory (CMBU)</t>
  </si>
  <si>
    <t xml:space="preserve">    Core Data (CDBU)</t>
  </si>
  <si>
    <t xml:space="preserve">    Mobile &amp; Client (MCBU)</t>
  </si>
  <si>
    <t xml:space="preserve">    Auto and Embedded (AEBU)</t>
  </si>
  <si>
    <t xml:space="preserve">  CNBU</t>
  </si>
  <si>
    <t xml:space="preserve">      Operating Margin (%)</t>
  </si>
  <si>
    <t xml:space="preserve">  MBU</t>
  </si>
  <si>
    <t xml:space="preserve">  SBU</t>
  </si>
  <si>
    <t xml:space="preserve">  EBU</t>
  </si>
  <si>
    <t xml:space="preserve">  All Other</t>
  </si>
  <si>
    <t xml:space="preserve">  Income Statement (Adjusted)</t>
  </si>
  <si>
    <t xml:space="preserve">  Total Operating Expenses</t>
  </si>
  <si>
    <t xml:space="preserve">    Selling, General &amp; Administrative</t>
  </si>
  <si>
    <t xml:space="preserve">  EBITDA</t>
  </si>
  <si>
    <t xml:space="preserve">    Effective Tax Rate (%)</t>
  </si>
  <si>
    <t xml:space="preserve">  Equity in Net Income (Loss) of Equity Method Investees</t>
  </si>
  <si>
    <t xml:space="preserve">    Net Margin (%)</t>
  </si>
  <si>
    <t xml:space="preserve">  Dividend Per Share</t>
  </si>
  <si>
    <t xml:space="preserve">  GAAP Results</t>
  </si>
  <si>
    <t xml:space="preserve">    Operating Expenses</t>
  </si>
  <si>
    <t xml:space="preserve">      Selling, General, &amp; Administrative</t>
  </si>
  <si>
    <t xml:space="preserve">    Other Operating (Income) Expense, Net</t>
  </si>
  <si>
    <t xml:space="preserve">      EBITDA Margin (%)</t>
  </si>
  <si>
    <t xml:space="preserve">    Non-Operating Income</t>
  </si>
  <si>
    <t xml:space="preserve">    Net Interest Expense</t>
  </si>
  <si>
    <t xml:space="preserve">      Interest Expense</t>
  </si>
  <si>
    <t xml:space="preserve">      Interest Income</t>
  </si>
  <si>
    <t xml:space="preserve">    Other Non-Operating Income (Loss)</t>
  </si>
  <si>
    <t xml:space="preserve">      Pre-Tax Margin (%)</t>
  </si>
  <si>
    <t xml:space="preserve">      Effective Tax Rate (%)</t>
  </si>
  <si>
    <t xml:space="preserve">    Net Income from Operations</t>
  </si>
  <si>
    <t xml:space="preserve">    Equity in Net Income (Loss) of Equity Method Investees</t>
  </si>
  <si>
    <t xml:space="preserve">    Basic Weighted Avg. Shares</t>
  </si>
  <si>
    <t xml:space="preserve">    Basic EPS</t>
  </si>
  <si>
    <t xml:space="preserve">      Selling, General &amp; Administrative</t>
  </si>
  <si>
    <t xml:space="preserve">    Tax Adjustments</t>
  </si>
  <si>
    <t xml:space="preserve">      Cash &amp; ST Investments</t>
  </si>
  <si>
    <t xml:space="preserve">        Short-term Investments</t>
  </si>
  <si>
    <t xml:space="preserve">      Inventory</t>
  </si>
  <si>
    <t xml:space="preserve">        Finished Goods</t>
  </si>
  <si>
    <t xml:space="preserve">        Work In Progress</t>
  </si>
  <si>
    <t xml:space="preserve">        Raw Materials</t>
  </si>
  <si>
    <t xml:space="preserve">      Long-term Investments</t>
  </si>
  <si>
    <t xml:space="preserve">      Property, Plant, &amp; Equipment</t>
  </si>
  <si>
    <t xml:space="preserve">        Property, Plant, &amp; Equipment, Gross</t>
  </si>
  <si>
    <t xml:space="preserve">        Accumulated Depreciation </t>
  </si>
  <si>
    <t xml:space="preserve">      Operating Lease Assets</t>
  </si>
  <si>
    <t xml:space="preserve">      Deferred Tax Assets</t>
  </si>
  <si>
    <t xml:space="preserve">      Intangible Assets</t>
  </si>
  <si>
    <t xml:space="preserve">      Short-Term Debt</t>
  </si>
  <si>
    <t xml:space="preserve">      Other Current Liabilities</t>
  </si>
  <si>
    <t xml:space="preserve">      Long-Term Debt</t>
  </si>
  <si>
    <t xml:space="preserve">      Other LT Liabilities</t>
  </si>
  <si>
    <t xml:space="preserve">        Non-Current Unearned Government Incentives</t>
  </si>
  <si>
    <t xml:space="preserve">        Other Liabilities</t>
  </si>
  <si>
    <t xml:space="preserve">    Total Shareholder Equity</t>
  </si>
  <si>
    <t xml:space="preserve">      Retained Earnings / (Accumulated Deficit)</t>
  </si>
  <si>
    <t xml:space="preserve">      Accumulated Comprehensive Income</t>
  </si>
  <si>
    <t xml:space="preserve">      Micron's Shareholders' Equity</t>
  </si>
  <si>
    <t xml:space="preserve">      Noncontrolling Interest</t>
  </si>
  <si>
    <t xml:space="preserve">  Total Equity</t>
  </si>
  <si>
    <t xml:space="preserve">      Treasury Stock</t>
  </si>
  <si>
    <t xml:space="preserve">    Total Liabilities &amp; Shareholders' Equity</t>
  </si>
  <si>
    <t xml:space="preserve">    Asset Turnover</t>
  </si>
  <si>
    <t xml:space="preserve">    LT Debt to Total Capital</t>
  </si>
  <si>
    <t xml:space="preserve">    Cash &amp; ST Investments/Share</t>
  </si>
  <si>
    <t xml:space="preserve">    Total Number of Shares Repurchased</t>
  </si>
  <si>
    <t xml:space="preserve">    Total Debt </t>
  </si>
  <si>
    <t xml:space="preserve">    Cash &amp; Equivalents, Short-Term Investments &amp; Long-Term Marketable</t>
  </si>
  <si>
    <t xml:space="preserve">    Working Capital</t>
  </si>
  <si>
    <t xml:space="preserve">    Tangible Book Value/Share</t>
  </si>
  <si>
    <t xml:space="preserve">    Stock Based Compensation</t>
  </si>
  <si>
    <t xml:space="preserve">    Debt Related</t>
  </si>
  <si>
    <t xml:space="preserve">    Loss on Restructure of Debt</t>
  </si>
  <si>
    <t xml:space="preserve">    Change in Working Capital</t>
  </si>
  <si>
    <t xml:space="preserve">      Accounts Receivable, net</t>
  </si>
  <si>
    <t xml:space="preserve">      Inventories</t>
  </si>
  <si>
    <t xml:space="preserve">      Taxes Payable</t>
  </si>
  <si>
    <t xml:space="preserve">  Changes in Non-Cash Work Cap</t>
  </si>
  <si>
    <t xml:space="preserve">    Net Changes in Investments</t>
  </si>
  <si>
    <t xml:space="preserve">    Proceeds From Investments</t>
  </si>
  <si>
    <t xml:space="preserve">    Purchase of Investments</t>
  </si>
  <si>
    <t xml:space="preserve">    Other Investing Activities</t>
  </si>
  <si>
    <t xml:space="preserve">    Dividends Paid</t>
  </si>
  <si>
    <t xml:space="preserve">    Repayment of Debt</t>
  </si>
  <si>
    <t xml:space="preserve">    Cash From (Repayment) Debt</t>
  </si>
  <si>
    <t xml:space="preserve">    Cash Repurchase of Equity</t>
  </si>
  <si>
    <t xml:space="preserve">    Total Cash Common Dividends</t>
  </si>
  <si>
    <t xml:space="preserve">    Proceeds from Issuance of Debt</t>
  </si>
  <si>
    <t xml:space="preserve">  Cash From Financing Activities</t>
  </si>
  <si>
    <t xml:space="preserve">    Foreign Exchange Rate Impacts</t>
  </si>
  <si>
    <t xml:space="preserve">    Adjusted Free Cash Flow</t>
  </si>
  <si>
    <t xml:space="preserve">    CFO per Diluted Share</t>
  </si>
  <si>
    <t>S US Equity- Company Financial (Multiple Periods)</t>
  </si>
  <si>
    <t>S US Equity    Periodicity:A    Currency:USD    Estimate Source:BST    Actual Source:Bloomberg</t>
  </si>
  <si>
    <t>2009 A (Rep)</t>
  </si>
  <si>
    <t>2010 A (Rep)</t>
  </si>
  <si>
    <t>2011 A (Rep)</t>
  </si>
  <si>
    <t>2012 A (Rep)</t>
  </si>
  <si>
    <t>2013 A (Rep)</t>
  </si>
  <si>
    <t>2014 A (Rep)</t>
  </si>
  <si>
    <t>2015 A (Rep)</t>
  </si>
  <si>
    <t>2016 A (Rep)</t>
  </si>
  <si>
    <t>2017 A (Rep)</t>
  </si>
  <si>
    <t>2018 A (Rep)</t>
  </si>
  <si>
    <t>2019 A (Rep)</t>
  </si>
  <si>
    <t>2020 A (Rep)</t>
  </si>
  <si>
    <t>2021 A (Rep)</t>
  </si>
  <si>
    <t>2022 A (Rep)</t>
  </si>
  <si>
    <t xml:space="preserve">  Revenue </t>
  </si>
  <si>
    <t xml:space="preserve">  Annual Recurring Revenue</t>
  </si>
  <si>
    <t xml:space="preserve">    Net New ARR</t>
  </si>
  <si>
    <t xml:space="preserve">  Customers with ARR &gt; $100,000</t>
  </si>
  <si>
    <t xml:space="preserve">  Dollar-Based Net Retention Rate (%)</t>
  </si>
  <si>
    <t xml:space="preserve">  Adjusted Gross Profit</t>
  </si>
  <si>
    <t xml:space="preserve">  Cash &amp; Cash Equivalents</t>
  </si>
  <si>
    <t xml:space="preserve">  Dollar-Based Net Retention Rate (5)</t>
  </si>
  <si>
    <t xml:space="preserve">  Gross Retention Rate (%)</t>
  </si>
  <si>
    <t xml:space="preserve">  Number of Customers</t>
  </si>
  <si>
    <t xml:space="preserve">  Remaining Performance Obligation</t>
  </si>
  <si>
    <t xml:space="preserve">  Direct Customers</t>
  </si>
  <si>
    <t xml:space="preserve">  United States</t>
  </si>
  <si>
    <t xml:space="preserve">  International</t>
  </si>
  <si>
    <t xml:space="preserve">    Marketing &amp; Sales</t>
  </si>
  <si>
    <t xml:space="preserve">    Restructuring</t>
  </si>
  <si>
    <t xml:space="preserve">    Operating Margin(%)</t>
  </si>
  <si>
    <t xml:space="preserve">  Depreciation Expense</t>
  </si>
  <si>
    <t xml:space="preserve">  Other Income (Expense), Net</t>
  </si>
  <si>
    <t xml:space="preserve">  Net Interest Expense</t>
  </si>
  <si>
    <t xml:space="preserve">    Total Revenue</t>
  </si>
  <si>
    <t xml:space="preserve">      Marketing &amp; Sales</t>
  </si>
  <si>
    <t xml:space="preserve">      Operating Margin(%)</t>
  </si>
  <si>
    <t xml:space="preserve">    Amortization of Intangibles</t>
  </si>
  <si>
    <t xml:space="preserve">    Interest Expense (Income), Net</t>
  </si>
  <si>
    <t xml:space="preserve">    Interest Income</t>
  </si>
  <si>
    <t xml:space="preserve">    Other Income (Expense), Net</t>
  </si>
  <si>
    <t xml:space="preserve">    Stock-Based Compensation Expense</t>
  </si>
  <si>
    <t xml:space="preserve">        Employer Payroll Tax on Employee Stock Transactions</t>
  </si>
  <si>
    <t xml:space="preserve">      Amortization of Intangibles</t>
  </si>
  <si>
    <t xml:space="preserve">      Acquisition-Related Compensation</t>
  </si>
  <si>
    <t xml:space="preserve">      Gain on Strategic Investments</t>
  </si>
  <si>
    <t xml:space="preserve">      Cash &amp; Short-Term Investments</t>
  </si>
  <si>
    <t xml:space="preserve">      Short-Term Deferred Contract Acquisition Costs</t>
  </si>
  <si>
    <t xml:space="preserve">      Prepaid Expenses &amp; Other Assets</t>
  </si>
  <si>
    <t xml:space="preserve">      Restricted Cash</t>
  </si>
  <si>
    <t xml:space="preserve">      Property, Plant &amp; Equipment</t>
  </si>
  <si>
    <t xml:space="preserve">      Operating Lease ROU Assets</t>
  </si>
  <si>
    <t xml:space="preserve">      Long-Term Investments</t>
  </si>
  <si>
    <t xml:space="preserve">      Long-Term Deferred Contract Acquisition Costs</t>
  </si>
  <si>
    <t xml:space="preserve">      Total Intangible Assets</t>
  </si>
  <si>
    <t xml:space="preserve">      Accrued Liabilities</t>
  </si>
  <si>
    <t xml:space="preserve">      Short-Term Operating Lease Liabilities</t>
  </si>
  <si>
    <t xml:space="preserve">      Accrued Payroll &amp; Benefits Expense</t>
  </si>
  <si>
    <t xml:space="preserve">      Short-Term Deferred Revenue</t>
  </si>
  <si>
    <t xml:space="preserve">      Other Short-Term Liabilities</t>
  </si>
  <si>
    <t xml:space="preserve">      Long-Term Operating Lease Liabilities</t>
  </si>
  <si>
    <t xml:space="preserve">      Long-Term Deferred Revenue</t>
  </si>
  <si>
    <t xml:space="preserve">    Net Cash (Debt)</t>
  </si>
  <si>
    <t xml:space="preserve">    Deferred Revenue</t>
  </si>
  <si>
    <t xml:space="preserve">    Days Sales Outstanding (DSO)</t>
  </si>
  <si>
    <t xml:space="preserve">    Book Value per Share</t>
  </si>
  <si>
    <t xml:space="preserve">    Total Cash &amp; Investments</t>
  </si>
  <si>
    <t xml:space="preserve">      Depreciation &amp; Amortization to Sales</t>
  </si>
  <si>
    <t xml:space="preserve">      Amortization of Deferred Contract Costs</t>
  </si>
  <si>
    <t xml:space="preserve">      Prepaid Expenses &amp; Other Current Assets</t>
  </si>
  <si>
    <t xml:space="preserve">      Deferred Contract Acquisition Cost</t>
  </si>
  <si>
    <t xml:space="preserve">      Accrued Payroll &amp; Benefits</t>
  </si>
  <si>
    <t xml:space="preserve">    Purchases of Investments</t>
  </si>
  <si>
    <t xml:space="preserve">    Purchase of Marketable Securities</t>
  </si>
  <si>
    <t xml:space="preserve">    Cash for Acquisition / Divestiture</t>
  </si>
  <si>
    <t xml:space="preserve">    Payments of Deferred Offering Costs</t>
  </si>
  <si>
    <t xml:space="preserve">    Proceeds from Issuance of Common Stock &amp; Exercise of Stock Options</t>
  </si>
  <si>
    <t xml:space="preserve">      Proceeds from Issuance of Common Stock Under the Employee Stock Purchase Plan</t>
  </si>
  <si>
    <t xml:space="preserve">      Proceeds from Exercise of Stock Options</t>
  </si>
  <si>
    <t xml:space="preserve">      Free Cash Flow per Share</t>
  </si>
  <si>
    <t>FTNT US Equity- Company Financial (Multiple Periods)</t>
  </si>
  <si>
    <t>FTNT US Equity    Periodicity:A    Currency:USD    Estimate Source:BST    Actual Source:Bloomberg</t>
  </si>
  <si>
    <t xml:space="preserve">  Billings</t>
  </si>
  <si>
    <t xml:space="preserve">  Rule of 45</t>
  </si>
  <si>
    <t xml:space="preserve">    Product</t>
  </si>
  <si>
    <t xml:space="preserve">    Service</t>
  </si>
  <si>
    <t xml:space="preserve">    Adjusted Gross Margin (%)</t>
  </si>
  <si>
    <t xml:space="preserve">  Cash From Operations</t>
  </si>
  <si>
    <t xml:space="preserve">  Price Earnings Ratio</t>
  </si>
  <si>
    <t xml:space="preserve">  Remaining Performance Obligation (RPO)</t>
  </si>
  <si>
    <t xml:space="preserve">    Security Operations</t>
  </si>
  <si>
    <t xml:space="preserve">    United SASE</t>
  </si>
  <si>
    <t xml:space="preserve">  Current Remaining Performance Obligation (cRPO)</t>
  </si>
  <si>
    <t xml:space="preserve">  Annualized Recurring Revenue</t>
  </si>
  <si>
    <t xml:space="preserve">  Product Billings</t>
  </si>
  <si>
    <t xml:space="preserve">    Entry Level</t>
  </si>
  <si>
    <t xml:space="preserve">      Percent of Billings</t>
  </si>
  <si>
    <t xml:space="preserve">    Mid-Range</t>
  </si>
  <si>
    <t xml:space="preserve">    High-End</t>
  </si>
  <si>
    <t xml:space="preserve">  Backlog</t>
  </si>
  <si>
    <t xml:space="preserve">  Billings Ratio (%)</t>
  </si>
  <si>
    <t xml:space="preserve">  Number of Licensing Deals &gt; $500K</t>
  </si>
  <si>
    <t xml:space="preserve">  Days Billings Outstanding</t>
  </si>
  <si>
    <t xml:space="preserve">  Enterprise Value/EBITDA</t>
  </si>
  <si>
    <t xml:space="preserve">  Prior Disclosures</t>
  </si>
  <si>
    <t xml:space="preserve">      YoY Growth (%)</t>
  </si>
  <si>
    <t xml:space="preserve">  Product</t>
  </si>
  <si>
    <t xml:space="preserve">      Adjusted Cost of Goods Sold</t>
  </si>
  <si>
    <t xml:space="preserve">    Billing</t>
  </si>
  <si>
    <t xml:space="preserve">  Service</t>
  </si>
  <si>
    <t xml:space="preserve">      Security Subscription</t>
  </si>
  <si>
    <t xml:space="preserve">      Technical Support &amp; Other</t>
  </si>
  <si>
    <t xml:space="preserve">  Infrastructure Software</t>
  </si>
  <si>
    <t xml:space="preserve">    Americas</t>
  </si>
  <si>
    <t xml:space="preserve">      United States</t>
  </si>
  <si>
    <t xml:space="preserve">      Other Americas</t>
  </si>
  <si>
    <t xml:space="preserve">    Europe, Middle East &amp; Africa</t>
  </si>
  <si>
    <t xml:space="preserve">    Asia Pacific &amp; Japan</t>
  </si>
  <si>
    <t xml:space="preserve">    Product Revenue</t>
  </si>
  <si>
    <t xml:space="preserve">    Service Revenue</t>
  </si>
  <si>
    <t xml:space="preserve">    Change in deferred revenue</t>
  </si>
  <si>
    <t xml:space="preserve">    Total Operating Expenses Including Cost of Revenue</t>
  </si>
  <si>
    <t xml:space="preserve">    EBITDA Margin (%)</t>
  </si>
  <si>
    <t xml:space="preserve">  Non-Operating (Income) Loss</t>
  </si>
  <si>
    <t xml:space="preserve">  Interest Expense (Income), Net</t>
  </si>
  <si>
    <t xml:space="preserve">    Interest Expense</t>
  </si>
  <si>
    <t xml:space="preserve">  Other Non-Operating (Income) Expense</t>
  </si>
  <si>
    <t xml:space="preserve">  Other Income / (Expense) net</t>
  </si>
  <si>
    <t xml:space="preserve">  Dividend per Share</t>
  </si>
  <si>
    <t xml:space="preserve">    Other Expense / (Income) net</t>
  </si>
  <si>
    <t xml:space="preserve">      Tax Rate (%)</t>
  </si>
  <si>
    <t xml:space="preserve">    Income Tax Adjustments</t>
  </si>
  <si>
    <t xml:space="preserve">      Amortization of Sales &amp; Marketing</t>
  </si>
  <si>
    <t xml:space="preserve">    Abnormal Items</t>
  </si>
  <si>
    <t xml:space="preserve">      Cash &amp; Cash Equivalents &amp; Short-Term Investments</t>
  </si>
  <si>
    <t xml:space="preserve">      Cash &amp; ST &amp; LT Investments</t>
  </si>
  <si>
    <t xml:space="preserve">      Marketable Equity Securities</t>
  </si>
  <si>
    <t xml:space="preserve">      Goodwill</t>
  </si>
  <si>
    <t xml:space="preserve">      Other Intangible Assets</t>
  </si>
  <si>
    <t xml:space="preserve">      Deferred Contract Costs</t>
  </si>
  <si>
    <t xml:space="preserve">      Income Taxes Payable</t>
  </si>
  <si>
    <t xml:space="preserve">      Accrued Payroll &amp; Compensation</t>
  </si>
  <si>
    <t xml:space="preserve">      Deferred Tax Liabilities</t>
  </si>
  <si>
    <t xml:space="preserve">      Other Non-Current Liabilities</t>
  </si>
  <si>
    <t xml:space="preserve">      Additional Paid-In Capital</t>
  </si>
  <si>
    <t xml:space="preserve">      Accumulated  Other Comprehensive Income</t>
  </si>
  <si>
    <t xml:space="preserve">    Net Debt (Cash)</t>
  </si>
  <si>
    <t xml:space="preserve">    Days Inventory Outstanding</t>
  </si>
  <si>
    <t xml:space="preserve">    Average Price Paid for Repurchase</t>
  </si>
  <si>
    <t xml:space="preserve">    Net Cash per Share</t>
  </si>
  <si>
    <t xml:space="preserve">    Amortization of Investment Premiums</t>
  </si>
  <si>
    <t xml:space="preserve">    Amortization of Deferred Contracts</t>
  </si>
  <si>
    <t xml:space="preserve">    Equity in Earnings of Affiliates</t>
  </si>
  <si>
    <t xml:space="preserve">    Other Non-Cash Items</t>
  </si>
  <si>
    <t xml:space="preserve">    Changes in Working Capital</t>
  </si>
  <si>
    <t xml:space="preserve">      Other Assets</t>
  </si>
  <si>
    <t xml:space="preserve">      Other liabilities</t>
  </si>
  <si>
    <t xml:space="preserve">    Acquisitions</t>
  </si>
  <si>
    <t xml:space="preserve">    Investing Activity Net</t>
  </si>
  <si>
    <t xml:space="preserve">      Purchase of Investments</t>
  </si>
  <si>
    <t xml:space="preserve">      Maturities of Investments</t>
  </si>
  <si>
    <t xml:space="preserve">    Taxes Paid Related to Equity Awards</t>
  </si>
  <si>
    <t xml:space="preserve">    Repurchase of Common Equity</t>
  </si>
  <si>
    <t xml:space="preserve">    Other Financing Activities</t>
  </si>
  <si>
    <t xml:space="preserve">    Cash Paid for Income Taxes—Net</t>
  </si>
  <si>
    <t xml:space="preserve">    Operating Cash Flow Margin (%)</t>
  </si>
  <si>
    <t>AAOI US Equity- Company Financial (Multiple Periods)</t>
  </si>
  <si>
    <t>AAOI US Equity    Periodicity:A    Currency:USD    Estimate Source:BST    Actual Source:Bloomberg</t>
  </si>
  <si>
    <t xml:space="preserve">  Adjusted Pre-tax Income</t>
  </si>
  <si>
    <t xml:space="preserve">  Adjusted Net Income</t>
  </si>
  <si>
    <t xml:space="preserve">    CATV</t>
  </si>
  <si>
    <t xml:space="preserve">    Data Center</t>
  </si>
  <si>
    <t xml:space="preserve">    Telecom</t>
  </si>
  <si>
    <t xml:space="preserve">    FTTH</t>
  </si>
  <si>
    <t xml:space="preserve">  Depreciation &amp; Amortisation</t>
  </si>
  <si>
    <t xml:space="preserve">  Pre-tax Income</t>
  </si>
  <si>
    <t xml:space="preserve">    Net Sales to Net Sales</t>
  </si>
  <si>
    <t xml:space="preserve">      Cash &amp; Cash Equivalents</t>
  </si>
  <si>
    <t xml:space="preserve">      Pre-Paid Expenses &amp; Other</t>
  </si>
  <si>
    <t xml:space="preserve">      Patents/Trademarks/Copy Rights</t>
  </si>
  <si>
    <t xml:space="preserve">      Total Operating Lease Right of Use Assets</t>
  </si>
  <si>
    <t xml:space="preserve">      Intangible Assets Excluding Goodwill Net CB</t>
  </si>
  <si>
    <t xml:space="preserve">      Miscellaneous Noncurrent Assets</t>
  </si>
  <si>
    <t xml:space="preserve">      Short Term Borrowing - Company Basis</t>
  </si>
  <si>
    <t xml:space="preserve">      Short Term Accrued Expenses</t>
  </si>
  <si>
    <t xml:space="preserve">      Long-Term Leases</t>
  </si>
  <si>
    <t xml:space="preserve">      Long Term Borrowings</t>
  </si>
  <si>
    <t xml:space="preserve">    Deferred Income Taxes</t>
  </si>
  <si>
    <t xml:space="preserve">    Provision For Doubtful Debt</t>
  </si>
  <si>
    <t xml:space="preserve">    Provision For Inventory Obsolescence</t>
  </si>
  <si>
    <t xml:space="preserve">    Amortization Of Financing Costs</t>
  </si>
  <si>
    <t xml:space="preserve">    Gain/Loss On Disposal Of Assets</t>
  </si>
  <si>
    <t xml:space="preserve">    Change in Non-Cash Working Capital</t>
  </si>
  <si>
    <t xml:space="preserve">      Change In Operating Lease Right Of Use Assets</t>
  </si>
  <si>
    <t xml:space="preserve">      Change In Operating Lease Liabilities</t>
  </si>
  <si>
    <t xml:space="preserve">      Change In Other Current Assets</t>
  </si>
  <si>
    <t xml:space="preserve">      Change In Accrued Expenses</t>
  </si>
  <si>
    <t xml:space="preserve">    Acquisition of Fixed &amp; Intangibles</t>
  </si>
  <si>
    <t xml:space="preserve">      Capital Expenditures</t>
  </si>
  <si>
    <t xml:space="preserve">      Acquisition of Intangible Assets</t>
  </si>
  <si>
    <t xml:space="preserve">      Other Investing Activities</t>
  </si>
  <si>
    <t xml:space="preserve">    Proceeds from Long Term Debt and Capital Lease</t>
  </si>
  <si>
    <t xml:space="preserve">    Increase in Short Term Borrowings</t>
  </si>
  <si>
    <t xml:space="preserve">    Issuance of Common Stocks</t>
  </si>
  <si>
    <t xml:space="preserve">    Decrease in Capital Stocks</t>
  </si>
  <si>
    <t>COHR US Equity- Company Financial (Multiple Periods)</t>
  </si>
  <si>
    <t>COHR US Equity    Periodicity:A    Currency:USD    Estimate Source:BST    Actual Source:Bloomberg</t>
  </si>
  <si>
    <t xml:space="preserve">    Industrial</t>
  </si>
  <si>
    <t xml:space="preserve">    Datacenter &amp; Communications</t>
  </si>
  <si>
    <t xml:space="preserve">    Current Ratio (%)</t>
  </si>
  <si>
    <t xml:space="preserve">  Inventory Turnover</t>
  </si>
  <si>
    <t xml:space="preserve">  End Market Breakdown</t>
  </si>
  <si>
    <t xml:space="preserve">  Segment Profit</t>
  </si>
  <si>
    <t xml:space="preserve">    Communications</t>
  </si>
  <si>
    <t xml:space="preserve">    Electronics</t>
  </si>
  <si>
    <t xml:space="preserve">    Instrumentation</t>
  </si>
  <si>
    <t xml:space="preserve">    Networking</t>
  </si>
  <si>
    <t xml:space="preserve">      Industrial</t>
  </si>
  <si>
    <t xml:space="preserve">      Communication</t>
  </si>
  <si>
    <t xml:space="preserve">      Electronics</t>
  </si>
  <si>
    <t xml:space="preserve">      Instrumentation</t>
  </si>
  <si>
    <t xml:space="preserve">    Materials</t>
  </si>
  <si>
    <t xml:space="preserve">      Instruments</t>
  </si>
  <si>
    <t xml:space="preserve">    Lasers</t>
  </si>
  <si>
    <t xml:space="preserve">    North America</t>
  </si>
  <si>
    <t xml:space="preserve">    Europe</t>
  </si>
  <si>
    <t xml:space="preserve">    China</t>
  </si>
  <si>
    <t xml:space="preserve">    Japan</t>
  </si>
  <si>
    <t xml:space="preserve">    Other Location</t>
  </si>
  <si>
    <t xml:space="preserve">    Pre-Tax Margin (%)</t>
  </si>
  <si>
    <t xml:space="preserve">  Net Income Available to Common</t>
  </si>
  <si>
    <t xml:space="preserve">      Operating Expenses</t>
  </si>
  <si>
    <t xml:space="preserve">        Selling, General &amp; Administrative</t>
  </si>
  <si>
    <t xml:space="preserve">          As % of Revenue</t>
  </si>
  <si>
    <t xml:space="preserve">        Research &amp; Development</t>
  </si>
  <si>
    <t xml:space="preserve">    Non-Operating (Income) Loss</t>
  </si>
  <si>
    <t xml:space="preserve">      Interest Expense (Income), Net</t>
  </si>
  <si>
    <t xml:space="preserve">      Other Income (Expense), Net</t>
  </si>
  <si>
    <t xml:space="preserve">    Preferred Dividends</t>
  </si>
  <si>
    <t xml:space="preserve">    Income (Loss) from Continuing Operations</t>
  </si>
  <si>
    <t xml:space="preserve">    Net Income Available to Common</t>
  </si>
  <si>
    <t xml:space="preserve">    Restructuring Costs</t>
  </si>
  <si>
    <t xml:space="preserve">    Cost of Goods Sold</t>
  </si>
  <si>
    <t xml:space="preserve">      Cash and Cash Equivalents</t>
  </si>
  <si>
    <t xml:space="preserve">      Prepaid Income Taxes</t>
  </si>
  <si>
    <t xml:space="preserve">      Deferred Income Taxes</t>
  </si>
  <si>
    <t xml:space="preserve">        Other Assets</t>
  </si>
  <si>
    <t xml:space="preserve">      Accrued Compensation &amp; Benefits</t>
  </si>
  <si>
    <t xml:space="preserve">      Operating Lease Current Liabilities</t>
  </si>
  <si>
    <t xml:space="preserve">      Accrued Taxes</t>
  </si>
  <si>
    <t xml:space="preserve">    Total Debt</t>
  </si>
  <si>
    <t xml:space="preserve">      Debt to Equity</t>
  </si>
  <si>
    <t xml:space="preserve">    Days Sales Outstanding</t>
  </si>
  <si>
    <t xml:space="preserve">        Amortization of Debt Issuance Costs</t>
  </si>
  <si>
    <t xml:space="preserve">    Equity In Earnings Of Affiliates</t>
  </si>
  <si>
    <t xml:space="preserve">      Income Taxes Payable </t>
  </si>
  <si>
    <t xml:space="preserve">      Free Cash Flow Per Share</t>
  </si>
  <si>
    <t>LITE US Equity- Company Financial (Multiple Periods)</t>
  </si>
  <si>
    <t>LITE US Equity    Periodicity:A    Currency:USD    Estimate Source:BST    Actual Source:Bloomberg</t>
  </si>
  <si>
    <t xml:space="preserve">    Components</t>
  </si>
  <si>
    <t xml:space="preserve">    Systems</t>
  </si>
  <si>
    <t xml:space="preserve">    Return on Sales</t>
  </si>
  <si>
    <t xml:space="preserve">    Inventory Turnover</t>
  </si>
  <si>
    <t xml:space="preserve">    Inventory Days</t>
  </si>
  <si>
    <t xml:space="preserve">    Annualized Days Inventory Outstanding</t>
  </si>
  <si>
    <t xml:space="preserve">  Components</t>
  </si>
  <si>
    <t xml:space="preserve">  Systems</t>
  </si>
  <si>
    <t xml:space="preserve">  Cloud &amp; Networking</t>
  </si>
  <si>
    <t xml:space="preserve">    Revenue </t>
  </si>
  <si>
    <t xml:space="preserve">    Segment Profit</t>
  </si>
  <si>
    <t xml:space="preserve">      Segment Profit Margin (%)</t>
  </si>
  <si>
    <t xml:space="preserve">  Industrial Tech</t>
  </si>
  <si>
    <t xml:space="preserve">  Optical Communications</t>
  </si>
  <si>
    <t xml:space="preserve">      Consumer &amp; Industrial</t>
  </si>
  <si>
    <t xml:space="preserve">  Lasers</t>
  </si>
  <si>
    <t xml:space="preserve">  Telecom</t>
  </si>
  <si>
    <t xml:space="preserve">  Datacom</t>
  </si>
  <si>
    <t xml:space="preserve">  Unallocated Corporate Items</t>
  </si>
  <si>
    <t xml:space="preserve">      Mexico</t>
  </si>
  <si>
    <t xml:space="preserve">    Asia-Pacific</t>
  </si>
  <si>
    <t xml:space="preserve">      Hong Kong</t>
  </si>
  <si>
    <t xml:space="preserve">      South Korea</t>
  </si>
  <si>
    <t xml:space="preserve">      Other Asia-Pacific</t>
  </si>
  <si>
    <t xml:space="preserve">      Japan</t>
  </si>
  <si>
    <t xml:space="preserve">      Thailand</t>
  </si>
  <si>
    <t xml:space="preserve">    EMEA</t>
  </si>
  <si>
    <t xml:space="preserve">    Pre-Tax Income Margin (%)</t>
  </si>
  <si>
    <t xml:space="preserve">    Amortization Acquired Intangibles COGS</t>
  </si>
  <si>
    <t xml:space="preserve">      Research &amp; Development Expenses</t>
  </si>
  <si>
    <t xml:space="preserve">      Selling, General &amp; Administrative Expenses</t>
  </si>
  <si>
    <t xml:space="preserve">    Non-Operating (Income) Expense</t>
  </si>
  <si>
    <t xml:space="preserve">      Other (Income) Expense, Net</t>
  </si>
  <si>
    <t xml:space="preserve">  Company-Specific Adjustments</t>
  </si>
  <si>
    <t xml:space="preserve">    Stock Based Compensation Expense</t>
  </si>
  <si>
    <t xml:space="preserve">      Cost of Sales</t>
  </si>
  <si>
    <t xml:space="preserve">      Selling General &amp; Administrative</t>
  </si>
  <si>
    <t xml:space="preserve">    Restructuring Expenses</t>
  </si>
  <si>
    <t xml:space="preserve">      Accounts Receivables</t>
  </si>
  <si>
    <t xml:space="preserve">        Other Intangible Assets, Net</t>
  </si>
  <si>
    <t xml:space="preserve">      Accounts Payables</t>
  </si>
  <si>
    <t xml:space="preserve">      Accrued Payroll &amp; Related Expenses</t>
  </si>
  <si>
    <t xml:space="preserve">      Short Term Operating Lease Liabilities</t>
  </si>
  <si>
    <t xml:space="preserve">      Long Term Operating Lease Liabilities</t>
  </si>
  <si>
    <t xml:space="preserve">      Other Noncurrent Liabilities </t>
  </si>
  <si>
    <t xml:space="preserve">    Convertible Notes</t>
  </si>
  <si>
    <t xml:space="preserve">    Amortization of Acquired Intangibles</t>
  </si>
  <si>
    <t xml:space="preserve">    Amortization of Debt Discount &amp; Debt Issuance Costs</t>
  </si>
  <si>
    <t xml:space="preserve">    Gain or Loss on Sales &amp; Dispositions of Property, Plant &amp; Equipment</t>
  </si>
  <si>
    <t xml:space="preserve">    Other Non-Cash (Income) Expenses</t>
  </si>
  <si>
    <t xml:space="preserve">      Prepayments &amp; Other Current &amp; Non-Currents Assets</t>
  </si>
  <si>
    <t xml:space="preserve">      Accrued Compensation/Payroll Expenses</t>
  </si>
  <si>
    <t xml:space="preserve">      Income Taxes, Net</t>
  </si>
  <si>
    <t xml:space="preserve">    Proceeds from Maturities &amp; Sales of Short-Term Investments</t>
  </si>
  <si>
    <t xml:space="preserve">    Purchases of Short-Term Investments</t>
  </si>
  <si>
    <t xml:space="preserve">    Net Cash Paid (Received) for Acquisition Divestitures</t>
  </si>
  <si>
    <t xml:space="preserve">    Increase in Capital Stocks</t>
  </si>
  <si>
    <t xml:space="preserve">    Repurchase of Common Stock</t>
  </si>
  <si>
    <t>BE US Equity- Company Financial (Multiple Periods)</t>
  </si>
  <si>
    <t>BE US Equity    Periodicity:A    Currency:USD    Estimate Source:BST    Actual Source:Bloomberg</t>
  </si>
  <si>
    <t xml:space="preserve">    Installation</t>
  </si>
  <si>
    <t xml:space="preserve">    Electricity</t>
  </si>
  <si>
    <t xml:space="preserve">  Adjusted EBITDA</t>
  </si>
  <si>
    <t xml:space="preserve">  Installation</t>
  </si>
  <si>
    <t xml:space="preserve">  Electricity</t>
  </si>
  <si>
    <t xml:space="preserve">    Research &amp; Development Expense</t>
  </si>
  <si>
    <t xml:space="preserve">    Selling &amp; Marketing Expense</t>
  </si>
  <si>
    <t xml:space="preserve">    General &amp; Administrative Expense</t>
  </si>
  <si>
    <t xml:space="preserve">  Gain/Loss from Derivatives</t>
  </si>
  <si>
    <t xml:space="preserve">     Early Extinguishment of Debt</t>
  </si>
  <si>
    <t xml:space="preserve">      Contract Assets</t>
  </si>
  <si>
    <t xml:space="preserve">      Other Receivables</t>
  </si>
  <si>
    <t xml:space="preserve">        Property, Plant &amp; Equipment (Incl. Depreciation)</t>
  </si>
  <si>
    <t xml:space="preserve">      Deferred Costs</t>
  </si>
  <si>
    <t xml:space="preserve">      Operating Lease Right-of-Use Assets</t>
  </si>
  <si>
    <t xml:space="preserve">      Long-Term Restricted Cash</t>
  </si>
  <si>
    <t xml:space="preserve">      Current Portion of Long-Term Debt</t>
  </si>
  <si>
    <t xml:space="preserve">      Accrued Expenses &amp; Other</t>
  </si>
  <si>
    <t xml:space="preserve">      Financing Obligations</t>
  </si>
  <si>
    <t xml:space="preserve">      Recourse Debt</t>
  </si>
  <si>
    <t xml:space="preserve">      Non-Recourse Debt</t>
  </si>
  <si>
    <t xml:space="preserve">      Long Term Capital Lease &amp; Other Liabilities</t>
  </si>
  <si>
    <t xml:space="preserve">      Accumulated Other Comprehensive Loss</t>
  </si>
  <si>
    <t xml:space="preserve">    Book Value</t>
  </si>
  <si>
    <t xml:space="preserve">    Accounts Receivable Days</t>
  </si>
  <si>
    <t xml:space="preserve">    Amortization of Financing Costs</t>
  </si>
  <si>
    <t xml:space="preserve">    Gain or Loss On Disposal Of Assets</t>
  </si>
  <si>
    <t xml:space="preserve">    Revaluation of Derivative Contracts</t>
  </si>
  <si>
    <t xml:space="preserve">      Deferred Cost of Revenue</t>
  </si>
  <si>
    <t xml:space="preserve">      Operating Lease Right-of-Use Assets &amp; Operating Lease Liabilities</t>
  </si>
  <si>
    <t xml:space="preserve">      Other Long-Term Assets</t>
  </si>
  <si>
    <t xml:space="preserve">      Other Long-Term Liabilities</t>
  </si>
  <si>
    <t xml:space="preserve">    Dividends Paid to Non-Controlling Interest</t>
  </si>
  <si>
    <t xml:space="preserve">    Increase in Long-Term Borrowings</t>
  </si>
  <si>
    <t xml:space="preserve">    Proceeds from Financing Obligations</t>
  </si>
  <si>
    <t xml:space="preserve">    Decrease in Long-Term Borrowings</t>
  </si>
  <si>
    <t xml:space="preserve">    Contributions from Non controlling Interest</t>
  </si>
  <si>
    <t>AMD US Equity- Company Financial (Multiple Periods)</t>
  </si>
  <si>
    <t>AMD US Equity    Periodicity:A    Currency:USD    Estimate Source:BST    Actual Source:Bloomberg</t>
  </si>
  <si>
    <t xml:space="preserve">    Client</t>
  </si>
  <si>
    <t xml:space="preserve">    Gaming</t>
  </si>
  <si>
    <t xml:space="preserve">    Embedded</t>
  </si>
  <si>
    <t xml:space="preserve">  AI/GPU Revenue</t>
  </si>
  <si>
    <t xml:space="preserve">  R&amp;D Expenses</t>
  </si>
  <si>
    <t xml:space="preserve">  Return On Assets</t>
  </si>
  <si>
    <t xml:space="preserve">  Inventory Days</t>
  </si>
  <si>
    <t xml:space="preserve">  Accounts Payable Turnover</t>
  </si>
  <si>
    <t xml:space="preserve">  Free Cash Flow per Share</t>
  </si>
  <si>
    <t xml:space="preserve">  MPU Shipments</t>
  </si>
  <si>
    <t xml:space="preserve">  Data Center</t>
  </si>
  <si>
    <t xml:space="preserve">  Client &amp; Gaming</t>
  </si>
  <si>
    <t xml:space="preserve">  Client</t>
  </si>
  <si>
    <t xml:space="preserve">  Gaming</t>
  </si>
  <si>
    <t xml:space="preserve">  Embedded</t>
  </si>
  <si>
    <t xml:space="preserve">  Server CPU Revenue</t>
  </si>
  <si>
    <t xml:space="preserve">  Computing &amp; Graphics</t>
  </si>
  <si>
    <t xml:space="preserve">  Enterprise, Embedded &amp; Semi-Custom</t>
  </si>
  <si>
    <t xml:space="preserve">    Singapore</t>
  </si>
  <si>
    <t xml:space="preserve">    Taiwan</t>
  </si>
  <si>
    <t xml:space="preserve">    Other countries</t>
  </si>
  <si>
    <t xml:space="preserve">  Income Tax Provision</t>
  </si>
  <si>
    <t xml:space="preserve">  (Income) Loss from Affiliates &amp; Others</t>
  </si>
  <si>
    <t xml:space="preserve">      Other (Income)/Expenses</t>
  </si>
  <si>
    <t xml:space="preserve">      Gross Profit</t>
  </si>
  <si>
    <t xml:space="preserve">      Marketing, General, &amp; Administrative</t>
  </si>
  <si>
    <t xml:space="preserve">      Income Tax Effect of Non-GAAP Reconciliation</t>
  </si>
  <si>
    <t xml:space="preserve">      Amortization Acquired Intangibles </t>
  </si>
  <si>
    <t xml:space="preserve">      Acquisition-Related Costs</t>
  </si>
  <si>
    <t xml:space="preserve">       Disposal of Assets</t>
  </si>
  <si>
    <t xml:space="preserve">       Sale of Investments</t>
  </si>
  <si>
    <t xml:space="preserve">    Licensing Gain</t>
  </si>
  <si>
    <t xml:space="preserve">        Work In Process </t>
  </si>
  <si>
    <t xml:space="preserve">      Lease Assets</t>
  </si>
  <si>
    <t xml:space="preserve">        Operating Lease Assets</t>
  </si>
  <si>
    <t xml:space="preserve">      Other Assets &amp; Long Term Investments</t>
  </si>
  <si>
    <t xml:space="preserve">      Acquisition-Related Intangibles</t>
  </si>
  <si>
    <t xml:space="preserve">      Investments in Affiliates</t>
  </si>
  <si>
    <t xml:space="preserve">      Wages Payable</t>
  </si>
  <si>
    <t xml:space="preserve">    Cash &amp; Short-Term Investments per Share</t>
  </si>
  <si>
    <t xml:space="preserve">    Quick Ratio</t>
  </si>
  <si>
    <t xml:space="preserve">    Purchase Obligations</t>
  </si>
  <si>
    <t xml:space="preserve">      Payables to Related Parties</t>
  </si>
  <si>
    <t xml:space="preserve">      Accrued &amp; Other Liabilities</t>
  </si>
  <si>
    <t xml:space="preserve">    Proceeds from Maturity of Short-Term Investments</t>
  </si>
  <si>
    <t xml:space="preserve">    Sales (Purchases) of Short-Term Investments</t>
  </si>
  <si>
    <t xml:space="preserve">    Increase/Decrease in Borrowings</t>
  </si>
  <si>
    <t xml:space="preserve">    Proceeds from Sales of Common Stock Through Employee Equity</t>
  </si>
  <si>
    <t xml:space="preserve">    Repurchases of Common Stock</t>
  </si>
  <si>
    <t xml:space="preserve">    Proceeds from Repurchase of Equity</t>
  </si>
  <si>
    <t xml:space="preserve">    CFO per Basic Share</t>
  </si>
  <si>
    <t>NVDA US Equity- Company Financial (Multiple Periods)</t>
  </si>
  <si>
    <t>NVDA US Equity    Periodicity:A    Currency:USD    Estimate Source:BST    Actual Source:Bloomberg</t>
  </si>
  <si>
    <t xml:space="preserve">      Hyperscale</t>
  </si>
  <si>
    <t xml:space="preserve">      AI Clouds, Industrial &amp; Enterprise</t>
  </si>
  <si>
    <t xml:space="preserve">    Edge Computing</t>
  </si>
  <si>
    <t xml:space="preserve">    Compute</t>
  </si>
  <si>
    <t xml:space="preserve">  Adjusted Total Operating Expenses</t>
  </si>
  <si>
    <t xml:space="preserve">  Adjusted Net Income Margin</t>
  </si>
  <si>
    <t xml:space="preserve">    R&amp;D Intensity</t>
  </si>
  <si>
    <t xml:space="preserve">    Compute </t>
  </si>
  <si>
    <t xml:space="preserve">    Networking </t>
  </si>
  <si>
    <t xml:space="preserve">    Professional Visualization</t>
  </si>
  <si>
    <t xml:space="preserve">    Automotive</t>
  </si>
  <si>
    <t xml:space="preserve">    OEM &amp; Other</t>
  </si>
  <si>
    <t xml:space="preserve">  Compute &amp; Networking</t>
  </si>
  <si>
    <t xml:space="preserve">    Operating Profit</t>
  </si>
  <si>
    <t xml:space="preserve">  Graphics</t>
  </si>
  <si>
    <t xml:space="preserve">  Software Revenue</t>
  </si>
  <si>
    <t xml:space="preserve">  GPU</t>
  </si>
  <si>
    <t xml:space="preserve">  Tegra Processor</t>
  </si>
  <si>
    <t xml:space="preserve">  Receivable Days</t>
  </si>
  <si>
    <t xml:space="preserve">  Days Inventory Outstanding</t>
  </si>
  <si>
    <t xml:space="preserve">    China (Including Hong Kong)</t>
  </si>
  <si>
    <t xml:space="preserve">    Other Countries</t>
  </si>
  <si>
    <t xml:space="preserve">  Non-Operating Expenses</t>
  </si>
  <si>
    <t xml:space="preserve">      As of Revenue (%)</t>
  </si>
  <si>
    <t xml:space="preserve">    Interest Income / (Expense), Net</t>
  </si>
  <si>
    <t xml:space="preserve">    Pretax Income</t>
  </si>
  <si>
    <t xml:space="preserve">      Pretax Margin (%)</t>
  </si>
  <si>
    <t xml:space="preserve">    Income Taxes</t>
  </si>
  <si>
    <t xml:space="preserve">    Weighted Avg. Basic Shares</t>
  </si>
  <si>
    <t xml:space="preserve">    Weighted Avg. Diluted Shares</t>
  </si>
  <si>
    <t xml:space="preserve">    Tax Effect</t>
  </si>
  <si>
    <t xml:space="preserve">    Other Operating Expenses  </t>
  </si>
  <si>
    <t xml:space="preserve">    Gain/Loss on Investments</t>
  </si>
  <si>
    <t xml:space="preserve">    Acquisition-Related and Other Costs </t>
  </si>
  <si>
    <t xml:space="preserve">      Cash &amp; Cash Equivalents &amp; Marketable Securities</t>
  </si>
  <si>
    <t xml:space="preserve">        Marketable Securities</t>
  </si>
  <si>
    <t xml:space="preserve">      Accounts Receivable, Net</t>
  </si>
  <si>
    <t xml:space="preserve">        Other</t>
  </si>
  <si>
    <t xml:space="preserve">      Long-term Debt</t>
  </si>
  <si>
    <t xml:space="preserve">      Accumulated Other Comprehensive Income (Loss)</t>
  </si>
  <si>
    <t xml:space="preserve">    Total Debt to Total Equity</t>
  </si>
  <si>
    <t xml:space="preserve">    Total Debts to Total Capital</t>
  </si>
  <si>
    <t xml:space="preserve">    Accounts Receivable Turnover</t>
  </si>
  <si>
    <t xml:space="preserve">    Cash Ratio</t>
  </si>
  <si>
    <t xml:space="preserve">    Tangible Book Value per Share</t>
  </si>
  <si>
    <t xml:space="preserve">      As (%) of Revenue</t>
  </si>
  <si>
    <t xml:space="preserve">    Other Non-Cash Charges</t>
  </si>
  <si>
    <t xml:space="preserve">    Other Non-Cash Adjustments</t>
  </si>
  <si>
    <t xml:space="preserve">      Accounts receivable</t>
  </si>
  <si>
    <t xml:space="preserve">      As % of Total Revenue</t>
  </si>
  <si>
    <t xml:space="preserve">    Proceeds from (Purchases of) Marketable Securities</t>
  </si>
  <si>
    <t xml:space="preserve">    Proceeds From Maturities of Marketable Securities</t>
  </si>
  <si>
    <t xml:space="preserve">    Change in Debt</t>
  </si>
  <si>
    <t xml:space="preserve">      Cash Repurchase of Equity</t>
  </si>
  <si>
    <t xml:space="preserve">      Increase in Capital Stocks</t>
  </si>
  <si>
    <t xml:space="preserve">    Total Cash &amp; Cash Equivalents Plus Marketable Securities</t>
  </si>
  <si>
    <t xml:space="preserve">      Cash &amp; Cash Equivalents (Beg of Period)</t>
  </si>
  <si>
    <t xml:space="preserve">      Cash &amp; Cash Equivalents (End of Period)</t>
  </si>
  <si>
    <t xml:space="preserve">    Cash From Operation Before Non-Cash Working Capital</t>
  </si>
  <si>
    <t xml:space="preserve">    Cash From Operating to Sales (%)</t>
  </si>
  <si>
    <t>META US Equity- Company Financial (Multiple Periods)</t>
  </si>
  <si>
    <t>META US Equity    Periodicity:A    Currency:USD    Estimate Source:BST    Actual Source:Bloomberg</t>
  </si>
  <si>
    <t xml:space="preserve">    Family of Apps</t>
  </si>
  <si>
    <t xml:space="preserve">      Advertising</t>
  </si>
  <si>
    <t xml:space="preserve">      Other Revenue </t>
  </si>
  <si>
    <t xml:space="preserve">    Reality Labs</t>
  </si>
  <si>
    <t xml:space="preserve">  Family Daily Active People (DAP)</t>
  </si>
  <si>
    <t xml:space="preserve">  Avg. Revenue per Person (ARPP)</t>
  </si>
  <si>
    <t xml:space="preserve">  Avg. Impressions Growth Change (YoY %)</t>
  </si>
  <si>
    <t xml:space="preserve">  Avg. Price Per Ad Change (YoY %)</t>
  </si>
  <si>
    <t xml:space="preserve">  Total Costs &amp; Expenses</t>
  </si>
  <si>
    <t xml:space="preserve">  Headcount</t>
  </si>
  <si>
    <t xml:space="preserve">  Family Avg. Revenue per Person (ARPP)</t>
  </si>
  <si>
    <t xml:space="preserve">  Full-Time Employees</t>
  </si>
  <si>
    <t xml:space="preserve">  Sales per Employee</t>
  </si>
  <si>
    <t xml:space="preserve">  Estimate Only Metrics, Not Disclosed by Company</t>
  </si>
  <si>
    <t xml:space="preserve">  Monthly Active Users (MAU)</t>
  </si>
  <si>
    <t xml:space="preserve">    Instagram</t>
  </si>
  <si>
    <t xml:space="preserve">    Instagram Stories</t>
  </si>
  <si>
    <t xml:space="preserve">    WhatsApp</t>
  </si>
  <si>
    <t xml:space="preserve">  Daily Active Users (DAU)</t>
  </si>
  <si>
    <t xml:space="preserve">  Previously Discolsed</t>
  </si>
  <si>
    <t xml:space="preserve">  Facebook Monthly Active Users (MAU)</t>
  </si>
  <si>
    <t xml:space="preserve">    Asia</t>
  </si>
  <si>
    <t xml:space="preserve">    Rest of World</t>
  </si>
  <si>
    <t xml:space="preserve">  Facebook Daily Active Users (DAU)</t>
  </si>
  <si>
    <t xml:space="preserve">  Family Monthly Active People (MAP)</t>
  </si>
  <si>
    <t xml:space="preserve">  Total ARPU</t>
  </si>
  <si>
    <t xml:space="preserve">    Facebook &amp; Messenger</t>
  </si>
  <si>
    <t xml:space="preserve">      North America</t>
  </si>
  <si>
    <t xml:space="preserve">      Europe</t>
  </si>
  <si>
    <t xml:space="preserve">      Asia</t>
  </si>
  <si>
    <t xml:space="preserve">      Rest of World</t>
  </si>
  <si>
    <t xml:space="preserve">  Advertising Revenue per MAU</t>
  </si>
  <si>
    <t xml:space="preserve">  Payments &amp; Other ARPU</t>
  </si>
  <si>
    <t xml:space="preserve">    Advertising</t>
  </si>
  <si>
    <t xml:space="preserve">  Mobile Revenue</t>
  </si>
  <si>
    <t xml:space="preserve">  Family of Apps</t>
  </si>
  <si>
    <t xml:space="preserve">    Net Revenue on a CC Basis</t>
  </si>
  <si>
    <t xml:space="preserve">    Costs and Expenses</t>
  </si>
  <si>
    <t xml:space="preserve">  Reality Labs</t>
  </si>
  <si>
    <t xml:space="preserve">    US &amp; Canada</t>
  </si>
  <si>
    <t xml:space="preserve">        Number of Ads Delivered Year Over Year Percentage, US &amp; Canada - by Address</t>
  </si>
  <si>
    <t xml:space="preserve">        Price per Ad Year Over Year Percentage, US &amp; Canada - by Address</t>
  </si>
  <si>
    <t xml:space="preserve">      Payments &amp; Other Fees</t>
  </si>
  <si>
    <t xml:space="preserve">        Number of Ads Delivered Year Over Year Percentage, Europe - by Address</t>
  </si>
  <si>
    <t xml:space="preserve">        Price per Ad Year Over Year Percentage, Europe - by Address</t>
  </si>
  <si>
    <t xml:space="preserve">        Number of Ads Delivered Year Over Year Percentage, Asia-Pacific - by Address</t>
  </si>
  <si>
    <t xml:space="preserve">        Price per Ad Year Over Year Percentage, Asia-Pacific - by Address</t>
  </si>
  <si>
    <t xml:space="preserve">        Number of Ads Delivered Year Over Year Percentage, Rest of World - by Address</t>
  </si>
  <si>
    <t xml:space="preserve">        Price per Ad Year Over Year Percentage, Rest of World - by Address</t>
  </si>
  <si>
    <t xml:space="preserve">    Other Revenue</t>
  </si>
  <si>
    <t xml:space="preserve">    Cost of Revenue (ex-SBC)</t>
  </si>
  <si>
    <t xml:space="preserve">  Operating Income or Losses</t>
  </si>
  <si>
    <t xml:space="preserve">    Depreciation Expenses</t>
  </si>
  <si>
    <t xml:space="preserve">    Intangible Asset Amortization</t>
  </si>
  <si>
    <t xml:space="preserve">  Interest Expense, Net</t>
  </si>
  <si>
    <t xml:space="preserve">  Foreign Exchange (Gain) Loss</t>
  </si>
  <si>
    <t xml:space="preserve">  Basic EPS</t>
  </si>
  <si>
    <t xml:space="preserve">  Dividend Payout Ratio(%)</t>
  </si>
  <si>
    <t xml:space="preserve">       Restructuring Expense</t>
  </si>
  <si>
    <t xml:space="preserve">  Net Operating Profit after Tax (NOPAT)</t>
  </si>
  <si>
    <t xml:space="preserve">      Cash, Cash Equivalents &amp; Marketable Securities</t>
  </si>
  <si>
    <t xml:space="preserve">      Plant, Property, &amp; Equipment</t>
  </si>
  <si>
    <t xml:space="preserve">        Property &amp; Equipment, Gross</t>
  </si>
  <si>
    <t xml:space="preserve">          Land</t>
  </si>
  <si>
    <t xml:space="preserve">          Buildings</t>
  </si>
  <si>
    <t xml:space="preserve">          Leasehold Improvement</t>
  </si>
  <si>
    <t xml:space="preserve">          Construction in Progress</t>
  </si>
  <si>
    <t xml:space="preserve">          Company Software, Office Equipment &amp; Other</t>
  </si>
  <si>
    <t xml:space="preserve">        Accumulated Depreciation</t>
  </si>
  <si>
    <t xml:space="preserve">      Operating Lease Right-of-Use Assets, Net</t>
  </si>
  <si>
    <t xml:space="preserve">      Finance Lease Right-of-Use Assets</t>
  </si>
  <si>
    <t xml:space="preserve">      Goodwill &amp; Other Intangible Assets</t>
  </si>
  <si>
    <t xml:space="preserve">        Intangible Assets, Net</t>
  </si>
  <si>
    <t xml:space="preserve">      Partners Payable</t>
  </si>
  <si>
    <t xml:space="preserve">      Accrued Expenses &amp; Other Current Liabilities</t>
  </si>
  <si>
    <t xml:space="preserve">      Deferred Revenue &amp; Deposits</t>
  </si>
  <si>
    <t xml:space="preserve">      Current Portion of Capital Lease Obligations</t>
  </si>
  <si>
    <t xml:space="preserve">      Non-Current Capital Lease Obligations, Less Current Portion</t>
  </si>
  <si>
    <t xml:space="preserve">      Long-Term Income Taxes</t>
  </si>
  <si>
    <t xml:space="preserve">    Total Equity</t>
  </si>
  <si>
    <t xml:space="preserve">      Share Capital &amp; APIC</t>
  </si>
  <si>
    <t xml:space="preserve">      Other Equity</t>
  </si>
  <si>
    <t xml:space="preserve">    Annualized Days Sales Outstanding</t>
  </si>
  <si>
    <t xml:space="preserve">    Net Investment Income Per Basic Share</t>
  </si>
  <si>
    <t xml:space="preserve">    Days Receivables Outstanding</t>
  </si>
  <si>
    <t xml:space="preserve">  Share Related Items</t>
  </si>
  <si>
    <t xml:space="preserve">    Impairment Of Assets</t>
  </si>
  <si>
    <t xml:space="preserve">      Cash Paid for Income Taxes, Net</t>
  </si>
  <si>
    <t xml:space="preserve">    Purchases of Marketable Securities</t>
  </si>
  <si>
    <t xml:space="preserve">    Maturities of Marketable Securities</t>
  </si>
  <si>
    <t xml:space="preserve">    Sales of Marketable Securities</t>
  </si>
  <si>
    <t xml:space="preserve">    Net Cash from Acquisitions/Divestitures</t>
  </si>
  <si>
    <t xml:space="preserve">    Repurchase of Equity</t>
  </si>
  <si>
    <t xml:space="preserve">    Taxes Paid Related to Net Share Settlement of Equity Awards</t>
  </si>
  <si>
    <t xml:space="preserve">    Payment of Long-Term Debt</t>
  </si>
  <si>
    <t xml:space="preserve">    Principal Payments on Capital Lease Obligations</t>
  </si>
  <si>
    <t xml:space="preserve">    Purchase Of Common Stock</t>
  </si>
  <si>
    <t xml:space="preserve">      Net Change in Cash</t>
  </si>
  <si>
    <t xml:space="preserve">        Cash &amp; Cash Equivalents (BOP)</t>
  </si>
  <si>
    <t xml:space="preserve">        Cash &amp; Cash Equivalents (EOP)</t>
  </si>
  <si>
    <t xml:space="preserve">      CFO to Sales (%)</t>
  </si>
  <si>
    <t>AMZN US Equity- Company Financial (Multiple Periods)</t>
  </si>
  <si>
    <t>AMZN US Equity    Periodicity:A    Currency:USD    Estimate Source:BST    Actual Source:Bloomberg</t>
  </si>
  <si>
    <t xml:space="preserve">  Seller Unit Mix</t>
  </si>
  <si>
    <t xml:space="preserve">    Third-Party Products</t>
  </si>
  <si>
    <t xml:space="preserve">    Online Stores</t>
  </si>
  <si>
    <t xml:space="preserve">    Physical Stores</t>
  </si>
  <si>
    <t xml:space="preserve">      Sales Growth at Constant Currency (%)</t>
  </si>
  <si>
    <t xml:space="preserve">    Retail Third-Party Seller Services</t>
  </si>
  <si>
    <t xml:space="preserve">    Advertising Services</t>
  </si>
  <si>
    <t xml:space="preserve">    Retail Subscription Services</t>
  </si>
  <si>
    <t xml:space="preserve">    Amazon Web Services (AWS)</t>
  </si>
  <si>
    <t xml:space="preserve">      Revenue</t>
  </si>
  <si>
    <t xml:space="preserve">  Fulfillment Expenses</t>
  </si>
  <si>
    <t xml:space="preserve">    Cash Capex</t>
  </si>
  <si>
    <t xml:space="preserve">  Total Prime Membership</t>
  </si>
  <si>
    <t xml:space="preserve">    Net Adds</t>
  </si>
  <si>
    <t xml:space="preserve">  Constant Currency Sales Growth</t>
  </si>
  <si>
    <t xml:space="preserve">  Shipping Cost</t>
  </si>
  <si>
    <t xml:space="preserve">  Paid Units</t>
  </si>
  <si>
    <t xml:space="preserve">    YoY Growth (%)</t>
  </si>
  <si>
    <t xml:space="preserve">    1P</t>
  </si>
  <si>
    <t xml:space="preserve">    3P</t>
  </si>
  <si>
    <t xml:space="preserve">      FBA</t>
  </si>
  <si>
    <t xml:space="preserve">  Gross Merchandise Value (GMV) (Not Disclosed by the Company)</t>
  </si>
  <si>
    <t xml:space="preserve">    1P GMV</t>
  </si>
  <si>
    <t xml:space="preserve">    3P GMV</t>
  </si>
  <si>
    <t xml:space="preserve">  Take Rate (3P) (Not Disclosed by the Company)</t>
  </si>
  <si>
    <t xml:space="preserve">  GMV by Region</t>
  </si>
  <si>
    <t xml:space="preserve">  Restricted Stock Units Granted</t>
  </si>
  <si>
    <t xml:space="preserve">  Avg. Days Payable Outstanding</t>
  </si>
  <si>
    <t xml:space="preserve">  Current Ratio</t>
  </si>
  <si>
    <t xml:space="preserve">  Current Liabilities To Total Liabilities &amp; Equity</t>
  </si>
  <si>
    <t xml:space="preserve">  Global Retail</t>
  </si>
  <si>
    <t xml:space="preserve">      Online Stores</t>
  </si>
  <si>
    <t xml:space="preserve">        Sales Growth at Constant Currency (%)</t>
  </si>
  <si>
    <t xml:space="preserve">      Physical Stores</t>
  </si>
  <si>
    <t xml:space="preserve">      Retail Third-Party Seller Services</t>
  </si>
  <si>
    <t xml:space="preserve">      Retail Subscription Services</t>
  </si>
  <si>
    <t xml:space="preserve">      Advertising Services</t>
  </si>
  <si>
    <t xml:space="preserve">  Amazon Web Services (AWS)</t>
  </si>
  <si>
    <t xml:space="preserve">    Property, Plant &amp; Equipment</t>
  </si>
  <si>
    <t xml:space="preserve">    Net Additions to Property and Equipment</t>
  </si>
  <si>
    <t xml:space="preserve">    Sales Change - Mix (%)</t>
  </si>
  <si>
    <t xml:space="preserve">  North America</t>
  </si>
  <si>
    <t xml:space="preserve">  Germany</t>
  </si>
  <si>
    <t xml:space="preserve">  United Kingdom</t>
  </si>
  <si>
    <t xml:space="preserve">  Japan</t>
  </si>
  <si>
    <t xml:space="preserve">  Rest of World</t>
  </si>
  <si>
    <t xml:space="preserve">  Products</t>
  </si>
  <si>
    <t xml:space="preserve">      Gross Merchandise Value (GMV) (Not Disclosed by the Company)</t>
  </si>
  <si>
    <t xml:space="preserve">      Take Rate (3P) (Not Disclosed by the Company)</t>
  </si>
  <si>
    <t xml:space="preserve">  Services</t>
  </si>
  <si>
    <t xml:space="preserve">  Operating Expenses</t>
  </si>
  <si>
    <t xml:space="preserve">    Technology &amp; Infrastructure (R&amp;D)</t>
  </si>
  <si>
    <t xml:space="preserve">      Digital Video and Music Content Expense</t>
  </si>
  <si>
    <t xml:space="preserve">    Marketing</t>
  </si>
  <si>
    <t xml:space="preserve">      As % of Sales</t>
  </si>
  <si>
    <t xml:space="preserve">    Advertising &amp; other Promotional Costs</t>
  </si>
  <si>
    <t xml:space="preserve">    Depreciation Expense - Headline</t>
  </si>
  <si>
    <t xml:space="preserve">    Fulfillment Expenses</t>
  </si>
  <si>
    <t xml:space="preserve">    Other Operating Expenses, Net</t>
  </si>
  <si>
    <t xml:space="preserve">  Non-Operating (Income) Expense</t>
  </si>
  <si>
    <t xml:space="preserve">    Interest Expense, Net</t>
  </si>
  <si>
    <t xml:space="preserve">    Other Non-Operating (Income) Expense</t>
  </si>
  <si>
    <t xml:space="preserve">  Equity-Method Investment Activity, Net of Tax</t>
  </si>
  <si>
    <t xml:space="preserve">    Technology &amp; Infrastructure</t>
  </si>
  <si>
    <t xml:space="preserve">    Marketing Expense</t>
  </si>
  <si>
    <t xml:space="preserve">    Fulfillment Expense</t>
  </si>
  <si>
    <t xml:space="preserve">  Special Company Adjustments</t>
  </si>
  <si>
    <t xml:space="preserve">      Marketing</t>
  </si>
  <si>
    <t xml:space="preserve">      Technology &amp; Content</t>
  </si>
  <si>
    <t xml:space="preserve">      Fulfillment</t>
  </si>
  <si>
    <t xml:space="preserve">      Cash &amp; Marketable Securities</t>
  </si>
  <si>
    <t xml:space="preserve">      Accounts Receivable, Net &amp; Other</t>
  </si>
  <si>
    <t xml:space="preserve">        As % of Total Revenue</t>
  </si>
  <si>
    <t xml:space="preserve">      Fixed Assets, Net</t>
  </si>
  <si>
    <t xml:space="preserve">        Property &amp; Equipment, Net</t>
  </si>
  <si>
    <t xml:space="preserve">        Operating Leases</t>
  </si>
  <si>
    <t xml:space="preserve">      Unearned Revenue</t>
  </si>
  <si>
    <t xml:space="preserve">      Current Portion of Long Term Debt Company Basis</t>
  </si>
  <si>
    <t xml:space="preserve">      Total Lease Cost</t>
  </si>
  <si>
    <t xml:space="preserve">      Long-Term Lease Liabilities</t>
  </si>
  <si>
    <t xml:space="preserve">        Long-Term Capital Lease Obligations</t>
  </si>
  <si>
    <t xml:space="preserve">        Long-Term Operating Lease Liabilities</t>
  </si>
  <si>
    <t xml:space="preserve">      Unamortized Premium/Discount</t>
  </si>
  <si>
    <t xml:space="preserve">    Return On Equity (%)</t>
  </si>
  <si>
    <t xml:space="preserve">    Average Total Assets</t>
  </si>
  <si>
    <t xml:space="preserve">    Total Values Shares Authorized Under Repurchase Program</t>
  </si>
  <si>
    <t xml:space="preserve">    Property, Plant &amp; Equipment, Gross</t>
  </si>
  <si>
    <t xml:space="preserve">        Land &amp; Buildings </t>
  </si>
  <si>
    <t xml:space="preserve">        Equipment</t>
  </si>
  <si>
    <t xml:space="preserve">        Construction in Progress</t>
  </si>
  <si>
    <t xml:space="preserve">    Total Accumulated Depreciation &amp; Amortization </t>
  </si>
  <si>
    <t xml:space="preserve">    Total Lease Cost</t>
  </si>
  <si>
    <t xml:space="preserve">      Operating Lease Cost</t>
  </si>
  <si>
    <t xml:space="preserve">      Amortization of Lease Assets</t>
  </si>
  <si>
    <t xml:space="preserve">      Interest on Lease Liabilities</t>
  </si>
  <si>
    <t xml:space="preserve">        Finance Lease Cost </t>
  </si>
  <si>
    <t xml:space="preserve">      Variable Lease Cost</t>
  </si>
  <si>
    <t xml:space="preserve">  Cash From Operating Activities</t>
  </si>
  <si>
    <t xml:space="preserve">      Additions to Unearned Revenue</t>
  </si>
  <si>
    <t xml:space="preserve">  Cash From Investing Activities</t>
  </si>
  <si>
    <t xml:space="preserve">    Disposal of Fixed and Intangibles</t>
  </si>
  <si>
    <t xml:space="preserve">      As a % of Revenue</t>
  </si>
  <si>
    <t xml:space="preserve">      Purchases of Property &amp; Equipment, Net</t>
  </si>
  <si>
    <t xml:space="preserve">    Acquisitions, Net of Cash Acquired, &amp; Other</t>
  </si>
  <si>
    <t xml:space="preserve">      Purchases of Marketable Securities &amp; Other</t>
  </si>
  <si>
    <t xml:space="preserve">      Sales &amp; Maturities of Marketable Securities &amp; Other</t>
  </si>
  <si>
    <t xml:space="preserve">    Common Stock Repurchased</t>
  </si>
  <si>
    <t xml:space="preserve">    Repayments of Long-Term Debt &amp; Short-Term Debt</t>
  </si>
  <si>
    <t xml:space="preserve">    Proceeds from Short-Term Debt, &amp; Other</t>
  </si>
  <si>
    <t xml:space="preserve">    Repayments of Short-Term Debt, &amp; Other</t>
  </si>
  <si>
    <t xml:space="preserve">    Proceeds from Long-Term Debt &amp; Other</t>
  </si>
  <si>
    <t xml:space="preserve">    Repayment of Long-Term Borrowings</t>
  </si>
  <si>
    <t xml:space="preserve">    Principal Repayments For Capital Lease Obligations</t>
  </si>
  <si>
    <t xml:space="preserve">    Assets Acquired Under Operating Leases</t>
  </si>
  <si>
    <t xml:space="preserve">    Principal Repayments for Finance Lease Obligations</t>
  </si>
  <si>
    <t xml:space="preserve">    Effect of Exchange Rates on Cash &amp; Cash Equivalents</t>
  </si>
  <si>
    <t xml:space="preserve">    Net Change in Cash, Cash Equivalents &amp; Restricted Cash</t>
  </si>
  <si>
    <t xml:space="preserve">    Cash Paid for Taxes</t>
  </si>
  <si>
    <t xml:space="preserve">    Interest Paid</t>
  </si>
  <si>
    <t xml:space="preserve">    Principal Repayments of All Other Finance Leases</t>
  </si>
  <si>
    <t xml:space="preserve">    Cash Paid for Operating Leases</t>
  </si>
  <si>
    <t xml:space="preserve">    Cash Paid for Interest on Finance Leases</t>
  </si>
  <si>
    <t xml:space="preserve">    Free Cash Flow/Diluted Share</t>
  </si>
  <si>
    <t xml:space="preserve">    Operating Cash Flow per Share</t>
  </si>
  <si>
    <t xml:space="preserve">    Free Cash Flow Less Equipment Finance Leases &amp; Principal Repayments of All Other Finance Leases &amp; Financing Obligations</t>
  </si>
  <si>
    <t xml:space="preserve">    Free Cash Flow (FCF)</t>
  </si>
  <si>
    <t xml:space="preserve">    Free Cash Flow Margin (%)</t>
  </si>
  <si>
    <t xml:space="preserve">    CFO to Sales(%)</t>
  </si>
  <si>
    <t xml:space="preserve">    Property, Plant &amp; Equipment Acquired</t>
  </si>
  <si>
    <t xml:space="preserve">      Under Capital Leases</t>
  </si>
  <si>
    <t xml:space="preserve">    Property and Equipment Recognized During the Construction Period of Build-to-Suit Lease Arrangements</t>
  </si>
  <si>
    <t xml:space="preserve">    Funds Flow from Operations</t>
  </si>
  <si>
    <t>ASML NA Equity- Company Financial (Multiple Periods)</t>
  </si>
  <si>
    <t>ASML NA Equity    Periodicity:A    Currency:EUR    Estimate Source:BST    Actual Source:Bloomberg</t>
  </si>
  <si>
    <t>In Millions of EUR</t>
  </si>
  <si>
    <t>2008 A (Rep)</t>
  </si>
  <si>
    <t xml:space="preserve">  Order Backlog Value</t>
  </si>
  <si>
    <t xml:space="preserve">  Gross Margin (%)</t>
  </si>
  <si>
    <t xml:space="preserve">  R&amp;D expenses</t>
  </si>
  <si>
    <t xml:space="preserve">  CAPEX</t>
  </si>
  <si>
    <t xml:space="preserve">  Revenue (by technology)</t>
  </si>
  <si>
    <t xml:space="preserve">    EUV</t>
  </si>
  <si>
    <t xml:space="preserve">      High NA EUV</t>
  </si>
  <si>
    <t xml:space="preserve">      Low NA EUV</t>
  </si>
  <si>
    <t xml:space="preserve">    DUV</t>
  </si>
  <si>
    <t xml:space="preserve">      ArFi</t>
  </si>
  <si>
    <t xml:space="preserve">      ArF - Dry</t>
  </si>
  <si>
    <t xml:space="preserve">      KrF</t>
  </si>
  <si>
    <t xml:space="preserve">      I-Line</t>
  </si>
  <si>
    <t xml:space="preserve">    Metrology &amp; Inspection</t>
  </si>
  <si>
    <t xml:space="preserve">  Shipments (by technology)</t>
  </si>
  <si>
    <t xml:space="preserve">  Net Bookings Value</t>
  </si>
  <si>
    <t xml:space="preserve">    Non EUV</t>
  </si>
  <si>
    <t xml:space="preserve">  Revenue Breakdown</t>
  </si>
  <si>
    <t xml:space="preserve">    Lithography Systems</t>
  </si>
  <si>
    <t xml:space="preserve">      Shipment Value</t>
  </si>
  <si>
    <t xml:space="preserve">        Units Shipped</t>
  </si>
  <si>
    <t xml:space="preserve">        Shipment ASP</t>
  </si>
  <si>
    <t xml:space="preserve">        Shipment Value</t>
  </si>
  <si>
    <t xml:space="preserve">          Units Shipped</t>
  </si>
  <si>
    <t xml:space="preserve">          Shipment ASP</t>
  </si>
  <si>
    <t xml:space="preserve">        Gross Profit</t>
  </si>
  <si>
    <t xml:space="preserve">    ArFi</t>
  </si>
  <si>
    <t xml:space="preserve">    ArF - Dry</t>
  </si>
  <si>
    <t xml:space="preserve">    KrF</t>
  </si>
  <si>
    <t xml:space="preserve">    I-Line</t>
  </si>
  <si>
    <t xml:space="preserve">    Net System</t>
  </si>
  <si>
    <t xml:space="preserve">    Net Service &amp; Field Option</t>
  </si>
  <si>
    <t xml:space="preserve">      Lithography System</t>
  </si>
  <si>
    <t xml:space="preserve">        EUV</t>
  </si>
  <si>
    <t xml:space="preserve">          High NA</t>
  </si>
  <si>
    <t xml:space="preserve">          Low NA</t>
  </si>
  <si>
    <t xml:space="preserve">        ArFi</t>
  </si>
  <si>
    <t xml:space="preserve">        ArF - Dry</t>
  </si>
  <si>
    <t xml:space="preserve">        KrF</t>
  </si>
  <si>
    <t xml:space="preserve">        I-line</t>
  </si>
  <si>
    <t xml:space="preserve">      Metrology &amp; Inspection</t>
  </si>
  <si>
    <t xml:space="preserve">    Installed Base Management</t>
  </si>
  <si>
    <t xml:space="preserve">  Net Systems Revenue</t>
  </si>
  <si>
    <t xml:space="preserve">    South Korea</t>
  </si>
  <si>
    <t xml:space="preserve">    Rest of Asia</t>
  </si>
  <si>
    <t xml:space="preserve">  Net System Revenue</t>
  </si>
  <si>
    <t xml:space="preserve">    Logic</t>
  </si>
  <si>
    <t xml:space="preserve">    Memory</t>
  </si>
  <si>
    <t xml:space="preserve">    Selling, General &amp; Administrative Expenses</t>
  </si>
  <si>
    <t xml:space="preserve">    R&amp;D expenses</t>
  </si>
  <si>
    <t xml:space="preserve">    (Income) / Loss from Joint Ventures</t>
  </si>
  <si>
    <t xml:space="preserve">  Interest Expense / (Income) net</t>
  </si>
  <si>
    <t xml:space="preserve">    Dividend Payout Ratio (%)</t>
  </si>
  <si>
    <t xml:space="preserve">    Diluted EPS Excl. SBC</t>
  </si>
  <si>
    <t xml:space="preserve">      Receivables</t>
  </si>
  <si>
    <t xml:space="preserve">        Accounts Receivable</t>
  </si>
  <si>
    <t xml:space="preserve">      Notes Receivable</t>
  </si>
  <si>
    <t xml:space="preserve">      Current Tax Assets</t>
  </si>
  <si>
    <t xml:space="preserve">      Contract Assets </t>
  </si>
  <si>
    <t xml:space="preserve">      Short-Term Investments</t>
  </si>
  <si>
    <t xml:space="preserve">      Loan Receivable</t>
  </si>
  <si>
    <t xml:space="preserve">      Finance Receivables</t>
  </si>
  <si>
    <t xml:space="preserve">      Investments in Associates</t>
  </si>
  <si>
    <t xml:space="preserve">      Current Portion of Accrued &amp; Other Liabilities</t>
  </si>
  <si>
    <t xml:space="preserve">      Contract Liabilities </t>
  </si>
  <si>
    <t xml:space="preserve">      Contract Liabilities</t>
  </si>
  <si>
    <t xml:space="preserve">      Accrued &amp; Other Liabilities </t>
  </si>
  <si>
    <t xml:space="preserve">        Deferred Tax Liabilities</t>
  </si>
  <si>
    <t xml:space="preserve">      Net Debt to EBITDA</t>
  </si>
  <si>
    <t xml:space="preserve">    Treasury Shares</t>
  </si>
  <si>
    <t xml:space="preserve">    Diluted Market Capitalization</t>
  </si>
  <si>
    <t xml:space="preserve">    Impairment</t>
  </si>
  <si>
    <t xml:space="preserve">    Allowance for Obsolete Inventory</t>
  </si>
  <si>
    <t xml:space="preserve">    Loss on Disposal of Property, Plant &amp; Equipment</t>
  </si>
  <si>
    <t xml:space="preserve">    Unrealized Profit Resulting from Intercompany Transactions</t>
  </si>
  <si>
    <t xml:space="preserve">      Accounts Receivable, Net </t>
  </si>
  <si>
    <t xml:space="preserve">      Other Operating Adjustment</t>
  </si>
  <si>
    <t xml:space="preserve">    CAPEX</t>
  </si>
  <si>
    <t xml:space="preserve">    Purchase of Intangible Assets</t>
  </si>
  <si>
    <t xml:space="preserve">    Maturity of Short-Term Investments</t>
  </si>
  <si>
    <t xml:space="preserve">    Net Cash Received/Paid for Acquisition/Divestiture</t>
  </si>
  <si>
    <t xml:space="preserve">    Loans Issued &amp; Other Investments</t>
  </si>
  <si>
    <t xml:space="preserve">      Debt Issuance</t>
  </si>
  <si>
    <t xml:space="preserve">    Repayment of Debt &amp; Finance Lease Obligations</t>
  </si>
  <si>
    <t xml:space="preserve">    Change in Equity</t>
  </si>
  <si>
    <t xml:space="preserve">    Purchase of Treasury Stock</t>
  </si>
  <si>
    <t xml:space="preserve">    Net Proceeds from Issuance of Shares &amp; Stock Options</t>
  </si>
  <si>
    <t>CRWV US Equity- Company Financial (Multiple Periods)</t>
  </si>
  <si>
    <t>CRWV US Equity    Periodicity:A    Currency:USD    Estimate Source:BST    Actual Source:Bloomberg</t>
  </si>
  <si>
    <t xml:space="preserve">  Adjusted Capital Expenditures</t>
  </si>
  <si>
    <t xml:space="preserve">  Revenue Backlog</t>
  </si>
  <si>
    <t xml:space="preserve">  Remaining Performance Obligation  (RPO)</t>
  </si>
  <si>
    <t xml:space="preserve">  Current Remaining Performance Obligation  (cRPO)</t>
  </si>
  <si>
    <t xml:space="preserve">  Annualized Recurring Revenue (ARR)</t>
  </si>
  <si>
    <t xml:space="preserve">  Contracted Power (MW)</t>
  </si>
  <si>
    <t xml:space="preserve">  Active power (MW)</t>
  </si>
  <si>
    <t xml:space="preserve">  GPUs Online</t>
  </si>
  <si>
    <t xml:space="preserve">  GPU Capex</t>
  </si>
  <si>
    <t xml:space="preserve">  Number of Data Centers</t>
  </si>
  <si>
    <t xml:space="preserve">    Committed Contracts</t>
  </si>
  <si>
    <t xml:space="preserve">    On-Demand-Services</t>
  </si>
  <si>
    <t xml:space="preserve">  Total Expenses &amp; Cost of Revenue</t>
  </si>
  <si>
    <t xml:space="preserve">      Technology &amp; Infrastructure Costs</t>
  </si>
  <si>
    <t xml:space="preserve">    As % of Revenue </t>
  </si>
  <si>
    <t xml:space="preserve">    Loss on Fair Value Adjustments</t>
  </si>
  <si>
    <t xml:space="preserve">    Other Income, Net</t>
  </si>
  <si>
    <t xml:space="preserve">      Technology &amp; Infrastructure</t>
  </si>
  <si>
    <t xml:space="preserve">    Acquisition Related Costs</t>
  </si>
  <si>
    <t xml:space="preserve">    Other Company Items</t>
  </si>
  <si>
    <t xml:space="preserve">    Tax Effect on Adjustments</t>
  </si>
  <si>
    <t xml:space="preserve">  Marketable Securities</t>
  </si>
  <si>
    <t xml:space="preserve">        Restricted Cash &amp; Cash Equivalents</t>
  </si>
  <si>
    <t xml:space="preserve">        Prepaid Expenses &amp; Other</t>
  </si>
  <si>
    <t xml:space="preserve">      Restricted Cash &amp; Cash Equivalents</t>
  </si>
  <si>
    <t xml:space="preserve">      Restricted Marketable Securities</t>
  </si>
  <si>
    <t xml:space="preserve">      Property Plant &amp; Equipment, Net</t>
  </si>
  <si>
    <t xml:space="preserve">        Property, Plant &amp; Equipment, Gross</t>
  </si>
  <si>
    <t xml:space="preserve">      Finance Lease Liabilities</t>
  </si>
  <si>
    <t xml:space="preserve">      Derivative &amp; Warrant Liabilities</t>
  </si>
  <si>
    <t xml:space="preserve">      Total Finance Leases</t>
  </si>
  <si>
    <t xml:space="preserve">      Additional Paid-in Capital</t>
  </si>
  <si>
    <t xml:space="preserve">      Accumulated Deficit</t>
  </si>
  <si>
    <t xml:space="preserve">      Shareholder Equity </t>
  </si>
  <si>
    <t xml:space="preserve">        Redeemable Convertible Preferred Stock</t>
  </si>
  <si>
    <t xml:space="preserve">    Debt &amp; Lease Liabilities, Net</t>
  </si>
  <si>
    <t xml:space="preserve">      Gross Debt</t>
  </si>
  <si>
    <t xml:space="preserve">        Unamortized Discount &amp; Issuance Costs</t>
  </si>
  <si>
    <t xml:space="preserve">    Total Operating Lease Liabilities</t>
  </si>
  <si>
    <t xml:space="preserve">    Book Value per Share </t>
  </si>
  <si>
    <t xml:space="preserve">  Cash Flow from Operating Activities</t>
  </si>
  <si>
    <t xml:space="preserve">      Other Operating Assets</t>
  </si>
  <si>
    <t xml:space="preserve">        Accounts Payable &amp; Accrued Expenses</t>
  </si>
  <si>
    <t xml:space="preserve">        Lease Liabilities</t>
  </si>
  <si>
    <t xml:space="preserve">        Other Current Assets</t>
  </si>
  <si>
    <t xml:space="preserve">  Cash Flow from Investing Activities</t>
  </si>
  <si>
    <t xml:space="preserve">    Sale of Marketable Securities</t>
  </si>
  <si>
    <t xml:space="preserve">  Cash Flow from Financing Activities</t>
  </si>
  <si>
    <t xml:space="preserve">    Proceeds from Repayments of Borrowings</t>
  </si>
  <si>
    <t xml:space="preserve">      Proceeds from Issuance of Debt</t>
  </si>
  <si>
    <t xml:space="preserve">      Proceeds from Exercise of Warrants</t>
  </si>
  <si>
    <t xml:space="preserve">    Issuance of Common Stock, Net</t>
  </si>
  <si>
    <t xml:space="preserve">    Other Financing Activities (Excl Foreign Exch)</t>
  </si>
  <si>
    <t xml:space="preserve">    Net Changes in Cash</t>
  </si>
  <si>
    <t xml:space="preserve">    Reported Capital Expenditures</t>
  </si>
  <si>
    <t xml:space="preserve">    Free Cash Flow per Diluted Share</t>
  </si>
  <si>
    <t>NBIS US Equity- Company Financial (Multiple Periods)</t>
  </si>
  <si>
    <t>NBIS US Equity    Periodicity:A    Currency:USD    Estimate Source:BST    Actual Source:Bloomberg</t>
  </si>
  <si>
    <t xml:space="preserve">  Cash &amp; Cash Equivalents </t>
  </si>
  <si>
    <t xml:space="preserve">  Total Debt (Inc. Lease Liabilities)</t>
  </si>
  <si>
    <t xml:space="preserve">  Net Debt (Cash)</t>
  </si>
  <si>
    <t xml:space="preserve">    Product Development</t>
  </si>
  <si>
    <t xml:space="preserve">  Other Income/(Loss), Net</t>
  </si>
  <si>
    <t xml:space="preserve">  Income / (Loss) from Equity Method Investments</t>
  </si>
  <si>
    <t xml:space="preserve">    Stock Based Compensation </t>
  </si>
  <si>
    <t xml:space="preserve">      Property Plant &amp; Equipment </t>
  </si>
  <si>
    <t xml:space="preserve">      Long Term Operating Lease Right of Use Assets</t>
  </si>
  <si>
    <t xml:space="preserve">      Other </t>
  </si>
  <si>
    <t xml:space="preserve">      Accounts Payable &amp; Accrued Expenses</t>
  </si>
  <si>
    <t xml:space="preserve">      Debt, Current</t>
  </si>
  <si>
    <t xml:space="preserve">      Short Term Deferred Revenue </t>
  </si>
  <si>
    <t xml:space="preserve">      Debt, Non-Current</t>
  </si>
  <si>
    <t xml:space="preserve">      Ordinary Shares</t>
  </si>
  <si>
    <t xml:space="preserve">      Treasures Shares at Cost</t>
  </si>
  <si>
    <t xml:space="preserve">      Additional Paid-in Capital</t>
  </si>
  <si>
    <t xml:space="preserve">      Non-Controlling Interest</t>
  </si>
  <si>
    <t xml:space="preserve">    Adjustments</t>
  </si>
  <si>
    <t xml:space="preserve">      Depreciation &amp; Amortization</t>
  </si>
  <si>
    <t xml:space="preserve">      Amortization of Intangible Assets</t>
  </si>
  <si>
    <t xml:space="preserve">      Stock-Based Compensation</t>
  </si>
  <si>
    <t xml:space="preserve">      Deferred Income Tax Expense / (Benefit)</t>
  </si>
  <si>
    <t xml:space="preserve">      Foreign Exchange (Gains) / Losses</t>
  </si>
  <si>
    <t xml:space="preserve">      Change in Working Capital</t>
  </si>
  <si>
    <t xml:space="preserve">        Prepaid Expenses</t>
  </si>
  <si>
    <t xml:space="preserve">        Accounts Payable</t>
  </si>
  <si>
    <t xml:space="preserve">        Deferred Revenue</t>
  </si>
  <si>
    <t xml:space="preserve">        VAT Reclaimable</t>
  </si>
  <si>
    <t xml:space="preserve">    Proceeds from Sale of Equity Securities</t>
  </si>
  <si>
    <t xml:space="preserve">    Proceeds from Exercise of Share Options</t>
  </si>
  <si>
    <t>FRVO US Equity- Company Financial (Multiple Periods)</t>
  </si>
  <si>
    <t>FRVO US Equity    Periodicity:A    Currency:USD    Estimate Source:BST    Actual Source:Bloomberg</t>
  </si>
  <si>
    <t xml:space="preserve">    Operation &amp; Maintenance</t>
  </si>
  <si>
    <t xml:space="preserve">    Operating Lease Expense</t>
  </si>
  <si>
    <t xml:space="preserve">  Other Non-Operating Expense</t>
  </si>
  <si>
    <t xml:space="preserve">      Grant Receivables</t>
  </si>
  <si>
    <t xml:space="preserve">      Operating Leases Right of Use Assets</t>
  </si>
  <si>
    <t xml:space="preserve">      Deposits</t>
  </si>
  <si>
    <t xml:space="preserve">      Construction-in-Process</t>
  </si>
  <si>
    <t xml:space="preserve">      Accrued Capital Expenditures</t>
  </si>
  <si>
    <t xml:space="preserve">      Long-Term Debt, Net of Issuance Costs</t>
  </si>
  <si>
    <t>LRCX US Equity- Company Financial (Multiple Periods)</t>
  </si>
  <si>
    <t>LRCX US Equity    Periodicity:A    Currency:USD    Estimate Source:BST    Actual Source:Bloomberg</t>
  </si>
  <si>
    <t xml:space="preserve">    Customer Support-Related Revenue &amp; Other</t>
  </si>
  <si>
    <t xml:space="preserve">  Shipments</t>
  </si>
  <si>
    <t xml:space="preserve">  Research &amp; Development Expenses</t>
  </si>
  <si>
    <t xml:space="preserve">  Operating Margin (%)</t>
  </si>
  <si>
    <t xml:space="preserve">      Memory</t>
  </si>
  <si>
    <t xml:space="preserve">        DRAM</t>
  </si>
  <si>
    <t xml:space="preserve">        Non-Volatile Memory</t>
  </si>
  <si>
    <t xml:space="preserve">      Foundries</t>
  </si>
  <si>
    <t xml:space="preserve">      Logic</t>
  </si>
  <si>
    <t xml:space="preserve">    Korea</t>
  </si>
  <si>
    <t xml:space="preserve">    Southeast Asia</t>
  </si>
  <si>
    <t xml:space="preserve">    Development</t>
  </si>
  <si>
    <t xml:space="preserve">  Selling, General &amp; Administrative Expense</t>
  </si>
  <si>
    <t xml:space="preserve">    Other Non-Operating (Income) Loss</t>
  </si>
  <si>
    <t xml:space="preserve">  Dividends per Share</t>
  </si>
  <si>
    <t xml:space="preserve">    Non-Operating (Income) Expenses</t>
  </si>
  <si>
    <t xml:space="preserve">      Other Operating Expenses</t>
  </si>
  <si>
    <t xml:space="preserve">    Elective Deferred Compensation</t>
  </si>
  <si>
    <t xml:space="preserve">      R&amp;D Expense  </t>
  </si>
  <si>
    <t xml:space="preserve">      Cash, Cash Equivalent &amp; Short-Term Investments</t>
  </si>
  <si>
    <t xml:space="preserve">        Work-in-Process</t>
  </si>
  <si>
    <t xml:space="preserve">      Goodwill &amp; Intangibles Assets</t>
  </si>
  <si>
    <t xml:space="preserve">      Deferred Profit</t>
  </si>
  <si>
    <t xml:space="preserve">      Long Term Debt</t>
  </si>
  <si>
    <t xml:space="preserve">      Non-Current Tax Liabilities</t>
  </si>
  <si>
    <t xml:space="preserve">    Total Shareholders Equity</t>
  </si>
  <si>
    <t xml:space="preserve">    Accumulated Amortization of Intangible Assets</t>
  </si>
  <si>
    <t xml:space="preserve">      Trade Accounts Payable</t>
  </si>
  <si>
    <t xml:space="preserve">      Accrued Expenses &amp; Other Liabilities</t>
  </si>
  <si>
    <t xml:space="preserve">      Decrease in Long-Term Borrowings</t>
  </si>
  <si>
    <t xml:space="preserve">    Purchase Of Treasury Stock</t>
  </si>
  <si>
    <t xml:space="preserve">    Reissuances of Treasury Stock Related to Employee Stock Purchase Plan</t>
  </si>
  <si>
    <t xml:space="preserve">    Cash &amp; Cash Equivalents (BOP)</t>
  </si>
  <si>
    <t>AMAT US Equity- Company Financial (Multiple Periods)</t>
  </si>
  <si>
    <t>AMAT US Equity    Periodicity:A    Currency:USD    Estimate Source:BST    Actual Source:Bloomberg</t>
  </si>
  <si>
    <t xml:space="preserve">    Semiconductor Systems</t>
  </si>
  <si>
    <t xml:space="preserve">    Applied Global Services</t>
  </si>
  <si>
    <t xml:space="preserve">  Research &amp; Development Expense</t>
  </si>
  <si>
    <t xml:space="preserve">  Adjusted Operating Profit</t>
  </si>
  <si>
    <t xml:space="preserve">    Adjusted Operating Margin</t>
  </si>
  <si>
    <t xml:space="preserve">  Adjusted Pre-Tax Income</t>
  </si>
  <si>
    <t xml:space="preserve">  Orders Received Value</t>
  </si>
  <si>
    <t xml:space="preserve">  Semiconductor Systems</t>
  </si>
  <si>
    <t xml:space="preserve">      Foundry, Logic &amp; other</t>
  </si>
  <si>
    <t xml:space="preserve">      DRAM</t>
  </si>
  <si>
    <t xml:space="preserve">      Flash Memory</t>
  </si>
  <si>
    <t xml:space="preserve">    Adjusted Operating Income</t>
  </si>
  <si>
    <t xml:space="preserve">      Adjusted Operating Margin (%)</t>
  </si>
  <si>
    <t xml:space="preserve">  Applied Global Services</t>
  </si>
  <si>
    <t xml:space="preserve">     Revenue</t>
  </si>
  <si>
    <t xml:space="preserve">    Operating Income or Losses</t>
  </si>
  <si>
    <t xml:space="preserve">  Display &amp; Adjacent Markets</t>
  </si>
  <si>
    <t xml:space="preserve">      Adjusted Operating Income</t>
  </si>
  <si>
    <t xml:space="preserve">  Outside North America/Foreign</t>
  </si>
  <si>
    <t xml:space="preserve">      China</t>
  </si>
  <si>
    <t xml:space="preserve">        Revenue</t>
  </si>
  <si>
    <t xml:space="preserve">      Korea</t>
  </si>
  <si>
    <t xml:space="preserve">      Taiwan</t>
  </si>
  <si>
    <t xml:space="preserve">      Southeast Asia</t>
  </si>
  <si>
    <t xml:space="preserve">  Europe</t>
  </si>
  <si>
    <t xml:space="preserve">    Foundry, Logic &amp; other</t>
  </si>
  <si>
    <t xml:space="preserve">    Flash Memory</t>
  </si>
  <si>
    <t xml:space="preserve">    Acquisitions Adjustment to COGS</t>
  </si>
  <si>
    <t xml:space="preserve">  Other (Income) Expenses</t>
  </si>
  <si>
    <t xml:space="preserve">    Dividend Payout Ratio %</t>
  </si>
  <si>
    <t xml:space="preserve">    EBIT</t>
  </si>
  <si>
    <t xml:space="preserve">      Other Non-Operating Income </t>
  </si>
  <si>
    <t xml:space="preserve">      Other Non Operating (Income)</t>
  </si>
  <si>
    <t xml:space="preserve">    Income from Continue Operations</t>
  </si>
  <si>
    <t xml:space="preserve">      Acquisition Integration &amp; Deal Costs</t>
  </si>
  <si>
    <t xml:space="preserve">   Unrealized Investments</t>
  </si>
  <si>
    <t xml:space="preserve">    Income Tax Effect on Non-GAAP Adjustments</t>
  </si>
  <si>
    <t xml:space="preserve">    Return on Sales (%)</t>
  </si>
  <si>
    <t xml:space="preserve">    EBITDA per Share</t>
  </si>
  <si>
    <t xml:space="preserve">        Cash and Cash Equivalents</t>
  </si>
  <si>
    <t xml:space="preserve">        Gross property, plant &amp; equipment</t>
  </si>
  <si>
    <t xml:space="preserve">  Liabilities &amp; Equities</t>
  </si>
  <si>
    <t xml:space="preserve">    Debt to Equity</t>
  </si>
  <si>
    <t xml:space="preserve">      Other Current &amp; Non-Current Assets</t>
  </si>
  <si>
    <t xml:space="preserve">    Other Current Assets &amp; Liabilities</t>
  </si>
  <si>
    <t xml:space="preserve">    Purchases of Investment</t>
  </si>
  <si>
    <t xml:space="preserve">      Proceeds from Investing</t>
  </si>
  <si>
    <t xml:space="preserve">    Cash Paid for Acquisitions, Net</t>
  </si>
  <si>
    <t xml:space="preserve">    Repayment of Commercial Paper</t>
  </si>
  <si>
    <t xml:space="preserve">      Stock Issuance</t>
  </si>
  <si>
    <t xml:space="preserve">      Repurchases of Common Stock</t>
  </si>
  <si>
    <t xml:space="preserve">      Cash &amp; Cash Equivalents - Beginning Balance</t>
  </si>
  <si>
    <t xml:space="preserve">    Free Cash Flow per Share</t>
  </si>
  <si>
    <t>KLAC US Equity- Company Financial (Multiple Periods)</t>
  </si>
  <si>
    <t>KLAC US Equity    Periodicity:A    Currency:USD    Estimate Source:BST    Actual Source:Bloomberg</t>
  </si>
  <si>
    <t xml:space="preserve">  Adjusted Gross Margin</t>
  </si>
  <si>
    <t xml:space="preserve">    Operating Margin</t>
  </si>
  <si>
    <t xml:space="preserve">  Company-Level Industry Statistics </t>
  </si>
  <si>
    <t xml:space="preserve">  Total Revenue by End User</t>
  </si>
  <si>
    <t xml:space="preserve">      Wafer Inspection</t>
  </si>
  <si>
    <t xml:space="preserve">        As % of Revenue </t>
  </si>
  <si>
    <t xml:space="preserve">      Patterning</t>
  </si>
  <si>
    <t xml:space="preserve">      PCB, Display &amp; Component Inspection</t>
  </si>
  <si>
    <t xml:space="preserve">      Specialty Semiconductor Process</t>
  </si>
  <si>
    <t xml:space="preserve">  Total Revenue - Supplementary Breakdown</t>
  </si>
  <si>
    <t xml:space="preserve">    Semiconductor Process Control</t>
  </si>
  <si>
    <t xml:space="preserve">        NAND</t>
  </si>
  <si>
    <t xml:space="preserve">      Logic/Foundry</t>
  </si>
  <si>
    <t xml:space="preserve">    Specialty Semiconductor Process</t>
  </si>
  <si>
    <t xml:space="preserve">    PCB , Display &amp; Component Inspection</t>
  </si>
  <si>
    <t xml:space="preserve">    Corporate</t>
  </si>
  <si>
    <t xml:space="preserve">    Europe &amp; Israel</t>
  </si>
  <si>
    <t xml:space="preserve">  Operating Expense Adjusted</t>
  </si>
  <si>
    <t xml:space="preserve">      Research &amp; Development Expense</t>
  </si>
  <si>
    <t xml:space="preserve">    EBITDA Margin</t>
  </si>
  <si>
    <t xml:space="preserve">  Interest Income/Expense, Net</t>
  </si>
  <si>
    <t xml:space="preserve">  Other &amp; Non-Operating Interest Income/Expense, Net</t>
  </si>
  <si>
    <t xml:space="preserve">  Tax Effects on Abnormal Items</t>
  </si>
  <si>
    <t xml:space="preserve">  Acquisition Expense</t>
  </si>
  <si>
    <t xml:space="preserve">  Minority Interest</t>
  </si>
  <si>
    <t xml:space="preserve">      Selling, General &amp; Administrative Expense</t>
  </si>
  <si>
    <t xml:space="preserve">      Operating Margin</t>
  </si>
  <si>
    <t xml:space="preserve">    Dividend Per Share</t>
  </si>
  <si>
    <t xml:space="preserve">      Cost of Revenue Adjustments</t>
  </si>
  <si>
    <t xml:space="preserve">      Restructuring, Severance &amp; Other Charges</t>
  </si>
  <si>
    <t xml:space="preserve">      One Time Tax Charge (Benefit)</t>
  </si>
  <si>
    <t xml:space="preserve">      Income Tax Effect of Non-GAAP Adjustments</t>
  </si>
  <si>
    <t xml:space="preserve">      Cash, Cash Equivalents &amp; STI</t>
  </si>
  <si>
    <t xml:space="preserve">      Marketable Securities</t>
  </si>
  <si>
    <t xml:space="preserve">        Works in Progress</t>
  </si>
  <si>
    <t xml:space="preserve">      Deferred Service Revenue</t>
  </si>
  <si>
    <t xml:space="preserve">      Deferred/Unearned Revenue (Long-Term)</t>
  </si>
  <si>
    <t xml:space="preserve">    Days Payable Outstanding</t>
  </si>
  <si>
    <t xml:space="preserve">    Capitalization Ratio</t>
  </si>
  <si>
    <t xml:space="preserve">    Unrealized Foreign Exchange (Gain) Loss &amp; Other</t>
  </si>
  <si>
    <t xml:space="preserve">    Change In Other Liabilities</t>
  </si>
  <si>
    <t xml:space="preserve">    Disposal of Fixed Assets</t>
  </si>
  <si>
    <t xml:space="preserve">    Business Acquisitions, Net of Cash Acquired</t>
  </si>
  <si>
    <t xml:space="preserve">    Net Cash From Acq &amp; Div</t>
  </si>
  <si>
    <t xml:space="preserve">    Purchases of Available-for-Sale Securities</t>
  </si>
  <si>
    <t xml:space="preserve">    Purchases of Trading Securities</t>
  </si>
  <si>
    <t xml:space="preserve">    Net Repayments of Debt</t>
  </si>
  <si>
    <t xml:space="preserve">    Increase in Capital Stock</t>
  </si>
  <si>
    <t xml:space="preserve">    Decrease in Capital Stock</t>
  </si>
  <si>
    <t xml:space="preserve">    Debt Financing/Issuance Costs</t>
  </si>
  <si>
    <t>000660 KS Equity- Company Financial (Multiple Periods)</t>
  </si>
  <si>
    <t>000660 KS Equity    Periodicity:A    Currency:KRW    Estimate Source:BST    Actual Source:Bloomberg</t>
  </si>
  <si>
    <t>In Billions of KRW</t>
  </si>
  <si>
    <t xml:space="preserve">  Adjusted Basic EPS</t>
  </si>
  <si>
    <t xml:space="preserve">    NAND Flash</t>
  </si>
  <si>
    <t xml:space="preserve">    CAPEX Intensity</t>
  </si>
  <si>
    <t xml:space="preserve">    Avg. Sales Price(US$/Gb)</t>
  </si>
  <si>
    <t xml:space="preserve">      POP Growth %</t>
  </si>
  <si>
    <t xml:space="preserve">    Shipment</t>
  </si>
  <si>
    <t xml:space="preserve">    Avg. Sales Price(US$/GB)</t>
  </si>
  <si>
    <t xml:space="preserve">  NAND Flash</t>
  </si>
  <si>
    <t xml:space="preserve">      As % of DRAM</t>
  </si>
  <si>
    <t xml:space="preserve">      R&amp;D Intensity</t>
  </si>
  <si>
    <t xml:space="preserve">    Amortization Expense</t>
  </si>
  <si>
    <t xml:space="preserve">  Other Investment Income</t>
  </si>
  <si>
    <t xml:space="preserve">  Income from Affiliates</t>
  </si>
  <si>
    <t xml:space="preserve">  Net Finance Cost</t>
  </si>
  <si>
    <t xml:space="preserve">    Financial Income</t>
  </si>
  <si>
    <t xml:space="preserve">  Other Finance Cost</t>
  </si>
  <si>
    <t xml:space="preserve">  Foreign Exchange (Gains) Losses</t>
  </si>
  <si>
    <t xml:space="preserve">  Net Income Incl. Non-Controlling Interest</t>
  </si>
  <si>
    <t xml:space="preserve">  Diluted Weighted Average Shares</t>
  </si>
  <si>
    <t xml:space="preserve">  Dividends Paid</t>
  </si>
  <si>
    <t xml:space="preserve">  Dividend Payout Ratio (%)</t>
  </si>
  <si>
    <t xml:space="preserve">  Comprehensive Income</t>
  </si>
  <si>
    <t xml:space="preserve">    Other Equity Ratio</t>
  </si>
  <si>
    <t xml:space="preserve">    EBIT/Interest</t>
  </si>
  <si>
    <t xml:space="preserve">    Net Operating Profit after Tax (NOPAT)</t>
  </si>
  <si>
    <t xml:space="preserve">      Short-Term Financial Instruments</t>
  </si>
  <si>
    <t xml:space="preserve">      Short-Term Investment Assets</t>
  </si>
  <si>
    <t xml:space="preserve">      Trade Payable</t>
  </si>
  <si>
    <t xml:space="preserve">      Short-Term Loans</t>
  </si>
  <si>
    <t xml:space="preserve">        Short-Term Borrowings</t>
  </si>
  <si>
    <t xml:space="preserve">          Short-Term Debt</t>
  </si>
  <si>
    <t xml:space="preserve">          Current Portion of LT Debt</t>
  </si>
  <si>
    <t xml:space="preserve">        Long Term Borrowings</t>
  </si>
  <si>
    <t xml:space="preserve">          Debentures</t>
  </si>
  <si>
    <t xml:space="preserve">          Bond Payables</t>
  </si>
  <si>
    <t xml:space="preserve">      Others</t>
  </si>
  <si>
    <t xml:space="preserve">    Total Shareholders' Equity Excl Non-Controlling Interest</t>
  </si>
  <si>
    <t xml:space="preserve">    Sales to Accounts Receivable</t>
  </si>
  <si>
    <t xml:space="preserve">    Avg. Total Assets</t>
  </si>
  <si>
    <t xml:space="preserve">    Par Value </t>
  </si>
  <si>
    <t xml:space="preserve">    Capital Employed</t>
  </si>
  <si>
    <t xml:space="preserve">    Financial Leverage</t>
  </si>
  <si>
    <t xml:space="preserve">    Outstanding Ordinary Shares</t>
  </si>
  <si>
    <t xml:space="preserve">    Change in Fixed &amp; Intangible Assets</t>
  </si>
  <si>
    <t xml:space="preserve">      Acquisition of Intangibles</t>
  </si>
  <si>
    <t xml:space="preserve">    Operating &amp; Finance Leases Payment</t>
  </si>
  <si>
    <t>000660 KS Equity    Periodicity:A    Currency:USD    Estimate Source:BST    Actual Source:Bloomberg</t>
  </si>
  <si>
    <t>Duos Technologies Group Inc (DUOT US) - As Reported</t>
  </si>
  <si>
    <t>In Millions of USD except Per Share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</si>
  <si>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</si>
  <si>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</si>
  <si>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</si>
  <si>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</si>
  <si>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</si>
  <si>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</si>
  <si>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</si>
  <si>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</si>
  <si>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</si>
  <si>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</si>
  <si>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</si>
  <si>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</si>
  <si>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Income Statement</t>
  </si>
  <si>
    <t xml:space="preserve">  Revenues</t>
  </si>
  <si>
    <t>Other Revenue</t>
  </si>
  <si>
    <t>—</t>
  </si>
  <si>
    <t>Product Revenue</t>
  </si>
  <si>
    <t>Service Revenue</t>
  </si>
  <si>
    <t>Maintenance Revenue</t>
  </si>
  <si>
    <t>Service And Maintenance Revenue</t>
  </si>
  <si>
    <t>Management Services Fees</t>
  </si>
  <si>
    <t>Total Revenue</t>
  </si>
  <si>
    <t>Total Operating Expenses</t>
  </si>
  <si>
    <t>R &amp; D Expenditures</t>
  </si>
  <si>
    <t>Sales/Marketing/Advertising Expenses</t>
  </si>
  <si>
    <t>Salaries Wages and Employee Benefits</t>
  </si>
  <si>
    <t>Other Operating Expenses</t>
  </si>
  <si>
    <t>General and Administrative Expenses</t>
  </si>
  <si>
    <t>Gross Profit</t>
  </si>
  <si>
    <t>Operating Income</t>
  </si>
  <si>
    <t>Cost of Products Sold</t>
  </si>
  <si>
    <t>Cost of Services</t>
  </si>
  <si>
    <t>Other Cost of Revenues</t>
  </si>
  <si>
    <t>Total Cost of Revenues</t>
  </si>
  <si>
    <t>Cost Of Service And Maintenance Revenue</t>
  </si>
  <si>
    <t>Loss/(Recovery) on Impair of Intangible Assets</t>
  </si>
  <si>
    <t>Interest Expense</t>
  </si>
  <si>
    <t>Interest Income</t>
  </si>
  <si>
    <t>Other Non-Operating Expenses</t>
  </si>
  <si>
    <t>Income Tax Expense (Benefit)</t>
  </si>
  <si>
    <t>Income Before Income Taxes</t>
  </si>
  <si>
    <t>Income Before XO Items</t>
  </si>
  <si>
    <t>GL On Early Ext of Debt -Non-Op</t>
  </si>
  <si>
    <t>Other Non-Operating (Income)/Expense - Net</t>
  </si>
  <si>
    <t>Deriv Expn Not Abnormal Item Non-Operating</t>
  </si>
  <si>
    <t xml:space="preserve">  Earnings</t>
  </si>
  <si>
    <t>Total Cash Preferred Dividends</t>
  </si>
  <si>
    <t>Basic EPS</t>
  </si>
  <si>
    <t>Weighted Avg. Shares - Basic</t>
  </si>
  <si>
    <t>Diluted EPS</t>
  </si>
  <si>
    <t>Weighted Avg. Shares - Diluted</t>
  </si>
  <si>
    <t>Basic &amp; Diluted EPS</t>
  </si>
  <si>
    <t>Weighted Avg. Shares - Basic &amp; Diluted</t>
  </si>
  <si>
    <t>Net Income Available For Common Shareholders</t>
  </si>
  <si>
    <t>Profit After Taxation Before Minority</t>
  </si>
  <si>
    <t>Cumulative Net Income</t>
  </si>
  <si>
    <t>Net Income</t>
  </si>
  <si>
    <t>Total Comprehensive Income</t>
  </si>
  <si>
    <t>Net Income - Comprehensive Income</t>
  </si>
  <si>
    <t xml:space="preserve">  Reference Items</t>
  </si>
  <si>
    <t>Amortization Expense</t>
  </si>
  <si>
    <t>Depreciation Expense</t>
  </si>
  <si>
    <t>Depreciation and Amortization</t>
  </si>
  <si>
    <t>(Gain)/Loss On Sale of Assets</t>
  </si>
  <si>
    <t>Other One-Time Charges</t>
  </si>
  <si>
    <t>Current Rental Expense</t>
  </si>
  <si>
    <t>Stock Based Compensation Expense</t>
  </si>
  <si>
    <t>Amortization of Intangible Assets</t>
  </si>
  <si>
    <t>Net Inc Available For Common Shareholders</t>
  </si>
  <si>
    <t>REF Split/Dividend Adjustment Factor</t>
  </si>
  <si>
    <t>Total Fees Paid To Audit Firms</t>
  </si>
  <si>
    <t>Auditor Expense - Audit</t>
  </si>
  <si>
    <t>Auditor Expense - Non Audit</t>
  </si>
  <si>
    <t>Loss/(Recovery) Impair Intangible Assets</t>
  </si>
  <si>
    <t>Tax Provision/Benefit - Non-Recurring</t>
  </si>
  <si>
    <t>Audit Service Fee Paid to Main Auditor</t>
  </si>
  <si>
    <t>ARDR Gross Margin</t>
  </si>
  <si>
    <t>ARDR Revenue Growth</t>
  </si>
  <si>
    <t>ARDR Stock Based Compensation CF Pre Tax</t>
  </si>
  <si>
    <t>Right click to show data transparency (not supported for all values)</t>
  </si>
  <si>
    <t>Duos Technologies Group Inc (DUOT US) - BBG Adjusted</t>
  </si>
  <si>
    <t>Last 12M</t>
  </si>
  <si>
    <t>FY 2026 Est</t>
  </si>
  <si>
    <t>FY 2027 Est</t>
  </si>
  <si>
    <t>Revenue</t>
  </si>
  <si>
    <t xml:space="preserve">    + Sales &amp; Services Revenue</t>
  </si>
  <si>
    <t xml:space="preserve">    + Other Revenue</t>
  </si>
  <si>
    <t xml:space="preserve">  - Cost of Revenue</t>
  </si>
  <si>
    <t xml:space="preserve">    + Cost of Goods &amp; Services</t>
  </si>
  <si>
    <t xml:space="preserve">  + Other Operating Income</t>
  </si>
  <si>
    <t xml:space="preserve">  - Operating Expenses</t>
  </si>
  <si>
    <t xml:space="preserve">    + Selling, General &amp; Admin</t>
  </si>
  <si>
    <t xml:space="preserve">    + Selling &amp; Marketing</t>
  </si>
  <si>
    <t xml:space="preserve">    + General &amp; Administrative</t>
  </si>
  <si>
    <t xml:space="preserve">    + Research &amp; Development</t>
  </si>
  <si>
    <t xml:space="preserve">    + Other Operating Expense</t>
  </si>
  <si>
    <t>Operating Income (Loss)</t>
  </si>
  <si>
    <t xml:space="preserve">  - Non-Operating (Income) Loss</t>
  </si>
  <si>
    <t xml:space="preserve">    + Interest Expense, Net</t>
  </si>
  <si>
    <t xml:space="preserve">    + Interest Expense</t>
  </si>
  <si>
    <t xml:space="preserve">    - Interest Income</t>
  </si>
  <si>
    <t xml:space="preserve">    + Foreign Exch (Gain) Loss</t>
  </si>
  <si>
    <t xml:space="preserve">    + Other Non-Op (Income) Loss</t>
  </si>
  <si>
    <t>Pretax Income (Loss), Adjusted</t>
  </si>
  <si>
    <t xml:space="preserve">  - Abnormal Losses (Gains)</t>
  </si>
  <si>
    <t xml:space="preserve">    + Disposal of Assets</t>
  </si>
  <si>
    <t xml:space="preserve">    + Early Extinguishment of Debt</t>
  </si>
  <si>
    <t xml:space="preserve">    + Impairment of Intangibles</t>
  </si>
  <si>
    <t xml:space="preserve">    + Other Abnormal Items</t>
  </si>
  <si>
    <t>Pretax Income (Loss), GAAP</t>
  </si>
  <si>
    <t xml:space="preserve">  - Income Tax Expense (Benefit)</t>
  </si>
  <si>
    <t xml:space="preserve">    + Current Income Tax</t>
  </si>
  <si>
    <t xml:space="preserve">    + Deferred Income Tax</t>
  </si>
  <si>
    <t>Income (Loss) from Cont Ops</t>
  </si>
  <si>
    <t xml:space="preserve">  - Net Extraordinary Losses (Gains)</t>
  </si>
  <si>
    <t xml:space="preserve">    + Discontinued Operations</t>
  </si>
  <si>
    <t xml:space="preserve">    + XO &amp; Accounting Changes</t>
  </si>
  <si>
    <t>Income (Loss) Incl. MI</t>
  </si>
  <si>
    <t xml:space="preserve">  - Minority Interest</t>
  </si>
  <si>
    <t>Net Income, GAAP</t>
  </si>
  <si>
    <t xml:space="preserve">  - Preferred Dividends</t>
  </si>
  <si>
    <t xml:space="preserve">  - Other Adjustments</t>
  </si>
  <si>
    <t>Net Income Avail to Common, GAAP</t>
  </si>
  <si>
    <t>MRVL US Equity- Company Financial (Multiple Periods)</t>
  </si>
  <si>
    <t>MRVL US Equity    Periodicity:A    Currency:USD    Estimate Source:BST    Actual Source:Bloomberg</t>
  </si>
  <si>
    <t xml:space="preserve">    Communications and Other</t>
  </si>
  <si>
    <t xml:space="preserve">      Carrier Infrastructure</t>
  </si>
  <si>
    <t xml:space="preserve">      Enterprise Networking</t>
  </si>
  <si>
    <t xml:space="preserve">      Consumer</t>
  </si>
  <si>
    <t xml:space="preserve">      Automotive / Industrial</t>
  </si>
  <si>
    <t xml:space="preserve">  Adjusted Operating Expenses</t>
  </si>
  <si>
    <t xml:space="preserve">  Capital Ependitures</t>
  </si>
  <si>
    <t xml:space="preserve">  Current Ratio (%)</t>
  </si>
  <si>
    <t xml:space="preserve">  Days Sales Out (%)</t>
  </si>
  <si>
    <t xml:space="preserve">      Automotive/Industrial</t>
  </si>
  <si>
    <t xml:space="preserve">  AI Revenue</t>
  </si>
  <si>
    <t xml:space="preserve">  Custom AI Revenue</t>
  </si>
  <si>
    <t xml:space="preserve">    Direct Customers</t>
  </si>
  <si>
    <t xml:space="preserve">    Distributors</t>
  </si>
  <si>
    <t xml:space="preserve">    Storage</t>
  </si>
  <si>
    <t xml:space="preserve">  China</t>
  </si>
  <si>
    <t xml:space="preserve">  Taiwan</t>
  </si>
  <si>
    <t xml:space="preserve">  Malaysia</t>
  </si>
  <si>
    <t xml:space="preserve">  Thailand</t>
  </si>
  <si>
    <t xml:space="preserve">  Finland</t>
  </si>
  <si>
    <t xml:space="preserve">  Singapore</t>
  </si>
  <si>
    <t xml:space="preserve">    Income Tax Effect</t>
  </si>
  <si>
    <t xml:space="preserve">    Net Income </t>
  </si>
  <si>
    <t xml:space="preserve">    Diluted Weighted Average Shares</t>
  </si>
  <si>
    <t xml:space="preserve">    Dividend per Share</t>
  </si>
  <si>
    <t xml:space="preserve">     Other Items </t>
  </si>
  <si>
    <t xml:space="preserve">       Early Extinguishment of Debt</t>
  </si>
  <si>
    <t xml:space="preserve">    Restructuring Charges</t>
  </si>
  <si>
    <t xml:space="preserve">      Works in Progress</t>
  </si>
  <si>
    <t xml:space="preserve">      Finished Goods</t>
  </si>
  <si>
    <t xml:space="preserve">        Intangible Assets</t>
  </si>
  <si>
    <t xml:space="preserve">      Accrued Employee Compensation</t>
  </si>
  <si>
    <t xml:space="preserve">    Adjusted Return on Assets (%)</t>
  </si>
  <si>
    <t xml:space="preserve">    Adjusted Return on Equity (%)</t>
  </si>
  <si>
    <t xml:space="preserve">    Net Debt per Diluted Shares</t>
  </si>
  <si>
    <t xml:space="preserve">    Cash per Share</t>
  </si>
  <si>
    <t xml:space="preserve">    Amortization of Deferred Compensation</t>
  </si>
  <si>
    <t xml:space="preserve">    Amortization of Other</t>
  </si>
  <si>
    <t xml:space="preserve">      Accrued Liabilities &amp; Other Non-Current Liabilities</t>
  </si>
  <si>
    <t xml:space="preserve">      As % os Revenue</t>
  </si>
  <si>
    <t xml:space="preserve">    Purchases of Technology Licenses</t>
  </si>
  <si>
    <t xml:space="preserve">    Increase in Borrowings</t>
  </si>
  <si>
    <t xml:space="preserve">    Principal Payments of Debt</t>
  </si>
  <si>
    <t xml:space="preserve">    Proceeds from employee stock plans</t>
  </si>
  <si>
    <t xml:space="preserve">    Tax Withholding Paid on Behalf of Employees for Net Share Settlement</t>
  </si>
  <si>
    <t xml:space="preserve">    CFO before Non-Cash Working Capital</t>
  </si>
  <si>
    <t>DELL US Equity- Company Financial (Multiple Periods)</t>
  </si>
  <si>
    <t>DELL US Equity    Periodicity:A    Currency:USD    Estimate Source:BST    Actual Source:Bloomberg</t>
  </si>
  <si>
    <t xml:space="preserve">  Business Segments Revenue</t>
  </si>
  <si>
    <t xml:space="preserve">    Client Solutions Group</t>
  </si>
  <si>
    <t xml:space="preserve">    Infrastructure Solutions Group</t>
  </si>
  <si>
    <t xml:space="preserve">      AI-Optimized Servers</t>
  </si>
  <si>
    <t xml:space="preserve">      Traditional Servers &amp; Networking</t>
  </si>
  <si>
    <t xml:space="preserve">      Storage</t>
  </si>
  <si>
    <t xml:space="preserve">    Other Business</t>
  </si>
  <si>
    <t xml:space="preserve">  AI Server Shipments</t>
  </si>
  <si>
    <t xml:space="preserve">  AI Server Orders</t>
  </si>
  <si>
    <t xml:space="preserve">  AI Server Backlogs</t>
  </si>
  <si>
    <t xml:space="preserve">  Total Value of Shares Repurchased</t>
  </si>
  <si>
    <t xml:space="preserve">  Infrastructure Solutions Group (ISG)</t>
  </si>
  <si>
    <t xml:space="preserve">      Servers &amp; Networking</t>
  </si>
  <si>
    <t xml:space="preserve">        AI-Optimized Servers</t>
  </si>
  <si>
    <t xml:space="preserve">        Traditional Servers &amp; Networking</t>
  </si>
  <si>
    <t xml:space="preserve">  Client Solutions Group (CSG)</t>
  </si>
  <si>
    <t xml:space="preserve">      Commercial</t>
  </si>
  <si>
    <t xml:space="preserve">  Other Business</t>
  </si>
  <si>
    <t xml:space="preserve">    Foreign Countries</t>
  </si>
  <si>
    <t xml:space="preserve">    Products</t>
  </si>
  <si>
    <t xml:space="preserve">    Services</t>
  </si>
  <si>
    <t xml:space="preserve">  Depreciation</t>
  </si>
  <si>
    <t xml:space="preserve">  Interest Expense/(Income), Net</t>
  </si>
  <si>
    <t xml:space="preserve">    Interest Expense/(Income), Net</t>
  </si>
  <si>
    <t xml:space="preserve">      Other Non-Operating (Income)/Loss</t>
  </si>
  <si>
    <t xml:space="preserve">    Net Income Attributable to Dell Technologies</t>
  </si>
  <si>
    <t xml:space="preserve">    Reportable segment net revenue</t>
  </si>
  <si>
    <t xml:space="preserve">    Other Abnormal Items</t>
  </si>
  <si>
    <t xml:space="preserve">    Interest Income/(Expense) Adjustment</t>
  </si>
  <si>
    <t xml:space="preserve">    Income Tax Adjustment</t>
  </si>
  <si>
    <t xml:space="preserve">      Short-Term Financing Receivables</t>
  </si>
  <si>
    <t xml:space="preserve">      Long Term Investments</t>
  </si>
  <si>
    <t xml:space="preserve">      Long-term Financing Receivables</t>
  </si>
  <si>
    <t xml:space="preserve">      Accrued &amp; Other</t>
  </si>
  <si>
    <t xml:space="preserve">    Non Current Liabilities</t>
  </si>
  <si>
    <t xml:space="preserve">      Redeemable Common Stock</t>
  </si>
  <si>
    <t xml:space="preserve">      Minority Interest</t>
  </si>
  <si>
    <t xml:space="preserve">      Shareholders' Equity</t>
  </si>
  <si>
    <t xml:space="preserve">        Treasury Stock (at Cost)</t>
  </si>
  <si>
    <t xml:space="preserve">        Accumulated Deficit</t>
  </si>
  <si>
    <t xml:space="preserve">        Accumulated Other Comprehensive Loss</t>
  </si>
  <si>
    <t xml:space="preserve">    Total Liabilities &amp; Equity</t>
  </si>
  <si>
    <t xml:space="preserve">    Total Net Debt/(Cash)</t>
  </si>
  <si>
    <t xml:space="preserve">    Common Shares Outstanding</t>
  </si>
  <si>
    <t xml:space="preserve">    Total Equity &amp; Redeemable Shares</t>
  </si>
  <si>
    <t xml:space="preserve">      Amortization of Debt Issuance Costs</t>
  </si>
  <si>
    <t xml:space="preserve">      Financing Receivables</t>
  </si>
  <si>
    <t xml:space="preserve">    Maturities &amp; Sales of Investments</t>
  </si>
  <si>
    <t xml:space="preserve">    Capitalized Software Development Costs</t>
  </si>
  <si>
    <t xml:space="preserve">    Acquisitions of Businesses &amp; Assets, Net</t>
  </si>
  <si>
    <t xml:space="preserve">    Divestitures of Businesses &amp; Assets, Net</t>
  </si>
  <si>
    <t xml:space="preserve">    Repayments of Debt</t>
  </si>
  <si>
    <t xml:space="preserve">    Net Proceeds/(Repayments) from Debt</t>
  </si>
  <si>
    <t xml:space="preserve">      Proceeds from Debt</t>
  </si>
  <si>
    <t xml:space="preserve">    Total Payout</t>
  </si>
  <si>
    <t xml:space="preserve">      Total Value of Shares Repurchased</t>
  </si>
  <si>
    <t xml:space="preserve">      Dividends Paid</t>
  </si>
  <si>
    <t>ARM US Equity- Company Financial (Multiple Periods)</t>
  </si>
  <si>
    <t>ARM US Equity    Periodicity:A    Currency:USD    Estimate Source:BST    Actual Source:Bloomberg</t>
  </si>
  <si>
    <t xml:space="preserve">    License &amp; Other</t>
  </si>
  <si>
    <t xml:space="preserve">    Royalty</t>
  </si>
  <si>
    <t xml:space="preserve">    AGI CPU</t>
  </si>
  <si>
    <t xml:space="preserve">  Annual Contract Value</t>
  </si>
  <si>
    <t xml:space="preserve">  Number of Shipments</t>
  </si>
  <si>
    <t xml:space="preserve">  Remaining Performance Obligation </t>
  </si>
  <si>
    <t xml:space="preserve">    External Customers</t>
  </si>
  <si>
    <t xml:space="preserve">    Related Parties</t>
  </si>
  <si>
    <t xml:space="preserve">    PRC</t>
  </si>
  <si>
    <t xml:space="preserve">    Republic of Korea</t>
  </si>
  <si>
    <t xml:space="preserve">    Impairment of Long-Lived Assets</t>
  </si>
  <si>
    <t xml:space="preserve">    Disposal, Restructuring &amp; Other Operating Expenses, Net</t>
  </si>
  <si>
    <t xml:space="preserve">    Interest Income, Net</t>
  </si>
  <si>
    <t xml:space="preserve">    (Income) Loss from equity investments, net</t>
  </si>
  <si>
    <t xml:space="preserve">    Pretax Margin (%)</t>
  </si>
  <si>
    <t xml:space="preserve">  Loss from Discontinued Operations Before Income Taxes</t>
  </si>
  <si>
    <t xml:space="preserve">    Total Operating Expense</t>
  </si>
  <si>
    <t xml:space="preserve">      EBITDA Margin</t>
  </si>
  <si>
    <t xml:space="preserve">      Net Income Margin (%)</t>
  </si>
  <si>
    <t xml:space="preserve">      Pre-Paid Expenses &amp; Other other Current Assets</t>
  </si>
  <si>
    <t xml:space="preserve">      Property &amp; Equipment, Net</t>
  </si>
  <si>
    <t xml:space="preserve">      Operating lease Right-of-Use Assets</t>
  </si>
  <si>
    <t xml:space="preserve">      Equity Investments</t>
  </si>
  <si>
    <t xml:space="preserve">      Intangible Assets, Net</t>
  </si>
  <si>
    <t xml:space="preserve">      Tax Liabilities</t>
  </si>
  <si>
    <t xml:space="preserve">      Non-Current Portion of Operating Lease Liabilities</t>
  </si>
  <si>
    <t xml:space="preserve">      Non-Current Portion of Accrued Compensation and Share-Based Compensation</t>
  </si>
  <si>
    <t xml:space="preserve">      Non-Current Portion of Contract Liabilities</t>
  </si>
  <si>
    <t xml:space="preserve">    Sales to Total Assets</t>
  </si>
  <si>
    <t xml:space="preserve">    Share-Based Compensation</t>
  </si>
  <si>
    <t xml:space="preserve">      Tax Payable</t>
  </si>
  <si>
    <t xml:space="preserve">    Purchases of Equity Investments</t>
  </si>
  <si>
    <t xml:space="preserve">    Purchases of Intangible Assets</t>
  </si>
  <si>
    <t xml:space="preserve">    Increase/Decrease in Debt</t>
  </si>
  <si>
    <t xml:space="preserve">    Payments of Withholding tax on Vested Shares</t>
  </si>
  <si>
    <t>NET US Equity- Company Financial (Multiple Periods)</t>
  </si>
  <si>
    <t>NET US Equity    Periodicity:A    Currency:USD    Estimate Source:BST    Actual Source:Bloomberg</t>
  </si>
  <si>
    <t xml:space="preserve">  Number of Active Clients (Actuals)</t>
  </si>
  <si>
    <t xml:space="preserve">  Number of Active Clients (&gt;$100K Annualized Revenue)</t>
  </si>
  <si>
    <t xml:space="preserve">  Net Retention Rate</t>
  </si>
  <si>
    <t xml:space="preserve">  Revenue from New Customers</t>
  </si>
  <si>
    <t xml:space="preserve">  Avg. Revenue per Customer (Annualized)</t>
  </si>
  <si>
    <t xml:space="preserve">    Channel Partners</t>
  </si>
  <si>
    <t xml:space="preserve">    APAC</t>
  </si>
  <si>
    <t xml:space="preserve">  Total Operating Expenses (Income)</t>
  </si>
  <si>
    <t xml:space="preserve">    Selling &amp; Marketing</t>
  </si>
  <si>
    <t xml:space="preserve">  Interest Expense </t>
  </si>
  <si>
    <t xml:space="preserve">  Other Company Exclusions</t>
  </si>
  <si>
    <t xml:space="preserve">        Amortization of Acquired Intangible Assets</t>
  </si>
  <si>
    <t xml:space="preserve">    Loss on Extinguishment of Debt</t>
  </si>
  <si>
    <t xml:space="preserve">     Amortization of Acquired Intangible Assets</t>
  </si>
  <si>
    <t xml:space="preserve">    Acquisition-Related &amp; Other Expenses</t>
  </si>
  <si>
    <t xml:space="preserve">    Rental Expenses</t>
  </si>
  <si>
    <t xml:space="preserve">      Liability for Early Exercise of Invested Stock Options</t>
  </si>
  <si>
    <t xml:space="preserve">      Short-Term Lease Liabilities</t>
  </si>
  <si>
    <t xml:space="preserve">        Class A Common Stock</t>
  </si>
  <si>
    <t xml:space="preserve">        Class B Common Stock</t>
  </si>
  <si>
    <t xml:space="preserve">    Amortization of Deferred Contract Acquisition Costs</t>
  </si>
  <si>
    <t xml:space="preserve">    Amortization of Debt Issuance Costs</t>
  </si>
  <si>
    <t xml:space="preserve">    Provision for Bad Debt</t>
  </si>
  <si>
    <t xml:space="preserve">      Change in Accounts Receivable</t>
  </si>
  <si>
    <t xml:space="preserve">      Change in Prepaid Expenses &amp; Other Current Assets</t>
  </si>
  <si>
    <t xml:space="preserve">      Change In Deferred Revenue</t>
  </si>
  <si>
    <t xml:space="preserve">      Change in Contract Assets</t>
  </si>
  <si>
    <t xml:space="preserve">      Change in Accounts Payable</t>
  </si>
  <si>
    <t xml:space="preserve">      Purchases of Property &amp; Equipment</t>
  </si>
  <si>
    <t xml:space="preserve">      Capitalized Internal Use Software</t>
  </si>
  <si>
    <t xml:space="preserve">    Net Cash Paid (Received) for Acq Divestitures</t>
  </si>
  <si>
    <t xml:space="preserve">    Repayments of Convertible Senior Notes</t>
  </si>
  <si>
    <t xml:space="preserve">    Payment of Tax Withholding Obligation on RSU Settlement</t>
  </si>
  <si>
    <t xml:space="preserve">    Payment of Indemnity Holdback</t>
  </si>
  <si>
    <t xml:space="preserve">    Free Cash Flow per Basic Share</t>
  </si>
  <si>
    <t>ZS US Equity- Company Financial (Multiple Periods)</t>
  </si>
  <si>
    <t>ZS US Equity    Periodicity:A    Currency:USD    Estimate Source:BST    Actual Source:Bloomberg</t>
  </si>
  <si>
    <t xml:space="preserve">  Rule of 40</t>
  </si>
  <si>
    <t xml:space="preserve">  Total Deferred Revenue</t>
  </si>
  <si>
    <t xml:space="preserve">    Total Change in Deferred Revenue</t>
  </si>
  <si>
    <t xml:space="preserve">  Total Customers</t>
  </si>
  <si>
    <t xml:space="preserve">  Client Retention Rate</t>
  </si>
  <si>
    <t xml:space="preserve">    Red Canary ARR</t>
  </si>
  <si>
    <t xml:space="preserve">    Billing Growth</t>
  </si>
  <si>
    <t xml:space="preserve">  Z-Flex TCV Bookings</t>
  </si>
  <si>
    <t xml:space="preserve">  Customers with &gt;$1M ARR</t>
  </si>
  <si>
    <t xml:space="preserve">  Customers with &gt;$100K ARR</t>
  </si>
  <si>
    <t xml:space="preserve">  Customers with &gt;$5M ARR</t>
  </si>
  <si>
    <t xml:space="preserve">    Total Customers</t>
  </si>
  <si>
    <t xml:space="preserve">      Deferred Revenue Beginning Period</t>
  </si>
  <si>
    <t xml:space="preserve">    Europe, Middle East, and Africa</t>
  </si>
  <si>
    <t xml:space="preserve">    Asia Pacific</t>
  </si>
  <si>
    <t xml:space="preserve">    Rest of the World</t>
  </si>
  <si>
    <t xml:space="preserve">  Other Expense (Income), Net</t>
  </si>
  <si>
    <t xml:space="preserve">    Litigation-Related Charges</t>
  </si>
  <si>
    <t xml:space="preserve">       Other Items </t>
  </si>
  <si>
    <t xml:space="preserve">    Provision (Benefit) for Income Taxes</t>
  </si>
  <si>
    <t xml:space="preserve">        Accrued Expenses &amp; Other Liabilities</t>
  </si>
  <si>
    <t xml:space="preserve">        Accrued Compensation</t>
  </si>
  <si>
    <t xml:space="preserve">      Short Term Debt</t>
  </si>
  <si>
    <t xml:space="preserve">      Notes Payable</t>
  </si>
  <si>
    <t xml:space="preserve">      Convertible Notes</t>
  </si>
  <si>
    <t xml:space="preserve">      Other Comprehensive Income</t>
  </si>
  <si>
    <t xml:space="preserve">    Amortization Deferred Contract Costs</t>
  </si>
  <si>
    <t xml:space="preserve">    Amortization of Intangible Assets</t>
  </si>
  <si>
    <t xml:space="preserve">    Unrealized (gains) Losses on Hedging Transactions</t>
  </si>
  <si>
    <t xml:space="preserve">    Amortization (Accretion) of Investments Purchased at a Premium (Discount)</t>
  </si>
  <si>
    <t xml:space="preserve">    Non-Cash Operating Lease Costs</t>
  </si>
  <si>
    <t xml:space="preserve">      Prepaid Expenses &amp; Other Liabilities</t>
  </si>
  <si>
    <t xml:space="preserve">        Long Term</t>
  </si>
  <si>
    <t xml:space="preserve">    Capitalized Internal-Use Software</t>
  </si>
  <si>
    <t xml:space="preserve">    Payments for Business Acquisitions, Net of Cash Acquired</t>
  </si>
  <si>
    <t xml:space="preserve">    (Purchase)/Sale of Marketable Securities</t>
  </si>
  <si>
    <t xml:space="preserve">    Purchase of Short-Term Investments</t>
  </si>
  <si>
    <t xml:space="preserve">    Proceeds from Sale of Short-Term Investments</t>
  </si>
  <si>
    <t xml:space="preserve">    Purchases Of Investments</t>
  </si>
  <si>
    <t xml:space="preserve">    Issuance Of Common Stock</t>
  </si>
  <si>
    <t xml:space="preserve">      FCF per Share</t>
  </si>
  <si>
    <t>PLTR US Equity- Company Financial (Multiple Periods)</t>
  </si>
  <si>
    <t>PLTR US Equity    Periodicity:A    Currency:USD    Estimate Source:BST    Actual Source:Bloomberg</t>
  </si>
  <si>
    <t xml:space="preserve">    Government</t>
  </si>
  <si>
    <t xml:space="preserve">      International</t>
  </si>
  <si>
    <t xml:space="preserve">    Commercial</t>
  </si>
  <si>
    <t xml:space="preserve">  Net Customers</t>
  </si>
  <si>
    <t xml:space="preserve">    Commercial Customers</t>
  </si>
  <si>
    <t xml:space="preserve">    Government Customers</t>
  </si>
  <si>
    <t xml:space="preserve">  Net Customer Additions</t>
  </si>
  <si>
    <t xml:space="preserve">  Remaining Performance Obligations (RPO)</t>
  </si>
  <si>
    <t xml:space="preserve">  Total Contribution</t>
  </si>
  <si>
    <t xml:space="preserve">    Contribution Margin (%)</t>
  </si>
  <si>
    <t xml:space="preserve">    Change in Deferred Revenue</t>
  </si>
  <si>
    <t xml:space="preserve">      % of Total Revenue</t>
  </si>
  <si>
    <t xml:space="preserve">      Government</t>
  </si>
  <si>
    <t xml:space="preserve">    France</t>
  </si>
  <si>
    <t xml:space="preserve">  Net Income Attributable to Common Shareholders</t>
  </si>
  <si>
    <t xml:space="preserve">    Contribution</t>
  </si>
  <si>
    <t xml:space="preserve">      Income Tax Effect of Adjustments</t>
  </si>
  <si>
    <t xml:space="preserve">    Total Operating Expenses (Income) Ratio</t>
  </si>
  <si>
    <t xml:space="preserve">      Customer Deposits</t>
  </si>
  <si>
    <t xml:space="preserve">    Impairment of Assets</t>
  </si>
  <si>
    <t xml:space="preserve">    Deferred Rent</t>
  </si>
  <si>
    <t xml:space="preserve">    Unrealized &amp; Realized (Gain) Loss from Marketable Securities, Net</t>
  </si>
  <si>
    <t xml:space="preserve">    Proceeds from the Sale of Assets Held for Sale</t>
  </si>
  <si>
    <t xml:space="preserve">    Purchase of Equity Method Investment</t>
  </si>
  <si>
    <t xml:space="preserve">    Proceeds from Exercise of Options</t>
  </si>
  <si>
    <t xml:space="preserve">    Principal Payments on Borrowings</t>
  </si>
  <si>
    <t>ANET US Equity- Company Financial (Multiple Periods)</t>
  </si>
  <si>
    <t>ANET US Equity    Periodicity:A    Currency:USD    Estimate Source:BST    Actual Source:Bloomberg</t>
  </si>
  <si>
    <t xml:space="preserve">  Cost of Revenue </t>
  </si>
  <si>
    <t xml:space="preserve">  Purchase Commitment</t>
  </si>
  <si>
    <t xml:space="preserve">    W/in 12 Months</t>
  </si>
  <si>
    <t xml:space="preserve">  Customer Revenue</t>
  </si>
  <si>
    <t xml:space="preserve">    Cloud Titans</t>
  </si>
  <si>
    <t xml:space="preserve">      MSFT</t>
  </si>
  <si>
    <t xml:space="preserve">      META</t>
  </si>
  <si>
    <t xml:space="preserve">    Enterprise</t>
  </si>
  <si>
    <t xml:space="preserve">      Campus</t>
  </si>
  <si>
    <t xml:space="preserve">      Other Enterprise</t>
  </si>
  <si>
    <t xml:space="preserve">    Service Providers</t>
  </si>
  <si>
    <t xml:space="preserve">  Percentage of Revenue</t>
  </si>
  <si>
    <t xml:space="preserve">  Supplemental Revenue</t>
  </si>
  <si>
    <t xml:space="preserve">      Cognitive Adjacencies Solutions (Campus &amp; Routing)</t>
  </si>
  <si>
    <t xml:space="preserve">        Campus</t>
  </si>
  <si>
    <t xml:space="preserve">        Routing</t>
  </si>
  <si>
    <t xml:space="preserve">      Cognitive Software &amp; Services</t>
  </si>
  <si>
    <t xml:space="preserve">  Geographic Revenue</t>
  </si>
  <si>
    <t xml:space="preserve">      % of Revenue</t>
  </si>
  <si>
    <t xml:space="preserve">    Europe, Middle East and Africa</t>
  </si>
  <si>
    <t xml:space="preserve">    General &amp; Administrative Expenses</t>
  </si>
  <si>
    <t xml:space="preserve">    Selling &amp; Marketing Expenses</t>
  </si>
  <si>
    <t xml:space="preserve">    Research &amp; Development Expenses</t>
  </si>
  <si>
    <t xml:space="preserve">  Other (Income)/Expense</t>
  </si>
  <si>
    <t xml:space="preserve">      EBIT Margin (%)</t>
  </si>
  <si>
    <t xml:space="preserve">    Non-Operating (Income)/Expense</t>
  </si>
  <si>
    <t xml:space="preserve">    Tax benefits on stock-based awards</t>
  </si>
  <si>
    <t xml:space="preserve">      Adjusted ETR Percentage - Company Basis</t>
  </si>
  <si>
    <t xml:space="preserve">    Amortization Acquired Intangibles</t>
  </si>
  <si>
    <t xml:space="preserve">    D&amp;A to Sales</t>
  </si>
  <si>
    <t xml:space="preserve">      Unrealized Investments</t>
  </si>
  <si>
    <t xml:space="preserve">      Prepaid &amp; Other Current Assets</t>
  </si>
  <si>
    <t xml:space="preserve">      Acquisition Related Intangible Assets, Net</t>
  </si>
  <si>
    <t xml:space="preserve">      Operating Lease Right-of-Use</t>
  </si>
  <si>
    <t xml:space="preserve">      Deposits &amp; Other Assets</t>
  </si>
  <si>
    <t xml:space="preserve">      Total Intangibles</t>
  </si>
  <si>
    <t xml:space="preserve">    Remaining Performance Obligation</t>
  </si>
  <si>
    <t xml:space="preserve">    Non-Cash Lease Expense</t>
  </si>
  <si>
    <t xml:space="preserve">    Net Cash Paid for Acquisitions/Divestiture</t>
  </si>
  <si>
    <t xml:space="preserve">    Proceeds from asset dispositions</t>
  </si>
  <si>
    <t xml:space="preserve">      Issuance of Common Stock</t>
  </si>
  <si>
    <t xml:space="preserve">    Excess Tax Benefit</t>
  </si>
  <si>
    <t>SHOP CN Equity- Company Financial (Multiple Periods)</t>
  </si>
  <si>
    <t>SHOP CN Equity    Periodicity:A    Currency:USD    Estimate Source:BST    Actual Source:Bloomberg</t>
  </si>
  <si>
    <t xml:space="preserve">    YoY Constant Currency Growth (%)</t>
  </si>
  <si>
    <t xml:space="preserve">    Merchant Solutions</t>
  </si>
  <si>
    <t xml:space="preserve">    Subscription Solutions</t>
  </si>
  <si>
    <t xml:space="preserve">  Gross Payments Volume (GPV)</t>
  </si>
  <si>
    <t xml:space="preserve">  Gross Merchandise Volume (GMV)</t>
  </si>
  <si>
    <t xml:space="preserve">  Monthly Recurring Revenue (MRR)</t>
  </si>
  <si>
    <t xml:space="preserve">  Sales Growth at Constant Currency (%)</t>
  </si>
  <si>
    <t xml:space="preserve">  Attach Rate (%)</t>
  </si>
  <si>
    <t xml:space="preserve">  US Ecommerce Market Share (%)</t>
  </si>
  <si>
    <t xml:space="preserve">  Number of Merchants</t>
  </si>
  <si>
    <t xml:space="preserve">  Merchant Cash Advances Issued</t>
  </si>
  <si>
    <t xml:space="preserve">    Shopify Plus MRR</t>
  </si>
  <si>
    <t xml:space="preserve">  Shop Pay GMV</t>
  </si>
  <si>
    <t xml:space="preserve">  GMV Penetration Rate (%)</t>
  </si>
  <si>
    <t xml:space="preserve">  Net Take Rate</t>
  </si>
  <si>
    <t xml:space="preserve">  Offline GMV YoY Growth (%)</t>
  </si>
  <si>
    <t xml:space="preserve">  Offline Revenue</t>
  </si>
  <si>
    <t xml:space="preserve">  Merchant Solutions</t>
  </si>
  <si>
    <t xml:space="preserve">      YoY Constant Currency Growth (%)</t>
  </si>
  <si>
    <t xml:space="preserve">  Subscription Solutions</t>
  </si>
  <si>
    <t xml:space="preserve">      Canada</t>
  </si>
  <si>
    <t xml:space="preserve">  EMEA</t>
  </si>
  <si>
    <t xml:space="preserve">      United Kingdom</t>
  </si>
  <si>
    <t xml:space="preserve">  APAC</t>
  </si>
  <si>
    <t xml:space="preserve">      Other - APAC</t>
  </si>
  <si>
    <t xml:space="preserve">      Australia</t>
  </si>
  <si>
    <t xml:space="preserve">  Latin America</t>
  </si>
  <si>
    <t xml:space="preserve">    Incremental Gross Margin (%)</t>
  </si>
  <si>
    <t xml:space="preserve">  EBITA</t>
  </si>
  <si>
    <t xml:space="preserve">      Other Operating Expense</t>
  </si>
  <si>
    <t xml:space="preserve">    Advertising Expenses</t>
  </si>
  <si>
    <t xml:space="preserve">      Net Loss (Gain) on Equity &amp; Other Investments</t>
  </si>
  <si>
    <t xml:space="preserve">      Net Loss (Gain) on Equity Method Investment</t>
  </si>
  <si>
    <t xml:space="preserve">      Foreign Exchange Losses (Gains)</t>
  </si>
  <si>
    <t xml:space="preserve">    Net Income Excluding the Impact of Equity  Investments</t>
  </si>
  <si>
    <t xml:space="preserve">    Unrealized (Loss) Gain on Cash Flow Hedges</t>
  </si>
  <si>
    <t xml:space="preserve">    Comprehensive Income</t>
  </si>
  <si>
    <t xml:space="preserve">    Stock-Based Compensation &amp; Related Payroll Taxes</t>
  </si>
  <si>
    <t xml:space="preserve">    Net Unrealized Gain (Loss) on Equity &amp; Other Investments</t>
  </si>
  <si>
    <t xml:space="preserve">    Income Tax Effects Related to Adjustments</t>
  </si>
  <si>
    <t xml:space="preserve">      Loans &amp; Merchant Cash Advances, Net</t>
  </si>
  <si>
    <t xml:space="preserve">        Loans Receivable, Gross</t>
  </si>
  <si>
    <t xml:space="preserve">      Taxes Receivable</t>
  </si>
  <si>
    <t xml:space="preserve">        Other Current Assets &amp; Prepaid Expenses</t>
  </si>
  <si>
    <t xml:space="preserve">      Financial Assets</t>
  </si>
  <si>
    <t xml:space="preserve">      Equity Method Investment</t>
  </si>
  <si>
    <t xml:space="preserve">      Other Accounts Payable &amp; Accruals</t>
  </si>
  <si>
    <t xml:space="preserve">      Convertible Debt</t>
  </si>
  <si>
    <t xml:space="preserve">      Retained Earnings &amp; Other Equity</t>
  </si>
  <si>
    <t xml:space="preserve">    Foreign Exchange Gain Loss</t>
  </si>
  <si>
    <t xml:space="preserve">    Provision for Doubtful Debt</t>
  </si>
  <si>
    <t xml:space="preserve">    Net (Gain) Loss on Equity &amp; Other Investments </t>
  </si>
  <si>
    <t xml:space="preserve">      Trade &amp; Other Receivables</t>
  </si>
  <si>
    <t xml:space="preserve">      Income Taxes Payable or Receivable</t>
  </si>
  <si>
    <t xml:space="preserve">      Other Assets &amp; Liabilities</t>
  </si>
  <si>
    <t xml:space="preserve">    Stock Issuance Costs</t>
  </si>
  <si>
    <t xml:space="preserve">    Effect of Foreign Exchange Rates on Cash</t>
  </si>
  <si>
    <t>TOST US Equity- Company Financial (Multiple Periods)</t>
  </si>
  <si>
    <t>TOST US Equity    Periodicity:A    Currency:USD    Estimate Source:BST    Actual Source:Bloomberg</t>
  </si>
  <si>
    <t xml:space="preserve">    Subscription Services</t>
  </si>
  <si>
    <t xml:space="preserve">    Financial Technology Solutions (Payments)</t>
  </si>
  <si>
    <t xml:space="preserve">    Hardware &amp; Professional Services</t>
  </si>
  <si>
    <t xml:space="preserve">  Segment Adjusted Gross Profit</t>
  </si>
  <si>
    <t xml:space="preserve">    Financial Technology Solutions</t>
  </si>
  <si>
    <t xml:space="preserve">  Gross Payment Volume</t>
  </si>
  <si>
    <t xml:space="preserve">  Locations - End</t>
  </si>
  <si>
    <t xml:space="preserve">    ARR per Location</t>
  </si>
  <si>
    <t xml:space="preserve">  Adjusted Recurring Gross Profit</t>
  </si>
  <si>
    <t xml:space="preserve">  Gross Payment Volume (GPV)</t>
  </si>
  <si>
    <t xml:space="preserve">    GPV per Location (Annualized)</t>
  </si>
  <si>
    <t xml:space="preserve">  Number of Locations Opened</t>
  </si>
  <si>
    <t xml:space="preserve">  Net Take Rate (%)</t>
  </si>
  <si>
    <t xml:space="preserve">  Gross Take Rate (%)</t>
  </si>
  <si>
    <t xml:space="preserve">  Subscription Services</t>
  </si>
  <si>
    <t xml:space="preserve">      Gross Profit per Location</t>
  </si>
  <si>
    <t xml:space="preserve">    Annualized Recurring Revenue</t>
  </si>
  <si>
    <t xml:space="preserve">      ARR per Location</t>
  </si>
  <si>
    <t xml:space="preserve">    Gross Take Rate (%)</t>
  </si>
  <si>
    <t xml:space="preserve">  Financial Technology Solutions</t>
  </si>
  <si>
    <t xml:space="preserve">      Toast Capital</t>
  </si>
  <si>
    <t xml:space="preserve">  Hardware &amp; Professional Services</t>
  </si>
  <si>
    <t xml:space="preserve">    Hardware</t>
  </si>
  <si>
    <t xml:space="preserve">  Change in Fair Value of Warrant Liability</t>
  </si>
  <si>
    <t xml:space="preserve">      Selling &amp; Marketing Expense</t>
  </si>
  <si>
    <t xml:space="preserve">    Net loss</t>
  </si>
  <si>
    <t xml:space="preserve">       Other Abnormal Items</t>
  </si>
  <si>
    <t xml:space="preserve">      Other Operating Expenses  </t>
  </si>
  <si>
    <t xml:space="preserve">      Accrued Warranty</t>
  </si>
  <si>
    <t xml:space="preserve">      Warrants to Purchase Common Stock</t>
  </si>
  <si>
    <t xml:space="preserve">        Operating Lease Liabilities</t>
  </si>
  <si>
    <t xml:space="preserve">      Common Equity</t>
  </si>
  <si>
    <t xml:space="preserve">    Days Sales Outstanding </t>
  </si>
  <si>
    <t xml:space="preserve">    Change in Fair Value of Warrant Liability</t>
  </si>
  <si>
    <t xml:space="preserve">    Credit Loss Expense</t>
  </si>
  <si>
    <t xml:space="preserve">  Change in Non-Cash Working Capital</t>
  </si>
  <si>
    <t xml:space="preserve">      Operating Lease Right-of-Use Assets &amp; Operating Lease Liabilities, Net</t>
  </si>
  <si>
    <t xml:space="preserve">    Proceeds from Marketable Securities</t>
  </si>
  <si>
    <t xml:space="preserve">    Change in Customer Funds Obligations</t>
  </si>
  <si>
    <t xml:space="preserve">    Net Cash Paid for Acquisitions</t>
  </si>
  <si>
    <t>SFM US Equity- Company Financial (Multiple Periods)</t>
  </si>
  <si>
    <t>SFM US Equity    Periodicity:A    Currency:USD    Estimate Source:BST    Actual Source:Bloomberg</t>
  </si>
  <si>
    <t xml:space="preserve">  Same Store Sales</t>
  </si>
  <si>
    <t xml:space="preserve">    Same Store Sales (%)</t>
  </si>
  <si>
    <t xml:space="preserve">    2-Year Same Store Sales (%)</t>
  </si>
  <si>
    <t xml:space="preserve">  Net New Stores</t>
  </si>
  <si>
    <t xml:space="preserve">    Opened</t>
  </si>
  <si>
    <t xml:space="preserve">    Closed</t>
  </si>
  <si>
    <t xml:space="preserve">  Gross Square Footage</t>
  </si>
  <si>
    <t xml:space="preserve">    Growth (%)</t>
  </si>
  <si>
    <t xml:space="preserve">    2-Year Stacked SSS (%)</t>
  </si>
  <si>
    <t xml:space="preserve">    Net New Stores</t>
  </si>
  <si>
    <t xml:space="preserve">      Opened</t>
  </si>
  <si>
    <t xml:space="preserve">      Closed</t>
  </si>
  <si>
    <t xml:space="preserve">  Total Stores (EOP)</t>
  </si>
  <si>
    <t xml:space="preserve">    Sales per Avg. Store</t>
  </si>
  <si>
    <t xml:space="preserve">    Avg. Square Foot per Store</t>
  </si>
  <si>
    <t xml:space="preserve">    Sales Per Total Square Footage</t>
  </si>
  <si>
    <t xml:space="preserve">    Retention Ratio (%)</t>
  </si>
  <si>
    <t xml:space="preserve">  Retail</t>
  </si>
  <si>
    <t xml:space="preserve">    Stores (BOP)</t>
  </si>
  <si>
    <t xml:space="preserve">    Opened/Acquired</t>
  </si>
  <si>
    <t xml:space="preserve">  E-Commerce to Total Sales (%)</t>
  </si>
  <si>
    <t xml:space="preserve">  Perishables</t>
  </si>
  <si>
    <t xml:space="preserve">  Non-Perishables</t>
  </si>
  <si>
    <t xml:space="preserve">    Store Closure &amp; Other Costs</t>
  </si>
  <si>
    <t xml:space="preserve">    Depreciation &amp; Amortization (Excl. Depreciation Included in Cost of Revenue)</t>
  </si>
  <si>
    <t xml:space="preserve">  Interest Expense, Net (After-Tax)</t>
  </si>
  <si>
    <t xml:space="preserve">  Basic Shares Outstanding (EOP)</t>
  </si>
  <si>
    <t xml:space="preserve">    Operating Expenses (Incl. D&amp;A) / Revenue (%)</t>
  </si>
  <si>
    <t xml:space="preserve">      Operating Lease Assets, Net</t>
  </si>
  <si>
    <t xml:space="preserve">      Accrued Salaries &amp; Benefits</t>
  </si>
  <si>
    <t xml:space="preserve">      Current Portion of Operating Lease Liabilities</t>
  </si>
  <si>
    <t xml:space="preserve">      Current Portion of Capital &amp; Financing Lease Obligations</t>
  </si>
  <si>
    <t xml:space="preserve">      Credit Agreement</t>
  </si>
  <si>
    <t xml:space="preserve">      Long Term Finance Lease Liabilities</t>
  </si>
  <si>
    <t xml:space="preserve">      Deferred Income Tax Liability</t>
  </si>
  <si>
    <t xml:space="preserve">        Other Long-Term Liabilities</t>
  </si>
  <si>
    <t xml:space="preserve">    Average Price Per Common Share Acquired</t>
  </si>
  <si>
    <t xml:space="preserve">    Short and Long Term Debt</t>
  </si>
  <si>
    <t xml:space="preserve">    Operating Lease Asset Amortization</t>
  </si>
  <si>
    <t xml:space="preserve">      Prepaid Expenses &amp; Other Current Asset</t>
  </si>
  <si>
    <t xml:space="preserve">    Proceeds from Revolving Credit Facilities</t>
  </si>
  <si>
    <t xml:space="preserve">    Payments on Revolving Credit Facilities</t>
  </si>
  <si>
    <t xml:space="preserve">    Payments on Finance Lease Liabilities</t>
  </si>
  <si>
    <t xml:space="preserve">      Repurchase of Common Stock</t>
  </si>
  <si>
    <t xml:space="preserve">      Free Cash Flow per Share  </t>
  </si>
  <si>
    <t>ORCL US Equity- Company Financial (Multiple Periods)</t>
  </si>
  <si>
    <t>ORCL US Equity    Periodicity:A    Currency:USD    Estimate Source:BST    Actual Source:Bloomberg</t>
  </si>
  <si>
    <t xml:space="preserve">  Adjusted Revenue</t>
  </si>
  <si>
    <t xml:space="preserve">    Constant Currency YoY Growth (%)</t>
  </si>
  <si>
    <t xml:space="preserve">    Cloud &amp; Software</t>
  </si>
  <si>
    <t xml:space="preserve">      Cloud</t>
  </si>
  <si>
    <t xml:space="preserve">        Cloud Applications</t>
  </si>
  <si>
    <t xml:space="preserve">        Cloud Infrastructure</t>
  </si>
  <si>
    <t xml:space="preserve">      Software</t>
  </si>
  <si>
    <t xml:space="preserve">        Software Support</t>
  </si>
  <si>
    <t xml:space="preserve">        Software License</t>
  </si>
  <si>
    <t xml:space="preserve">  Constant Currency YoY Growth (%)</t>
  </si>
  <si>
    <t xml:space="preserve">    Cloud</t>
  </si>
  <si>
    <t xml:space="preserve">      Cloud Applications</t>
  </si>
  <si>
    <t xml:space="preserve">      Cloud Infrastructure</t>
  </si>
  <si>
    <t xml:space="preserve">    Software</t>
  </si>
  <si>
    <t xml:space="preserve">      Software Support</t>
  </si>
  <si>
    <t xml:space="preserve">      Software License</t>
  </si>
  <si>
    <t xml:space="preserve">  Current Remaining Performance Obligation CB</t>
  </si>
  <si>
    <t xml:space="preserve">    % of Total RPO</t>
  </si>
  <si>
    <t xml:space="preserve">  New Contract Bookings</t>
  </si>
  <si>
    <t xml:space="preserve">  Current Remaining Performance Obligations (cRPO)</t>
  </si>
  <si>
    <t xml:space="preserve">  Cloud &amp; Software</t>
  </si>
  <si>
    <t xml:space="preserve">      Constant Currency YoY Growth (%)</t>
  </si>
  <si>
    <t xml:space="preserve">        Constant Currency YoY Growth (%)</t>
  </si>
  <si>
    <t xml:space="preserve">        Applications</t>
  </si>
  <si>
    <t xml:space="preserve">          Constant Currency YoY Growth (%)</t>
  </si>
  <si>
    <t xml:space="preserve">        Infrastructure</t>
  </si>
  <si>
    <t xml:space="preserve">    Adjusted Revenue </t>
  </si>
  <si>
    <t xml:space="preserve">  Hardware</t>
  </si>
  <si>
    <t xml:space="preserve">    Adjusted Revenue</t>
  </si>
  <si>
    <t xml:space="preserve">  Total Costs &amp; Operating Expenses</t>
  </si>
  <si>
    <t xml:space="preserve">    Other Operating Expense</t>
  </si>
  <si>
    <t xml:space="preserve">  Other Income / (Expense), Net</t>
  </si>
  <si>
    <t xml:space="preserve">        As (%) of Revenue</t>
  </si>
  <si>
    <t xml:space="preserve">      Restructuring &amp; Other Expenses</t>
  </si>
  <si>
    <t xml:space="preserve">        Acquisition Related &amp; Other</t>
  </si>
  <si>
    <t xml:space="preserve">        Restructuring Expense</t>
  </si>
  <si>
    <t xml:space="preserve">    Abnormal Losses (Gains)</t>
  </si>
  <si>
    <t xml:space="preserve">      Cash, Cash Equivalents &amp; Short Term Investments</t>
  </si>
  <si>
    <t xml:space="preserve">      Deferred Revenues</t>
  </si>
  <si>
    <t xml:space="preserve">      Total Shareholders' Equity Excl. Non-Controlling Interest</t>
  </si>
  <si>
    <t xml:space="preserve">        Additional Paid in Capital</t>
  </si>
  <si>
    <t xml:space="preserve">      Non-Controlling Interests</t>
  </si>
  <si>
    <t xml:space="preserve">      Net Cash Per Share</t>
  </si>
  <si>
    <t xml:space="preserve">    Non Cash Acquisition Related &amp; Other</t>
  </si>
  <si>
    <t xml:space="preserve">      Accounts Payable &amp; Other Liabilities</t>
  </si>
  <si>
    <t xml:space="preserve">      Oracle Cloud Infrastructure</t>
  </si>
  <si>
    <t xml:space="preserve">    Purchase of Investment Securities</t>
  </si>
  <si>
    <t xml:space="preserve">    Proceeds from Maturities/Sales of Investment Securities</t>
  </si>
  <si>
    <t xml:space="preserve">      Dividends Paid to Minority Interest</t>
  </si>
  <si>
    <t xml:space="preserve">    Repurchased Stock</t>
  </si>
  <si>
    <t xml:space="preserve">    Proceeds from Issuance of Stock</t>
  </si>
  <si>
    <t xml:space="preserve">    Repayments of Borrowings</t>
  </si>
  <si>
    <t xml:space="preserve">    Proceeds from Issuances of Repayments of Commercial Paper, net</t>
  </si>
  <si>
    <t xml:space="preserve">    Increase in LT Borrowings</t>
  </si>
  <si>
    <t xml:space="preserve">    Proceeds from Issuances of Senior Notes &amp; Term Loan Credit Agreements, net of Issuance Costs</t>
  </si>
  <si>
    <t xml:space="preserve">    Tax Benefit From Stock Options</t>
  </si>
  <si>
    <t xml:space="preserve">    Tax Withholding For Repurchase Of Stock</t>
  </si>
  <si>
    <t xml:space="preserve">    Cash Flow Margin (%)</t>
  </si>
  <si>
    <t>SRAD US Equity- Company Financial (Multiple Periods)</t>
  </si>
  <si>
    <t>SRAD US Equity    Periodicity:A    Currency:USD    Estimate Source:BST    Actual Source:Bloomberg</t>
  </si>
  <si>
    <t xml:space="preserve">    Betting Technology &amp;  Solutions</t>
  </si>
  <si>
    <t xml:space="preserve">    Sports Content, Technology &amp; Services</t>
  </si>
  <si>
    <t xml:space="preserve">  Betting Technology &amp; Solutions</t>
  </si>
  <si>
    <t xml:space="preserve">      Betting &amp; Gaming Content</t>
  </si>
  <si>
    <t xml:space="preserve">      Managed Betting Services</t>
  </si>
  <si>
    <t xml:space="preserve">  Sports Content, Technology &amp; Services</t>
  </si>
  <si>
    <t xml:space="preserve">      Marketing &amp; Media Services</t>
  </si>
  <si>
    <t xml:space="preserve">      Sports Performance</t>
  </si>
  <si>
    <t xml:space="preserve">      Integrity Services</t>
  </si>
  <si>
    <t xml:space="preserve">            RoW Betting</t>
  </si>
  <si>
    <t xml:space="preserve">              Revenue</t>
  </si>
  <si>
    <t xml:space="preserve">                Betting Data / Betting Entertainment Tools</t>
  </si>
  <si>
    <t xml:space="preserve">                Managed Betting Service</t>
  </si>
  <si>
    <t xml:space="preserve">                Virtual Gaming &amp; E-sports</t>
  </si>
  <si>
    <t xml:space="preserve">              Adjusted EBITDA</t>
  </si>
  <si>
    <t xml:space="preserve">                EBITDA Margin (%)</t>
  </si>
  <si>
    <t xml:space="preserve">            RoW AV</t>
  </si>
  <si>
    <t xml:space="preserve">            All Other Segments</t>
  </si>
  <si>
    <t xml:space="preserve">    Adjusted EBITDA</t>
  </si>
  <si>
    <t xml:space="preserve">  Rest of the World</t>
  </si>
  <si>
    <t xml:space="preserve">  Purchased Services &amp; Licenses</t>
  </si>
  <si>
    <t xml:space="preserve">    Personnel</t>
  </si>
  <si>
    <t xml:space="preserve">    Adjusted Purchased Services</t>
  </si>
  <si>
    <t xml:space="preserve">    Capitalized Software Costs</t>
  </si>
  <si>
    <t xml:space="preserve">    Other Operating Expenses</t>
  </si>
  <si>
    <t xml:space="preserve">  Impairment Loss on Goodwill &amp; Intangible Assets</t>
  </si>
  <si>
    <t xml:space="preserve">  Finance Income</t>
  </si>
  <si>
    <t xml:space="preserve">  Finance Costs</t>
  </si>
  <si>
    <t xml:space="preserve">  Non-Controlling Interests</t>
  </si>
  <si>
    <t xml:space="preserve">    Personnel Expense</t>
  </si>
  <si>
    <t xml:space="preserve">    Non-Routine Litigation Costs</t>
  </si>
  <si>
    <t xml:space="preserve">      Other Assets &amp; Prepayments</t>
  </si>
  <si>
    <t xml:space="preserve">      Income Tax Receivables</t>
  </si>
  <si>
    <t xml:space="preserve">      Intangible Assets &amp; Goodwill</t>
  </si>
  <si>
    <t xml:space="preserve">      Equity-Accounted Investees</t>
  </si>
  <si>
    <t xml:space="preserve">      Trade Payables</t>
  </si>
  <si>
    <t xml:space="preserve">      Loans &amp; Borrowings</t>
  </si>
  <si>
    <t xml:space="preserve">      Equity Before Non-Controlling Interest</t>
  </si>
  <si>
    <t xml:space="preserve">        Common Stock</t>
  </si>
  <si>
    <t xml:space="preserve">        Treasury Stock</t>
  </si>
  <si>
    <t xml:space="preserve">        Retained Earnings</t>
  </si>
  <si>
    <t xml:space="preserve">        Other Equity Reserves</t>
  </si>
  <si>
    <t xml:space="preserve">    Total Contract Liabilities</t>
  </si>
  <si>
    <t xml:space="preserve">    Impairment Losses (Income) on Financial Assets</t>
  </si>
  <si>
    <t xml:space="preserve">      Amortization &amp; Impairment of Intangible Assets</t>
  </si>
  <si>
    <t xml:space="preserve">    Foreign Currency (Gain) Loss, Net</t>
  </si>
  <si>
    <t xml:space="preserve">    Cash Flow Before Operating Capital</t>
  </si>
  <si>
    <t xml:space="preserve">      Trade Receivable &amp; Other</t>
  </si>
  <si>
    <t xml:space="preserve">      Trade Payable &amp; Other</t>
  </si>
  <si>
    <t xml:space="preserve">      Other Current Assets &amp; Liabilities</t>
  </si>
  <si>
    <t xml:space="preserve">    Acquisition of Intangible Assets</t>
  </si>
  <si>
    <t xml:space="preserve">    Cash for Joint Ventures/Associates</t>
  </si>
  <si>
    <t xml:space="preserve">    Payment of Lease Liabilities</t>
  </si>
  <si>
    <t xml:space="preserve">    Purchase of Treasury Shares</t>
  </si>
  <si>
    <t xml:space="preserve">    Effects of Movements in Exchange Rates</t>
  </si>
  <si>
    <t xml:space="preserve">    Interest Received</t>
  </si>
  <si>
    <t>TTD US Equity- Company Financial (Multiple Periods)</t>
  </si>
  <si>
    <t>TTD US Equity    Periodicity:A    Currency:USD    Estimate Source:BST    Actual Source:Bloomberg</t>
  </si>
  <si>
    <t xml:space="preserve">  Gross Billings</t>
  </si>
  <si>
    <t xml:space="preserve">  Gross Bookings</t>
  </si>
  <si>
    <t xml:space="preserve">      Billings</t>
  </si>
  <si>
    <t xml:space="preserve">        % of Total Billings</t>
  </si>
  <si>
    <t xml:space="preserve">      Pre-Tax Income</t>
  </si>
  <si>
    <t xml:space="preserve">    Platform Operations</t>
  </si>
  <si>
    <t xml:space="preserve">    Technology &amp; Development</t>
  </si>
  <si>
    <t xml:space="preserve">  Interest Income &amp; Other Expense</t>
  </si>
  <si>
    <t xml:space="preserve">  Foreign Currency Exchange (Gain) Loss, Net</t>
  </si>
  <si>
    <t xml:space="preserve">    Adjusted Net Income</t>
  </si>
  <si>
    <t xml:space="preserve">      Platform Operations</t>
  </si>
  <si>
    <t xml:space="preserve">      Technology &amp; Development</t>
  </si>
  <si>
    <t xml:space="preserve">      Short-term Investments</t>
  </si>
  <si>
    <t xml:space="preserve">      Deferred Taxes</t>
  </si>
  <si>
    <t xml:space="preserve">      Long term Debt</t>
  </si>
  <si>
    <t xml:space="preserve">      Depreciation on Lease Assets</t>
  </si>
  <si>
    <t xml:space="preserve">    Purchases of Property, Plant &amp; Equipment</t>
  </si>
  <si>
    <t xml:space="preserve">    Net Change in Short-Term Investments</t>
  </si>
  <si>
    <t xml:space="preserve">    Repurchase of Preferred Stock &amp; Common Stock</t>
  </si>
  <si>
    <t xml:space="preserve">    Proceeds from Exercise of Warrants</t>
  </si>
  <si>
    <t xml:space="preserve">    Taxes Paid Related to Net Settlement of Restricted Stock Awards</t>
  </si>
  <si>
    <t>AVGO US Equity- Company Financial (Multiple Periods)</t>
  </si>
  <si>
    <t>AVGO US Equity    Periodicity:A    Currency:USD    Estimate Source:BST    Actual Source:Bloomberg</t>
  </si>
  <si>
    <t xml:space="preserve">    Semiconductor Solutions</t>
  </si>
  <si>
    <t xml:space="preserve">      AI</t>
  </si>
  <si>
    <t xml:space="preserve">    Infrastructure Software</t>
  </si>
  <si>
    <t xml:space="preserve">      VMware</t>
  </si>
  <si>
    <t xml:space="preserve">    Adjusted Research &amp; Development</t>
  </si>
  <si>
    <t xml:space="preserve">    Adjusted EBITDA Margin (%)</t>
  </si>
  <si>
    <t xml:space="preserve">  Payable Turnover Days</t>
  </si>
  <si>
    <t xml:space="preserve">  Semiconductor Solutions</t>
  </si>
  <si>
    <t xml:space="preserve">      Networking</t>
  </si>
  <si>
    <t xml:space="preserve">      Enterprise Storage</t>
  </si>
  <si>
    <t xml:space="preserve">      Broadband</t>
  </si>
  <si>
    <t xml:space="preserve">      Wireless Communication</t>
  </si>
  <si>
    <t xml:space="preserve">      Industrial &amp; Other</t>
  </si>
  <si>
    <t xml:space="preserve">      CA</t>
  </si>
  <si>
    <t xml:space="preserve">      Symantec</t>
  </si>
  <si>
    <t xml:space="preserve">      Brocade</t>
  </si>
  <si>
    <t xml:space="preserve">  Unallocated</t>
  </si>
  <si>
    <t xml:space="preserve">      Non-AI</t>
  </si>
  <si>
    <t xml:space="preserve">    Subscriptions &amp; Services</t>
  </si>
  <si>
    <t xml:space="preserve">  Other Operating Expenses</t>
  </si>
  <si>
    <t xml:space="preserve">  Other Taxes</t>
  </si>
  <si>
    <t xml:space="preserve">  Other Non-Operating Income</t>
  </si>
  <si>
    <t xml:space="preserve">  Diluted Weighted Shares Outstanding</t>
  </si>
  <si>
    <t xml:space="preserve">      Restructuring &amp; Other Charges</t>
  </si>
  <si>
    <t xml:space="preserve">      Debt-Related Costs</t>
  </si>
  <si>
    <t xml:space="preserve">    Net Income (Incl. Discontinued Operations)</t>
  </si>
  <si>
    <t xml:space="preserve">      Discontinued Operations</t>
  </si>
  <si>
    <t xml:space="preserve">    Basic Weighted Shares Outstanding</t>
  </si>
  <si>
    <t xml:space="preserve">    Diluted Weighted Shares Outstanding</t>
  </si>
  <si>
    <t xml:space="preserve">    Gross Profit Reconciliation</t>
  </si>
  <si>
    <t xml:space="preserve">      Restructuring Charges</t>
  </si>
  <si>
    <t xml:space="preserve">    Dividends on Preferred Stock</t>
  </si>
  <si>
    <t xml:space="preserve">      Merger &amp; Acquisition Expense</t>
  </si>
  <si>
    <t xml:space="preserve">      M&amp;A Attributable to COGS</t>
  </si>
  <si>
    <t xml:space="preserve">    Capital Expenditure to Depreciation Expense</t>
  </si>
  <si>
    <t xml:space="preserve">      Employee Compensation &amp; Benefits</t>
  </si>
  <si>
    <t xml:space="preserve">      Common Stock &amp; APIC</t>
  </si>
  <si>
    <t xml:space="preserve">      Debt to Total Capital</t>
  </si>
  <si>
    <t xml:space="preserve">    Deferred Taxes</t>
  </si>
  <si>
    <t xml:space="preserve">    Other Non Cash Items</t>
  </si>
  <si>
    <t xml:space="preserve">    Non-Cash Portion of Restructuring Charges</t>
  </si>
  <si>
    <t xml:space="preserve">    Change in Working Capital (Increase/Decrease)</t>
  </si>
  <si>
    <t xml:space="preserve">    Sales of Investments</t>
  </si>
  <si>
    <t xml:space="preserve">    Proceeds from Long-Term Borrowings</t>
  </si>
  <si>
    <t xml:space="preserve">    Shares Repurchased for Tax Withholdings on Vesting of Equity Awards</t>
  </si>
  <si>
    <t>2330 TT Equity- Company Financial (Multiple Periods)</t>
  </si>
  <si>
    <t>2330 TT Equity    Periodicity:A    Currency:USD    Estimate Source:BST    Actual Source:Bloomberg</t>
  </si>
  <si>
    <t xml:space="preserve">  Total Shipments (12-Inch Eqv.)</t>
  </si>
  <si>
    <t xml:space="preserve">  Inventory Days (EOP)</t>
  </si>
  <si>
    <t xml:space="preserve">  Semiconductors-Capacity (12-Inch Eqv.)</t>
  </si>
  <si>
    <t xml:space="preserve">    3nm</t>
  </si>
  <si>
    <t xml:space="preserve">    5nm</t>
  </si>
  <si>
    <t xml:space="preserve">    7nm</t>
  </si>
  <si>
    <t xml:space="preserve">    16nm</t>
  </si>
  <si>
    <t xml:space="preserve">    20nm</t>
  </si>
  <si>
    <t xml:space="preserve">    28nm</t>
  </si>
  <si>
    <t xml:space="preserve">    40/45nm</t>
  </si>
  <si>
    <t xml:space="preserve">    65nm</t>
  </si>
  <si>
    <t xml:space="preserve">    90nm</t>
  </si>
  <si>
    <t xml:space="preserve">    0.11/0.13μm</t>
  </si>
  <si>
    <t xml:space="preserve">    0.15/0.18μm</t>
  </si>
  <si>
    <t xml:space="preserve">    0.25μm +</t>
  </si>
  <si>
    <t xml:space="preserve">  Semiconductors-Utilization Rate (%)</t>
  </si>
  <si>
    <t xml:space="preserve">    0.25um +</t>
  </si>
  <si>
    <t xml:space="preserve">  Avg. Sales Price (12-Inch Eqv.)</t>
  </si>
  <si>
    <t xml:space="preserve">    Semiconductor Chips</t>
  </si>
  <si>
    <t xml:space="preserve">      2nm</t>
  </si>
  <si>
    <t xml:space="preserve">      3nm</t>
  </si>
  <si>
    <t xml:space="preserve">      5nm</t>
  </si>
  <si>
    <t xml:space="preserve">      7nm</t>
  </si>
  <si>
    <t xml:space="preserve">      16nm</t>
  </si>
  <si>
    <t xml:space="preserve">      20nm</t>
  </si>
  <si>
    <t xml:space="preserve">      28nm</t>
  </si>
  <si>
    <t xml:space="preserve">      40/45nm</t>
  </si>
  <si>
    <t xml:space="preserve">      65nm</t>
  </si>
  <si>
    <t xml:space="preserve">      90nm - 0.13μm</t>
  </si>
  <si>
    <t xml:space="preserve">      0.15μm &amp; above</t>
  </si>
  <si>
    <t xml:space="preserve">    Others</t>
  </si>
  <si>
    <t xml:space="preserve">    High Performance Computing</t>
  </si>
  <si>
    <t xml:space="preserve">    Smartphone</t>
  </si>
  <si>
    <t xml:space="preserve">    Internet of Things</t>
  </si>
  <si>
    <t xml:space="preserve">    Digital Consumer Electronics</t>
  </si>
  <si>
    <t xml:space="preserve">    7nm Revenue</t>
  </si>
  <si>
    <t xml:space="preserve">    7nm As % of Revenue</t>
  </si>
  <si>
    <t xml:space="preserve">    10nm Revenue</t>
  </si>
  <si>
    <t xml:space="preserve">    10nm As % of Revenue</t>
  </si>
  <si>
    <t xml:space="preserve">    90nm Revenue</t>
  </si>
  <si>
    <t xml:space="preserve">    90nm As % of Revenue</t>
  </si>
  <si>
    <t xml:space="preserve">    0.11/0.13μm Revenue</t>
  </si>
  <si>
    <t xml:space="preserve">    0.11/0.13μm As % of Revenue</t>
  </si>
  <si>
    <t xml:space="preserve">    0.15/0.18μm Revenue</t>
  </si>
  <si>
    <t xml:space="preserve">    0.15/0.18μm As % of Revenue</t>
  </si>
  <si>
    <t xml:space="preserve">    0.25μm + Revenue</t>
  </si>
  <si>
    <t xml:space="preserve">    0.25μm + As % of Revenue</t>
  </si>
  <si>
    <t xml:space="preserve">    Other Region</t>
  </si>
  <si>
    <t xml:space="preserve">    Selling, General &amp; Administrative Expense</t>
  </si>
  <si>
    <t xml:space="preserve">      General &amp; Administrative Expense</t>
  </si>
  <si>
    <t xml:space="preserve">    Operating Income per Share</t>
  </si>
  <si>
    <t xml:space="preserve">    Depreciation Expense</t>
  </si>
  <si>
    <t xml:space="preserve">    Share of Profits of Associates</t>
  </si>
  <si>
    <t xml:space="preserve">  Foreign Exchange Net Company Basis</t>
  </si>
  <si>
    <t xml:space="preserve">    Net Operating Profit after Tax</t>
  </si>
  <si>
    <t xml:space="preserve">    EBITA Margin (%)</t>
  </si>
  <si>
    <t xml:space="preserve">    Joint Ventures/Assoc Non-Operating Losses/Gains</t>
  </si>
  <si>
    <t xml:space="preserve">    Revenue per Share</t>
  </si>
  <si>
    <t xml:space="preserve">      Cash Cash Equivalents &amp; Short term Investments</t>
  </si>
  <si>
    <t xml:space="preserve">      Current FA at FV through Other Comprehensive Inc.</t>
  </si>
  <si>
    <t xml:space="preserve">        Property, Plant &amp; Equipment, Net</t>
  </si>
  <si>
    <t xml:space="preserve">          Property, Plant &amp; Equipment, Gross</t>
  </si>
  <si>
    <t xml:space="preserve">            Buildings Gross</t>
  </si>
  <si>
    <t xml:space="preserve">            Lease Assets</t>
  </si>
  <si>
    <t xml:space="preserve">      Financial Assets at Fair Value through Comprehensive Inc</t>
  </si>
  <si>
    <t xml:space="preserve">      Miscellaneous Non-Current Assets</t>
  </si>
  <si>
    <t xml:space="preserve">      Interest &amp; Dividends Payable</t>
  </si>
  <si>
    <t xml:space="preserve">        Current Portion of Long-Term Debt</t>
  </si>
  <si>
    <t xml:space="preserve">      Short-Term Leases</t>
  </si>
  <si>
    <t xml:space="preserve">      Accrued Expenses &amp; Others</t>
  </si>
  <si>
    <t xml:space="preserve">        Capital Reserves</t>
  </si>
  <si>
    <t xml:space="preserve">          Retained Earnings - Unappropriated</t>
  </si>
  <si>
    <t xml:space="preserve">    Days in Accounts Receivable</t>
  </si>
  <si>
    <t xml:space="preserve">    Total Capital</t>
  </si>
  <si>
    <t xml:space="preserve">    Total Invested Capital</t>
  </si>
  <si>
    <t xml:space="preserve">    Total Liabilities to Total Assets</t>
  </si>
  <si>
    <t xml:space="preserve">      Depreciation Expense</t>
  </si>
  <si>
    <t xml:space="preserve">    Change in Working Capital (Company Basis)</t>
  </si>
  <si>
    <t xml:space="preserve">      Change in Inventories</t>
  </si>
  <si>
    <t xml:space="preserve">    Dividend Received from Investing Activities</t>
  </si>
  <si>
    <t xml:space="preserve">    Increase/Decrease in Short-Term Borrowings</t>
  </si>
  <si>
    <t>APO US Equity- Company Financial (Multiple Periods)</t>
  </si>
  <si>
    <t>APO US Equity    Periodicity:A    Currency:USD    Estimate Source:BST    Actual Source:Bloomberg</t>
  </si>
  <si>
    <t xml:space="preserve">  Assets Under Management</t>
  </si>
  <si>
    <t xml:space="preserve">    Inflows</t>
  </si>
  <si>
    <t xml:space="preserve">    Realizations</t>
  </si>
  <si>
    <t xml:space="preserve">  Fee-Generating Assets Under Management (FPAUM)</t>
  </si>
  <si>
    <t xml:space="preserve">  Fee-Related Earnings</t>
  </si>
  <si>
    <t xml:space="preserve">  FRE Per Unit</t>
  </si>
  <si>
    <t xml:space="preserve">  Fee-Related Earnings Margin (%)</t>
  </si>
  <si>
    <t xml:space="preserve">  Dry Powder</t>
  </si>
  <si>
    <t xml:space="preserve">  Avg. Assets Under Management</t>
  </si>
  <si>
    <t xml:space="preserve">    Total Net Flows</t>
  </si>
  <si>
    <t xml:space="preserve">      Net AUM Inflows</t>
  </si>
  <si>
    <t xml:space="preserve">      Net AUM Outflows</t>
  </si>
  <si>
    <t xml:space="preserve">    Market Activity</t>
  </si>
  <si>
    <t xml:space="preserve">  Assets Under Management (BOP)</t>
  </si>
  <si>
    <t xml:space="preserve">  Fee-Earning Assets Under Management</t>
  </si>
  <si>
    <t xml:space="preserve">  Credit</t>
  </si>
  <si>
    <t xml:space="preserve">    Assets Under Management</t>
  </si>
  <si>
    <t xml:space="preserve">      Net Flows</t>
  </si>
  <si>
    <t xml:space="preserve">        Inflows</t>
  </si>
  <si>
    <t xml:space="preserve">        Outflows</t>
  </si>
  <si>
    <t xml:space="preserve">      Market Change</t>
  </si>
  <si>
    <t xml:space="preserve">      Realizations</t>
  </si>
  <si>
    <t xml:space="preserve">    Fee-Earning AUM</t>
  </si>
  <si>
    <t xml:space="preserve">      Other Change</t>
  </si>
  <si>
    <t xml:space="preserve">    Uncommited Capital</t>
  </si>
  <si>
    <t xml:space="preserve">    Investment Management Fees</t>
  </si>
  <si>
    <t xml:space="preserve">  Equity</t>
  </si>
  <si>
    <t xml:space="preserve">  Yield</t>
  </si>
  <si>
    <t xml:space="preserve">    Uncommitted Capital</t>
  </si>
  <si>
    <t xml:space="preserve">  Hybrid</t>
  </si>
  <si>
    <t xml:space="preserve">      Uncommitted Capital</t>
  </si>
  <si>
    <t xml:space="preserve">      Investment Management Fees</t>
  </si>
  <si>
    <t xml:space="preserve">  Asset Management</t>
  </si>
  <si>
    <t xml:space="preserve">    Management Fees</t>
  </si>
  <si>
    <t xml:space="preserve">    Capital Solutions Fees and Other, Net</t>
  </si>
  <si>
    <t xml:space="preserve">    Fee-Related Performance Revenue</t>
  </si>
  <si>
    <t xml:space="preserve">    Fee-Related Revenue</t>
  </si>
  <si>
    <t xml:space="preserve">    Fee-Related Compensation</t>
  </si>
  <si>
    <t xml:space="preserve">    Placement Fees</t>
  </si>
  <si>
    <t xml:space="preserve">    Fee-Related Expenses</t>
  </si>
  <si>
    <t xml:space="preserve">    Fee-Related Earnings (FRE)</t>
  </si>
  <si>
    <t xml:space="preserve">    FRE Margin (%)</t>
  </si>
  <si>
    <t xml:space="preserve">  Retirement Services</t>
  </si>
  <si>
    <t xml:space="preserve">    Fixed Income &amp; Other Investments</t>
  </si>
  <si>
    <t xml:space="preserve">    Alternative Investment Income, Net</t>
  </si>
  <si>
    <t xml:space="preserve">    Strategic Capital Management Fees</t>
  </si>
  <si>
    <t xml:space="preserve">    Cost of Funds</t>
  </si>
  <si>
    <t xml:space="preserve">    Interest &amp; Other Financing Costs</t>
  </si>
  <si>
    <t xml:space="preserve">    Spread-Related Earnings</t>
  </si>
  <si>
    <t xml:space="preserve">    Gross Product Inflows</t>
  </si>
  <si>
    <t xml:space="preserve">      Organic Product Inflows</t>
  </si>
  <si>
    <t xml:space="preserve">        Retail</t>
  </si>
  <si>
    <t xml:space="preserve">        Flow Reinsurance</t>
  </si>
  <si>
    <t xml:space="preserve">        Funding Agreements</t>
  </si>
  <si>
    <t xml:space="preserve">        Pension Group Annuities</t>
  </si>
  <si>
    <t xml:space="preserve">    Gross Product Outflows</t>
  </si>
  <si>
    <t xml:space="preserve">    Gross Invested Assets</t>
  </si>
  <si>
    <t xml:space="preserve">    Net Invested Assets</t>
  </si>
  <si>
    <t xml:space="preserve">      Traditional Fixed Income &amp; Other Investments</t>
  </si>
  <si>
    <t xml:space="preserve">      Alternative Investments</t>
  </si>
  <si>
    <t xml:space="preserve">  Principal Investing</t>
  </si>
  <si>
    <t xml:space="preserve">    Realized Performance Fees</t>
  </si>
  <si>
    <t xml:space="preserve">    Realized Investment Income</t>
  </si>
  <si>
    <t xml:space="preserve">    Principle Investing Compensation</t>
  </si>
  <si>
    <t xml:space="preserve">    Principle Investing Income</t>
  </si>
  <si>
    <t xml:space="preserve">    Credit</t>
  </si>
  <si>
    <t xml:space="preserve">    Private Equity</t>
  </si>
  <si>
    <t xml:space="preserve">    Real Estate</t>
  </si>
  <si>
    <t xml:space="preserve">    Capital Solutions Fees</t>
  </si>
  <si>
    <t xml:space="preserve">    Fee-Related Performance Fee</t>
  </si>
  <si>
    <t xml:space="preserve">      Fee-Related Compensation</t>
  </si>
  <si>
    <t xml:space="preserve">    Fixed and Net Investment Income</t>
  </si>
  <si>
    <t xml:space="preserve">    Alternative Net Investment Income</t>
  </si>
  <si>
    <t xml:space="preserve">    Strategic Investment Income</t>
  </si>
  <si>
    <t xml:space="preserve">    Interest and Financing Costs</t>
  </si>
  <si>
    <t xml:space="preserve">  Spread-Related Earnings</t>
  </si>
  <si>
    <t xml:space="preserve">    Principal Investing Compensation</t>
  </si>
  <si>
    <t xml:space="preserve">  Principle Investing Income</t>
  </si>
  <si>
    <t xml:space="preserve">  Pre-Tax Distributable Earnings (Segment Income)</t>
  </si>
  <si>
    <t xml:space="preserve">    HoldCo Interest &amp; Financing Costs</t>
  </si>
  <si>
    <t xml:space="preserve">    Taxes and Related Payables</t>
  </si>
  <si>
    <t xml:space="preserve">  Distributable Earnings (ANI)</t>
  </si>
  <si>
    <t xml:space="preserve">  Distributable Earnings Shares (EOP)</t>
  </si>
  <si>
    <t xml:space="preserve">  Distributable Earnings per Share (ANI per Share)</t>
  </si>
  <si>
    <t xml:space="preserve">  FRE Margin (%)</t>
  </si>
  <si>
    <t xml:space="preserve">  FRE per Unit</t>
  </si>
  <si>
    <t xml:space="preserve">  Income Statement (GAAP)</t>
  </si>
  <si>
    <t xml:space="preserve">    Advisory Fees</t>
  </si>
  <si>
    <t xml:space="preserve">    Investment Income</t>
  </si>
  <si>
    <t xml:space="preserve">    Incentive Fees</t>
  </si>
  <si>
    <t xml:space="preserve">  Asset Management Revenue</t>
  </si>
  <si>
    <t xml:space="preserve">  Retirement Services Revenue</t>
  </si>
  <si>
    <t xml:space="preserve">  Asset Management Expenses</t>
  </si>
  <si>
    <t xml:space="preserve">    Compensation &amp; Beneﬁts </t>
  </si>
  <si>
    <t xml:space="preserve">    General, Administrative &amp; Other</t>
  </si>
  <si>
    <t xml:space="preserve">  Retirement Services Expenses</t>
  </si>
  <si>
    <t xml:space="preserve">  Total Expenses</t>
  </si>
  <si>
    <t xml:space="preserve">  Net Gains(Losses) from Investment Activities</t>
  </si>
  <si>
    <t xml:space="preserve">  Other Income/(Loss)</t>
  </si>
  <si>
    <t xml:space="preserve">  Equity-Based Compensation</t>
  </si>
  <si>
    <t xml:space="preserve">  Net Income Including Minority Interest</t>
  </si>
  <si>
    <t xml:space="preserve">    Minority/Non Controlling Interests (Credits)</t>
  </si>
  <si>
    <t xml:space="preserve">  Diluted EPS - Adjusted</t>
  </si>
  <si>
    <t xml:space="preserve">  Common Dividends</t>
  </si>
  <si>
    <t xml:space="preserve">  Dividends Per Share</t>
  </si>
  <si>
    <t xml:space="preserve">    Payout Ratio (%)</t>
  </si>
  <si>
    <t xml:space="preserve">      Total Investments</t>
  </si>
  <si>
    <t xml:space="preserve">      Due from Affiliates</t>
  </si>
  <si>
    <t xml:space="preserve">      Deferred Tax</t>
  </si>
  <si>
    <t xml:space="preserve">      Compensation &amp; Benefits</t>
  </si>
  <si>
    <t xml:space="preserve">      Due to Affiliates</t>
  </si>
  <si>
    <t xml:space="preserve">      Other Accruals and Payable</t>
  </si>
  <si>
    <t xml:space="preserve">        Asset Management</t>
  </si>
  <si>
    <t xml:space="preserve">        Retirement Services</t>
  </si>
  <si>
    <t xml:space="preserve">      Other Noncurrent Liabilities</t>
  </si>
  <si>
    <t xml:space="preserve">        Non-Controlling Interest</t>
  </si>
  <si>
    <t xml:space="preserve">        Preferred Shares</t>
  </si>
  <si>
    <t xml:space="preserve">        Additional Paid-In Capital</t>
  </si>
  <si>
    <t xml:space="preserve">        Accumulated Other Comprehensive Income (Loss)</t>
  </si>
  <si>
    <t xml:space="preserve">      Redeemable Noncontrolling Interest</t>
  </si>
  <si>
    <t xml:space="preserve">    Value of Shares Repurchased</t>
  </si>
  <si>
    <t>KKR US Equity- Company Financial (Multiple Periods)</t>
  </si>
  <si>
    <t>KKR US Equity    Periodicity:A    Currency:USD    Estimate Source:BST    Actual Source:Bloomberg</t>
  </si>
  <si>
    <t xml:space="preserve">  Assets Under Management (AUM)</t>
  </si>
  <si>
    <t xml:space="preserve">    Real Assets</t>
  </si>
  <si>
    <t xml:space="preserve">    Credit and Liquid Strategies</t>
  </si>
  <si>
    <t xml:space="preserve">  Fee-Earning AUM</t>
  </si>
  <si>
    <t xml:space="preserve">  Capital Deployed</t>
  </si>
  <si>
    <t xml:space="preserve">  Operating Earnings</t>
  </si>
  <si>
    <t xml:space="preserve">  Book Value Per Share</t>
  </si>
  <si>
    <t xml:space="preserve">  Ratios (%)</t>
  </si>
  <si>
    <t xml:space="preserve">    Return on Assets</t>
  </si>
  <si>
    <t xml:space="preserve">    Return on Equity</t>
  </si>
  <si>
    <t xml:space="preserve">    Fee-Related Earnings Margin</t>
  </si>
  <si>
    <t xml:space="preserve">    Net Flows</t>
  </si>
  <si>
    <t xml:space="preserve">      Change in AUM - Market Change</t>
  </si>
  <si>
    <t xml:space="preserve">        Real Assets</t>
  </si>
  <si>
    <t xml:space="preserve">  Assets Under Management- Beginning</t>
  </si>
  <si>
    <t xml:space="preserve">  Assets Under Management (AuM)</t>
  </si>
  <si>
    <t xml:space="preserve">    Asset Management</t>
  </si>
  <si>
    <t xml:space="preserve">  Private Equity</t>
  </si>
  <si>
    <t xml:space="preserve">    Fee Related Revenues</t>
  </si>
  <si>
    <t xml:space="preserve">      Management Fees</t>
  </si>
  <si>
    <t xml:space="preserve">      Transaction &amp; Monitoring Fees</t>
  </si>
  <si>
    <t xml:space="preserve">      Fee Related Performance Revenue</t>
  </si>
  <si>
    <t xml:space="preserve">    Realized Performance Income</t>
  </si>
  <si>
    <t xml:space="preserve">      Carried Interest</t>
  </si>
  <si>
    <t xml:space="preserve">      Incentive Fees</t>
  </si>
  <si>
    <t xml:space="preserve">    Fee Earnings AUM</t>
  </si>
  <si>
    <t xml:space="preserve">    Capital Invested</t>
  </si>
  <si>
    <t xml:space="preserve">    Dry Powder</t>
  </si>
  <si>
    <t xml:space="preserve">    Change in AUM Inflows</t>
  </si>
  <si>
    <t xml:space="preserve">    Change in AUM Reinvested Distributions</t>
  </si>
  <si>
    <t xml:space="preserve">  Real Assets</t>
  </si>
  <si>
    <t xml:space="preserve">    Fee Earning AUM</t>
  </si>
  <si>
    <t xml:space="preserve">  Credit and Liquid Strategies</t>
  </si>
  <si>
    <t xml:space="preserve">      Transaction Fees</t>
  </si>
  <si>
    <t xml:space="preserve">  Capital Markets</t>
  </si>
  <si>
    <t xml:space="preserve">    Transaction Fees</t>
  </si>
  <si>
    <t xml:space="preserve">  Principal Activities</t>
  </si>
  <si>
    <t xml:space="preserve">      Net Realized Gains (Losses)</t>
  </si>
  <si>
    <t xml:space="preserve">      Interest Income and Dividends</t>
  </si>
  <si>
    <t xml:space="preserve">  Insurance</t>
  </si>
  <si>
    <t xml:space="preserve">    Net Investment Income</t>
  </si>
  <si>
    <t xml:space="preserve">    Net Cost of Insurance</t>
  </si>
  <si>
    <t xml:space="preserve">      Pre-Tax Insurance Operating Earnings</t>
  </si>
  <si>
    <t xml:space="preserve">    Net Income Attributable to Noncontrolling Interests</t>
  </si>
  <si>
    <t xml:space="preserve">    Segment Operating Earnings</t>
  </si>
  <si>
    <t xml:space="preserve">    Total Investments</t>
  </si>
  <si>
    <t xml:space="preserve">    Net Revenue</t>
  </si>
  <si>
    <t xml:space="preserve">  Strategic Holdings</t>
  </si>
  <si>
    <t xml:space="preserve">    Net Dividends</t>
  </si>
  <si>
    <t xml:space="preserve">    Operating Earnings</t>
  </si>
  <si>
    <t xml:space="preserve">    Net Realized Investment Income</t>
  </si>
  <si>
    <t xml:space="preserve">    Segment Earnings</t>
  </si>
  <si>
    <t xml:space="preserve">    Net Realized Gains (Losses)</t>
  </si>
  <si>
    <t xml:space="preserve">    Annual Performance Bonuses</t>
  </si>
  <si>
    <t xml:space="preserve">    Funds Investment</t>
  </si>
  <si>
    <t xml:space="preserve">      New Capital Raised</t>
  </si>
  <si>
    <t xml:space="preserve">      Change in Value</t>
  </si>
  <si>
    <t xml:space="preserve">      Distributions and Other</t>
  </si>
  <si>
    <t xml:space="preserve">  Fee Earnings Assets Under Management</t>
  </si>
  <si>
    <t xml:space="preserve">      Acquisitions and Other</t>
  </si>
  <si>
    <t xml:space="preserve">    Credit and Liquid Stategies</t>
  </si>
  <si>
    <t xml:space="preserve">  Asset Management Earnings</t>
  </si>
  <si>
    <t xml:space="preserve">    Fee Related Earnings</t>
  </si>
  <si>
    <t xml:space="preserve">      Advisory &amp; Transaction Fees</t>
  </si>
  <si>
    <t xml:space="preserve">      Performance Revenues</t>
  </si>
  <si>
    <t xml:space="preserve">      Compensation</t>
  </si>
  <si>
    <t xml:space="preserve">    Investing Earnings</t>
  </si>
  <si>
    <t xml:space="preserve">      Net Realized Performance Income</t>
  </si>
  <si>
    <t xml:space="preserve">        Realized Performance Income</t>
  </si>
  <si>
    <t xml:space="preserve">        Realized Performance Compensation</t>
  </si>
  <si>
    <t xml:space="preserve">      Net Realized Investment Income</t>
  </si>
  <si>
    <t xml:space="preserve">        Realized Investment Income</t>
  </si>
  <si>
    <t xml:space="preserve">        Realized Investment Income Compensation</t>
  </si>
  <si>
    <t xml:space="preserve">  Insurance Operating Earnings</t>
  </si>
  <si>
    <t xml:space="preserve">    General and Administrative Expense</t>
  </si>
  <si>
    <t xml:space="preserve">  Strategic Holdings Operating Earnings</t>
  </si>
  <si>
    <t xml:space="preserve">  Segment Earnings</t>
  </si>
  <si>
    <t xml:space="preserve">    Income Taxes On Adjusted Earnings</t>
  </si>
  <si>
    <t xml:space="preserve">  Adjusted Weighted Avg Shares</t>
  </si>
  <si>
    <t xml:space="preserve">  FRE per Adjusted Share</t>
  </si>
  <si>
    <t xml:space="preserve">  Adjusted Net Income per Adjusted Share</t>
  </si>
  <si>
    <t xml:space="preserve">    Net Realized Performance Income</t>
  </si>
  <si>
    <t xml:space="preserve">    Depreciation and Amortization - Operating Expense</t>
  </si>
  <si>
    <t xml:space="preserve">    Fees and Other</t>
  </si>
  <si>
    <t xml:space="preserve">    Capital Allocation Based Income</t>
  </si>
  <si>
    <t xml:space="preserve">    Net Premiums</t>
  </si>
  <si>
    <t xml:space="preserve">    Net Investments</t>
  </si>
  <si>
    <t xml:space="preserve">    Other Operating Income</t>
  </si>
  <si>
    <t xml:space="preserve">  Expenses</t>
  </si>
  <si>
    <t xml:space="preserve">    Occupancy</t>
  </si>
  <si>
    <t xml:space="preserve">    Insurance Claims and Losses</t>
  </si>
  <si>
    <t xml:space="preserve">    Insurance Expense </t>
  </si>
  <si>
    <t xml:space="preserve">  Net Income before Non-Controlling Interest</t>
  </si>
  <si>
    <t xml:space="preserve">  Preferred Dividends</t>
  </si>
  <si>
    <t xml:space="preserve">  Net Income </t>
  </si>
  <si>
    <t xml:space="preserve">  Total Dividends</t>
  </si>
  <si>
    <t xml:space="preserve">    Cash and Cash Equivalents</t>
  </si>
  <si>
    <t xml:space="preserve">    Restricted Cash</t>
  </si>
  <si>
    <t xml:space="preserve">    Long Term Investments</t>
  </si>
  <si>
    <t xml:space="preserve">    Due from Affiliates</t>
  </si>
  <si>
    <t xml:space="preserve">    Separate Account</t>
  </si>
  <si>
    <t xml:space="preserve">    Goodwill</t>
  </si>
  <si>
    <t xml:space="preserve">    Other Intangible Assets</t>
  </si>
  <si>
    <t xml:space="preserve">    Deferred Tax Assets</t>
  </si>
  <si>
    <t xml:space="preserve">    Accrued Expenses &amp; Other Liabilities</t>
  </si>
  <si>
    <t xml:space="preserve">    Due To Affiliates</t>
  </si>
  <si>
    <t xml:space="preserve">    Other Long Term Debt</t>
  </si>
  <si>
    <t xml:space="preserve">    Long-Term Debt</t>
  </si>
  <si>
    <t xml:space="preserve">    Other Noncurrent Liabilities</t>
  </si>
  <si>
    <t xml:space="preserve">        Accumulated Other Comprehensive Income</t>
  </si>
  <si>
    <t xml:space="preserve">      Non-controlling Interests</t>
  </si>
  <si>
    <t xml:space="preserve">    Net Accrued Performance Revenue </t>
  </si>
  <si>
    <t xml:space="preserve">    Total Available Lines of Credit</t>
  </si>
  <si>
    <t xml:space="preserve">    Non-Cash Items</t>
  </si>
  <si>
    <t xml:space="preserve">      Gain on Sales of Securities and Loans</t>
  </si>
  <si>
    <t xml:space="preserve">      Other Non-Cash Adj Less</t>
  </si>
  <si>
    <t xml:space="preserve">    Changes in Non-Cash Work Cap</t>
  </si>
  <si>
    <t xml:space="preserve">    Inc(Dec) LT Investments</t>
  </si>
  <si>
    <t xml:space="preserve">      Decrease in Investments</t>
  </si>
  <si>
    <t xml:space="preserve">      Increase in Investments</t>
  </si>
  <si>
    <t xml:space="preserve">    Proceeds from Long Term Debt</t>
  </si>
  <si>
    <t xml:space="preserve">    Payment of Long Term Debt</t>
  </si>
  <si>
    <t>BX US Equity- Company Financial (Multiple Periods)</t>
  </si>
  <si>
    <t>BX US Equity    Periodicity:A    Currency:USD    Estimate Source:BST    Actual Source:Bloomberg</t>
  </si>
  <si>
    <t xml:space="preserve">  Net Revenue</t>
  </si>
  <si>
    <t xml:space="preserve">    Credit &amp; Insurance</t>
  </si>
  <si>
    <t xml:space="preserve">    Multi-Asset Investing</t>
  </si>
  <si>
    <t xml:space="preserve">  Net Flows</t>
  </si>
  <si>
    <t xml:space="preserve">    Outflows</t>
  </si>
  <si>
    <t xml:space="preserve">  Fee Earning Assets Under Management</t>
  </si>
  <si>
    <t xml:space="preserve">  Fee Related Earnings</t>
  </si>
  <si>
    <t xml:space="preserve">    Fee Margin (%)</t>
  </si>
  <si>
    <t xml:space="preserve">  Fee Related Earnings per Unit</t>
  </si>
  <si>
    <t xml:space="preserve">    Assets Under Management(BOP)</t>
  </si>
  <si>
    <t xml:space="preserve">      Management &amp; Advisory Fees</t>
  </si>
  <si>
    <t xml:space="preserve">        Base Management Fees</t>
  </si>
  <si>
    <t xml:space="preserve">        Transaction, Advisory &amp; Other Fees, Net</t>
  </si>
  <si>
    <t xml:space="preserve">        Management Fee Offsets</t>
  </si>
  <si>
    <t xml:space="preserve">      Net Realizations</t>
  </si>
  <si>
    <t xml:space="preserve">    Fee Related Performance Revenue</t>
  </si>
  <si>
    <t xml:space="preserve">    Fee Related Compensation</t>
  </si>
  <si>
    <t xml:space="preserve">    Realized Performance Revenue</t>
  </si>
  <si>
    <t xml:space="preserve">    Realized Performance Compensation</t>
  </si>
  <si>
    <t xml:space="preserve">    Realized Principal Investment Income (Loss)</t>
  </si>
  <si>
    <t xml:space="preserve">    Total Distributable Earnings</t>
  </si>
  <si>
    <t xml:space="preserve">    Personnel Expenses</t>
  </si>
  <si>
    <t xml:space="preserve">  Real Estate</t>
  </si>
  <si>
    <t xml:space="preserve">    Realized Performance Revenues</t>
  </si>
  <si>
    <t xml:space="preserve">  Credit &amp; Insurance</t>
  </si>
  <si>
    <t xml:space="preserve">  Muti-Asset Investing</t>
  </si>
  <si>
    <t xml:space="preserve">        Transaction &amp; Other Fees, Net</t>
  </si>
  <si>
    <t xml:space="preserve">      Inflows</t>
  </si>
  <si>
    <t xml:space="preserve">      Outflows</t>
  </si>
  <si>
    <t xml:space="preserve">      Market Activity</t>
  </si>
  <si>
    <t xml:space="preserve">      Capital Deployed</t>
  </si>
  <si>
    <t xml:space="preserve">      Dry Powder</t>
  </si>
  <si>
    <t xml:space="preserve">  Total Segment Revenue</t>
  </si>
  <si>
    <t xml:space="preserve">    Base Management Fees</t>
  </si>
  <si>
    <t xml:space="preserve">    Transaction, Advisory and Other Fees, Net</t>
  </si>
  <si>
    <t xml:space="preserve">    Total Management and Advisory Fees</t>
  </si>
  <si>
    <t xml:space="preserve">    Performance Revenues</t>
  </si>
  <si>
    <t xml:space="preserve">    Compensation</t>
  </si>
  <si>
    <t xml:space="preserve">  Realized Income</t>
  </si>
  <si>
    <t xml:space="preserve">    Performance Compensation</t>
  </si>
  <si>
    <t xml:space="preserve">    Principal Investment Income</t>
  </si>
  <si>
    <t xml:space="preserve">  Segment Distributable Earnings</t>
  </si>
  <si>
    <t xml:space="preserve">    Net Interest and Dividend Loss</t>
  </si>
  <si>
    <t xml:space="preserve">  Distributable Earnings</t>
  </si>
  <si>
    <t xml:space="preserve">  Distributable Earnings Units</t>
  </si>
  <si>
    <t xml:space="preserve">  Fee Margin (%)</t>
  </si>
  <si>
    <t xml:space="preserve">  Other Payables Attributable to Common</t>
  </si>
  <si>
    <t xml:space="preserve">    Management &amp; Advisory Fees, Net</t>
  </si>
  <si>
    <t xml:space="preserve">    Performance Allocations</t>
  </si>
  <si>
    <t xml:space="preserve">    Performance Investments</t>
  </si>
  <si>
    <t xml:space="preserve">    Interest and Dividend Income</t>
  </si>
  <si>
    <t xml:space="preserve">    Compensation and Benefits</t>
  </si>
  <si>
    <t xml:space="preserve">    Fund Expenses</t>
  </si>
  <si>
    <t xml:space="preserve">  Other Income (Loss)</t>
  </si>
  <si>
    <t xml:space="preserve">    Net Gains (Losses) from Fund Investment Activities </t>
  </si>
  <si>
    <t xml:space="preserve">    Change in Tax Receivable Agreement Liability</t>
  </si>
  <si>
    <t xml:space="preserve">      Income Tax Expense</t>
  </si>
  <si>
    <t xml:space="preserve">      Minority/Non Controlling Interests (Credits)</t>
  </si>
  <si>
    <t xml:space="preserve">    Cash &amp; Cash Equivalents</t>
  </si>
  <si>
    <t xml:space="preserve">    Cash Held by Blackstone Funds &amp; Other</t>
  </si>
  <si>
    <t xml:space="preserve">    Investments</t>
  </si>
  <si>
    <t xml:space="preserve">    Accounts Receivable</t>
  </si>
  <si>
    <t xml:space="preserve">    Operating Lease Assets</t>
  </si>
  <si>
    <t xml:space="preserve">    Intangible Assets</t>
  </si>
  <si>
    <t xml:space="preserve">  Liabilities &amp; Shareholders' Equity</t>
  </si>
  <si>
    <t xml:space="preserve">    Accounts Payable &amp; Accrued Expenses</t>
  </si>
  <si>
    <t xml:space="preserve">    Loans Payable</t>
  </si>
  <si>
    <t xml:space="preserve">    Due to Affiliates</t>
  </si>
  <si>
    <t xml:space="preserve">    Accrued Compensation &amp; Benefits</t>
  </si>
  <si>
    <t xml:space="preserve">    Trading Account Liabilities</t>
  </si>
  <si>
    <t xml:space="preserve">    Repurchase Agreements</t>
  </si>
  <si>
    <t xml:space="preserve">    Operating Lease Liabilities</t>
  </si>
  <si>
    <t xml:space="preserve">    Redeemable Non-controlling Interest</t>
  </si>
  <si>
    <t xml:space="preserve">      Accumulated Other Income (Loss)</t>
  </si>
  <si>
    <t xml:space="preserve">        Non-Controlling Interests in Blackstone Holdings</t>
  </si>
  <si>
    <t xml:space="preserve">    Net Accrued Performance Revenue Company Basis</t>
  </si>
  <si>
    <t>ARES US Equity- Company Financial (Multiple Periods)</t>
  </si>
  <si>
    <t>ARES US Equity    Periodicity:A    Currency:USD    Estimate Source:BST    Actual Source:Bloomberg</t>
  </si>
  <si>
    <t xml:space="preserve">  Total AUM</t>
  </si>
  <si>
    <t xml:space="preserve">    Change in Fund Value</t>
  </si>
  <si>
    <t xml:space="preserve">  Total Fee Paying AUM</t>
  </si>
  <si>
    <t xml:space="preserve">    Fee Related Earnings Margin(%)</t>
  </si>
  <si>
    <t xml:space="preserve">  Assets Under Management -(BOP)</t>
  </si>
  <si>
    <t xml:space="preserve">  Assets Under Management Rollforward</t>
  </si>
  <si>
    <t xml:space="preserve">    Total Company</t>
  </si>
  <si>
    <t xml:space="preserve">      Net New Commitments</t>
  </si>
  <si>
    <t xml:space="preserve">      Capital Reductions</t>
  </si>
  <si>
    <t xml:space="preserve">      Distributions</t>
  </si>
  <si>
    <t xml:space="preserve">      Redemptions</t>
  </si>
  <si>
    <t xml:space="preserve">      Net Allocations Among Investment Strategies</t>
  </si>
  <si>
    <t xml:space="preserve">      Change in Fund Value</t>
  </si>
  <si>
    <t xml:space="preserve">      Acquisitions</t>
  </si>
  <si>
    <t xml:space="preserve">  Fee Earning Assets Under Management Rollforward</t>
  </si>
  <si>
    <t xml:space="preserve">      Commitments</t>
  </si>
  <si>
    <t xml:space="preserve">      Deployment/Subscriptions/Increase in Leverage</t>
  </si>
  <si>
    <t xml:space="preserve">      Change in Fee Basis</t>
  </si>
  <si>
    <t xml:space="preserve">  Credit Group</t>
  </si>
  <si>
    <t xml:space="preserve">      Fee Related Perfromance Revenues</t>
  </si>
  <si>
    <t xml:space="preserve">      Other Fees</t>
  </si>
  <si>
    <t xml:space="preserve">      General, Administrative &amp; Other Expenses</t>
  </si>
  <si>
    <t xml:space="preserve">    Realized Net Performance Income</t>
  </si>
  <si>
    <t xml:space="preserve">      Performance Income - Realized</t>
  </si>
  <si>
    <t xml:space="preserve">      Performance Related Compensation - Realized</t>
  </si>
  <si>
    <t xml:space="preserve">    Realized Net Investment Income</t>
  </si>
  <si>
    <t xml:space="preserve">      Investment Income (Loss) - Realized</t>
  </si>
  <si>
    <t xml:space="preserve">      Interest &amp; Other Investment Income - Realized</t>
  </si>
  <si>
    <t xml:space="preserve">      Net New Par/Equity Commitments</t>
  </si>
  <si>
    <t xml:space="preserve">    Net New Debt Commitments</t>
  </si>
  <si>
    <t xml:space="preserve">    Realized Income</t>
  </si>
  <si>
    <t xml:space="preserve">  Private Equity Group</t>
  </si>
  <si>
    <t xml:space="preserve">  Real Assets Group</t>
  </si>
  <si>
    <t xml:space="preserve">  Secondaries Group</t>
  </si>
  <si>
    <t xml:space="preserve">      Fee Related Performance Revenues</t>
  </si>
  <si>
    <t xml:space="preserve">  Operations Management Group</t>
  </si>
  <si>
    <t xml:space="preserve">      Investment Income (loss) - Realized</t>
  </si>
  <si>
    <t xml:space="preserve">    Performance Fees</t>
  </si>
  <si>
    <t xml:space="preserve">    Other Fees</t>
  </si>
  <si>
    <t xml:space="preserve">    Compensation &amp; Benefits</t>
  </si>
  <si>
    <t xml:space="preserve">    Performance Related Compensation and Benefits</t>
  </si>
  <si>
    <t xml:space="preserve">    General, Administrative &amp; Other Expenses</t>
  </si>
  <si>
    <t xml:space="preserve">    Performance Income</t>
  </si>
  <si>
    <t xml:space="preserve">    Performance Related Compensation</t>
  </si>
  <si>
    <t xml:space="preserve">    Interest &amp; Other Investment Income</t>
  </si>
  <si>
    <t xml:space="preserve">  Realized Income before Taxes</t>
  </si>
  <si>
    <t xml:space="preserve">  Entity Level Foreign, State &amp; Local Taxes</t>
  </si>
  <si>
    <t xml:space="preserve">  Corporate Income Taxes</t>
  </si>
  <si>
    <t xml:space="preserve">  After-Tax Realized Income</t>
  </si>
  <si>
    <t xml:space="preserve">  Adjusted Diluted Weighted Shares</t>
  </si>
  <si>
    <t xml:space="preserve">  After-Tax Realized Income per Share</t>
  </si>
  <si>
    <t xml:space="preserve">    Carried Interest Allocation</t>
  </si>
  <si>
    <t xml:space="preserve">    Administrative, Transaction &amp; Other Fees</t>
  </si>
  <si>
    <t xml:space="preserve">    Expenses of Consolidated Funds</t>
  </si>
  <si>
    <t xml:space="preserve">      Interest &amp; Other Income of Consolidated Funds</t>
  </si>
  <si>
    <t xml:space="preserve">  Income (Loss) from Continuing Operations</t>
  </si>
  <si>
    <t xml:space="preserve">  Net Income Available To Common Shareholders - IS</t>
  </si>
  <si>
    <t xml:space="preserve">  EPS Adjusted</t>
  </si>
  <si>
    <t xml:space="preserve">  Dividend Payout Ratio</t>
  </si>
  <si>
    <t xml:space="preserve">    Receivable for Securities Sold</t>
  </si>
  <si>
    <t xml:space="preserve">    Other Assets</t>
  </si>
  <si>
    <t xml:space="preserve">      Compensation Payable</t>
  </si>
  <si>
    <t xml:space="preserve">      Debt Obligations</t>
  </si>
  <si>
    <t xml:space="preserve">      Long Term Borrowing</t>
  </si>
  <si>
    <t xml:space="preserve">      Preferred Equity</t>
  </si>
  <si>
    <t xml:space="preserve">      Additional Paid-in-Capital</t>
  </si>
  <si>
    <t xml:space="preserve">      Accumulated Deficit </t>
  </si>
  <si>
    <t xml:space="preserve">      Minority/Non Controlling Interest</t>
  </si>
  <si>
    <t xml:space="preserve">    Payables Brokers Dealers &amp; Clearing Organizations</t>
  </si>
  <si>
    <t xml:space="preserve">    Diluted Shares Outstanding</t>
  </si>
  <si>
    <t xml:space="preserve">    Acquisition </t>
  </si>
  <si>
    <t>Make the time series tationary</t>
  </si>
  <si>
    <t>Cointegraeatoin of the two time series</t>
  </si>
  <si>
    <t>Alma model or a rema</t>
  </si>
  <si>
    <t>Heavy seasonality</t>
  </si>
  <si>
    <t>Get point in time estimates that way</t>
  </si>
  <si>
    <t>An estimate for every secnd of every day what the mean should be</t>
  </si>
  <si>
    <t>Looking at z score relates to historical mean</t>
  </si>
  <si>
    <t>Time varying correlations</t>
  </si>
  <si>
    <t>Esimtate probability of 10 tick move.</t>
  </si>
  <si>
    <t>Create 30 minute buckets, make them rolling, and then see the tick movement</t>
  </si>
  <si>
    <t>Reinforcement learning</t>
  </si>
  <si>
    <t>https://arxiv.org/pdf/1605.01862</t>
  </si>
  <si>
    <t>generally daily returns are iid (independent and identically distributed), so yes random. but high-frequency returns generally are not. They generally follow some version of a negative autoregressive process, which pretty much means a trade will be followed by the opposite signed trade (buy is followed by a sell)</t>
  </si>
  <si>
    <t>CRCL US Equity- Company Financial (Multiple Periods)</t>
  </si>
  <si>
    <t>CRCL US Equity    Periodicity:A    Currency:USD    Estimate Source:BST    Actual Source:Bloomberg</t>
  </si>
  <si>
    <t xml:space="preserve">    Reserve</t>
  </si>
  <si>
    <t xml:space="preserve">      Subscription &amp; Services</t>
  </si>
  <si>
    <t xml:space="preserve">      Transaction Services</t>
  </si>
  <si>
    <t xml:space="preserve">      Other Services</t>
  </si>
  <si>
    <t xml:space="preserve">    Integration Services</t>
  </si>
  <si>
    <t xml:space="preserve">  Average USDC in Circulation</t>
  </si>
  <si>
    <t xml:space="preserve">  Reserve Return rate (%)</t>
  </si>
  <si>
    <t xml:space="preserve">  USDC Minted</t>
  </si>
  <si>
    <t xml:space="preserve">  Stablecoin Market Share, EOP (%)</t>
  </si>
  <si>
    <t xml:space="preserve">  Meaningful Wallets, EOP</t>
  </si>
  <si>
    <t xml:space="preserve">  Total Distribution, Transaction &amp; Other Costs</t>
  </si>
  <si>
    <t xml:space="preserve">    Distribution &amp; Transaction Costs</t>
  </si>
  <si>
    <t xml:space="preserve">    IT Infrastructure Costs</t>
  </si>
  <si>
    <t xml:space="preserve">    Digital Assets Losses (Gains)</t>
  </si>
  <si>
    <t xml:space="preserve">  Other (Expense) Income, Net</t>
  </si>
  <si>
    <t xml:space="preserve">    Operating Expenses (New Definition)</t>
  </si>
  <si>
    <t xml:space="preserve">      Legal Expenses</t>
  </si>
  <si>
    <t xml:space="preserve">      Acquisition Cost</t>
  </si>
  <si>
    <t xml:space="preserve">    Pre-Tax Income Adjustment</t>
  </si>
  <si>
    <t xml:space="preserve">      Impairment Losses on Strategic Investments</t>
  </si>
  <si>
    <t xml:space="preserve">      Foreign Currency Exchange Gain (Loss)</t>
  </si>
  <si>
    <t xml:space="preserve">      Cash &amp; Cash Equivalents Segregated for Corporate-Held Stablecoins</t>
  </si>
  <si>
    <t xml:space="preserve">      Cash &amp; Cash Equivalents Segregated for The Benefit of Stablecoin Holders</t>
  </si>
  <si>
    <t xml:space="preserve">      Investments</t>
  </si>
  <si>
    <t xml:space="preserve">      Digital Assets</t>
  </si>
  <si>
    <t xml:space="preserve">      Intangible assets, Net</t>
  </si>
  <si>
    <t xml:space="preserve">      Deposits from Stablecoin Holders</t>
  </si>
  <si>
    <t xml:space="preserve">      Convertible Debt, Net of Debt Discount</t>
  </si>
  <si>
    <t xml:space="preserve">      Deferred Tax Liabilities, Net</t>
  </si>
  <si>
    <t xml:space="preserve">      Redeemable Convertible Preferred Stock</t>
  </si>
  <si>
    <t xml:space="preserve">        Class A Common Stock</t>
  </si>
  <si>
    <t xml:space="preserve">        Treasury stock</t>
  </si>
  <si>
    <t xml:space="preserve">    Change in Fair Value of Convertible Debt, Warrant &amp; Embedded Derivatives</t>
  </si>
  <si>
    <t xml:space="preserve">    Digital Assets Received for Services</t>
  </si>
  <si>
    <t xml:space="preserve">    Realized &amp; Unrealized Losses (Gains) on Strategic Investments</t>
  </si>
  <si>
    <t xml:space="preserve">    Gain on Sale of Long-Lived Assets</t>
  </si>
  <si>
    <t xml:space="preserve">    Realized &amp; Unrealized (Gains) Losses on Digital Assets</t>
  </si>
  <si>
    <t xml:space="preserve">    Sale &amp; Return of Investments</t>
  </si>
  <si>
    <t xml:space="preserve">    Proceeds from Sale of Digital Assets</t>
  </si>
  <si>
    <t xml:space="preserve">    Capitalization of Software Development Costs</t>
  </si>
  <si>
    <t xml:space="preserve">    Purchase of Long-Lived Assets</t>
  </si>
  <si>
    <t xml:space="preserve">    CFO Before Non-Cash Working Capital</t>
  </si>
  <si>
    <t>AXTI US Equity- Company Financial (Multiple Periods)</t>
  </si>
  <si>
    <t>AXTI US Equity    Periodicity:A    Currency:USD    Estimate Source:BST    Actual Source:Bloomberg</t>
  </si>
  <si>
    <t xml:space="preserve">    Substrates</t>
  </si>
  <si>
    <t xml:space="preserve">    Raw Material &amp; Others</t>
  </si>
  <si>
    <t xml:space="preserve">  Asia Pacific (Excl. China, Taiwan &amp; Japan)</t>
  </si>
  <si>
    <t xml:space="preserve">  Europe (Primarily Germany)</t>
  </si>
  <si>
    <t xml:space="preserve">  North America (Primarily the United States)</t>
  </si>
  <si>
    <t xml:space="preserve">      Prepaid &amp; Other</t>
  </si>
  <si>
    <t>CEG US Equity- Company Financial (Multiple Periods)</t>
  </si>
  <si>
    <t>CEG US Equity    Periodicity:A    Currency:USD    Estimate Source:BST    Actual Source:Bloomberg</t>
  </si>
  <si>
    <t xml:space="preserve">  Adjusted ROE</t>
  </si>
  <si>
    <t xml:space="preserve">  Long-Term Debt</t>
  </si>
  <si>
    <t xml:space="preserve">  Gross Margin</t>
  </si>
  <si>
    <t xml:space="preserve">    Open Gross Margin </t>
  </si>
  <si>
    <t xml:space="preserve">    Contracted Revenues</t>
  </si>
  <si>
    <t xml:space="preserve">    Nuclear Tax Credits</t>
  </si>
  <si>
    <t xml:space="preserve">  Mid-Atlantic</t>
  </si>
  <si>
    <t xml:space="preserve">    Reference Price</t>
  </si>
  <si>
    <t xml:space="preserve">    Purchased Power</t>
  </si>
  <si>
    <t xml:space="preserve">    Nuclear </t>
  </si>
  <si>
    <t xml:space="preserve">      Capacity (MW)</t>
  </si>
  <si>
    <t xml:space="preserve">      Capacity Factor (%)</t>
  </si>
  <si>
    <t xml:space="preserve">      Generation (GWh)</t>
  </si>
  <si>
    <t xml:space="preserve">    Renewables/Other</t>
  </si>
  <si>
    <t xml:space="preserve">    ZEC Payments</t>
  </si>
  <si>
    <t xml:space="preserve">    Capacity Revenue</t>
  </si>
  <si>
    <t xml:space="preserve">    Purchased Power &amp; Fuel Expense</t>
  </si>
  <si>
    <t xml:space="preserve">    Mark to Market Value of Hedges</t>
  </si>
  <si>
    <t xml:space="preserve">      Hedge (%)</t>
  </si>
  <si>
    <t xml:space="preserve">      Hedged Volume (TWh)</t>
  </si>
  <si>
    <t xml:space="preserve">      Effective Realized Energy Price ($/MWh)</t>
  </si>
  <si>
    <t xml:space="preserve">      Expected Generation (TWh)</t>
  </si>
  <si>
    <t xml:space="preserve">  Midwest</t>
  </si>
  <si>
    <t xml:space="preserve">      Adj. Net Revenue</t>
  </si>
  <si>
    <t xml:space="preserve">      Fuel Expense</t>
  </si>
  <si>
    <t xml:space="preserve">      Operations &amp; Maintenance Expense</t>
  </si>
  <si>
    <t xml:space="preserve">    Renewables</t>
  </si>
  <si>
    <t xml:space="preserve">    CMS Payments </t>
  </si>
  <si>
    <t xml:space="preserve">  ERCOT</t>
  </si>
  <si>
    <t xml:space="preserve">    Gas &amp; Renewables</t>
  </si>
  <si>
    <t xml:space="preserve">      Capacity</t>
  </si>
  <si>
    <t xml:space="preserve">  New York</t>
  </si>
  <si>
    <t xml:space="preserve">    Nuclear</t>
  </si>
  <si>
    <t xml:space="preserve">      Reference Price</t>
  </si>
  <si>
    <t xml:space="preserve">  New England</t>
  </si>
  <si>
    <t xml:space="preserve">    Mystic 8</t>
  </si>
  <si>
    <t xml:space="preserve">    Mystic 9</t>
  </si>
  <si>
    <t xml:space="preserve">    Capacity Revenue </t>
  </si>
  <si>
    <t xml:space="preserve">  Other Regions</t>
  </si>
  <si>
    <t xml:space="preserve">    Other Regions - Renewable</t>
  </si>
  <si>
    <t xml:space="preserve">  Other Business Segments</t>
  </si>
  <si>
    <t xml:space="preserve">    Power New Business</t>
  </si>
  <si>
    <t xml:space="preserve">    Non-Power Margins Executed</t>
  </si>
  <si>
    <t xml:space="preserve">    Non-Power New Business</t>
  </si>
  <si>
    <t xml:space="preserve">    Mid Atlantic</t>
  </si>
  <si>
    <t xml:space="preserve">    New York</t>
  </si>
  <si>
    <t xml:space="preserve">    Midwest</t>
  </si>
  <si>
    <t xml:space="preserve">    Other Power Regions</t>
  </si>
  <si>
    <t xml:space="preserve">    Production &amp; Other Taxes</t>
  </si>
  <si>
    <t xml:space="preserve">  Maintenance Expense</t>
  </si>
  <si>
    <t xml:space="preserve">    Operations &amp; Maintenance Expense</t>
  </si>
  <si>
    <t xml:space="preserve">    Disposal of Assets</t>
  </si>
  <si>
    <t xml:space="preserve">      Customer Accounts Receivable, Net</t>
  </si>
  <si>
    <t xml:space="preserve">      Other Receivable</t>
  </si>
  <si>
    <t xml:space="preserve">      Nuclear Decommissioning Funds</t>
  </si>
  <si>
    <t xml:space="preserve">      Other Assets &amp; LT Investments</t>
  </si>
  <si>
    <t xml:space="preserve">      Assets Retirement Obligation</t>
  </si>
  <si>
    <t xml:space="preserve">      Nuclear Fuel Obligation</t>
  </si>
  <si>
    <t xml:space="preserve">      Pension Liabilities</t>
  </si>
  <si>
    <t xml:space="preserve">      Accumulated Other Comprehensive Income (Loss), Net</t>
  </si>
  <si>
    <t xml:space="preserve">    Investment in NDT Funds</t>
  </si>
  <si>
    <t xml:space="preserve">    Issuance of Long-Term Debt</t>
  </si>
  <si>
    <t xml:space="preserve">    Retirement of Long-Term Debt</t>
  </si>
  <si>
    <t xml:space="preserve">    Change in Capital Stock</t>
  </si>
  <si>
    <t>OKLO US Equity- Company Financial (Multiple Periods)</t>
  </si>
  <si>
    <t>OKLO US Equity    Periodicity:A    Currency:USD    Estimate Source:BST    Actual Source:Bloomberg</t>
  </si>
  <si>
    <t xml:space="preserve">  Research &amp; Development</t>
  </si>
  <si>
    <t xml:space="preserve">  Cash &amp; Cash Equivalents (EOP)</t>
  </si>
  <si>
    <t xml:space="preserve">  Capacity (MW)</t>
  </si>
  <si>
    <t xml:space="preserve">  PPA ($/MWh)</t>
  </si>
  <si>
    <t xml:space="preserve">  Interest &amp; Dividend Income</t>
  </si>
  <si>
    <t xml:space="preserve">  Total Other Income</t>
  </si>
  <si>
    <t xml:space="preserve">      Marketable Debt Securities</t>
  </si>
  <si>
    <t xml:space="preserve">      Long-Term Marketable Securities</t>
  </si>
  <si>
    <t xml:space="preserve">      Right of First Refusal Liability</t>
  </si>
  <si>
    <t xml:space="preserve">    Total Shareholder's Equity</t>
  </si>
  <si>
    <t xml:space="preserve">    Proceeds from Redemptions of Marketable Debt Securities</t>
  </si>
  <si>
    <t xml:space="preserve">    Cash for Acquisition of Subsidiaries</t>
  </si>
  <si>
    <t xml:space="preserve">    Net Changes in Equity</t>
  </si>
  <si>
    <t xml:space="preserve">    Net Changes in Debt</t>
  </si>
  <si>
    <t>XE US Equity- Company Financial (Multiple Periods)</t>
  </si>
  <si>
    <t>XE US Equity    Periodicity:A    Currency:USD    Estimate Source:BST    Actual Source:Bloomberg</t>
  </si>
  <si>
    <t xml:space="preserve">  TRISO</t>
  </si>
  <si>
    <t xml:space="preserve">    Capex for Fuel Fabrication Plants</t>
  </si>
  <si>
    <t xml:space="preserve">    Reactors</t>
  </si>
  <si>
    <t xml:space="preserve">    Revenue / Pebble</t>
  </si>
  <si>
    <t xml:space="preserve">      Warrant Liabilities</t>
  </si>
  <si>
    <t>CBRS US Equity- Company Financial (Multiple Periods)</t>
  </si>
  <si>
    <t>CBRS US Equity    Periodicity:A    Currency:USD    Estimate Source:BST    Actual Source:Bloomberg</t>
  </si>
  <si>
    <t xml:space="preserve">  Segment Core Revenue</t>
  </si>
  <si>
    <t xml:space="preserve">    Cloud &amp; Other Services</t>
  </si>
  <si>
    <t xml:space="preserve">  Hardware - Core</t>
  </si>
  <si>
    <t xml:space="preserve">  Cloud &amp; Other Services - Core</t>
  </si>
  <si>
    <t xml:space="preserve">  Hardware - GAAP</t>
  </si>
  <si>
    <t xml:space="preserve">  Cloud &amp; Other Services - GAAP</t>
  </si>
  <si>
    <t xml:space="preserve">    Europe, Middle East, &amp; Africa</t>
  </si>
  <si>
    <t xml:space="preserve">  As % of Revenue</t>
  </si>
  <si>
    <t xml:space="preserve">    Customer A</t>
  </si>
  <si>
    <t xml:space="preserve">    Customer B</t>
  </si>
  <si>
    <t xml:space="preserve">    Customer C</t>
  </si>
  <si>
    <t xml:space="preserve">    Customer D</t>
  </si>
  <si>
    <t xml:space="preserve">  Other (Income) Expense</t>
  </si>
  <si>
    <t xml:space="preserve">      Customer Warrants</t>
  </si>
  <si>
    <t xml:space="preserve">      Prepaid Expesnes &amp; Other Current Assets</t>
  </si>
  <si>
    <t xml:space="preserve">      Property &amp; Equipment</t>
  </si>
  <si>
    <t xml:space="preserve">      Deferred Revenue, Current</t>
  </si>
  <si>
    <t xml:space="preserve">      Operating Lease Liability</t>
  </si>
  <si>
    <t xml:space="preserve">      Working Capital Loan</t>
  </si>
  <si>
    <t xml:space="preserve">      Accrued &amp; Other Current Liabilities</t>
  </si>
  <si>
    <t xml:space="preserve">      Operating Lease Liability, Net of Current Portion</t>
  </si>
  <si>
    <t xml:space="preserve">      Working Capital Loan, Net of Current Portion</t>
  </si>
  <si>
    <t xml:space="preserve">    Provision for Product Warranties</t>
  </si>
  <si>
    <t xml:space="preserve">    Changes in Operating Assets &amp; Liabilities</t>
  </si>
  <si>
    <t xml:space="preserve">    Purchase of Property &amp; Equipment</t>
  </si>
  <si>
    <t xml:space="preserve">    Proceeds from Sale of Shares of Redeemable Convertible Preferred</t>
  </si>
  <si>
    <t>ENTG US Equity- Company Financial (Multiple Periods)</t>
  </si>
  <si>
    <t>ENTG US Equity    Periodicity:A    Currency:USD    Estimate Source:BST    Actual Source:Bloomberg</t>
  </si>
  <si>
    <t xml:space="preserve">    Material Solutions</t>
  </si>
  <si>
    <t xml:space="preserve">    Advanced Purity Solutions</t>
  </si>
  <si>
    <t xml:space="preserve">    Intersegment</t>
  </si>
  <si>
    <t xml:space="preserve">  Accounts Receivable Turnover (%)</t>
  </si>
  <si>
    <t xml:space="preserve">  Materials Solutions</t>
  </si>
  <si>
    <t xml:space="preserve">    Profit Margin</t>
  </si>
  <si>
    <t xml:space="preserve">    Adjusted Profit Margin</t>
  </si>
  <si>
    <t xml:space="preserve">  Advanced Purity Solutions</t>
  </si>
  <si>
    <t xml:space="preserve">  Intersegment Eliminations</t>
  </si>
  <si>
    <t xml:space="preserve">    Advanced Materials Handling</t>
  </si>
  <si>
    <t xml:space="preserve">      Operating Income</t>
  </si>
  <si>
    <t xml:space="preserve">      Profit Margin </t>
  </si>
  <si>
    <t xml:space="preserve">    Microcontamination Control</t>
  </si>
  <si>
    <t xml:space="preserve">      Profit Margin</t>
  </si>
  <si>
    <t xml:space="preserve">    Specialty Chemicals &amp; Engineered Materials</t>
  </si>
  <si>
    <t xml:space="preserve">    Advanced Planarization Solutions</t>
  </si>
  <si>
    <t xml:space="preserve">      Material Solutions</t>
  </si>
  <si>
    <t xml:space="preserve">      Advanced Purity Solutions</t>
  </si>
  <si>
    <t xml:space="preserve">    Proceeds from Long-Term Debt</t>
  </si>
  <si>
    <t xml:space="preserve">    Payments for Debt Issuance Costs</t>
  </si>
  <si>
    <t>LIN US Equity- Company Financial (Multiple Periods)</t>
  </si>
  <si>
    <t>LIN US Equity    Periodicity:A    Currency:USD    Estimate Source:BST    Actual Source:Bloomberg</t>
  </si>
  <si>
    <t xml:space="preserve">    Engineering</t>
  </si>
  <si>
    <t xml:space="preserve">    Global Other</t>
  </si>
  <si>
    <t xml:space="preserve">  Company Level Industry Statistics</t>
  </si>
  <si>
    <t xml:space="preserve">  Sales Change (%):</t>
  </si>
  <si>
    <t xml:space="preserve">    Volume</t>
  </si>
  <si>
    <t xml:space="preserve">    Price/Mix</t>
  </si>
  <si>
    <t xml:space="preserve">    Cost-Pass Through</t>
  </si>
  <si>
    <t xml:space="preserve">    Currency</t>
  </si>
  <si>
    <t xml:space="preserve">    Acquisitions/Divestitures</t>
  </si>
  <si>
    <t xml:space="preserve">  End Markets Change (%):</t>
  </si>
  <si>
    <t xml:space="preserve">    YoY:</t>
  </si>
  <si>
    <t xml:space="preserve">      Consumer Related</t>
  </si>
  <si>
    <t xml:space="preserve">        Healthcare</t>
  </si>
  <si>
    <t xml:space="preserve">        Food &amp; Beverage</t>
  </si>
  <si>
    <t xml:space="preserve">        Electronics</t>
  </si>
  <si>
    <t xml:space="preserve">    Industrial Related</t>
  </si>
  <si>
    <t xml:space="preserve">      Manufacturing</t>
  </si>
  <si>
    <t xml:space="preserve">      Chemicals &amp; Energy</t>
  </si>
  <si>
    <t xml:space="preserve">      Metals &amp; Mining</t>
  </si>
  <si>
    <t xml:space="preserve">    QoQ:</t>
  </si>
  <si>
    <t xml:space="preserve">      Industrial Related</t>
  </si>
  <si>
    <t xml:space="preserve">        Manufacturing</t>
  </si>
  <si>
    <t xml:space="preserve">        Chemicals &amp; Energy</t>
  </si>
  <si>
    <t xml:space="preserve">        Metals &amp; Mining</t>
  </si>
  <si>
    <t xml:space="preserve">  Americas</t>
  </si>
  <si>
    <t xml:space="preserve">      Merchant</t>
  </si>
  <si>
    <t xml:space="preserve">      On-Site</t>
  </si>
  <si>
    <t xml:space="preserve">      Packaged Gas</t>
  </si>
  <si>
    <t xml:space="preserve">    Sales Change (%):</t>
  </si>
  <si>
    <t xml:space="preserve">      Organic</t>
  </si>
  <si>
    <t xml:space="preserve">      Volume</t>
  </si>
  <si>
    <t xml:space="preserve">      Price/Mix</t>
  </si>
  <si>
    <t xml:space="preserve">      Cost-Pass Through</t>
  </si>
  <si>
    <t xml:space="preserve">      Currency</t>
  </si>
  <si>
    <t xml:space="preserve">      Acquisitions/Divestitures</t>
  </si>
  <si>
    <t xml:space="preserve">  Engineering</t>
  </si>
  <si>
    <t xml:space="preserve">      Packaged Goods</t>
  </si>
  <si>
    <t xml:space="preserve">  Revenue by Major Country</t>
  </si>
  <si>
    <t xml:space="preserve">    Germany</t>
  </si>
  <si>
    <t xml:space="preserve">    United Kingdom</t>
  </si>
  <si>
    <t xml:space="preserve">    Australia</t>
  </si>
  <si>
    <t xml:space="preserve">    Brazil</t>
  </si>
  <si>
    <t xml:space="preserve">    Other - Non-U.S.</t>
  </si>
  <si>
    <t xml:space="preserve">  Long-Lived Assets by Major Country</t>
  </si>
  <si>
    <t xml:space="preserve">    Effect of Currency on Sales Growth (%)</t>
  </si>
  <si>
    <t xml:space="preserve">    As a % of Revenue</t>
  </si>
  <si>
    <t xml:space="preserve">    Other Operating Income (Expense)</t>
  </si>
  <si>
    <t xml:space="preserve">  Interest Expense / (Income), Net</t>
  </si>
  <si>
    <t xml:space="preserve">  Other Expenses</t>
  </si>
  <si>
    <t xml:space="preserve">    Net Income from Continuing Operations</t>
  </si>
  <si>
    <t xml:space="preserve">    Net Income after Minorities</t>
  </si>
  <si>
    <t xml:space="preserve">    Net Income Including Non-Controlling Interest</t>
  </si>
  <si>
    <t xml:space="preserve">    Redeemable Noncontrolling Interest</t>
  </si>
  <si>
    <t xml:space="preserve">    Noncontrolling Interest from Continuing Operations</t>
  </si>
  <si>
    <t xml:space="preserve">  Equity Income</t>
  </si>
  <si>
    <t xml:space="preserve">    Equity Income from Continuing Operations</t>
  </si>
  <si>
    <t xml:space="preserve">    Interest Expense / (Income), Net</t>
  </si>
  <si>
    <t xml:space="preserve">    Net Income Adjustment</t>
  </si>
  <si>
    <t xml:space="preserve">    Purchase Accounting Impacts - Linde</t>
  </si>
  <si>
    <t xml:space="preserve">    Merger &amp; Acquisition Expense Diluted Share</t>
  </si>
  <si>
    <t xml:space="preserve">      Accumulated Depreciation</t>
  </si>
  <si>
    <t xml:space="preserve">        Contract Liabilities</t>
  </si>
  <si>
    <t xml:space="preserve">      Deferred Income</t>
  </si>
  <si>
    <t xml:space="preserve">      Other Long-Term liabilities</t>
  </si>
  <si>
    <t xml:space="preserve">      Accumulated &amp; Other Comprehensive Income</t>
  </si>
  <si>
    <t xml:space="preserve">      Minority Interests</t>
  </si>
  <si>
    <t xml:space="preserve">    Net Debt / EBITDA</t>
  </si>
  <si>
    <t xml:space="preserve">    Trade Working Capital</t>
  </si>
  <si>
    <t xml:space="preserve">      Working Capital</t>
  </si>
  <si>
    <t xml:space="preserve">    Avg. Price Paid for Repurchase</t>
  </si>
  <si>
    <t xml:space="preserve">    Value Shares Repurchased Under Repurchase Program</t>
  </si>
  <si>
    <t xml:space="preserve">    Noncontrolling Interests</t>
  </si>
  <si>
    <t xml:space="preserve">    Net Income Including Noncontrolling Interest</t>
  </si>
  <si>
    <t xml:space="preserve">    Restructure Charges</t>
  </si>
  <si>
    <t xml:space="preserve">      Contract Assets and Liabilities</t>
  </si>
  <si>
    <t xml:space="preserve">      Change in Payables &amp; Accruals</t>
  </si>
  <si>
    <t xml:space="preserve">      Pension </t>
  </si>
  <si>
    <t xml:space="preserve">    Cash from Divestitures</t>
  </si>
  <si>
    <t xml:space="preserve">    Net Change in Borrowings</t>
  </si>
  <si>
    <t xml:space="preserve">      Common Stock Issuances</t>
  </si>
  <si>
    <t xml:space="preserve">      Common Stock Purchases</t>
  </si>
  <si>
    <t xml:space="preserve">      Free Cash Post Dividends</t>
  </si>
  <si>
    <t>CSHR</t>
  </si>
  <si>
    <t>AXTI</t>
  </si>
  <si>
    <t>AAOI</t>
  </si>
  <si>
    <t>LITE</t>
  </si>
  <si>
    <t>COHR</t>
  </si>
  <si>
    <t>SNDK</t>
  </si>
  <si>
    <t>SK Hynix</t>
  </si>
  <si>
    <t>REA</t>
  </si>
  <si>
    <t>IMC</t>
  </si>
  <si>
    <t>VST</t>
  </si>
  <si>
    <t>FOIL</t>
  </si>
  <si>
    <t>JAGU</t>
  </si>
  <si>
    <t>STANDRD NUCLEAR</t>
  </si>
  <si>
    <t>FRVO</t>
  </si>
  <si>
    <t>SMR</t>
  </si>
  <si>
    <t>OKLO</t>
  </si>
  <si>
    <t>CEG</t>
  </si>
  <si>
    <t>semiconductors and silicon gases and materials suppliers and companies</t>
  </si>
  <si>
    <t>small modular reactor companies</t>
  </si>
  <si>
    <t>DUOT</t>
  </si>
  <si>
    <t>XE</t>
  </si>
  <si>
    <t>CRBS</t>
  </si>
  <si>
    <t>IREN</t>
  </si>
  <si>
    <t>LIN</t>
  </si>
  <si>
    <t>entg</t>
  </si>
  <si>
    <t>uct</t>
  </si>
  <si>
    <t>PURR</t>
  </si>
  <si>
    <t>kosmos energy</t>
  </si>
  <si>
    <t>lightwave logic</t>
  </si>
  <si>
    <t xml:space="preserve">LIN? </t>
  </si>
  <si>
    <t>riot, a</t>
  </si>
  <si>
    <t>STM</t>
  </si>
  <si>
    <t>NTRA</t>
  </si>
  <si>
    <t>SAIA</t>
  </si>
  <si>
    <t>PURR US Equity- Company Financial (Multiple Periods)</t>
  </si>
  <si>
    <t>PURR US Equity    Periodicity:A    Currency:USD    Estimate Source:BST    Actual Source:Bloomberg</t>
  </si>
  <si>
    <t xml:space="preserve">    Selling, General &amp; Administrative &amp; Research &amp; Development</t>
  </si>
  <si>
    <t xml:space="preserve">      HYPE Digital Assets</t>
  </si>
  <si>
    <t xml:space="preserve">    Unrealized Gain on HYPE Digital Assets</t>
  </si>
  <si>
    <t xml:space="preserve">    Purchase of HYPE Digital Assets</t>
  </si>
  <si>
    <t xml:space="preserve">  Net Cash Investing Activities CB</t>
  </si>
  <si>
    <t xml:space="preserve">    Proceeds From Issuance of Equity</t>
  </si>
  <si>
    <t>SAIA US Equity- Company Financial (Multiple Periods)</t>
  </si>
  <si>
    <t>SAIA US Equity    Periodicity:A    Currency:USD    Estimate Source:BST    Actual Source:Bloomberg</t>
  </si>
  <si>
    <t xml:space="preserve">  Purchased Transportation Cost</t>
  </si>
  <si>
    <t xml:space="preserve">  Adjusted EBIT</t>
  </si>
  <si>
    <t xml:space="preserve">  Operating Ratio (%)</t>
  </si>
  <si>
    <t xml:space="preserve">  LTL Shipments</t>
  </si>
  <si>
    <t xml:space="preserve">  LTL Shipments/Workday</t>
  </si>
  <si>
    <t xml:space="preserve">  LTL Tonnage</t>
  </si>
  <si>
    <t xml:space="preserve">  LTL Revenue/CWT ex-Fuel</t>
  </si>
  <si>
    <t xml:space="preserve">  LTL Revenue/Shipment ex-Fuel</t>
  </si>
  <si>
    <t xml:space="preserve">  Number of Workdays</t>
  </si>
  <si>
    <t xml:space="preserve">  LTL Weight/Workday</t>
  </si>
  <si>
    <t xml:space="preserve">    Weight/Workday Growth (%)</t>
  </si>
  <si>
    <t xml:space="preserve">    Shipments/Workday Growth (%)</t>
  </si>
  <si>
    <t xml:space="preserve">  LTL Revenue/CWT</t>
  </si>
  <si>
    <t xml:space="preserve">    Revenue/CWT Growth (%)</t>
  </si>
  <si>
    <t xml:space="preserve">    Revenue/CWT ex-Fuel Growth (%)</t>
  </si>
  <si>
    <t xml:space="preserve">  LTL Revenue/Shipment</t>
  </si>
  <si>
    <t xml:space="preserve">  LTL Weight/Shipment</t>
  </si>
  <si>
    <t xml:space="preserve">    Weight/Shipment Growth (%)</t>
  </si>
  <si>
    <t xml:space="preserve">  LTL Length of Haul</t>
  </si>
  <si>
    <t xml:space="preserve">    Length of Haul Growth (%)</t>
  </si>
  <si>
    <t xml:space="preserve">    LTL</t>
  </si>
  <si>
    <t xml:space="preserve">      Freight</t>
  </si>
  <si>
    <t xml:space="preserve">      Fuel Surcharge</t>
  </si>
  <si>
    <t xml:space="preserve">    Non-Freight</t>
  </si>
  <si>
    <t xml:space="preserve">  Operating Revenue</t>
  </si>
  <si>
    <t xml:space="preserve">    Salaries, Wages &amp; Employees' Benefits</t>
  </si>
  <si>
    <t xml:space="preserve">    Purchased Transportation</t>
  </si>
  <si>
    <t xml:space="preserve">    Fuel, Operating Expenses &amp; Supplies</t>
  </si>
  <si>
    <t xml:space="preserve">    Operating Taxes &amp; Licenses</t>
  </si>
  <si>
    <t xml:space="preserve">    Claims &amp; Insurance</t>
  </si>
  <si>
    <t xml:space="preserve">    Other Operating, Net</t>
  </si>
  <si>
    <t xml:space="preserve">  Non-Operating (Income) Expenses, Net</t>
  </si>
  <si>
    <t xml:space="preserve">    Other, Net</t>
  </si>
  <si>
    <t xml:space="preserve">      Incremental Operating Margin (%)</t>
  </si>
  <si>
    <t xml:space="preserve">    EBITDA per Diluted Share</t>
  </si>
  <si>
    <t xml:space="preserve">      Income Tax Receivable</t>
  </si>
  <si>
    <t xml:space="preserve">      Prepaid Expenses &amp; Other</t>
  </si>
  <si>
    <t xml:space="preserve">      Net Property &amp; Equipment</t>
  </si>
  <si>
    <t xml:space="preserve">        Property &amp; Equipment, at Cost</t>
  </si>
  <si>
    <t xml:space="preserve">        Accumulated Depreciation &amp; Amortization</t>
  </si>
  <si>
    <t xml:space="preserve">      Goodwill &amp; Identifiable Intangibles, Net</t>
  </si>
  <si>
    <t xml:space="preserve">      Wages, Vacations &amp; Employees' Benefits</t>
  </si>
  <si>
    <t xml:space="preserve">      Claims &amp; Insurance Accruals</t>
  </si>
  <si>
    <t xml:space="preserve">      Current Portion of Operating Lease Liability</t>
  </si>
  <si>
    <t xml:space="preserve">      Long-Term Debt, Less Current Portion</t>
  </si>
  <si>
    <t xml:space="preserve">      Operating Lease Liability, Less Current Portion</t>
  </si>
  <si>
    <t xml:space="preserve">      Claims, Insurance &amp; Other</t>
  </si>
  <si>
    <t xml:space="preserve">      Deferred Compensation Trust</t>
  </si>
  <si>
    <t xml:space="preserve">      Total Debt</t>
  </si>
  <si>
    <t xml:space="preserve">    Cash &amp; ST Investments per Share</t>
  </si>
  <si>
    <t xml:space="preserve">      Other Assets &amp; Liabilities, Net</t>
  </si>
  <si>
    <t xml:space="preserve">    Acquisition of Property &amp; Equipment</t>
  </si>
  <si>
    <t xml:space="preserve">    Proceeds from Disposal of Property &amp; Equipment</t>
  </si>
  <si>
    <t xml:space="preserve">    Repayments of Revolving Credit Facility</t>
  </si>
  <si>
    <t xml:space="preserve">    Borrowings of Revolving Credit Facility</t>
  </si>
  <si>
    <t xml:space="preserve">    Proceeds from Stock Option Exercises</t>
  </si>
  <si>
    <t xml:space="preserve">    Shares Withheld for Taxes</t>
  </si>
  <si>
    <t xml:space="preserve">    Repayment of Finance Leases</t>
  </si>
  <si>
    <t xml:space="preserve">    Capital Expenditure</t>
  </si>
  <si>
    <t xml:space="preserve">    Free Cash Flow to Firm</t>
  </si>
  <si>
    <t>STMPA FP Equity- Company Financial (Multiple Periods)</t>
  </si>
  <si>
    <t>STMPA FP Equity    Periodicity:A    Currency:USD    Estimate Source:BST    Actual Source:Bloomberg</t>
  </si>
  <si>
    <t xml:space="preserve">  Revenue (by Product Group)</t>
  </si>
  <si>
    <t xml:space="preserve">    Analog, Power &amp; Discrete, MEMS &amp; Sensors (APMS)</t>
  </si>
  <si>
    <t xml:space="preserve">      Analog, MEMS &amp; Sensors Group (AMS)</t>
  </si>
  <si>
    <t xml:space="preserve">      Power Discrete Products (PDP)</t>
  </si>
  <si>
    <t xml:space="preserve">    Microcontrollers, Digital ICs &amp; RF (MDRF)</t>
  </si>
  <si>
    <t xml:space="preserve">      Microcontrollers</t>
  </si>
  <si>
    <t xml:space="preserve">      Digital ICs &amp; RF</t>
  </si>
  <si>
    <t xml:space="preserve">  Days Inventory Outstanding (DSO)</t>
  </si>
  <si>
    <t xml:space="preserve">  Days Receivables Outstanding (DRO)</t>
  </si>
  <si>
    <t xml:space="preserve">  Segment Breakdown</t>
  </si>
  <si>
    <t xml:space="preserve">        Operating Margin (%)</t>
  </si>
  <si>
    <t xml:space="preserve">    Analog, MEMS &amp; Sensors Group (AMS)</t>
  </si>
  <si>
    <t xml:space="preserve">    Power Discrete Products (PDP)</t>
  </si>
  <si>
    <t xml:space="preserve">    Microcontrollers</t>
  </si>
  <si>
    <t xml:space="preserve">    Digital ICs &amp; RF</t>
  </si>
  <si>
    <t xml:space="preserve">  Operating Income (by Product Group)</t>
  </si>
  <si>
    <t xml:space="preserve">  Prior Disclosure (2016-2023)</t>
  </si>
  <si>
    <t xml:space="preserve">    Automotive &amp; Discrete Group (ADG)</t>
  </si>
  <si>
    <t xml:space="preserve">    Microcontrollers &amp; Digital ICs Group (MDG)</t>
  </si>
  <si>
    <t xml:space="preserve">    Personal Electronics</t>
  </si>
  <si>
    <t xml:space="preserve">    Communications Equipment &amp; Computer Peripherals</t>
  </si>
  <si>
    <t xml:space="preserve">  Net Sales</t>
  </si>
  <si>
    <t xml:space="preserve">  Other Revenues</t>
  </si>
  <si>
    <t xml:space="preserve">    Impairment &amp; Restructuring Charges</t>
  </si>
  <si>
    <t xml:space="preserve">  Net Income Attributable to Non-Controlling Interest</t>
  </si>
  <si>
    <t xml:space="preserve">      Short-Term Deposits</t>
  </si>
  <si>
    <t xml:space="preserve">      Long-Term Deferred Tax</t>
  </si>
  <si>
    <t xml:space="preserve">      Dividends Payable to Shareholders</t>
  </si>
  <si>
    <t xml:space="preserve">      Accrued Income Tax</t>
  </si>
  <si>
    <t xml:space="preserve">      Other Investments &amp; Other Non-Current Assets</t>
  </si>
  <si>
    <t xml:space="preserve">      Other Payables &amp; Accrued Liabilities</t>
  </si>
  <si>
    <t xml:space="preserve">      Other Long Term Liabilities</t>
  </si>
  <si>
    <t xml:space="preserve">      Shareholder Equity</t>
  </si>
  <si>
    <t xml:space="preserve">        Accumulated Result</t>
  </si>
  <si>
    <t xml:space="preserve">        Capital Surplus</t>
  </si>
  <si>
    <t xml:space="preserve">    Net Debt/Equity (%)</t>
  </si>
  <si>
    <t xml:space="preserve">    Associates</t>
  </si>
  <si>
    <t xml:space="preserve">      Change in Trade Payables</t>
  </si>
  <si>
    <t xml:space="preserve">      Change in Trade Receivables</t>
  </si>
  <si>
    <t xml:space="preserve">      CAPEX Intensity</t>
  </si>
  <si>
    <t xml:space="preserve">    Payment For Purchase Of Intangible Assets</t>
  </si>
  <si>
    <t xml:space="preserve">    Change in Gross Debt</t>
  </si>
  <si>
    <t xml:space="preserve">    Non-Cash Stock-Based Compensation</t>
  </si>
  <si>
    <t xml:space="preserve">    Effect of Change in Exchange Rates</t>
  </si>
  <si>
    <t>SPCX US Equity- Company Financial (Multiple Periods)</t>
  </si>
  <si>
    <t>SPCX US Equity    Periodicity:A    Currency:USD    Estimate Source:BST    Actual Source:Bloomberg</t>
  </si>
  <si>
    <t xml:space="preserve">  Space</t>
  </si>
  <si>
    <t xml:space="preserve">    # of Rocket Launches (Actual)</t>
  </si>
  <si>
    <t xml:space="preserve">    Mass to Orbit (Metric Tons)</t>
  </si>
  <si>
    <t xml:space="preserve">  Starlink</t>
  </si>
  <si>
    <t xml:space="preserve">    # of Subscribers (Thousands)</t>
  </si>
  <si>
    <t xml:space="preserve">    Avg. Revenue per User ($ per month)</t>
  </si>
  <si>
    <t xml:space="preserve">    Number of Satellites in Orbit</t>
  </si>
  <si>
    <t xml:space="preserve">  Connectivity</t>
  </si>
  <si>
    <t xml:space="preserve">  AI</t>
  </si>
  <si>
    <t xml:space="preserve">    Total # of Launches</t>
  </si>
  <si>
    <t xml:space="preserve">      Falcon Launches</t>
  </si>
  <si>
    <t xml:space="preserve">        of which, customer launches</t>
  </si>
  <si>
    <t xml:space="preserve">        of which, internal launches</t>
  </si>
  <si>
    <t xml:space="preserve">      Starship Launches</t>
  </si>
  <si>
    <t xml:space="preserve">      Internal</t>
  </si>
  <si>
    <t xml:space="preserve">      External</t>
  </si>
  <si>
    <t xml:space="preserve">    Rocket Types</t>
  </si>
  <si>
    <t xml:space="preserve">    Monthly Avg. Unique Visitors</t>
  </si>
  <si>
    <t xml:space="preserve">    Nameplate Compute Draw (MW)</t>
  </si>
  <si>
    <t xml:space="preserve">      Launch Services</t>
  </si>
  <si>
    <t xml:space="preserve">      Launch &amp; Development</t>
  </si>
  <si>
    <t xml:space="preserve">      Research &amp; Development  Expense</t>
  </si>
  <si>
    <t xml:space="preserve">      Impairment</t>
  </si>
  <si>
    <t xml:space="preserve">      Enterprise &amp; Government</t>
  </si>
  <si>
    <t xml:space="preserve">      AI Solutions &amp; Infrastructure</t>
  </si>
  <si>
    <t xml:space="preserve">      Restructuring Expense</t>
  </si>
  <si>
    <t xml:space="preserve">      Cash, Cash Equivalents, &amp; Marketable Securities</t>
  </si>
  <si>
    <t xml:space="preserve">      Finance Lease Right-of-Use Assets </t>
  </si>
  <si>
    <t xml:space="preserve">      Digital Assets </t>
  </si>
  <si>
    <t xml:space="preserve">      Debt &amp; Finance Leases, Current</t>
  </si>
  <si>
    <t xml:space="preserve">      Deferred Revenue, Net of Current</t>
  </si>
  <si>
    <t xml:space="preserve">      Debt &amp; Finance Leases, Net of Current</t>
  </si>
  <si>
    <t xml:space="preserve">      Preferred Stock</t>
  </si>
  <si>
    <t xml:space="preserve">      Intangible Asset Impairment</t>
  </si>
  <si>
    <t xml:space="preserve">      Unrealized (Gain) Loss on Digital Assets </t>
  </si>
  <si>
    <t xml:space="preserve">      Impairment &amp; Loss on Disposal of Fixed Assets, Net</t>
  </si>
  <si>
    <t xml:space="preserve">      Amortization of Debt Discount &amp; Issuance Costs</t>
  </si>
  <si>
    <t xml:space="preserve">      Loss on Debt Extinguishment</t>
  </si>
  <si>
    <t xml:space="preserve">      Changes in Operating Assets &amp; Liabilities</t>
  </si>
  <si>
    <t xml:space="preserve">        Accounts Receivable </t>
  </si>
  <si>
    <t xml:space="preserve">        Inventory</t>
  </si>
  <si>
    <t xml:space="preserve">        Prepaid Expenses &amp; Other Assets</t>
  </si>
  <si>
    <t xml:space="preserve">        Operating Lease Liabilities, Net</t>
  </si>
  <si>
    <t xml:space="preserve">    Proceeds from Sales of Marketable Securities</t>
  </si>
  <si>
    <t xml:space="preserve">    Other Investing Activities, Net</t>
  </si>
  <si>
    <t xml:space="preserve">    Principal Repayments on Finance Leases</t>
  </si>
  <si>
    <t xml:space="preserve">    Proceeds from Debt &amp; Other Financing Obligations</t>
  </si>
  <si>
    <t xml:space="preserve">    Payment of Debt Issuance Costs</t>
  </si>
  <si>
    <t xml:space="preserve">    Proceeds from Issuance of Capital Stock, Net of Issuance Costs</t>
  </si>
  <si>
    <t xml:space="preserve">    Payments for Repurchase of Common &amp; Redeemable Convertible Preferred Stock     </t>
  </si>
  <si>
    <t xml:space="preserve">    Free Cash Flow </t>
  </si>
  <si>
    <t xml:space="preserve">    Capital Expenditures to Revenue (%)</t>
  </si>
  <si>
    <t>ASTS US Equity- Company Financial (Multiple Periods)</t>
  </si>
  <si>
    <t>ASTS US Equity    Periodicity:A    Currency:USD    Estimate Source:BST    Actual Source:Bloomberg</t>
  </si>
  <si>
    <t xml:space="preserve">    Research &amp; Development Costs</t>
  </si>
  <si>
    <t xml:space="preserve">  Cash, Cash Equivalents &amp; Restricted Cash</t>
  </si>
  <si>
    <t xml:space="preserve">  Satellites in Orbit</t>
  </si>
  <si>
    <t xml:space="preserve">    Cost of Revenues</t>
  </si>
  <si>
    <t xml:space="preserve">    Engineering Services Costs</t>
  </si>
  <si>
    <t xml:space="preserve">    General &amp; Administrative Costs</t>
  </si>
  <si>
    <t xml:space="preserve">  Total Other Income (Expense)</t>
  </si>
  <si>
    <t xml:space="preserve">    Loss on Remeasurement of Warrant Liabilities</t>
  </si>
  <si>
    <t xml:space="preserve">  Net Loss Attributable to Non-Controlling Interest</t>
  </si>
  <si>
    <t xml:space="preserve">      Engineering Services Costs</t>
  </si>
  <si>
    <t xml:space="preserve">      General &amp; Administrative Costs</t>
  </si>
  <si>
    <t xml:space="preserve">      Pre-Paid Expenses</t>
  </si>
  <si>
    <t xml:space="preserve">      Long-Term Debt, Net</t>
  </si>
  <si>
    <t xml:space="preserve">    Loss (Gain) on Remeasurement of Warrant Liabilities</t>
  </si>
  <si>
    <t xml:space="preserve">      Cash, Cash Equivalents &amp; Restricted Cash</t>
  </si>
  <si>
    <t>RKLB US Equity- Company Financial (Multiple Periods)</t>
  </si>
  <si>
    <t>RKLB US Equity    Periodicity:A    Currency:USD    Estimate Source:BST    Actual Source:Bloomberg</t>
  </si>
  <si>
    <t xml:space="preserve">    Launch Service</t>
  </si>
  <si>
    <t xml:space="preserve">    Space System</t>
  </si>
  <si>
    <t xml:space="preserve">  Launch Service</t>
  </si>
  <si>
    <t xml:space="preserve">  Space System</t>
  </si>
  <si>
    <t xml:space="preserve">    Research &amp; Development </t>
  </si>
  <si>
    <t xml:space="preserve">      Merger &amp; Acquisition Expenses</t>
  </si>
  <si>
    <t xml:space="preserve">      Assets held for Sale</t>
  </si>
  <si>
    <t xml:space="preserve">      Finance Lease Assets</t>
  </si>
  <si>
    <t xml:space="preserve">      Future Policy Benefits</t>
  </si>
  <si>
    <t xml:space="preserve">      Convertible Senior Notes</t>
  </si>
  <si>
    <t xml:space="preserve">      Finance Leases</t>
  </si>
  <si>
    <t xml:space="preserve">      Other Non-current Liabilities</t>
  </si>
  <si>
    <t xml:space="preserve">    Loss on Disposal of Assets</t>
  </si>
  <si>
    <t xml:space="preserve">      Employee Benefits Payables</t>
  </si>
  <si>
    <t xml:space="preserve">    Purchase of Machinery &amp; Equipment</t>
  </si>
  <si>
    <t xml:space="preserve">    Proceeds from Maturity of Marketable Securities</t>
  </si>
  <si>
    <t xml:space="preserve">    Free Cash Flow per Share  </t>
  </si>
  <si>
    <t>NTRA US Equity- Company Financial (Multiple Periods)</t>
  </si>
  <si>
    <t>NTRA US Equity    Periodicity:A    Currency:USD    Estimate Source:BST    Actual Source:Bloomberg</t>
  </si>
  <si>
    <t xml:space="preserve">  Total Tests Processed</t>
  </si>
  <si>
    <t xml:space="preserve">  Signatera Tests</t>
  </si>
  <si>
    <t xml:space="preserve">    Licensing &amp; Other</t>
  </si>
  <si>
    <t xml:space="preserve">    Cost of Product Revenue</t>
  </si>
  <si>
    <t xml:space="preserve">    Cost of Licensing &amp; Other</t>
  </si>
  <si>
    <t xml:space="preserve">  Unrealized Gain (Loss) on Available-For-Sale Securities</t>
  </si>
  <si>
    <t xml:space="preserve">      Short-Term Debt Financing</t>
  </si>
  <si>
    <t xml:space="preserve">      Deferred Revenue, Current Portion</t>
  </si>
  <si>
    <t xml:space="preserve">      Other Accrued Liabilities</t>
  </si>
  <si>
    <t xml:space="preserve">    Amortization of Debt Discount &amp; Issuance Cost</t>
  </si>
  <si>
    <t xml:space="preserve">    Proceeds from Sale of Investments</t>
  </si>
  <si>
    <t>https://power2026.ai/</t>
  </si>
  <si>
    <t>DTE US Equity- Company Financial (Multiple Periods)</t>
  </si>
  <si>
    <t>DTE US Equity    Periodicity:A    Currency:USD    Estimate Source:BST    Actual Source:Bloomberg</t>
  </si>
  <si>
    <t xml:space="preserve">  Segment Results</t>
  </si>
  <si>
    <t xml:space="preserve">      Eletric Utility</t>
  </si>
  <si>
    <t xml:space="preserve">      Gas Utility</t>
  </si>
  <si>
    <t xml:space="preserve">      DTE Vantage</t>
  </si>
  <si>
    <t xml:space="preserve">      Energy Trading</t>
  </si>
  <si>
    <t xml:space="preserve">      Electric Utility</t>
  </si>
  <si>
    <t xml:space="preserve">  Total Retail Sales (MMkWh)</t>
  </si>
  <si>
    <t xml:space="preserve">    Residential</t>
  </si>
  <si>
    <t xml:space="preserve">  Heating Degree Days</t>
  </si>
  <si>
    <t xml:space="preserve">  Cooling Degree Days</t>
  </si>
  <si>
    <t xml:space="preserve">  Load Growth (%)</t>
  </si>
  <si>
    <t xml:space="preserve">    Load Growth - Electric</t>
  </si>
  <si>
    <t xml:space="preserve">    Load Growth - Gas</t>
  </si>
  <si>
    <t xml:space="preserve">  Rate Relief</t>
  </si>
  <si>
    <t xml:space="preserve">    Rate Relief - Electric</t>
  </si>
  <si>
    <t xml:space="preserve">    Rate Relief - Gas</t>
  </si>
  <si>
    <t xml:space="preserve">  Rate Base</t>
  </si>
  <si>
    <t xml:space="preserve">    Rate Base - Electric</t>
  </si>
  <si>
    <t xml:space="preserve">    Rate Base - Gas</t>
  </si>
  <si>
    <t xml:space="preserve">  Total Electric Sales (MMkWh)</t>
  </si>
  <si>
    <t xml:space="preserve">  Electric</t>
  </si>
  <si>
    <t xml:space="preserve">      Residential</t>
  </si>
  <si>
    <t xml:space="preserve">    Operations &amp; Maintenance Expenses</t>
  </si>
  <si>
    <t xml:space="preserve">    Fuel &amp; Purchased Power</t>
  </si>
  <si>
    <t xml:space="preserve">    Taxes Other Than Income Taxes</t>
  </si>
  <si>
    <t xml:space="preserve">    Income Tax Expense (Benefit)</t>
  </si>
  <si>
    <t xml:space="preserve">    Adjusted Net Income </t>
  </si>
  <si>
    <t xml:space="preserve">    Assets Incl. Intersegment</t>
  </si>
  <si>
    <t xml:space="preserve">    Accumulated Depreciation</t>
  </si>
  <si>
    <t xml:space="preserve">  Gas</t>
  </si>
  <si>
    <t xml:space="preserve">      Gas</t>
  </si>
  <si>
    <t xml:space="preserve">      End-user Transportation</t>
  </si>
  <si>
    <t xml:space="preserve">      Intermediate Transportation</t>
  </si>
  <si>
    <t xml:space="preserve">    Gross Profit </t>
  </si>
  <si>
    <t xml:space="preserve">    Power &amp; Fuel</t>
  </si>
  <si>
    <t xml:space="preserve">    Taxes other than Income Taxes</t>
  </si>
  <si>
    <t xml:space="preserve">    Other Non-Operating Income (Expense)</t>
  </si>
  <si>
    <t xml:space="preserve">    Net Income Available to Common Shareholder</t>
  </si>
  <si>
    <t xml:space="preserve">  Non-Utility Operations</t>
  </si>
  <si>
    <t xml:space="preserve">  Gas Storage &amp; Pipelines</t>
  </si>
  <si>
    <t xml:space="preserve">    Total Other Income &amp; Deductions</t>
  </si>
  <si>
    <t xml:space="preserve">  DTE Vantage</t>
  </si>
  <si>
    <t xml:space="preserve">    Capital Expenditures </t>
  </si>
  <si>
    <t xml:space="preserve">  Energy Trading</t>
  </si>
  <si>
    <t xml:space="preserve">    Gross Margin</t>
  </si>
  <si>
    <t xml:space="preserve">  Corporate &amp; Other</t>
  </si>
  <si>
    <t xml:space="preserve">  Operating Revenues — Utility Operations</t>
  </si>
  <si>
    <t xml:space="preserve">    Operations &amp; Maintenance</t>
  </si>
  <si>
    <t xml:space="preserve">    Taxes Other than Income</t>
  </si>
  <si>
    <t xml:space="preserve">    Non-Operating Retirement Benefit</t>
  </si>
  <si>
    <t xml:space="preserve">    Other Income</t>
  </si>
  <si>
    <t xml:space="preserve">    Other Expense</t>
  </si>
  <si>
    <t xml:space="preserve">  Special Reference Company Items</t>
  </si>
  <si>
    <t xml:space="preserve">    Gas Revenue - Transportation &amp; Others</t>
  </si>
  <si>
    <t xml:space="preserve">    Other One Time Charges </t>
  </si>
  <si>
    <t xml:space="preserve">    Total Current Assets</t>
  </si>
  <si>
    <t xml:space="preserve">      Derivative &amp; Hedging Assets</t>
  </si>
  <si>
    <t xml:space="preserve">      Regulatory assets</t>
  </si>
  <si>
    <t xml:space="preserve">      Decommissioning Funds</t>
  </si>
  <si>
    <t xml:space="preserve">        Electric Plant in Service</t>
  </si>
  <si>
    <t xml:space="preserve">        Other Property Plant &amp; Equipment, Net</t>
  </si>
  <si>
    <t xml:space="preserve">      Utility Plants in Service</t>
  </si>
  <si>
    <t xml:space="preserve">      Regulatory Assets</t>
  </si>
  <si>
    <t xml:space="preserve">    Total Current Liabilities</t>
  </si>
  <si>
    <t xml:space="preserve">      Derivative liabilities</t>
  </si>
  <si>
    <t xml:space="preserve">      Regulatory liabilities</t>
  </si>
  <si>
    <t xml:space="preserve">        Interest Payable </t>
  </si>
  <si>
    <t xml:space="preserve">      Accumulated Deferred Income Taxes</t>
  </si>
  <si>
    <t xml:space="preserve">      Accrued Pension Liability</t>
  </si>
  <si>
    <t xml:space="preserve">      Derivative Liabilities</t>
  </si>
  <si>
    <t xml:space="preserve">      Unamortized Investment Tax Credit </t>
  </si>
  <si>
    <t xml:space="preserve">    Nuclear Fuel Amortization </t>
  </si>
  <si>
    <t xml:space="preserve">    AFC - Debts &amp; Equity</t>
  </si>
  <si>
    <t xml:space="preserve">      Capital Expenditure – Utility</t>
  </si>
  <si>
    <t xml:space="preserve">      Capital Expenditure – Non-Utility</t>
  </si>
  <si>
    <t xml:space="preserve">    Increase/Decrease in Long-Term Borrowings</t>
  </si>
  <si>
    <t xml:space="preserve">      Issuance of Long-Term Debt</t>
  </si>
  <si>
    <t>VISTAA MM Equity- Company Financial (Multiple Periods)</t>
  </si>
  <si>
    <t>VISTAA MM Equity    Periodicity:A    Currency:USD    Estimate Source:BST    Actual Source:Bloomberg</t>
  </si>
  <si>
    <t xml:space="preserve">  Total Production (BOE/Day)</t>
  </si>
  <si>
    <t xml:space="preserve">    Oil</t>
  </si>
  <si>
    <t xml:space="preserve">    Natural Gas</t>
  </si>
  <si>
    <t xml:space="preserve">    NGL</t>
  </si>
  <si>
    <t xml:space="preserve">    Export Duties</t>
  </si>
  <si>
    <t xml:space="preserve">    Total Production (BOE/Day)</t>
  </si>
  <si>
    <t xml:space="preserve">    Oil Production (BBL/Day)</t>
  </si>
  <si>
    <t xml:space="preserve">      Export Market</t>
  </si>
  <si>
    <t xml:space="preserve">      Domestic Market</t>
  </si>
  <si>
    <t xml:space="preserve">    Crude Oil</t>
  </si>
  <si>
    <t xml:space="preserve">    LPG</t>
  </si>
  <si>
    <t xml:space="preserve">    Exploration</t>
  </si>
  <si>
    <t xml:space="preserve">  Other Operating Income</t>
  </si>
  <si>
    <t xml:space="preserve">  Financial Income (Expense), Net</t>
  </si>
  <si>
    <t xml:space="preserve">      Cash, Bank Balances &amp; Other Short-Term Investments</t>
  </si>
  <si>
    <t xml:space="preserve">      Right-of-Use Assets</t>
  </si>
  <si>
    <t xml:space="preserve">      Provisions</t>
  </si>
  <si>
    <t xml:space="preserve">      Trade &amp; Other Payables</t>
  </si>
  <si>
    <t xml:space="preserve">    Net Debt/EBITDA</t>
  </si>
  <si>
    <t xml:space="preserve">    Proceeds from Borrowings</t>
  </si>
  <si>
    <t xml:space="preserve">    Share Repurchase</t>
  </si>
  <si>
    <t>VST US Equity- Company Financial (Multiple Periods)</t>
  </si>
  <si>
    <t>VST US Equity    Periodicity:A    Currency:USD    Estimate Source:BST    Actual Source:Bloomberg</t>
  </si>
  <si>
    <t xml:space="preserve">  Segment Adjusted EBITDA</t>
  </si>
  <si>
    <t xml:space="preserve">    Retail</t>
  </si>
  <si>
    <t xml:space="preserve">    Texas</t>
  </si>
  <si>
    <t xml:space="preserve">    East</t>
  </si>
  <si>
    <t xml:space="preserve">    West</t>
  </si>
  <si>
    <t xml:space="preserve">    Sunset</t>
  </si>
  <si>
    <t xml:space="preserve">  Adjusted EBITDA Ongoing Operations</t>
  </si>
  <si>
    <t xml:space="preserve">  Total Electric Retail Sales (MMkWh)</t>
  </si>
  <si>
    <t xml:space="preserve">  Texas</t>
  </si>
  <si>
    <t xml:space="preserve">  Total Generation</t>
  </si>
  <si>
    <t xml:space="preserve">    Coal</t>
  </si>
  <si>
    <t xml:space="preserve">    Gas</t>
  </si>
  <si>
    <t xml:space="preserve">  Total Capacity (MW)</t>
  </si>
  <si>
    <t xml:space="preserve">      Comanche Peak</t>
  </si>
  <si>
    <t xml:space="preserve">      Coleto Creek</t>
  </si>
  <si>
    <t xml:space="preserve">      Martin Lake</t>
  </si>
  <si>
    <t xml:space="preserve">      Oak Grove</t>
  </si>
  <si>
    <t xml:space="preserve">      Ennis</t>
  </si>
  <si>
    <t xml:space="preserve">      Forney</t>
  </si>
  <si>
    <t xml:space="preserve">      Hays</t>
  </si>
  <si>
    <t xml:space="preserve">       Lamar</t>
  </si>
  <si>
    <t xml:space="preserve">      Midlothian</t>
  </si>
  <si>
    <t xml:space="preserve">      Odessa</t>
  </si>
  <si>
    <t xml:space="preserve">      Wise</t>
  </si>
  <si>
    <t xml:space="preserve">      Morgan Creek</t>
  </si>
  <si>
    <t xml:space="preserve">      Permian Basin</t>
  </si>
  <si>
    <t xml:space="preserve">      Graham</t>
  </si>
  <si>
    <t xml:space="preserve">      Lake Hubbard</t>
  </si>
  <si>
    <t xml:space="preserve">      Stryker Creek</t>
  </si>
  <si>
    <t xml:space="preserve">      Trinidad</t>
  </si>
  <si>
    <t xml:space="preserve">    Solar</t>
  </si>
  <si>
    <t xml:space="preserve">      Brightside</t>
  </si>
  <si>
    <t xml:space="preserve">      Emrald Grove</t>
  </si>
  <si>
    <t xml:space="preserve">      Upton 2</t>
  </si>
  <si>
    <t xml:space="preserve">    Battery </t>
  </si>
  <si>
    <t xml:space="preserve">      DeCordova</t>
  </si>
  <si>
    <t xml:space="preserve">  East</t>
  </si>
  <si>
    <t xml:space="preserve">    Gas/Oil</t>
  </si>
  <si>
    <t xml:space="preserve">    NY/NE Gas</t>
  </si>
  <si>
    <t xml:space="preserve">      Beaver Valley </t>
  </si>
  <si>
    <t xml:space="preserve">      Perry</t>
  </si>
  <si>
    <t xml:space="preserve">      Davis-Besse</t>
  </si>
  <si>
    <t xml:space="preserve">      Milford</t>
  </si>
  <si>
    <t xml:space="preserve">      Fayette</t>
  </si>
  <si>
    <t xml:space="preserve">      Hanging Rock</t>
  </si>
  <si>
    <t xml:space="preserve">      Hopewell</t>
  </si>
  <si>
    <t xml:space="preserve">      Kendall</t>
  </si>
  <si>
    <t xml:space="preserve">      Liberty</t>
  </si>
  <si>
    <t xml:space="preserve">      Ontelaunee</t>
  </si>
  <si>
    <t xml:space="preserve">      Sayreville</t>
  </si>
  <si>
    <t xml:space="preserve">      Washington</t>
  </si>
  <si>
    <t xml:space="preserve">      Calumet</t>
  </si>
  <si>
    <t xml:space="preserve">      Dicks Creek</t>
  </si>
  <si>
    <t xml:space="preserve">      Pleasants</t>
  </si>
  <si>
    <t xml:space="preserve">      Richland</t>
  </si>
  <si>
    <t xml:space="preserve">      Miami Fort (CT)</t>
  </si>
  <si>
    <t xml:space="preserve">      Stryker</t>
  </si>
  <si>
    <t xml:space="preserve">      Independence</t>
  </si>
  <si>
    <t xml:space="preserve">      Casco Bay</t>
  </si>
  <si>
    <t xml:space="preserve">      Bellingham</t>
  </si>
  <si>
    <t xml:space="preserve">      Blackstone</t>
  </si>
  <si>
    <t xml:space="preserve">      Lake Road</t>
  </si>
  <si>
    <t xml:space="preserve">      Masspower</t>
  </si>
  <si>
    <t xml:space="preserve">  West</t>
  </si>
  <si>
    <t xml:space="preserve">    Battery</t>
  </si>
  <si>
    <t xml:space="preserve">      Capacity Factor(%)</t>
  </si>
  <si>
    <t xml:space="preserve">      Moss Landing 1 &amp; 2</t>
  </si>
  <si>
    <t xml:space="preserve">      Oakland</t>
  </si>
  <si>
    <t xml:space="preserve">      Moss Landing</t>
  </si>
  <si>
    <t xml:space="preserve">  Sunset</t>
  </si>
  <si>
    <t xml:space="preserve">    MISO</t>
  </si>
  <si>
    <t xml:space="preserve">    PJM Coal</t>
  </si>
  <si>
    <t xml:space="preserve">    Ercot Coal</t>
  </si>
  <si>
    <t xml:space="preserve">    MISO </t>
  </si>
  <si>
    <t xml:space="preserve">      Baldwin</t>
  </si>
  <si>
    <t xml:space="preserve">      Newton</t>
  </si>
  <si>
    <t xml:space="preserve">      Kincaid</t>
  </si>
  <si>
    <t xml:space="preserve">      Miami Fort 7 &amp; 8 </t>
  </si>
  <si>
    <t xml:space="preserve">  Total Hedges</t>
  </si>
  <si>
    <t xml:space="preserve">    PJM</t>
  </si>
  <si>
    <t xml:space="preserve">      Hedge %</t>
  </si>
  <si>
    <t xml:space="preserve">      Generation Hedged (TWh)</t>
  </si>
  <si>
    <t xml:space="preserve">      Effective Realized Price</t>
  </si>
  <si>
    <t xml:space="preserve">    NE/NY</t>
  </si>
  <si>
    <t xml:space="preserve">      Effective Realized Price </t>
  </si>
  <si>
    <t xml:space="preserve">    Sunset </t>
  </si>
  <si>
    <t xml:space="preserve">    CAISO</t>
  </si>
  <si>
    <t xml:space="preserve">    ERCOT </t>
  </si>
  <si>
    <t xml:space="preserve">      ERCOT Retail Energy Charge</t>
  </si>
  <si>
    <t xml:space="preserve">        Retail Volume</t>
  </si>
  <si>
    <t xml:space="preserve">        Retail Rate</t>
  </si>
  <si>
    <t xml:space="preserve">      Northeast/ Midwest Retail Energy Charge</t>
  </si>
  <si>
    <t xml:space="preserve">      Hedging &amp; Other</t>
  </si>
  <si>
    <t xml:space="preserve">    Total Sales Volume (GWh)</t>
  </si>
  <si>
    <t xml:space="preserve">    O&amp;M Expense</t>
  </si>
  <si>
    <t xml:space="preserve">      Wholesale Generation ISO/RTO</t>
  </si>
  <si>
    <t xml:space="preserve">      Capacity Revenue</t>
  </si>
  <si>
    <t xml:space="preserve">      Wholesale Contracts</t>
  </si>
  <si>
    <t xml:space="preserve">      Capacity Revenue </t>
  </si>
  <si>
    <t xml:space="preserve">  Corporate and Other</t>
  </si>
  <si>
    <t xml:space="preserve">      Total Revenue</t>
  </si>
  <si>
    <t xml:space="preserve">      Net Income</t>
  </si>
  <si>
    <t xml:space="preserve">  Asset Closure</t>
  </si>
  <si>
    <t xml:space="preserve">    Impairment of Long-Lived &amp; Other Assets</t>
  </si>
  <si>
    <t xml:space="preserve">  Other Deductions</t>
  </si>
  <si>
    <t xml:space="preserve">  Income from Continue Operations</t>
  </si>
  <si>
    <t xml:space="preserve">    EBITDA Ongoing Operations</t>
  </si>
  <si>
    <t xml:space="preserve">      Asset Retirement Obligations</t>
  </si>
  <si>
    <t xml:space="preserve">    Number of Shares Outstanding</t>
  </si>
  <si>
    <t xml:space="preserve">    Nuclear Decommissioning Investments</t>
  </si>
  <si>
    <t xml:space="preserve">    Dividends paid to common stockholders</t>
  </si>
  <si>
    <t>AEP US Equity- Company Financial (Multiple Periods)</t>
  </si>
  <si>
    <t>AEP US Equity    Periodicity:A    Currency:USD    Estimate Source:BST    Actual Source:Bloomberg</t>
  </si>
  <si>
    <t xml:space="preserve">    Vertically Integrated Utilities</t>
  </si>
  <si>
    <t xml:space="preserve">    Transmission &amp; Distribution Utilities</t>
  </si>
  <si>
    <t xml:space="preserve">    American Electric Power Company, Inc. (AEP Transmission Holdco)</t>
  </si>
  <si>
    <t xml:space="preserve">    Generation &amp; Marketing</t>
  </si>
  <si>
    <t xml:space="preserve">    Corporate &amp; Other</t>
  </si>
  <si>
    <t xml:space="preserve">  Total Electricity Sales</t>
  </si>
  <si>
    <t xml:space="preserve">  Total Electricity Sold (MMkWh)</t>
  </si>
  <si>
    <t xml:space="preserve">      Appalachian - Retail</t>
  </si>
  <si>
    <t xml:space="preserve">      Indiana Michigan - Retail</t>
  </si>
  <si>
    <t xml:space="preserve">      AEP Texas - Retail</t>
  </si>
  <si>
    <t xml:space="preserve">      Ohio - Retail</t>
  </si>
  <si>
    <t xml:space="preserve">      Public Service of Oklahoma - Retail</t>
  </si>
  <si>
    <t xml:space="preserve">      Southwestern Electric Power - Retail</t>
  </si>
  <si>
    <t xml:space="preserve">    Wholesale</t>
  </si>
  <si>
    <t xml:space="preserve">      Appalachian - Wholesale</t>
  </si>
  <si>
    <t xml:space="preserve">      Indiana Michigan - Wholesale</t>
  </si>
  <si>
    <t xml:space="preserve">      Ohio - Wholesale</t>
  </si>
  <si>
    <t xml:space="preserve">      Public Service of Oklahoma - Wholesale</t>
  </si>
  <si>
    <t xml:space="preserve">      Southwestern Electric Power - Wholesale</t>
  </si>
  <si>
    <t xml:space="preserve">    Appalachian Power Company</t>
  </si>
  <si>
    <t xml:space="preserve">    Indiana Michigan Power Company</t>
  </si>
  <si>
    <t xml:space="preserve">    Kentucky Power Company</t>
  </si>
  <si>
    <t xml:space="preserve">    Ohio Power Company</t>
  </si>
  <si>
    <t xml:space="preserve">    Public Service Company</t>
  </si>
  <si>
    <t xml:space="preserve">    Southwestern Electric Power Company</t>
  </si>
  <si>
    <t xml:space="preserve">    Wheeling Power</t>
  </si>
  <si>
    <t xml:space="preserve">    Kingsport Power</t>
  </si>
  <si>
    <t xml:space="preserve">    AEP Texas</t>
  </si>
  <si>
    <t xml:space="preserve">  Regulated Revenues</t>
  </si>
  <si>
    <t xml:space="preserve">  Vertically Integrated Utilities</t>
  </si>
  <si>
    <t xml:space="preserve">    Adj. Net Income</t>
  </si>
  <si>
    <t xml:space="preserve">    Adjusted EPS</t>
  </si>
  <si>
    <t xml:space="preserve">  Transmission &amp; Distribution Utilities</t>
  </si>
  <si>
    <t xml:space="preserve">    Adjusted EPS </t>
  </si>
  <si>
    <t xml:space="preserve">  AEP Transmission Holdco</t>
  </si>
  <si>
    <t xml:space="preserve">    AFUDC - Equity</t>
  </si>
  <si>
    <t xml:space="preserve">    Adj. EPS</t>
  </si>
  <si>
    <t xml:space="preserve">  Generation &amp; Marketing</t>
  </si>
  <si>
    <t xml:space="preserve">  Kentucky Power (KPCo)</t>
  </si>
  <si>
    <t xml:space="preserve">    Balance Sheet</t>
  </si>
  <si>
    <t xml:space="preserve">      Total Assets</t>
  </si>
  <si>
    <t xml:space="preserve">        Total PP&amp;E, Net</t>
  </si>
  <si>
    <t xml:space="preserve">      Total Liabilities</t>
  </si>
  <si>
    <t xml:space="preserve">        Long-Term Debt</t>
  </si>
  <si>
    <t xml:space="preserve">      Total Equity</t>
  </si>
  <si>
    <t xml:space="preserve">      Total Liabilities &amp; Shareholders' Equity</t>
  </si>
  <si>
    <t xml:space="preserve">    Cash Flow Statement</t>
  </si>
  <si>
    <t xml:space="preserve">      Cash Flow from Operating Activities </t>
  </si>
  <si>
    <t xml:space="preserve">      Cash Flow from Investing</t>
  </si>
  <si>
    <t xml:space="preserve">    Operating &amp; Maintenance Cost</t>
  </si>
  <si>
    <t xml:space="preserve">      Power &amp; Fuel</t>
  </si>
  <si>
    <t xml:space="preserve">      Maintenance</t>
  </si>
  <si>
    <t xml:space="preserve">      Asset Impairments &amp; Other Related Charges</t>
  </si>
  <si>
    <t xml:space="preserve">  AFUDC - Equity</t>
  </si>
  <si>
    <t xml:space="preserve">      Regulatory Asset for Under-Recovered Fuel Costs</t>
  </si>
  <si>
    <t xml:space="preserve">      Prepayments &amp; Other Current Assets</t>
  </si>
  <si>
    <t xml:space="preserve">      Property, Plant &amp; Equipment, Gross</t>
  </si>
  <si>
    <t xml:space="preserve">      Construction in Progress</t>
  </si>
  <si>
    <t xml:space="preserve">      Investments &amp; Other Assets</t>
  </si>
  <si>
    <t xml:space="preserve">      Accrued Interest</t>
  </si>
  <si>
    <t xml:space="preserve">      Obligations Under Operating Leases</t>
  </si>
  <si>
    <t xml:space="preserve">      Regulatory Liabilities</t>
  </si>
  <si>
    <t xml:space="preserve">      Employee Benefits &amp; Pension Obligations</t>
  </si>
  <si>
    <t xml:space="preserve">        Share Capital &amp; APIC</t>
  </si>
  <si>
    <t xml:space="preserve">          Common Stock</t>
  </si>
  <si>
    <t xml:space="preserve">          Additional Paid in Capital</t>
  </si>
  <si>
    <t xml:space="preserve">    Funds From Operations (FFO)</t>
  </si>
  <si>
    <t xml:space="preserve">    Total Debts to Total Capital (%)</t>
  </si>
  <si>
    <t xml:space="preserve">    Total Debt (incl. current maturities)</t>
  </si>
  <si>
    <t xml:space="preserve">    FFO / Total Debt (%)</t>
  </si>
  <si>
    <t xml:space="preserve">    Amortization of Nuclear Fuel</t>
  </si>
  <si>
    <t xml:space="preserve">    Acquisitions of Nuclear Fuel</t>
  </si>
  <si>
    <t xml:space="preserve">    Acquisitions of Renewable Energy Facilities</t>
  </si>
  <si>
    <t xml:space="preserve">      Increase in Long-Term Borrowings</t>
  </si>
  <si>
    <t>LLY US Equity- Company Financial (Multiple Periods)</t>
  </si>
  <si>
    <t>LLY US Equity    Periodicity:A    Currency:USD    Estimate Source:BST    Actual Source:Bloomberg</t>
  </si>
  <si>
    <t xml:space="preserve">  Selling, General &amp; Administrative</t>
  </si>
  <si>
    <t xml:space="preserve">  IPR&amp;D</t>
  </si>
  <si>
    <t xml:space="preserve">  Payout ratio</t>
  </si>
  <si>
    <t xml:space="preserve">  Product Revenue</t>
  </si>
  <si>
    <t xml:space="preserve">    Mounjaro</t>
  </si>
  <si>
    <t xml:space="preserve">    Zepbound</t>
  </si>
  <si>
    <t xml:space="preserve">    Trulicity</t>
  </si>
  <si>
    <t xml:space="preserve">    Verzenio</t>
  </si>
  <si>
    <t xml:space="preserve">    Jardiance</t>
  </si>
  <si>
    <t xml:space="preserve">    Foundayo (Orforglipron)</t>
  </si>
  <si>
    <t xml:space="preserve">    Taltz</t>
  </si>
  <si>
    <t xml:space="preserve">    Humalog</t>
  </si>
  <si>
    <t xml:space="preserve">    Cyramza</t>
  </si>
  <si>
    <t xml:space="preserve">    Olumiant</t>
  </si>
  <si>
    <t xml:space="preserve">    Emgality</t>
  </si>
  <si>
    <t xml:space="preserve">    Tyvyt</t>
  </si>
  <si>
    <t xml:space="preserve">    Retevmo</t>
  </si>
  <si>
    <t xml:space="preserve">    Alimta</t>
  </si>
  <si>
    <t xml:space="preserve">  Pharmaceutical Revenue</t>
  </si>
  <si>
    <t xml:space="preserve">    Cardiometabolic Health</t>
  </si>
  <si>
    <t xml:space="preserve">      Mounjaro</t>
  </si>
  <si>
    <t xml:space="preserve">        United States</t>
  </si>
  <si>
    <t xml:space="preserve">          NASH</t>
  </si>
  <si>
    <t xml:space="preserve">        International</t>
  </si>
  <si>
    <t xml:space="preserve">      Trulicity</t>
  </si>
  <si>
    <t xml:space="preserve">      Zepbound</t>
  </si>
  <si>
    <t xml:space="preserve">          HFpEF</t>
  </si>
  <si>
    <t xml:space="preserve">        International (Canada &amp; Japan)</t>
  </si>
  <si>
    <t xml:space="preserve">      Foundayo (Orforglipron)</t>
  </si>
  <si>
    <t xml:space="preserve">          Type 2 Diabetes Mellitus</t>
  </si>
  <si>
    <t xml:space="preserve">          Obesity</t>
  </si>
  <si>
    <t xml:space="preserve">      Jardiance</t>
  </si>
  <si>
    <t xml:space="preserve">            HFpEF</t>
  </si>
  <si>
    <t xml:space="preserve">      Humalog</t>
  </si>
  <si>
    <t xml:space="preserve">      Humulin</t>
  </si>
  <si>
    <t xml:space="preserve">      Basaglar</t>
  </si>
  <si>
    <t xml:space="preserve">      Trajenta</t>
  </si>
  <si>
    <t xml:space="preserve">      Other Cardiometabolic Health</t>
  </si>
  <si>
    <t xml:space="preserve">    Oncology</t>
  </si>
  <si>
    <t xml:space="preserve">      Verzenio</t>
  </si>
  <si>
    <t xml:space="preserve">          Metastatic</t>
  </si>
  <si>
    <t xml:space="preserve">          Adjuvant</t>
  </si>
  <si>
    <t xml:space="preserve">            Adjuvant</t>
  </si>
  <si>
    <t xml:space="preserve">      Cyramza</t>
  </si>
  <si>
    <t xml:space="preserve">      Erbitux</t>
  </si>
  <si>
    <t xml:space="preserve">      Alimta</t>
  </si>
  <si>
    <t xml:space="preserve">      Tyvyt</t>
  </si>
  <si>
    <t xml:space="preserve">      Elunate</t>
  </si>
  <si>
    <t xml:space="preserve">      Retevmo</t>
  </si>
  <si>
    <t xml:space="preserve">          NSLC</t>
  </si>
  <si>
    <t xml:space="preserve">          Medullary Thyroid Cancer</t>
  </si>
  <si>
    <t xml:space="preserve">      Jaypirca (Pirtobrutinib)</t>
  </si>
  <si>
    <t xml:space="preserve">      Inluriyo (Imlunestrant)</t>
  </si>
  <si>
    <t xml:space="preserve">      Other Oncology</t>
  </si>
  <si>
    <t xml:space="preserve">    Immunology</t>
  </si>
  <si>
    <t xml:space="preserve">      Taltz</t>
  </si>
  <si>
    <t xml:space="preserve">      Olumiant</t>
  </si>
  <si>
    <t xml:space="preserve">          Rheumatoid arthritis</t>
  </si>
  <si>
    <t xml:space="preserve">          Alopecia Areata</t>
  </si>
  <si>
    <t xml:space="preserve">      Omvoh (Mirikizumab)</t>
  </si>
  <si>
    <t xml:space="preserve">          Ulcerative Colitis</t>
  </si>
  <si>
    <t xml:space="preserve">          Crohn's Disease</t>
  </si>
  <si>
    <t xml:space="preserve">      Ebgylss (Lebrikizumab)</t>
  </si>
  <si>
    <t xml:space="preserve">    Neuroscience</t>
  </si>
  <si>
    <t xml:space="preserve">      Emgality</t>
  </si>
  <si>
    <t xml:space="preserve">      Reyvow</t>
  </si>
  <si>
    <t xml:space="preserve">      Kisunla (Donanemab)</t>
  </si>
  <si>
    <t xml:space="preserve">      Other Neuroscience</t>
  </si>
  <si>
    <t xml:space="preserve">    Other Pharmaceutical</t>
  </si>
  <si>
    <t xml:space="preserve">      Cialis</t>
  </si>
  <si>
    <t xml:space="preserve">      Forteo</t>
  </si>
  <si>
    <t xml:space="preserve">         United States</t>
  </si>
  <si>
    <t xml:space="preserve">  Recently Approved Drugs</t>
  </si>
  <si>
    <t xml:space="preserve">  Pipeline (Phase II/III/Registration)</t>
  </si>
  <si>
    <t xml:space="preserve">    Retatrutide</t>
  </si>
  <si>
    <t xml:space="preserve">        Type 2 Diabetes Mellitus</t>
  </si>
  <si>
    <t xml:space="preserve">        Obesity</t>
  </si>
  <si>
    <t xml:space="preserve">    Remternetug</t>
  </si>
  <si>
    <t xml:space="preserve">    Basal Insulin-FC</t>
  </si>
  <si>
    <t xml:space="preserve">    Mevidalen</t>
  </si>
  <si>
    <t xml:space="preserve">    Eltrekibart</t>
  </si>
  <si>
    <t xml:space="preserve">    Mazdutide</t>
  </si>
  <si>
    <t xml:space="preserve">    Bimagrumab</t>
  </si>
  <si>
    <t xml:space="preserve">    Olomorasib</t>
  </si>
  <si>
    <t xml:space="preserve">    Eloralintide</t>
  </si>
  <si>
    <t xml:space="preserve">    Brenipatide</t>
  </si>
  <si>
    <t xml:space="preserve">    Lepodisiran</t>
  </si>
  <si>
    <t xml:space="preserve">    Muvalaplin</t>
  </si>
  <si>
    <t xml:space="preserve">    IXO-VEC</t>
  </si>
  <si>
    <t xml:space="preserve">    Sofetabart Mipitecan</t>
  </si>
  <si>
    <t xml:space="preserve">    Qbrexza</t>
  </si>
  <si>
    <t xml:space="preserve">    COVID-19 Antibodies</t>
  </si>
  <si>
    <t xml:space="preserve">    Glucagon</t>
  </si>
  <si>
    <t xml:space="preserve">    Strattera</t>
  </si>
  <si>
    <t xml:space="preserve">    Lartruvo</t>
  </si>
  <si>
    <t xml:space="preserve">    Prozac</t>
  </si>
  <si>
    <t xml:space="preserve">    Lyumjev</t>
  </si>
  <si>
    <t xml:space="preserve">    Baqsimi</t>
  </si>
  <si>
    <t xml:space="preserve">    Zyprexa</t>
  </si>
  <si>
    <t xml:space="preserve">    Other Immunology</t>
  </si>
  <si>
    <t xml:space="preserve">    Cymbalta</t>
  </si>
  <si>
    <t xml:space="preserve">    Humatrope</t>
  </si>
  <si>
    <t xml:space="preserve">    Industry Metrics</t>
  </si>
  <si>
    <t xml:space="preserve">  Type 2 Diabetes Mellitus</t>
  </si>
  <si>
    <t xml:space="preserve">      Diabetes Prevalence</t>
  </si>
  <si>
    <t xml:space="preserve">      T2DM Population</t>
  </si>
  <si>
    <t xml:space="preserve">      GLP-1 Patients</t>
  </si>
  <si>
    <t xml:space="preserve">        Number of Patients</t>
  </si>
  <si>
    <t xml:space="preserve">        Penetration (%)</t>
  </si>
  <si>
    <t xml:space="preserve">        Gross Annual Price</t>
  </si>
  <si>
    <t xml:space="preserve">        Gross to Net (%)</t>
  </si>
  <si>
    <t xml:space="preserve">        Compliance (%)</t>
  </si>
  <si>
    <t xml:space="preserve">        Net Annual Price</t>
  </si>
  <si>
    <t xml:space="preserve">      T2D Population</t>
  </si>
  <si>
    <t xml:space="preserve">      Diabetes Population</t>
  </si>
  <si>
    <t xml:space="preserve">      T2DM Patients Non-ASCVD on Anti-Diabetic</t>
  </si>
  <si>
    <t xml:space="preserve">      T2DM Patients on Injectible GLP-1</t>
  </si>
  <si>
    <t xml:space="preserve">        Patients on Mounjaro as Add-on to Anti-Diabetic</t>
  </si>
  <si>
    <t xml:space="preserve">          Penetration (%)</t>
  </si>
  <si>
    <t xml:space="preserve">        Patients on Mounjaro with ASCVD</t>
  </si>
  <si>
    <t xml:space="preserve">  NASH</t>
  </si>
  <si>
    <t xml:space="preserve">      F2/F3 Patients</t>
  </si>
  <si>
    <t xml:space="preserve">      F4 Fibrosis/Cirrhosis Patients</t>
  </si>
  <si>
    <t xml:space="preserve">      Number of Patients</t>
  </si>
  <si>
    <t xml:space="preserve">      Gross Annual Price</t>
  </si>
  <si>
    <t xml:space="preserve">      Gross to Net (%)</t>
  </si>
  <si>
    <t xml:space="preserve">      Net Annual Price</t>
  </si>
  <si>
    <t xml:space="preserve">  Obesity</t>
  </si>
  <si>
    <t xml:space="preserve">      Obesity Population</t>
  </si>
  <si>
    <t xml:space="preserve">      Obese &amp; Overweight Population (BMI &gt;27 w/comorbid)</t>
  </si>
  <si>
    <t xml:space="preserve">      Obesity Patients Treated Pharmacologically</t>
  </si>
  <si>
    <t xml:space="preserve">        Penetration %</t>
  </si>
  <si>
    <t xml:space="preserve">        Gross Monthly (WAC) Price</t>
  </si>
  <si>
    <t xml:space="preserve">        Net Monthly Price</t>
  </si>
  <si>
    <t xml:space="preserve">  HFpEF</t>
  </si>
  <si>
    <t xml:space="preserve">      Adult Population Diagnosed</t>
  </si>
  <si>
    <t xml:space="preserve">      Adult Population Treated</t>
  </si>
  <si>
    <t xml:space="preserve">        Gross Annual (WAC) Price</t>
  </si>
  <si>
    <t xml:space="preserve">  Metastatic HR+/HER2-</t>
  </si>
  <si>
    <t xml:space="preserve">      Metastatic CDK4/6 Eligible Population</t>
  </si>
  <si>
    <t xml:space="preserve">      CDK 4/6 Penetration (%)</t>
  </si>
  <si>
    <t xml:space="preserve">      Patients Initiating CDK4/6</t>
  </si>
  <si>
    <t xml:space="preserve">      1L Metastatic HR+/HER2- Patients</t>
  </si>
  <si>
    <t xml:space="preserve">      HER2- HR+ 1-4L+ Drug-Treated</t>
  </si>
  <si>
    <t xml:space="preserve">      Verzenio </t>
  </si>
  <si>
    <t xml:space="preserve">        Gross Monthly Sales/Price (WAC)</t>
  </si>
  <si>
    <t xml:space="preserve">  Adjuvant HR+/HER2-</t>
  </si>
  <si>
    <t xml:space="preserve">      HR+/HER2- Breast Cancer with Regional Disease</t>
  </si>
  <si>
    <t xml:space="preserve">      Adjuvant HR+/HER2- Patients</t>
  </si>
  <si>
    <t xml:space="preserve">      Adjuvant Patients treated</t>
  </si>
  <si>
    <t xml:space="preserve">      Adjuvant Treated</t>
  </si>
  <si>
    <t xml:space="preserve">      NeoAdjuvant Treated</t>
  </si>
  <si>
    <t xml:space="preserve">        HER2- HR+ 1-4L+ Drug-Treated</t>
  </si>
  <si>
    <t xml:space="preserve">  NSCLC</t>
  </si>
  <si>
    <t xml:space="preserve">      NSCLC Population</t>
  </si>
  <si>
    <t xml:space="preserve">      RET Fusion Population</t>
  </si>
  <si>
    <t xml:space="preserve">        Discount (%)</t>
  </si>
  <si>
    <t xml:space="preserve">  Medullary Thyroid Cancer</t>
  </si>
  <si>
    <t xml:space="preserve">      Medullary Thyroid Cancer Population</t>
  </si>
  <si>
    <t xml:space="preserve">  Rheumatoid Arthritis</t>
  </si>
  <si>
    <t xml:space="preserve">      Mild RA</t>
  </si>
  <si>
    <t xml:space="preserve">        Total Mild RA Patients</t>
  </si>
  <si>
    <t xml:space="preserve">      Moderate RA</t>
  </si>
  <si>
    <t xml:space="preserve">        Total Moderate RA Patients</t>
  </si>
  <si>
    <t xml:space="preserve">      Severe RA</t>
  </si>
  <si>
    <t xml:space="preserve">        Total Severe RA Patients</t>
  </si>
  <si>
    <t xml:space="preserve">        Rheumatoid Arthritis</t>
  </si>
  <si>
    <t xml:space="preserve">          Number of Patients</t>
  </si>
  <si>
    <t xml:space="preserve">          Penetration %</t>
  </si>
  <si>
    <t xml:space="preserve">          Gross Annual Price</t>
  </si>
  <si>
    <t xml:space="preserve">          Gross Monthly (WAC) Price</t>
  </si>
  <si>
    <t xml:space="preserve">          Gross to Net (%)</t>
  </si>
  <si>
    <t xml:space="preserve">          Compliance (%)</t>
  </si>
  <si>
    <t xml:space="preserve">          Net Annual Price</t>
  </si>
  <si>
    <t xml:space="preserve">          Net Monthly Price</t>
  </si>
  <si>
    <t xml:space="preserve">          Revenue</t>
  </si>
  <si>
    <t xml:space="preserve">        SLE</t>
  </si>
  <si>
    <t xml:space="preserve">        Alopecia Areata</t>
  </si>
  <si>
    <t xml:space="preserve">  Ulcerative Colitis</t>
  </si>
  <si>
    <t xml:space="preserve">      UC Patients Prevalence</t>
  </si>
  <si>
    <t xml:space="preserve">      Mod-Severe UC Patients</t>
  </si>
  <si>
    <t xml:space="preserve">      Mod-Severe UC Patients Treated</t>
  </si>
  <si>
    <t xml:space="preserve">  Crohn's Disease</t>
  </si>
  <si>
    <t xml:space="preserve">      CD Patients Prevalence</t>
  </si>
  <si>
    <t xml:space="preserve">      Mod-Severe CD Patients</t>
  </si>
  <si>
    <t xml:space="preserve">      Mod-Severe CD Patients Treated</t>
  </si>
  <si>
    <t xml:space="preserve">  Atopic Dermatitis</t>
  </si>
  <si>
    <t xml:space="preserve">      Adults w/ Moderate to Severe Atopic Derm</t>
  </si>
  <si>
    <t xml:space="preserve">      Patients Eligible for Biologics</t>
  </si>
  <si>
    <t xml:space="preserve">      Patients on Biologics</t>
  </si>
  <si>
    <t xml:space="preserve">      1L AD Biologic Patients</t>
  </si>
  <si>
    <t xml:space="preserve">        1L Patients Treated</t>
  </si>
  <si>
    <t xml:space="preserve">        2L AD Biologic Patients</t>
  </si>
  <si>
    <t xml:space="preserve">        2L Patients Treated</t>
  </si>
  <si>
    <t xml:space="preserve">        Number of Adult Patients</t>
  </si>
  <si>
    <t xml:space="preserve">  Migraine</t>
  </si>
  <si>
    <t xml:space="preserve">      Patients Eligible For Emgality</t>
  </si>
  <si>
    <t xml:space="preserve">      CGRP Treated</t>
  </si>
  <si>
    <t xml:space="preserve">        Emgality Treated Patients</t>
  </si>
  <si>
    <t xml:space="preserve">  Alzheimers</t>
  </si>
  <si>
    <t xml:space="preserve">      Treatment-Eligible Patients</t>
  </si>
  <si>
    <t xml:space="preserve">      Patients Treated</t>
  </si>
  <si>
    <t xml:space="preserve">      New Patients Remaining on Treatment</t>
  </si>
  <si>
    <t xml:space="preserve">      Patients with Beta Amyloid</t>
  </si>
  <si>
    <t xml:space="preserve">      Patients Prescribed a Beta-Amyloid Therapy</t>
  </si>
  <si>
    <t xml:space="preserve">      T2DM Patients on Injectible GLP-1s</t>
  </si>
  <si>
    <t xml:space="preserve">      Retatrutide</t>
  </si>
  <si>
    <t xml:space="preserve">      Treatment Eligible Patients</t>
  </si>
  <si>
    <t xml:space="preserve">      Patients treated</t>
  </si>
  <si>
    <t xml:space="preserve">      Remternetug</t>
  </si>
  <si>
    <t xml:space="preserve">      T2DM Prevalence</t>
  </si>
  <si>
    <t xml:space="preserve">      T2DM Patients with A1c &gt; 7%</t>
  </si>
  <si>
    <t xml:space="preserve">      T2DM Patients on OADs</t>
  </si>
  <si>
    <t xml:space="preserve">        Compliance %</t>
  </si>
  <si>
    <t xml:space="preserve">      Adult Obesity Prevalence &gt;30 BMI</t>
  </si>
  <si>
    <t xml:space="preserve">      Obesity Patients without T2DM</t>
  </si>
  <si>
    <t xml:space="preserve">      Eligible Patients Seeking Treatment</t>
  </si>
  <si>
    <t xml:space="preserve">          Endocrinology</t>
  </si>
  <si>
    <t xml:space="preserve">            Diabetes</t>
  </si>
  <si>
    <t xml:space="preserve">          Immunology</t>
  </si>
  <si>
    <t xml:space="preserve">          Neuroscience</t>
  </si>
  <si>
    <t xml:space="preserve">          Oncology</t>
  </si>
  <si>
    <t xml:space="preserve">          Other</t>
  </si>
  <si>
    <t xml:space="preserve">        COVID-19 Antibodies - United States</t>
  </si>
  <si>
    <t xml:space="preserve">        COVID-19 Antibodies - International</t>
  </si>
  <si>
    <t xml:space="preserve">        Glucagon - United States</t>
  </si>
  <si>
    <t xml:space="preserve">        Glucagon - International</t>
  </si>
  <si>
    <t xml:space="preserve">        Baqsimi - United States</t>
  </si>
  <si>
    <t xml:space="preserve">        Baqsimi - International</t>
  </si>
  <si>
    <t xml:space="preserve">        Qbrexza - United States</t>
  </si>
  <si>
    <t xml:space="preserve">        Qbrexza - International</t>
  </si>
  <si>
    <t xml:space="preserve">        Prozac - United States</t>
  </si>
  <si>
    <t xml:space="preserve">        Prozac - International</t>
  </si>
  <si>
    <t xml:space="preserve">        Zyprexa - United States</t>
  </si>
  <si>
    <t xml:space="preserve">        Zyprexa - International</t>
  </si>
  <si>
    <t xml:space="preserve">        Lartruvo - United States</t>
  </si>
  <si>
    <t xml:space="preserve">        Strattera - United States</t>
  </si>
  <si>
    <t xml:space="preserve">        Strattera - International</t>
  </si>
  <si>
    <t xml:space="preserve">        Other Immunology - International</t>
  </si>
  <si>
    <t xml:space="preserve">    Endocrinology</t>
  </si>
  <si>
    <t xml:space="preserve">      Endocrinology - US</t>
  </si>
  <si>
    <t xml:space="preserve">      Endocrinology - International</t>
  </si>
  <si>
    <t xml:space="preserve">      Neuroscience - US</t>
  </si>
  <si>
    <t xml:space="preserve">      Neuroscience - International</t>
  </si>
  <si>
    <t xml:space="preserve">      Oncology - US</t>
  </si>
  <si>
    <t xml:space="preserve">      Oncology - International</t>
  </si>
  <si>
    <t xml:space="preserve">      Immunology - US</t>
  </si>
  <si>
    <t xml:space="preserve">      Immunology - International</t>
  </si>
  <si>
    <t xml:space="preserve">      SG&amp;A Margin (%)</t>
  </si>
  <si>
    <t xml:space="preserve">    IPR&amp;D</t>
  </si>
  <si>
    <t xml:space="preserve">    Asset Impairment, Restructuring &amp; Other Special Charges</t>
  </si>
  <si>
    <t xml:space="preserve">    Payout ratio</t>
  </si>
  <si>
    <t xml:space="preserve">    Costs, Expenses, &amp; Other</t>
  </si>
  <si>
    <t xml:space="preserve">      Employee Compensation</t>
  </si>
  <si>
    <t xml:space="preserve">      Dividends Payable</t>
  </si>
  <si>
    <t xml:space="preserve">        Accrued Retirement Benefits</t>
  </si>
  <si>
    <t xml:space="preserve">        Income Taxes Payable</t>
  </si>
  <si>
    <t xml:space="preserve">        Other Non-current Liabilities</t>
  </si>
  <si>
    <t xml:space="preserve">      Total Common Equity</t>
  </si>
  <si>
    <t xml:space="preserve">        Employee Benefit Trust</t>
  </si>
  <si>
    <t xml:space="preserve">        Treasury Shares</t>
  </si>
  <si>
    <t xml:space="preserve">    Gain or Loss on Sale Investment</t>
  </si>
  <si>
    <t xml:space="preserve">    In-Process Research &amp; Development</t>
  </si>
  <si>
    <t xml:space="preserve">      Account Payable</t>
  </si>
  <si>
    <t xml:space="preserve">    Proceeds from Sales &amp; Maturities of Short-Term Investments</t>
  </si>
  <si>
    <t xml:space="preserve">    Proceeds from Asset Dispositions</t>
  </si>
  <si>
    <t xml:space="preserve">    Change in Short-Term Debt</t>
  </si>
  <si>
    <t xml:space="preserve">    Proceeds from Issuance of Long-Term Debt</t>
  </si>
  <si>
    <t xml:space="preserve">      Debt Repayments</t>
  </si>
  <si>
    <t xml:space="preserve">    Free Cash Flow to Equity</t>
  </si>
  <si>
    <t>FE US Equity- Company Financial (Multiple Periods)</t>
  </si>
  <si>
    <t>FE US Equity    Periodicity:A    Currency:USD    Estimate Source:BST    Actual Source:Bloomberg</t>
  </si>
  <si>
    <t xml:space="preserve">    Distribution</t>
  </si>
  <si>
    <t xml:space="preserve">    Integrated</t>
  </si>
  <si>
    <t xml:space="preserve">    Stand-Alone Transmission</t>
  </si>
  <si>
    <t xml:space="preserve">    Other &amp; Corporate </t>
  </si>
  <si>
    <t xml:space="preserve">  Total Assets</t>
  </si>
  <si>
    <t xml:space="preserve">    Cleveland Electric Illuminating Company</t>
  </si>
  <si>
    <t xml:space="preserve">    Ohio Edison Company</t>
  </si>
  <si>
    <t xml:space="preserve">    Jersey Central Power &amp; Light Company</t>
  </si>
  <si>
    <t xml:space="preserve">    Pennsylvania Electric Company</t>
  </si>
  <si>
    <t xml:space="preserve">  Total Load</t>
  </si>
  <si>
    <t xml:space="preserve">    Regulated Distribution</t>
  </si>
  <si>
    <t xml:space="preserve">      Northeastern Ohio</t>
  </si>
  <si>
    <t xml:space="preserve">        Residential</t>
  </si>
  <si>
    <t xml:space="preserve">        Commercial</t>
  </si>
  <si>
    <t xml:space="preserve">        Industrial</t>
  </si>
  <si>
    <t xml:space="preserve">      Northwestern Ohio</t>
  </si>
  <si>
    <t xml:space="preserve">      Central &amp; Northeastern Ohio</t>
  </si>
  <si>
    <t xml:space="preserve">      Northern, Western &amp; East Central New Jersey</t>
  </si>
  <si>
    <t xml:space="preserve">      West Virginia</t>
  </si>
  <si>
    <t xml:space="preserve">  Fuel Costs</t>
  </si>
  <si>
    <t xml:space="preserve">  Total Electricity Sales (MMkWh) - Retail</t>
  </si>
  <si>
    <t xml:space="preserve">  Distribution</t>
  </si>
  <si>
    <t xml:space="preserve">    Net Income Available to Common Shareholders</t>
  </si>
  <si>
    <t xml:space="preserve">    Retail Electric Load (TWh)</t>
  </si>
  <si>
    <t xml:space="preserve">  Integrated</t>
  </si>
  <si>
    <t xml:space="preserve">  Stand-Alone Transmission</t>
  </si>
  <si>
    <t xml:space="preserve">  Other &amp; Corporate</t>
  </si>
  <si>
    <t xml:space="preserve">      Electric</t>
  </si>
  <si>
    <t xml:space="preserve">      Operation &amp; Maintenance</t>
  </si>
  <si>
    <t xml:space="preserve">      General Taxes</t>
  </si>
  <si>
    <t xml:space="preserve">  Regulated Distribution</t>
  </si>
  <si>
    <t xml:space="preserve">  Regulated Transmission</t>
  </si>
  <si>
    <t xml:space="preserve">  Ohio Edison Company</t>
  </si>
  <si>
    <t xml:space="preserve">    Income Statement</t>
  </si>
  <si>
    <t xml:space="preserve">      Gross Margin</t>
  </si>
  <si>
    <t xml:space="preserve">      Operation &amp; Maintenance Expense</t>
  </si>
  <si>
    <t xml:space="preserve">      Fuel &amp; Purchased Power</t>
  </si>
  <si>
    <t xml:space="preserve">      Earnings Before Taxes</t>
  </si>
  <si>
    <t xml:space="preserve">      Diluted EPS</t>
  </si>
  <si>
    <t xml:space="preserve">      Total Current Assets</t>
  </si>
  <si>
    <t xml:space="preserve">      Total Assets </t>
  </si>
  <si>
    <t xml:space="preserve">      Cash from Operations</t>
  </si>
  <si>
    <t xml:space="preserve">      Cash from Investing Activities</t>
  </si>
  <si>
    <t xml:space="preserve">      Cash from Financing Activities</t>
  </si>
  <si>
    <t xml:space="preserve">      Free Cash Flow</t>
  </si>
  <si>
    <t xml:space="preserve">    Maintenance Expense</t>
  </si>
  <si>
    <t xml:space="preserve">    Purchased Power Cost</t>
  </si>
  <si>
    <t xml:space="preserve">  Capitalized Interest Expense</t>
  </si>
  <si>
    <t xml:space="preserve">  Pension &amp; OPEB Adjustment</t>
  </si>
  <si>
    <t xml:space="preserve">    Core EPS</t>
  </si>
  <si>
    <t xml:space="preserve">      Construction Work in Progress</t>
  </si>
  <si>
    <t xml:space="preserve">      Prepaid Taxes &amp; Other</t>
  </si>
  <si>
    <t xml:space="preserve">        In Service</t>
  </si>
  <si>
    <t xml:space="preserve">        Accumulated Provision for Depreciation</t>
  </si>
  <si>
    <t xml:space="preserve">      Net Regulatory Assets</t>
  </si>
  <si>
    <t xml:space="preserve">      Currently Payable Long-Term Debt</t>
  </si>
  <si>
    <t xml:space="preserve">      Retirement Benefits</t>
  </si>
  <si>
    <t xml:space="preserve">    Net Debt/Capitalization</t>
  </si>
  <si>
    <t xml:space="preserve">    Other Cash Flow from Investing</t>
  </si>
  <si>
    <t xml:space="preserve">    Short-Term Borrowings</t>
  </si>
  <si>
    <t xml:space="preserve">    Issuance/(Repurchase) of Common Stock</t>
  </si>
  <si>
    <t xml:space="preserve">    Reimbursement of LT Borrowings</t>
  </si>
  <si>
    <t xml:space="preserve">    Funds from Operations </t>
  </si>
  <si>
    <t>CMS US Equity- Company Financial (Multiple Periods)</t>
  </si>
  <si>
    <t>CMS US Equity    Periodicity:A    Currency:USD    Estimate Source:BST    Actual Source:Bloomberg</t>
  </si>
  <si>
    <t xml:space="preserve">    Electric</t>
  </si>
  <si>
    <t xml:space="preserve">    Total Retail</t>
  </si>
  <si>
    <t xml:space="preserve">      Residential - Retail</t>
  </si>
  <si>
    <t xml:space="preserve">      Commercial - Retail</t>
  </si>
  <si>
    <t xml:space="preserve">      Industrial - Retail</t>
  </si>
  <si>
    <t xml:space="preserve">    Total Wholesale</t>
  </si>
  <si>
    <t xml:space="preserve">  Total Retail Gas Sales</t>
  </si>
  <si>
    <t xml:space="preserve">  Electric Load Growth (%)</t>
  </si>
  <si>
    <t xml:space="preserve">  Gas Load Growth (%)</t>
  </si>
  <si>
    <t xml:space="preserve">  Regulated Common Equity Ratio</t>
  </si>
  <si>
    <t xml:space="preserve">  Earned Return on Equity (%)</t>
  </si>
  <si>
    <t xml:space="preserve">  Electric Power Generating Capacity (MW)</t>
  </si>
  <si>
    <t xml:space="preserve">  Consumer Energy</t>
  </si>
  <si>
    <t xml:space="preserve">    Purchased Gas Costs</t>
  </si>
  <si>
    <t xml:space="preserve">    Gross Utility Plant in Service</t>
  </si>
  <si>
    <t xml:space="preserve">    Taxes Other than Income Taxes</t>
  </si>
  <si>
    <t xml:space="preserve">    ETR Percentage Company Basis</t>
  </si>
  <si>
    <t xml:space="preserve">    ST Portion of LT Debts</t>
  </si>
  <si>
    <t xml:space="preserve">    Long Term Debt</t>
  </si>
  <si>
    <t xml:space="preserve">    Net Cash Operating Activities CB</t>
  </si>
  <si>
    <t xml:space="preserve">    Net Cash Financing Activities CB</t>
  </si>
  <si>
    <t xml:space="preserve">    Cash &amp; Cash Equivalents - Beginning Balance</t>
  </si>
  <si>
    <t xml:space="preserve">    Deferred Income Tax</t>
  </si>
  <si>
    <t xml:space="preserve">    Adjusted Stockholder's Equity</t>
  </si>
  <si>
    <t xml:space="preserve">    Total Equity/Partnership Capital</t>
  </si>
  <si>
    <t xml:space="preserve">    Net Cash Investing Activities</t>
  </si>
  <si>
    <t xml:space="preserve">  Enterprises</t>
  </si>
  <si>
    <t xml:space="preserve">  EnerBank</t>
  </si>
  <si>
    <t xml:space="preserve">  NorthStar Clean Energy</t>
  </si>
  <si>
    <t xml:space="preserve">    Regulated Electric Revenue</t>
  </si>
  <si>
    <t xml:space="preserve">    Unregulated Electric Revenue</t>
  </si>
  <si>
    <t xml:space="preserve">    Regulated Gas Revenue</t>
  </si>
  <si>
    <t xml:space="preserve">    Other </t>
  </si>
  <si>
    <t xml:space="preserve">    Fuel &amp; Purchased Power Costs</t>
  </si>
  <si>
    <t xml:space="preserve">      Fuel Costs</t>
  </si>
  <si>
    <t xml:space="preserve">      Purchased Power Cost</t>
  </si>
  <si>
    <t xml:space="preserve">    Purchased Gas &amp; Water Costs</t>
  </si>
  <si>
    <t xml:space="preserve">      Purchased Gas Costs</t>
  </si>
  <si>
    <t xml:space="preserve">    General Taxes</t>
  </si>
  <si>
    <t xml:space="preserve">  Non-Operating Retirement Benefits, Net</t>
  </si>
  <si>
    <t xml:space="preserve">  Other Income</t>
  </si>
  <si>
    <t xml:space="preserve">  AFUDC Equity</t>
  </si>
  <si>
    <t xml:space="preserve">  AFUDC Debt</t>
  </si>
  <si>
    <t xml:space="preserve">      Restricted Bond Proceeds</t>
  </si>
  <si>
    <t xml:space="preserve">      Short-Term Regulatory Assets</t>
  </si>
  <si>
    <t xml:space="preserve">        Prepayments &amp; Other Current Assets</t>
  </si>
  <si>
    <t xml:space="preserve">      Gross Utility Plant in Service</t>
  </si>
  <si>
    <t xml:space="preserve">      Common Plant in Service</t>
  </si>
  <si>
    <t xml:space="preserve">      Net Plant in Service</t>
  </si>
  <si>
    <t xml:space="preserve">      Total Utility Plant</t>
  </si>
  <si>
    <t xml:space="preserve">      Plant Construction in Progress</t>
  </si>
  <si>
    <t xml:space="preserve">      Interest Payable</t>
  </si>
  <si>
    <t xml:space="preserve">      Short Term Portion of Long-Term Debt</t>
  </si>
  <si>
    <t xml:space="preserve">      Short-Term Regulatory Liabilities </t>
  </si>
  <si>
    <t xml:space="preserve">      Assets Retirement Obligations</t>
  </si>
  <si>
    <t xml:space="preserve">      Post-Retirement Obligations</t>
  </si>
  <si>
    <t xml:space="preserve">      Equity before Non-Controlling Interest</t>
  </si>
  <si>
    <t xml:space="preserve">        Common Equity</t>
  </si>
  <si>
    <t xml:space="preserve">    Total Liabilities &amp; Shareholders Equity</t>
  </si>
  <si>
    <t xml:space="preserve">    Debt to Total Capital</t>
  </si>
  <si>
    <t xml:space="preserve">    AFUDC Debt &amp; Equity</t>
  </si>
  <si>
    <t xml:space="preserve">    Authorized Number of Shares</t>
  </si>
  <si>
    <t xml:space="preserve">    Normalized Return on Equity (%)</t>
  </si>
  <si>
    <t xml:space="preserve">    Proceeds from Issuance of Debt </t>
  </si>
  <si>
    <t xml:space="preserve">    Issuances of Common Stock</t>
  </si>
  <si>
    <t xml:space="preserve">    Net Issuance of Debt</t>
  </si>
  <si>
    <t xml:space="preserve">      Free Cash Flow Ex-Dividend</t>
  </si>
  <si>
    <t>APLD US Equity- Company Financial (Multiple Periods)</t>
  </si>
  <si>
    <t>APLD US Equity    Periodicity:A    Currency:USD    Estimate Source:BST    Actual Source:Bloomberg</t>
  </si>
  <si>
    <t xml:space="preserve">    Data Center Hosting</t>
  </si>
  <si>
    <t xml:space="preserve">    Cloud Services</t>
  </si>
  <si>
    <t xml:space="preserve">    HPC Hosting</t>
  </si>
  <si>
    <t xml:space="preserve">  Profit (Loss)</t>
  </si>
  <si>
    <t xml:space="preserve">    Gain on Classification of Held for Sale</t>
  </si>
  <si>
    <t xml:space="preserve">    Loss on Abandonment of Assets</t>
  </si>
  <si>
    <t xml:space="preserve">  Total Other Expense, Net</t>
  </si>
  <si>
    <t xml:space="preserve">  Discontinued Operations</t>
  </si>
  <si>
    <t xml:space="preserve">      Early Extinguishment of Debt</t>
  </si>
  <si>
    <t xml:space="preserve">      Accounts Receivable </t>
  </si>
  <si>
    <t xml:space="preserve">      Current Assets Held for Sale</t>
  </si>
  <si>
    <t xml:space="preserve">      Property,Plant &amp; Equipment</t>
  </si>
  <si>
    <t xml:space="preserve">      Operating Lease Right of Use Assets</t>
  </si>
  <si>
    <t xml:space="preserve">      Finance Lease Right-of-Use Assets, Net</t>
  </si>
  <si>
    <t xml:space="preserve">      Accounts payable</t>
  </si>
  <si>
    <t xml:space="preserve">      Current Portion of Finance Lease Liability</t>
  </si>
  <si>
    <t xml:space="preserve">      Current Portion of Debt</t>
  </si>
  <si>
    <t xml:space="preserve">      Current Liabilities Held for Sale</t>
  </si>
  <si>
    <t xml:space="preserve">      Long-Term Portion of Operating Lease Liability</t>
  </si>
  <si>
    <t xml:space="preserve">      Long-Term Portion of Finance Lease Liability</t>
  </si>
  <si>
    <t xml:space="preserve">      Lease Assets &amp; Liabilities</t>
  </si>
  <si>
    <t xml:space="preserve">    Finance Lease Prepayments</t>
  </si>
  <si>
    <t xml:space="preserve">    Borrowings of Long-Term Debt</t>
  </si>
  <si>
    <t xml:space="preserve">    Repayments of Long-Term Debt</t>
  </si>
  <si>
    <t xml:space="preserve">    Proceeds from Issuance of Common Stock, Net of Costs</t>
  </si>
  <si>
    <t xml:space="preserve">    Proceeds from Issuance of Preferred Stock</t>
  </si>
  <si>
    <t xml:space="preserve">    Preferred Stock Issuance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</si>
</sst>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B011-81BA-4562-A546-34C2ED73248F}">
  <sheetPr codeName="Sheet1"/>
  <dimension ref="A1:K310"/>
  <sheetViews>
    <sheetView workbookViewId="0">
      <selection activeCell="K7" sqref="K7"/>
    </sheetView>
  </sheetViews>
  <sheetFormatPr defaultRowHeight="15" x14ac:dyDescent="0.25"/>
  <cols>
    <col min="1" max="1" width="86.85546875" bestFit="1" customWidth="1"/>
    <col min="2" max="4" width="11.7109375" bestFit="1" customWidth="1"/>
    <col min="5" max="11" width="12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x14ac:dyDescent="0.25">
      <c r="A4" t="s">
        <v>13</v>
      </c>
      <c r="B4" s="1">
        <v>45322</v>
      </c>
      <c r="C4" s="1">
        <v>45688</v>
      </c>
      <c r="D4" s="1">
        <v>46053</v>
      </c>
      <c r="E4" s="1">
        <v>46418</v>
      </c>
      <c r="F4" s="1">
        <v>46783</v>
      </c>
      <c r="G4" s="1">
        <v>47149</v>
      </c>
      <c r="H4" s="1">
        <v>47514</v>
      </c>
      <c r="I4" s="1">
        <v>47879</v>
      </c>
      <c r="J4" s="1">
        <v>48244</v>
      </c>
      <c r="K4" s="1">
        <v>48610</v>
      </c>
    </row>
    <row r="5" spans="1:11" x14ac:dyDescent="0.25">
      <c r="A5" t="s">
        <v>14</v>
      </c>
    </row>
    <row r="6" spans="1:11" x14ac:dyDescent="0.25">
      <c r="A6" t="s">
        <v>15</v>
      </c>
      <c r="B6">
        <v>0.77</v>
      </c>
      <c r="C6">
        <v>0.98</v>
      </c>
      <c r="D6">
        <v>0.93</v>
      </c>
      <c r="E6">
        <v>1.25</v>
      </c>
      <c r="F6">
        <v>1.61</v>
      </c>
      <c r="G6">
        <v>2.08</v>
      </c>
      <c r="H6">
        <v>2.7</v>
      </c>
      <c r="I6">
        <v>3.38</v>
      </c>
      <c r="J6">
        <v>4.26</v>
      </c>
      <c r="K6">
        <v>5.33</v>
      </c>
    </row>
    <row r="7" spans="1:11" x14ac:dyDescent="0.25">
      <c r="A7" t="s">
        <v>16</v>
      </c>
      <c r="B7" s="2">
        <v>3055.56</v>
      </c>
      <c r="C7" s="2">
        <v>3953.62</v>
      </c>
      <c r="D7" s="2">
        <v>4812.01</v>
      </c>
      <c r="E7" s="2">
        <v>6007.2</v>
      </c>
      <c r="F7" s="2">
        <v>7371.82</v>
      </c>
      <c r="G7" s="2">
        <v>8988.5</v>
      </c>
      <c r="H7" s="2">
        <v>11076</v>
      </c>
      <c r="I7" s="2">
        <v>13495.17</v>
      </c>
      <c r="J7" s="2">
        <v>17139.5</v>
      </c>
      <c r="K7" s="2">
        <v>20956</v>
      </c>
    </row>
    <row r="8" spans="1:11" x14ac:dyDescent="0.25">
      <c r="A8" t="s">
        <v>17</v>
      </c>
    </row>
    <row r="9" spans="1:11" x14ac:dyDescent="0.25">
      <c r="A9" t="s">
        <v>18</v>
      </c>
      <c r="B9" s="2">
        <v>3435.15</v>
      </c>
      <c r="C9" s="2">
        <v>4241.84</v>
      </c>
      <c r="D9" s="2">
        <v>5252.75</v>
      </c>
      <c r="E9" s="2">
        <v>6608.96</v>
      </c>
      <c r="F9" s="2">
        <v>8188.14</v>
      </c>
      <c r="G9" s="2">
        <v>9859.91</v>
      </c>
      <c r="H9" s="2">
        <v>11606.27</v>
      </c>
      <c r="I9" s="2">
        <v>13030.23</v>
      </c>
      <c r="J9" s="2">
        <v>17618.07</v>
      </c>
      <c r="K9" s="2">
        <v>20895.03</v>
      </c>
    </row>
    <row r="10" spans="1:11" x14ac:dyDescent="0.25">
      <c r="A10" t="s">
        <v>19</v>
      </c>
      <c r="B10">
        <v>400</v>
      </c>
      <c r="C10">
        <v>600</v>
      </c>
      <c r="D10">
        <v>800</v>
      </c>
      <c r="E10" s="2">
        <v>1059.8499999999999</v>
      </c>
      <c r="F10" s="2">
        <v>1352.23</v>
      </c>
      <c r="G10" s="2">
        <v>1666.02</v>
      </c>
      <c r="H10" s="2">
        <v>2360.0500000000002</v>
      </c>
      <c r="I10" s="2">
        <v>2050.0500000000002</v>
      </c>
    </row>
    <row r="11" spans="1:11" x14ac:dyDescent="0.25">
      <c r="A11" t="s">
        <v>20</v>
      </c>
      <c r="B11">
        <v>300</v>
      </c>
      <c r="C11">
        <v>370</v>
      </c>
      <c r="D11">
        <v>520</v>
      </c>
      <c r="E11">
        <v>685.44</v>
      </c>
      <c r="F11">
        <v>900.43</v>
      </c>
      <c r="G11" s="2">
        <v>1129.1099999999999</v>
      </c>
      <c r="H11" s="2">
        <v>1219.48</v>
      </c>
    </row>
    <row r="12" spans="1:11" x14ac:dyDescent="0.25">
      <c r="A12" t="s">
        <v>21</v>
      </c>
      <c r="B12">
        <v>150</v>
      </c>
      <c r="C12">
        <v>330</v>
      </c>
      <c r="D12">
        <v>585</v>
      </c>
      <c r="E12">
        <v>890.22</v>
      </c>
      <c r="F12" s="2">
        <v>1264.82</v>
      </c>
      <c r="G12" s="2">
        <v>1739.93</v>
      </c>
      <c r="H12" s="2">
        <v>2266.9499999999998</v>
      </c>
      <c r="I12" s="2">
        <v>2573.85</v>
      </c>
    </row>
    <row r="13" spans="1:11" x14ac:dyDescent="0.25">
      <c r="A13" t="s">
        <v>22</v>
      </c>
      <c r="B13">
        <v>875.5</v>
      </c>
      <c r="C13">
        <v>807</v>
      </c>
      <c r="D13" s="2">
        <v>1011</v>
      </c>
      <c r="E13" s="2">
        <v>1350.36</v>
      </c>
      <c r="F13" s="2">
        <v>1589.41</v>
      </c>
      <c r="G13" s="2">
        <v>1677.08</v>
      </c>
      <c r="H13" s="2">
        <v>1768.41</v>
      </c>
      <c r="I13" s="2">
        <v>1983.44</v>
      </c>
      <c r="J13" s="2">
        <v>2850.2</v>
      </c>
      <c r="K13" s="2">
        <v>3276.96</v>
      </c>
    </row>
    <row r="14" spans="1:11" x14ac:dyDescent="0.25">
      <c r="A14" t="s">
        <v>17</v>
      </c>
    </row>
    <row r="15" spans="1:11" x14ac:dyDescent="0.25">
      <c r="A15" t="s">
        <v>23</v>
      </c>
      <c r="B15">
        <v>119</v>
      </c>
      <c r="C15">
        <v>112</v>
      </c>
      <c r="D15">
        <v>115</v>
      </c>
      <c r="E15">
        <v>116.33</v>
      </c>
      <c r="F15">
        <v>116.39</v>
      </c>
      <c r="G15">
        <v>114.99</v>
      </c>
      <c r="H15">
        <v>112.75</v>
      </c>
      <c r="I15">
        <v>115</v>
      </c>
      <c r="J15">
        <v>114.5</v>
      </c>
      <c r="K15">
        <v>114</v>
      </c>
    </row>
    <row r="16" spans="1:11" x14ac:dyDescent="0.25">
      <c r="A16" t="s">
        <v>24</v>
      </c>
      <c r="B16" s="2">
        <v>3754.54</v>
      </c>
      <c r="C16" s="2">
        <v>4628.2</v>
      </c>
      <c r="D16" s="2">
        <v>5836.77</v>
      </c>
      <c r="E16" s="2">
        <v>7095.86</v>
      </c>
      <c r="F16" s="2">
        <v>8628.9500000000007</v>
      </c>
      <c r="G16" s="2">
        <v>9994.6200000000008</v>
      </c>
      <c r="H16" s="2">
        <v>12459.75</v>
      </c>
      <c r="I16" s="2">
        <v>14552.23</v>
      </c>
      <c r="J16" s="2">
        <v>16253.68</v>
      </c>
      <c r="K16" s="2">
        <v>18373.3</v>
      </c>
    </row>
    <row r="17" spans="1:11" x14ac:dyDescent="0.25">
      <c r="A17" t="s">
        <v>25</v>
      </c>
      <c r="B17" s="2">
        <v>4600</v>
      </c>
      <c r="C17" s="2">
        <v>6500</v>
      </c>
      <c r="D17" s="2">
        <v>9000</v>
      </c>
      <c r="E17" s="2">
        <v>12195.42</v>
      </c>
      <c r="F17" s="2">
        <v>13704.35</v>
      </c>
      <c r="G17" s="2">
        <v>18810.73</v>
      </c>
      <c r="H17" s="2">
        <v>26557.02</v>
      </c>
      <c r="I17" s="2">
        <v>26056.09</v>
      </c>
      <c r="J17" s="2">
        <v>38548.400000000001</v>
      </c>
      <c r="K17" s="2">
        <v>46573.11</v>
      </c>
    </row>
    <row r="18" spans="1:11" x14ac:dyDescent="0.25">
      <c r="A18" t="s">
        <v>26</v>
      </c>
      <c r="B18" s="2">
        <v>1500</v>
      </c>
      <c r="C18" s="2">
        <v>2800</v>
      </c>
      <c r="D18" s="2">
        <v>4200</v>
      </c>
      <c r="E18" s="2">
        <v>6305.48</v>
      </c>
      <c r="F18" s="2">
        <v>7883.3</v>
      </c>
      <c r="G18" s="2">
        <v>9901.7099999999991</v>
      </c>
      <c r="H18" s="2">
        <v>12093.53</v>
      </c>
      <c r="I18" s="2">
        <v>14882.59</v>
      </c>
      <c r="J18" s="2">
        <v>24485.599999999999</v>
      </c>
      <c r="K18" s="2">
        <v>30117.33</v>
      </c>
    </row>
    <row r="19" spans="1:11" x14ac:dyDescent="0.25">
      <c r="A19" t="s">
        <v>17</v>
      </c>
    </row>
    <row r="20" spans="1:11" x14ac:dyDescent="0.25">
      <c r="A20" t="s">
        <v>27</v>
      </c>
      <c r="B20" s="2">
        <v>3054.1</v>
      </c>
      <c r="C20" s="2">
        <v>3728.68</v>
      </c>
      <c r="D20" s="2">
        <v>4753.4399999999996</v>
      </c>
      <c r="E20" s="2">
        <v>5834</v>
      </c>
      <c r="F20" s="2">
        <v>7078.23</v>
      </c>
      <c r="G20" s="2">
        <v>8635.93</v>
      </c>
      <c r="H20" s="2">
        <v>10379.56</v>
      </c>
      <c r="I20" s="2">
        <v>12394.74</v>
      </c>
      <c r="J20" s="2">
        <v>13485.24</v>
      </c>
      <c r="K20" s="2">
        <v>15456.59</v>
      </c>
    </row>
    <row r="21" spans="1:11" x14ac:dyDescent="0.25">
      <c r="A21" t="s">
        <v>28</v>
      </c>
      <c r="B21">
        <v>696.64</v>
      </c>
      <c r="C21">
        <v>669.26</v>
      </c>
      <c r="D21" s="2">
        <v>1023.86</v>
      </c>
      <c r="E21" s="2">
        <v>1085.94</v>
      </c>
      <c r="F21" s="2">
        <v>1225.3599999999999</v>
      </c>
      <c r="G21" s="2">
        <v>1399.42</v>
      </c>
      <c r="H21" s="2">
        <v>1842.99</v>
      </c>
      <c r="I21" s="2">
        <v>2203.41</v>
      </c>
      <c r="J21" s="2">
        <v>1548.22</v>
      </c>
      <c r="K21" s="2">
        <v>1549.73</v>
      </c>
    </row>
    <row r="22" spans="1:11" x14ac:dyDescent="0.25">
      <c r="A22" t="s">
        <v>17</v>
      </c>
    </row>
    <row r="23" spans="1:11" x14ac:dyDescent="0.25">
      <c r="A23" t="s">
        <v>29</v>
      </c>
      <c r="B23">
        <v>660.3</v>
      </c>
      <c r="C23">
        <v>837.7</v>
      </c>
      <c r="D23" s="2">
        <v>1046.47</v>
      </c>
      <c r="E23" s="2">
        <v>1504.05</v>
      </c>
      <c r="F23" s="2">
        <v>1934.77</v>
      </c>
      <c r="G23" s="2">
        <v>2514.19</v>
      </c>
      <c r="H23" s="2">
        <v>3337.71</v>
      </c>
      <c r="I23" s="2">
        <v>4019.43</v>
      </c>
      <c r="J23" s="2">
        <v>5047</v>
      </c>
      <c r="K23" s="2">
        <v>6300.6</v>
      </c>
    </row>
    <row r="24" spans="1:11" x14ac:dyDescent="0.25">
      <c r="A24" t="s">
        <v>30</v>
      </c>
      <c r="B24">
        <v>78</v>
      </c>
      <c r="C24">
        <v>78</v>
      </c>
      <c r="D24">
        <v>78</v>
      </c>
      <c r="E24">
        <v>78.69</v>
      </c>
      <c r="F24">
        <v>79.13</v>
      </c>
      <c r="G24">
        <v>79.94</v>
      </c>
      <c r="H24">
        <v>81.489999999999995</v>
      </c>
      <c r="I24">
        <v>81.59</v>
      </c>
      <c r="J24">
        <v>81.040000000000006</v>
      </c>
      <c r="K24">
        <v>81.260000000000005</v>
      </c>
    </row>
    <row r="25" spans="1:11" x14ac:dyDescent="0.25">
      <c r="A25" t="s">
        <v>31</v>
      </c>
      <c r="B25">
        <v>21.61</v>
      </c>
      <c r="C25">
        <v>21.19</v>
      </c>
      <c r="D25">
        <v>21.75</v>
      </c>
      <c r="E25">
        <v>25.07</v>
      </c>
      <c r="F25">
        <v>26.72</v>
      </c>
      <c r="G25">
        <v>28.73</v>
      </c>
      <c r="H25">
        <v>30.17</v>
      </c>
      <c r="I25">
        <v>31.2</v>
      </c>
      <c r="J25">
        <v>31.68</v>
      </c>
      <c r="K25">
        <v>32.409999999999997</v>
      </c>
    </row>
    <row r="26" spans="1:11" x14ac:dyDescent="0.25">
      <c r="A26" t="s">
        <v>17</v>
      </c>
    </row>
    <row r="27" spans="1:11" x14ac:dyDescent="0.25">
      <c r="A27" t="s">
        <v>32</v>
      </c>
    </row>
    <row r="28" spans="1:11" x14ac:dyDescent="0.25">
      <c r="A28" t="s">
        <v>33</v>
      </c>
      <c r="B28" s="2">
        <v>2870.56</v>
      </c>
      <c r="C28" s="2">
        <v>3761.48</v>
      </c>
      <c r="D28" s="2">
        <v>4564.68</v>
      </c>
      <c r="E28" s="2">
        <v>5728.28</v>
      </c>
      <c r="F28" s="2">
        <v>7065.12</v>
      </c>
      <c r="G28" s="2">
        <v>8635.5499999999993</v>
      </c>
      <c r="H28" s="2">
        <v>10655.34</v>
      </c>
      <c r="I28" s="2">
        <v>13015.66</v>
      </c>
      <c r="J28" s="2">
        <v>16531.86</v>
      </c>
      <c r="K28" s="2">
        <v>20316.900000000001</v>
      </c>
    </row>
    <row r="29" spans="1:11" x14ac:dyDescent="0.25">
      <c r="A29" t="s">
        <v>34</v>
      </c>
      <c r="B29">
        <v>185</v>
      </c>
      <c r="C29">
        <v>192.14</v>
      </c>
      <c r="D29">
        <v>247.32</v>
      </c>
      <c r="E29">
        <v>279.47000000000003</v>
      </c>
      <c r="F29">
        <v>307.49</v>
      </c>
      <c r="G29">
        <v>343.43</v>
      </c>
      <c r="H29">
        <v>420.63</v>
      </c>
      <c r="I29">
        <v>479.52</v>
      </c>
      <c r="J29">
        <v>607.70000000000005</v>
      </c>
      <c r="K29">
        <v>711.13</v>
      </c>
    </row>
    <row r="30" spans="1:11" x14ac:dyDescent="0.25">
      <c r="A30" t="s">
        <v>17</v>
      </c>
    </row>
    <row r="31" spans="1:11" x14ac:dyDescent="0.25">
      <c r="A31" t="s">
        <v>35</v>
      </c>
      <c r="B31">
        <v>631.52</v>
      </c>
      <c r="C31">
        <v>865.42</v>
      </c>
      <c r="D31" s="2">
        <v>1096.68</v>
      </c>
      <c r="E31" s="2">
        <v>1473.24</v>
      </c>
      <c r="F31" s="2">
        <v>1725.62</v>
      </c>
      <c r="G31" s="2">
        <v>1962.76</v>
      </c>
      <c r="H31" s="2">
        <v>2022.74</v>
      </c>
      <c r="I31" s="2">
        <v>2135.62</v>
      </c>
      <c r="J31" s="2">
        <v>2197.48</v>
      </c>
      <c r="K31" s="2">
        <v>2329.15</v>
      </c>
    </row>
    <row r="32" spans="1:11" x14ac:dyDescent="0.25">
      <c r="A32" t="s">
        <v>17</v>
      </c>
    </row>
    <row r="33" spans="1:11" x14ac:dyDescent="0.25">
      <c r="A33" t="s">
        <v>36</v>
      </c>
      <c r="B33">
        <v>938.19</v>
      </c>
      <c r="C33" s="2">
        <v>1065.08</v>
      </c>
      <c r="D33" s="2">
        <v>1235.27</v>
      </c>
      <c r="E33" s="2">
        <v>1829.96</v>
      </c>
      <c r="F33" s="2">
        <v>2392.85</v>
      </c>
      <c r="G33" s="2">
        <v>3045.48</v>
      </c>
      <c r="H33" s="2">
        <v>3928.79</v>
      </c>
      <c r="I33" s="2">
        <v>4865.05</v>
      </c>
      <c r="J33" s="2">
        <v>6138.85</v>
      </c>
      <c r="K33" s="2">
        <v>7617.73</v>
      </c>
    </row>
    <row r="34" spans="1:11" x14ac:dyDescent="0.25">
      <c r="A34" t="s">
        <v>17</v>
      </c>
    </row>
    <row r="35" spans="1:11" x14ac:dyDescent="0.25">
      <c r="A35" t="s">
        <v>37</v>
      </c>
    </row>
    <row r="36" spans="1:11" x14ac:dyDescent="0.25">
      <c r="A36" t="s">
        <v>17</v>
      </c>
    </row>
    <row r="37" spans="1:11" x14ac:dyDescent="0.25">
      <c r="A37" t="s">
        <v>38</v>
      </c>
    </row>
    <row r="38" spans="1:11" x14ac:dyDescent="0.25">
      <c r="A38" t="s">
        <v>39</v>
      </c>
    </row>
    <row r="39" spans="1:11" x14ac:dyDescent="0.25">
      <c r="A39" t="s">
        <v>40</v>
      </c>
      <c r="B39" s="2">
        <v>3435.15</v>
      </c>
      <c r="C39" s="2">
        <v>4241.84</v>
      </c>
      <c r="D39" s="2">
        <v>5252.75</v>
      </c>
      <c r="E39" s="2">
        <v>6608.96</v>
      </c>
      <c r="F39" s="2">
        <v>8188.14</v>
      </c>
      <c r="G39" s="2">
        <v>9859.91</v>
      </c>
      <c r="H39" s="2">
        <v>11606.27</v>
      </c>
      <c r="I39" s="2">
        <v>13030.23</v>
      </c>
      <c r="J39" s="2">
        <v>17618.07</v>
      </c>
      <c r="K39" s="2">
        <v>20895.03</v>
      </c>
    </row>
    <row r="40" spans="1:11" x14ac:dyDescent="0.25">
      <c r="A40" t="s">
        <v>41</v>
      </c>
      <c r="E40" s="2">
        <v>138496.04</v>
      </c>
      <c r="F40" s="2">
        <v>136067.85</v>
      </c>
      <c r="G40" s="2">
        <v>1080973.28</v>
      </c>
      <c r="H40" s="2">
        <v>107268.1</v>
      </c>
      <c r="I40" s="2">
        <v>180228.93</v>
      </c>
      <c r="J40" s="2">
        <v>279088.15999999997</v>
      </c>
      <c r="K40" s="2">
        <v>311968.48</v>
      </c>
    </row>
    <row r="41" spans="1:11" x14ac:dyDescent="0.25">
      <c r="A41" t="s">
        <v>22</v>
      </c>
      <c r="B41">
        <v>875.5</v>
      </c>
      <c r="C41">
        <v>807</v>
      </c>
      <c r="D41" s="2">
        <v>1011</v>
      </c>
      <c r="E41" s="2">
        <v>1350.36</v>
      </c>
      <c r="F41" s="2">
        <v>1589.41</v>
      </c>
      <c r="G41" s="2">
        <v>1677.08</v>
      </c>
      <c r="H41" s="2">
        <v>1768.41</v>
      </c>
      <c r="I41" s="2">
        <v>1983.44</v>
      </c>
      <c r="J41" s="2">
        <v>2850.2</v>
      </c>
      <c r="K41" s="2">
        <v>3276.96</v>
      </c>
    </row>
    <row r="42" spans="1:11" x14ac:dyDescent="0.25">
      <c r="A42" t="s">
        <v>17</v>
      </c>
    </row>
    <row r="43" spans="1:11" x14ac:dyDescent="0.25">
      <c r="A43" t="s">
        <v>42</v>
      </c>
      <c r="B43">
        <v>7.8</v>
      </c>
      <c r="C43">
        <v>0</v>
      </c>
      <c r="E43">
        <v>3.76</v>
      </c>
    </row>
    <row r="44" spans="1:11" x14ac:dyDescent="0.25">
      <c r="A44" t="s">
        <v>17</v>
      </c>
    </row>
    <row r="45" spans="1:11" x14ac:dyDescent="0.25">
      <c r="A45" t="s">
        <v>43</v>
      </c>
      <c r="B45" s="2">
        <v>7925</v>
      </c>
      <c r="C45" s="2">
        <v>10118</v>
      </c>
      <c r="D45" s="2">
        <v>10698</v>
      </c>
    </row>
    <row r="46" spans="1:11" x14ac:dyDescent="0.25">
      <c r="A46" t="s">
        <v>23</v>
      </c>
      <c r="B46">
        <v>119</v>
      </c>
      <c r="C46">
        <v>112</v>
      </c>
      <c r="D46">
        <v>115</v>
      </c>
      <c r="E46">
        <v>116.33</v>
      </c>
      <c r="F46">
        <v>116.39</v>
      </c>
      <c r="G46">
        <v>114.99</v>
      </c>
      <c r="H46">
        <v>112.75</v>
      </c>
      <c r="I46">
        <v>115</v>
      </c>
      <c r="J46">
        <v>114.5</v>
      </c>
      <c r="K46">
        <v>114</v>
      </c>
    </row>
    <row r="47" spans="1:11" x14ac:dyDescent="0.25">
      <c r="A47" t="s">
        <v>44</v>
      </c>
      <c r="B47">
        <v>98</v>
      </c>
      <c r="C47">
        <v>97</v>
      </c>
      <c r="D47">
        <v>97</v>
      </c>
      <c r="E47">
        <v>97.38</v>
      </c>
      <c r="F47">
        <v>97.42</v>
      </c>
      <c r="G47">
        <v>97.3</v>
      </c>
      <c r="H47">
        <v>97.5</v>
      </c>
      <c r="I47">
        <v>98</v>
      </c>
      <c r="J47">
        <v>98</v>
      </c>
      <c r="K47">
        <v>98</v>
      </c>
    </row>
    <row r="48" spans="1:11" x14ac:dyDescent="0.25">
      <c r="A48" t="s">
        <v>17</v>
      </c>
    </row>
    <row r="49" spans="1:11" x14ac:dyDescent="0.25">
      <c r="A49" t="s">
        <v>45</v>
      </c>
    </row>
    <row r="50" spans="1:11" x14ac:dyDescent="0.25">
      <c r="A50" t="s">
        <v>46</v>
      </c>
      <c r="D50">
        <v>50</v>
      </c>
      <c r="E50">
        <v>49</v>
      </c>
      <c r="F50">
        <v>50.5</v>
      </c>
      <c r="G50">
        <v>49</v>
      </c>
    </row>
    <row r="51" spans="1:11" x14ac:dyDescent="0.25">
      <c r="A51" t="s">
        <v>47</v>
      </c>
      <c r="D51">
        <v>34</v>
      </c>
      <c r="E51">
        <v>35</v>
      </c>
      <c r="F51">
        <v>37</v>
      </c>
    </row>
    <row r="52" spans="1:11" x14ac:dyDescent="0.25">
      <c r="A52" t="s">
        <v>48</v>
      </c>
      <c r="D52">
        <v>24</v>
      </c>
    </row>
    <row r="53" spans="1:11" x14ac:dyDescent="0.25">
      <c r="A53" t="s">
        <v>17</v>
      </c>
    </row>
    <row r="54" spans="1:11" x14ac:dyDescent="0.25">
      <c r="A54" t="s">
        <v>24</v>
      </c>
      <c r="B54" s="2">
        <v>3754.54</v>
      </c>
      <c r="C54" s="2">
        <v>4628.2</v>
      </c>
      <c r="D54" s="2">
        <v>5836.77</v>
      </c>
      <c r="E54" s="2">
        <v>7095.86</v>
      </c>
      <c r="F54" s="2">
        <v>8628.9500000000007</v>
      </c>
      <c r="G54" s="2">
        <v>9994.6200000000008</v>
      </c>
      <c r="H54" s="2">
        <v>12459.75</v>
      </c>
      <c r="I54" s="2">
        <v>14552.23</v>
      </c>
      <c r="J54" s="2">
        <v>16253.68</v>
      </c>
      <c r="K54" s="2">
        <v>18373.3</v>
      </c>
    </row>
    <row r="55" spans="1:11" x14ac:dyDescent="0.25">
      <c r="A55" t="s">
        <v>27</v>
      </c>
      <c r="B55" s="2">
        <v>3054.1</v>
      </c>
      <c r="C55" s="2">
        <v>3728.68</v>
      </c>
      <c r="D55" s="2">
        <v>4753.4399999999996</v>
      </c>
      <c r="E55" s="2">
        <v>5834</v>
      </c>
      <c r="F55" s="2">
        <v>7078.23</v>
      </c>
      <c r="G55" s="2">
        <v>8635.93</v>
      </c>
      <c r="H55" s="2">
        <v>10379.56</v>
      </c>
      <c r="I55" s="2">
        <v>12394.74</v>
      </c>
      <c r="J55" s="2">
        <v>13485.24</v>
      </c>
      <c r="K55" s="2">
        <v>15456.59</v>
      </c>
    </row>
    <row r="56" spans="1:11" x14ac:dyDescent="0.25">
      <c r="A56" t="s">
        <v>28</v>
      </c>
      <c r="B56">
        <v>696.64</v>
      </c>
      <c r="C56">
        <v>669.26</v>
      </c>
      <c r="D56" s="2">
        <v>1023.86</v>
      </c>
      <c r="E56" s="2">
        <v>1085.94</v>
      </c>
      <c r="F56" s="2">
        <v>1225.3599999999999</v>
      </c>
      <c r="G56" s="2">
        <v>1399.42</v>
      </c>
      <c r="H56" s="2">
        <v>1842.99</v>
      </c>
      <c r="I56" s="2">
        <v>2203.41</v>
      </c>
      <c r="J56" s="2">
        <v>1548.22</v>
      </c>
      <c r="K56" s="2">
        <v>1549.73</v>
      </c>
    </row>
    <row r="57" spans="1:11" x14ac:dyDescent="0.25">
      <c r="A57" t="s">
        <v>49</v>
      </c>
      <c r="B57">
        <v>101.91</v>
      </c>
      <c r="C57">
        <v>104.47</v>
      </c>
      <c r="D57">
        <v>103.3</v>
      </c>
      <c r="E57">
        <v>76.930000000000007</v>
      </c>
      <c r="F57">
        <v>79.239999999999995</v>
      </c>
      <c r="G57">
        <v>79.260000000000005</v>
      </c>
      <c r="H57">
        <v>64.94</v>
      </c>
      <c r="I57">
        <v>58.62</v>
      </c>
      <c r="J57">
        <v>97.25</v>
      </c>
      <c r="K57">
        <v>94.25</v>
      </c>
    </row>
    <row r="58" spans="1:11" x14ac:dyDescent="0.25">
      <c r="A58" t="s">
        <v>25</v>
      </c>
      <c r="B58" s="2">
        <v>4600</v>
      </c>
      <c r="C58" s="2">
        <v>6500</v>
      </c>
      <c r="D58" s="2">
        <v>9000</v>
      </c>
      <c r="E58" s="2">
        <v>12195.42</v>
      </c>
      <c r="F58" s="2">
        <v>13704.35</v>
      </c>
      <c r="G58" s="2">
        <v>18810.73</v>
      </c>
      <c r="H58" s="2">
        <v>26557.02</v>
      </c>
      <c r="I58" s="2">
        <v>26056.09</v>
      </c>
      <c r="J58" s="2">
        <v>38548.400000000001</v>
      </c>
      <c r="K58" s="2">
        <v>46573.11</v>
      </c>
    </row>
    <row r="59" spans="1:11" x14ac:dyDescent="0.25">
      <c r="A59" t="s">
        <v>50</v>
      </c>
      <c r="B59" s="2">
        <v>2760</v>
      </c>
      <c r="C59" s="2">
        <v>3445</v>
      </c>
      <c r="D59" s="2">
        <v>4590</v>
      </c>
      <c r="E59" s="2">
        <v>6553.68</v>
      </c>
      <c r="F59" s="2">
        <v>8130.25</v>
      </c>
      <c r="G59" s="2">
        <v>10307.870000000001</v>
      </c>
      <c r="H59" s="2">
        <v>13295.16</v>
      </c>
      <c r="I59" s="2">
        <v>16774.11</v>
      </c>
      <c r="J59" s="2">
        <v>19274.2</v>
      </c>
      <c r="K59" s="2">
        <v>23286.55</v>
      </c>
    </row>
    <row r="60" spans="1:11" x14ac:dyDescent="0.25">
      <c r="A60" t="s">
        <v>26</v>
      </c>
      <c r="B60" s="2">
        <v>1500</v>
      </c>
      <c r="C60" s="2">
        <v>2800</v>
      </c>
      <c r="D60" s="2">
        <v>4200</v>
      </c>
      <c r="E60" s="2">
        <v>6305.48</v>
      </c>
      <c r="F60" s="2">
        <v>7883.3</v>
      </c>
      <c r="G60" s="2">
        <v>9901.7099999999991</v>
      </c>
      <c r="H60" s="2">
        <v>12093.53</v>
      </c>
      <c r="I60" s="2">
        <v>14882.59</v>
      </c>
      <c r="J60" s="2">
        <v>24485.599999999999</v>
      </c>
      <c r="K60" s="2">
        <v>30117.33</v>
      </c>
    </row>
    <row r="61" spans="1:11" x14ac:dyDescent="0.25">
      <c r="A61" t="s">
        <v>17</v>
      </c>
    </row>
    <row r="62" spans="1:11" x14ac:dyDescent="0.25">
      <c r="A62" t="s">
        <v>51</v>
      </c>
    </row>
    <row r="63" spans="1:11" x14ac:dyDescent="0.25">
      <c r="A63" t="s">
        <v>52</v>
      </c>
      <c r="B63">
        <v>29</v>
      </c>
      <c r="E63">
        <v>44.66</v>
      </c>
      <c r="F63">
        <v>49.6</v>
      </c>
      <c r="G63">
        <v>53.05</v>
      </c>
      <c r="H63">
        <v>55.29</v>
      </c>
      <c r="I63">
        <v>59.22</v>
      </c>
      <c r="J63">
        <v>63.13</v>
      </c>
      <c r="K63">
        <v>66.98</v>
      </c>
    </row>
    <row r="64" spans="1:11" x14ac:dyDescent="0.25">
      <c r="A64" t="s">
        <v>53</v>
      </c>
      <c r="B64" s="2">
        <v>5981</v>
      </c>
      <c r="E64" s="2">
        <v>5956</v>
      </c>
      <c r="F64" s="2">
        <v>6073</v>
      </c>
      <c r="G64" s="2">
        <v>5993</v>
      </c>
      <c r="H64" s="2">
        <v>4000</v>
      </c>
      <c r="I64" s="2">
        <v>2963</v>
      </c>
      <c r="J64" s="2">
        <v>3908</v>
      </c>
      <c r="K64" s="2">
        <v>3851</v>
      </c>
    </row>
    <row r="65" spans="1:11" x14ac:dyDescent="0.25">
      <c r="A65" t="s">
        <v>54</v>
      </c>
      <c r="B65">
        <v>26</v>
      </c>
      <c r="E65">
        <v>23</v>
      </c>
      <c r="F65">
        <v>22.15</v>
      </c>
      <c r="G65">
        <v>21.3</v>
      </c>
      <c r="H65">
        <v>17.440000000000001</v>
      </c>
      <c r="I65">
        <v>16.22</v>
      </c>
      <c r="J65">
        <v>18.71</v>
      </c>
      <c r="K65">
        <v>18.13</v>
      </c>
    </row>
    <row r="66" spans="1:11" x14ac:dyDescent="0.25">
      <c r="A66" t="s">
        <v>55</v>
      </c>
      <c r="B66" s="2">
        <v>29000</v>
      </c>
      <c r="D66" s="2">
        <v>1600</v>
      </c>
    </row>
    <row r="67" spans="1:11" x14ac:dyDescent="0.25">
      <c r="A67" t="s">
        <v>45</v>
      </c>
    </row>
    <row r="68" spans="1:11" x14ac:dyDescent="0.25">
      <c r="A68" t="s">
        <v>56</v>
      </c>
      <c r="E68">
        <v>52.71</v>
      </c>
      <c r="F68">
        <v>52.83</v>
      </c>
      <c r="G68">
        <v>51.75</v>
      </c>
      <c r="H68">
        <v>51</v>
      </c>
      <c r="I68">
        <v>51</v>
      </c>
      <c r="J68">
        <v>50</v>
      </c>
      <c r="K68">
        <v>50</v>
      </c>
    </row>
    <row r="69" spans="1:11" x14ac:dyDescent="0.25">
      <c r="A69" t="s">
        <v>57</v>
      </c>
    </row>
    <row r="70" spans="1:11" x14ac:dyDescent="0.25">
      <c r="A70" t="s">
        <v>17</v>
      </c>
    </row>
    <row r="71" spans="1:11" x14ac:dyDescent="0.25">
      <c r="A71" t="s">
        <v>58</v>
      </c>
    </row>
    <row r="72" spans="1:11" x14ac:dyDescent="0.25">
      <c r="A72" t="s">
        <v>59</v>
      </c>
    </row>
    <row r="73" spans="1:11" x14ac:dyDescent="0.25">
      <c r="A73" t="s">
        <v>60</v>
      </c>
      <c r="B73" s="2">
        <v>2870.56</v>
      </c>
      <c r="C73" s="2">
        <v>3761.48</v>
      </c>
      <c r="D73" s="2">
        <v>4564.68</v>
      </c>
      <c r="E73" s="2">
        <v>5728.28</v>
      </c>
      <c r="F73" s="2">
        <v>7065.12</v>
      </c>
      <c r="G73" s="2">
        <v>8635.5499999999993</v>
      </c>
      <c r="H73" s="2">
        <v>10655.34</v>
      </c>
      <c r="I73" s="2">
        <v>13015.66</v>
      </c>
      <c r="J73" s="2">
        <v>16531.86</v>
      </c>
      <c r="K73" s="2">
        <v>20316.900000000001</v>
      </c>
    </row>
    <row r="74" spans="1:11" x14ac:dyDescent="0.25">
      <c r="A74" t="s">
        <v>61</v>
      </c>
      <c r="B74">
        <v>94</v>
      </c>
      <c r="C74">
        <v>95</v>
      </c>
      <c r="D74">
        <v>95</v>
      </c>
      <c r="E74">
        <v>95.28</v>
      </c>
      <c r="F74">
        <v>95.84</v>
      </c>
      <c r="G74">
        <v>96.16</v>
      </c>
      <c r="H74">
        <v>96.33</v>
      </c>
      <c r="I74">
        <v>96.57</v>
      </c>
      <c r="J74">
        <v>96.6</v>
      </c>
      <c r="K74">
        <v>96.76</v>
      </c>
    </row>
    <row r="75" spans="1:11" x14ac:dyDescent="0.25">
      <c r="A75" t="s">
        <v>62</v>
      </c>
      <c r="B75">
        <v>630.75</v>
      </c>
      <c r="C75">
        <v>835.51</v>
      </c>
      <c r="D75" s="2">
        <v>1015.92</v>
      </c>
      <c r="E75" s="2">
        <v>1197.01</v>
      </c>
      <c r="F75" s="2">
        <v>1492.83</v>
      </c>
      <c r="G75" s="2">
        <v>1750.34</v>
      </c>
      <c r="H75" s="2">
        <v>1972.56</v>
      </c>
      <c r="I75" s="2">
        <v>2223.02</v>
      </c>
      <c r="J75" s="2">
        <v>2882.24</v>
      </c>
      <c r="K75" s="2">
        <v>3314.58</v>
      </c>
    </row>
    <row r="76" spans="1:11" x14ac:dyDescent="0.25">
      <c r="A76" t="s">
        <v>63</v>
      </c>
      <c r="B76" s="2">
        <v>2239.81</v>
      </c>
      <c r="C76" s="2">
        <v>2925.97</v>
      </c>
      <c r="D76" s="2">
        <v>3548.77</v>
      </c>
      <c r="E76" s="2">
        <v>4233.1499999999996</v>
      </c>
      <c r="F76" s="2">
        <v>5554.12</v>
      </c>
      <c r="G76" s="2">
        <v>6801.13</v>
      </c>
      <c r="H76" s="2">
        <v>7946.88</v>
      </c>
      <c r="I76" s="2">
        <v>9427.5499999999993</v>
      </c>
      <c r="J76" s="2">
        <v>11117.69</v>
      </c>
      <c r="K76" s="2">
        <v>13047.13</v>
      </c>
    </row>
    <row r="77" spans="1:11" x14ac:dyDescent="0.25">
      <c r="A77" t="s">
        <v>64</v>
      </c>
      <c r="B77">
        <v>78</v>
      </c>
      <c r="C77">
        <v>78</v>
      </c>
      <c r="D77">
        <v>78</v>
      </c>
      <c r="E77">
        <v>76.099999999999994</v>
      </c>
      <c r="F77">
        <v>79.180000000000007</v>
      </c>
      <c r="G77">
        <v>80</v>
      </c>
      <c r="H77">
        <v>81.239999999999995</v>
      </c>
      <c r="I77">
        <v>80.900000000000006</v>
      </c>
      <c r="J77">
        <v>81.14</v>
      </c>
      <c r="K77">
        <v>81.400000000000006</v>
      </c>
    </row>
    <row r="78" spans="1:11" x14ac:dyDescent="0.25">
      <c r="A78" t="s">
        <v>65</v>
      </c>
      <c r="B78" s="2">
        <v>2299.2600000000002</v>
      </c>
      <c r="C78" s="2">
        <v>3021.54</v>
      </c>
      <c r="D78" s="2">
        <v>3675.78</v>
      </c>
      <c r="E78" s="2">
        <v>4623.8900000000003</v>
      </c>
      <c r="F78" s="2">
        <v>5707.07</v>
      </c>
      <c r="G78" s="2">
        <v>7021.38</v>
      </c>
      <c r="H78" s="2">
        <v>8580.15</v>
      </c>
      <c r="I78" s="2">
        <v>10163.66</v>
      </c>
      <c r="J78" s="2">
        <v>11850.59</v>
      </c>
      <c r="K78" s="2">
        <v>13718.21</v>
      </c>
    </row>
    <row r="79" spans="1:11" x14ac:dyDescent="0.25">
      <c r="A79" t="s">
        <v>66</v>
      </c>
      <c r="B79">
        <v>78</v>
      </c>
      <c r="C79">
        <v>80</v>
      </c>
      <c r="D79">
        <v>81</v>
      </c>
      <c r="E79">
        <v>81.02</v>
      </c>
      <c r="F79">
        <v>81.23</v>
      </c>
      <c r="G79">
        <v>82</v>
      </c>
      <c r="H79">
        <v>83.38</v>
      </c>
      <c r="I79">
        <v>83.77</v>
      </c>
      <c r="J79">
        <v>83.4</v>
      </c>
      <c r="K79">
        <v>83.51</v>
      </c>
    </row>
    <row r="80" spans="1:11" x14ac:dyDescent="0.25">
      <c r="A80" t="s">
        <v>67</v>
      </c>
      <c r="B80">
        <v>43.89</v>
      </c>
      <c r="C80">
        <v>73.59</v>
      </c>
      <c r="D80">
        <v>92.24</v>
      </c>
      <c r="E80">
        <v>122.38</v>
      </c>
      <c r="F80">
        <v>144.5</v>
      </c>
      <c r="G80">
        <v>168.45</v>
      </c>
      <c r="H80">
        <v>199.38</v>
      </c>
      <c r="I80">
        <v>199.8</v>
      </c>
      <c r="J80">
        <v>216.96</v>
      </c>
      <c r="K80">
        <v>219.25</v>
      </c>
    </row>
    <row r="81" spans="1:11" x14ac:dyDescent="0.25">
      <c r="A81" t="s">
        <v>17</v>
      </c>
    </row>
    <row r="82" spans="1:11" x14ac:dyDescent="0.25">
      <c r="A82" t="s">
        <v>68</v>
      </c>
    </row>
    <row r="83" spans="1:11" x14ac:dyDescent="0.25">
      <c r="A83" t="s">
        <v>60</v>
      </c>
      <c r="B83">
        <v>185</v>
      </c>
      <c r="C83">
        <v>192.14</v>
      </c>
      <c r="D83">
        <v>247.32</v>
      </c>
      <c r="E83">
        <v>279.47000000000003</v>
      </c>
      <c r="F83">
        <v>307.49</v>
      </c>
      <c r="G83">
        <v>343.43</v>
      </c>
      <c r="H83">
        <v>420.63</v>
      </c>
      <c r="I83">
        <v>479.52</v>
      </c>
      <c r="J83">
        <v>607.70000000000005</v>
      </c>
      <c r="K83">
        <v>711.13</v>
      </c>
    </row>
    <row r="84" spans="1:11" x14ac:dyDescent="0.25">
      <c r="A84" t="s">
        <v>69</v>
      </c>
      <c r="B84">
        <v>6</v>
      </c>
      <c r="C84">
        <v>5</v>
      </c>
      <c r="D84">
        <v>5</v>
      </c>
      <c r="E84">
        <v>4.83</v>
      </c>
      <c r="F84">
        <v>4.25</v>
      </c>
      <c r="G84">
        <v>4.05</v>
      </c>
      <c r="H84">
        <v>3.8</v>
      </c>
      <c r="I84">
        <v>3.53</v>
      </c>
      <c r="J84">
        <v>3.57</v>
      </c>
      <c r="K84">
        <v>3.4</v>
      </c>
    </row>
    <row r="85" spans="1:11" x14ac:dyDescent="0.25">
      <c r="A85" t="s">
        <v>62</v>
      </c>
      <c r="B85">
        <v>124.98</v>
      </c>
      <c r="C85">
        <v>155.97</v>
      </c>
      <c r="D85">
        <v>203.01</v>
      </c>
      <c r="E85">
        <v>226.26</v>
      </c>
      <c r="F85">
        <v>259.60000000000002</v>
      </c>
      <c r="G85">
        <v>281.81</v>
      </c>
      <c r="H85">
        <v>323.58999999999997</v>
      </c>
      <c r="I85">
        <v>337.52</v>
      </c>
      <c r="J85">
        <v>376.21</v>
      </c>
      <c r="K85">
        <v>398.78</v>
      </c>
    </row>
    <row r="86" spans="1:11" x14ac:dyDescent="0.25">
      <c r="A86" t="s">
        <v>63</v>
      </c>
      <c r="B86">
        <v>60.02</v>
      </c>
      <c r="C86">
        <v>36.17</v>
      </c>
      <c r="D86">
        <v>44.31</v>
      </c>
      <c r="E86">
        <v>38.549999999999997</v>
      </c>
      <c r="F86">
        <v>42.87</v>
      </c>
      <c r="G86">
        <v>51.46</v>
      </c>
      <c r="H86">
        <v>59.97</v>
      </c>
      <c r="I86">
        <v>72.48</v>
      </c>
      <c r="J86">
        <v>88.15</v>
      </c>
      <c r="K86">
        <v>105.05</v>
      </c>
    </row>
    <row r="87" spans="1:11" x14ac:dyDescent="0.25">
      <c r="A87" t="s">
        <v>64</v>
      </c>
      <c r="B87">
        <v>32</v>
      </c>
      <c r="C87">
        <v>19</v>
      </c>
      <c r="D87">
        <v>18</v>
      </c>
      <c r="E87">
        <v>14.47</v>
      </c>
      <c r="F87">
        <v>16.3</v>
      </c>
      <c r="G87">
        <v>19.989999999999998</v>
      </c>
      <c r="H87">
        <v>15.56</v>
      </c>
      <c r="I87">
        <v>17.09</v>
      </c>
      <c r="J87">
        <v>18.98</v>
      </c>
      <c r="K87">
        <v>20.85</v>
      </c>
    </row>
    <row r="88" spans="1:11" x14ac:dyDescent="0.25">
      <c r="A88" t="s">
        <v>65</v>
      </c>
      <c r="B88">
        <v>82.32</v>
      </c>
      <c r="C88">
        <v>67.3</v>
      </c>
      <c r="D88">
        <v>86.52</v>
      </c>
      <c r="E88">
        <v>89.1</v>
      </c>
      <c r="F88">
        <v>101.48</v>
      </c>
      <c r="G88">
        <v>114.7</v>
      </c>
      <c r="H88">
        <v>126.16</v>
      </c>
      <c r="I88">
        <v>140.65</v>
      </c>
      <c r="J88">
        <v>160.83000000000001</v>
      </c>
      <c r="K88">
        <v>183.44</v>
      </c>
    </row>
    <row r="89" spans="1:11" x14ac:dyDescent="0.25">
      <c r="A89" t="s">
        <v>66</v>
      </c>
      <c r="B89">
        <v>44</v>
      </c>
      <c r="C89">
        <v>35</v>
      </c>
      <c r="D89">
        <v>35</v>
      </c>
      <c r="E89">
        <v>32.979999999999997</v>
      </c>
      <c r="F89">
        <v>34.6</v>
      </c>
      <c r="G89">
        <v>34.94</v>
      </c>
      <c r="H89">
        <v>35.72</v>
      </c>
      <c r="I89">
        <v>36.26</v>
      </c>
      <c r="J89">
        <v>36.75</v>
      </c>
      <c r="K89">
        <v>37.79</v>
      </c>
    </row>
    <row r="90" spans="1:11" x14ac:dyDescent="0.25">
      <c r="A90" t="s">
        <v>67</v>
      </c>
      <c r="B90">
        <v>22.3</v>
      </c>
      <c r="C90">
        <v>31.13</v>
      </c>
      <c r="D90">
        <v>37.869999999999997</v>
      </c>
      <c r="E90">
        <v>47.95</v>
      </c>
      <c r="F90">
        <v>57.16</v>
      </c>
      <c r="G90">
        <v>66.819999999999993</v>
      </c>
      <c r="H90">
        <v>75.319999999999993</v>
      </c>
      <c r="I90">
        <v>73.09</v>
      </c>
      <c r="J90">
        <v>65.010000000000005</v>
      </c>
      <c r="K90">
        <v>68.02</v>
      </c>
    </row>
    <row r="91" spans="1:11" x14ac:dyDescent="0.25">
      <c r="A91" t="s">
        <v>17</v>
      </c>
    </row>
    <row r="92" spans="1:11" x14ac:dyDescent="0.25">
      <c r="A92" t="s">
        <v>51</v>
      </c>
    </row>
    <row r="93" spans="1:11" x14ac:dyDescent="0.25">
      <c r="A93" t="s">
        <v>70</v>
      </c>
    </row>
    <row r="94" spans="1:11" x14ac:dyDescent="0.25">
      <c r="A94" t="s">
        <v>60</v>
      </c>
    </row>
    <row r="95" spans="1:11" x14ac:dyDescent="0.25">
      <c r="A95" t="s">
        <v>71</v>
      </c>
    </row>
    <row r="96" spans="1:11" x14ac:dyDescent="0.25">
      <c r="A96" t="s">
        <v>60</v>
      </c>
    </row>
    <row r="97" spans="1:11" x14ac:dyDescent="0.25">
      <c r="A97" t="s">
        <v>17</v>
      </c>
    </row>
    <row r="98" spans="1:11" x14ac:dyDescent="0.25">
      <c r="A98" t="s">
        <v>72</v>
      </c>
    </row>
    <row r="99" spans="1:11" x14ac:dyDescent="0.25">
      <c r="A99" t="s">
        <v>16</v>
      </c>
    </row>
    <row r="100" spans="1:11" x14ac:dyDescent="0.25">
      <c r="A100" t="s">
        <v>73</v>
      </c>
      <c r="B100" s="2">
        <v>2088.0500000000002</v>
      </c>
      <c r="C100" s="2">
        <v>2682.94</v>
      </c>
      <c r="D100" s="2">
        <v>3216.65</v>
      </c>
      <c r="E100" s="2">
        <v>2955.82</v>
      </c>
      <c r="F100" s="2">
        <v>4275.3900000000003</v>
      </c>
      <c r="G100" s="2">
        <v>4485.84</v>
      </c>
      <c r="H100" s="2">
        <v>6834.03</v>
      </c>
    </row>
    <row r="101" spans="1:11" x14ac:dyDescent="0.25">
      <c r="A101" t="s">
        <v>61</v>
      </c>
      <c r="B101">
        <v>68</v>
      </c>
      <c r="C101">
        <v>68</v>
      </c>
      <c r="D101">
        <v>67</v>
      </c>
      <c r="E101">
        <v>65.66</v>
      </c>
      <c r="F101">
        <v>65.58</v>
      </c>
      <c r="G101">
        <v>65.87</v>
      </c>
      <c r="H101">
        <v>64.89</v>
      </c>
    </row>
    <row r="102" spans="1:11" x14ac:dyDescent="0.25">
      <c r="A102" t="s">
        <v>74</v>
      </c>
      <c r="B102">
        <v>967.5</v>
      </c>
      <c r="C102" s="2">
        <v>1270.68</v>
      </c>
      <c r="D102" s="2">
        <v>1595.35</v>
      </c>
      <c r="E102" s="2">
        <v>1595.35</v>
      </c>
      <c r="F102" s="2">
        <v>1595.35</v>
      </c>
      <c r="G102" s="2">
        <v>1595.35</v>
      </c>
    </row>
    <row r="103" spans="1:11" x14ac:dyDescent="0.25">
      <c r="A103" t="s">
        <v>61</v>
      </c>
      <c r="B103">
        <v>32</v>
      </c>
      <c r="C103">
        <v>32</v>
      </c>
      <c r="D103">
        <v>33</v>
      </c>
      <c r="E103">
        <v>30.52</v>
      </c>
      <c r="F103">
        <v>30.4</v>
      </c>
      <c r="G103">
        <v>31.08</v>
      </c>
    </row>
    <row r="104" spans="1:11" x14ac:dyDescent="0.25">
      <c r="A104" t="s">
        <v>75</v>
      </c>
      <c r="B104">
        <v>467.93</v>
      </c>
      <c r="C104">
        <v>619.48</v>
      </c>
      <c r="D104">
        <v>782.67</v>
      </c>
      <c r="E104">
        <v>710.23</v>
      </c>
      <c r="F104" s="2">
        <v>1050.3</v>
      </c>
      <c r="G104" s="2">
        <v>1186.33</v>
      </c>
      <c r="H104" s="2">
        <v>1888.1</v>
      </c>
    </row>
    <row r="105" spans="1:11" x14ac:dyDescent="0.25">
      <c r="A105" t="s">
        <v>76</v>
      </c>
      <c r="B105">
        <v>15</v>
      </c>
      <c r="C105">
        <v>16</v>
      </c>
      <c r="D105">
        <v>16</v>
      </c>
      <c r="E105">
        <v>14.93</v>
      </c>
      <c r="F105">
        <v>17.100000000000001</v>
      </c>
      <c r="G105">
        <v>17.100000000000001</v>
      </c>
      <c r="H105">
        <v>17.93</v>
      </c>
    </row>
    <row r="106" spans="1:11" x14ac:dyDescent="0.25">
      <c r="A106" t="s">
        <v>77</v>
      </c>
      <c r="B106">
        <v>315.52</v>
      </c>
      <c r="C106">
        <v>402.45</v>
      </c>
      <c r="D106">
        <v>495.7</v>
      </c>
      <c r="E106">
        <v>436.36</v>
      </c>
      <c r="F106">
        <v>642.41999999999996</v>
      </c>
      <c r="G106">
        <v>723.86</v>
      </c>
      <c r="H106" s="2">
        <v>1130.53</v>
      </c>
    </row>
    <row r="107" spans="1:11" x14ac:dyDescent="0.25">
      <c r="A107" t="s">
        <v>76</v>
      </c>
      <c r="B107">
        <v>10</v>
      </c>
      <c r="C107">
        <v>10</v>
      </c>
      <c r="D107">
        <v>10</v>
      </c>
      <c r="E107">
        <v>9.18</v>
      </c>
      <c r="F107">
        <v>10.52</v>
      </c>
      <c r="G107">
        <v>10.52</v>
      </c>
      <c r="H107">
        <v>10.73</v>
      </c>
    </row>
    <row r="108" spans="1:11" x14ac:dyDescent="0.25">
      <c r="A108" t="s">
        <v>78</v>
      </c>
      <c r="B108">
        <v>184.05</v>
      </c>
      <c r="C108">
        <v>248.75</v>
      </c>
      <c r="D108">
        <v>316.98</v>
      </c>
      <c r="E108">
        <v>268.75</v>
      </c>
      <c r="F108">
        <v>395.5</v>
      </c>
      <c r="G108">
        <v>444.42</v>
      </c>
      <c r="H108">
        <v>679.08</v>
      </c>
    </row>
    <row r="109" spans="1:11" x14ac:dyDescent="0.25">
      <c r="A109" t="s">
        <v>76</v>
      </c>
      <c r="B109">
        <v>7</v>
      </c>
      <c r="C109">
        <v>6</v>
      </c>
      <c r="D109">
        <v>7</v>
      </c>
      <c r="E109">
        <v>5.65</v>
      </c>
      <c r="F109">
        <v>6.52</v>
      </c>
      <c r="G109">
        <v>6.52</v>
      </c>
      <c r="H109">
        <v>6.45</v>
      </c>
    </row>
    <row r="110" spans="1:11" x14ac:dyDescent="0.25">
      <c r="A110" t="s">
        <v>17</v>
      </c>
    </row>
    <row r="111" spans="1:11" x14ac:dyDescent="0.25">
      <c r="A111" t="s">
        <v>79</v>
      </c>
    </row>
    <row r="112" spans="1:11" x14ac:dyDescent="0.25">
      <c r="A112" t="s">
        <v>80</v>
      </c>
      <c r="B112" s="2">
        <v>3055.56</v>
      </c>
      <c r="C112" s="2">
        <v>3953.62</v>
      </c>
      <c r="D112" s="2">
        <v>4812.01</v>
      </c>
      <c r="E112" s="2">
        <v>6007.2</v>
      </c>
      <c r="F112" s="2">
        <v>7371.82</v>
      </c>
      <c r="G112" s="2">
        <v>8988.5</v>
      </c>
      <c r="H112" s="2">
        <v>11076</v>
      </c>
      <c r="I112" s="2">
        <v>13495.17</v>
      </c>
      <c r="J112" s="2">
        <v>17139.5</v>
      </c>
      <c r="K112" s="2">
        <v>20956</v>
      </c>
    </row>
    <row r="113" spans="1:11" x14ac:dyDescent="0.25">
      <c r="A113" t="s">
        <v>81</v>
      </c>
      <c r="B113" s="2">
        <v>2870.56</v>
      </c>
      <c r="C113" s="2">
        <v>3953.62</v>
      </c>
      <c r="D113" s="2">
        <v>4812.01</v>
      </c>
      <c r="E113" s="2">
        <v>5945.7</v>
      </c>
      <c r="F113" s="2">
        <v>7359.11</v>
      </c>
      <c r="G113" s="2">
        <v>9128.09</v>
      </c>
      <c r="H113" s="2">
        <v>11231.6</v>
      </c>
      <c r="I113" s="2">
        <v>13393.86</v>
      </c>
      <c r="J113" s="2">
        <v>15365.7</v>
      </c>
      <c r="K113" s="2">
        <v>17563</v>
      </c>
    </row>
    <row r="114" spans="1:11" x14ac:dyDescent="0.25">
      <c r="A114" t="s">
        <v>17</v>
      </c>
    </row>
    <row r="115" spans="1:11" x14ac:dyDescent="0.25">
      <c r="A115" t="s">
        <v>82</v>
      </c>
      <c r="B115">
        <v>755.72</v>
      </c>
      <c r="C115">
        <v>991.48</v>
      </c>
      <c r="D115" s="2">
        <v>1218.93</v>
      </c>
      <c r="E115" s="2">
        <v>1459.87</v>
      </c>
      <c r="F115" s="2">
        <v>1760.22</v>
      </c>
      <c r="G115" s="2">
        <v>2023.41</v>
      </c>
      <c r="H115" s="2">
        <v>2368.2199999999998</v>
      </c>
      <c r="I115" s="2">
        <v>2802.48</v>
      </c>
      <c r="J115" s="2">
        <v>3929.18</v>
      </c>
      <c r="K115" s="2">
        <v>4920.51</v>
      </c>
    </row>
    <row r="116" spans="1:11" x14ac:dyDescent="0.25">
      <c r="A116" t="s">
        <v>83</v>
      </c>
      <c r="B116">
        <v>24.73</v>
      </c>
      <c r="C116">
        <v>25.08</v>
      </c>
      <c r="D116">
        <v>25.33</v>
      </c>
      <c r="E116">
        <v>24.43</v>
      </c>
      <c r="F116">
        <v>23.32</v>
      </c>
      <c r="G116">
        <v>21.14</v>
      </c>
    </row>
    <row r="117" spans="1:11" x14ac:dyDescent="0.25">
      <c r="A117" t="s">
        <v>17</v>
      </c>
    </row>
    <row r="118" spans="1:11" x14ac:dyDescent="0.25">
      <c r="A118" t="s">
        <v>84</v>
      </c>
      <c r="B118" s="2">
        <v>2299.83</v>
      </c>
      <c r="C118" s="2">
        <v>2962.14</v>
      </c>
      <c r="D118" s="2">
        <v>3593.08</v>
      </c>
      <c r="E118" s="2">
        <v>4455.38</v>
      </c>
      <c r="F118" s="2">
        <v>5649.88</v>
      </c>
      <c r="G118" s="2">
        <v>7031.8</v>
      </c>
      <c r="H118" s="2">
        <v>8916.7199999999993</v>
      </c>
      <c r="I118" s="2">
        <v>10946.07</v>
      </c>
      <c r="J118" s="2">
        <v>14681.5</v>
      </c>
      <c r="K118" s="2">
        <v>18583.46</v>
      </c>
    </row>
    <row r="119" spans="1:11" x14ac:dyDescent="0.25">
      <c r="A119" t="s">
        <v>85</v>
      </c>
      <c r="B119">
        <v>75</v>
      </c>
      <c r="C119">
        <v>75</v>
      </c>
      <c r="D119">
        <v>75</v>
      </c>
      <c r="E119">
        <v>73.75</v>
      </c>
      <c r="F119">
        <v>75.58</v>
      </c>
      <c r="G119">
        <v>76.45</v>
      </c>
      <c r="H119">
        <v>74.94</v>
      </c>
      <c r="I119">
        <v>75.61</v>
      </c>
      <c r="J119">
        <v>73.599999999999994</v>
      </c>
      <c r="K119">
        <v>73.599999999999994</v>
      </c>
    </row>
    <row r="120" spans="1:11" x14ac:dyDescent="0.25">
      <c r="A120" t="s">
        <v>17</v>
      </c>
    </row>
    <row r="121" spans="1:11" x14ac:dyDescent="0.25">
      <c r="A121" t="s">
        <v>86</v>
      </c>
      <c r="B121" s="2">
        <v>3057.55</v>
      </c>
      <c r="C121" s="2">
        <v>4074.05</v>
      </c>
      <c r="D121" s="2">
        <v>5105.3</v>
      </c>
      <c r="E121" s="2">
        <v>5319.31</v>
      </c>
      <c r="F121" s="2">
        <v>7251.36</v>
      </c>
      <c r="G121" s="2">
        <v>8497.35</v>
      </c>
      <c r="H121" s="2">
        <v>9962.2999999999993</v>
      </c>
      <c r="I121" s="2">
        <v>11136.32</v>
      </c>
      <c r="J121" s="2">
        <v>12713.91</v>
      </c>
      <c r="K121" s="2">
        <v>14414.22</v>
      </c>
    </row>
    <row r="122" spans="1:11" x14ac:dyDescent="0.25">
      <c r="A122" t="s">
        <v>87</v>
      </c>
      <c r="B122" s="2">
        <v>2301.83</v>
      </c>
      <c r="C122" s="2">
        <v>3082.57</v>
      </c>
      <c r="D122" s="2">
        <v>3886.37</v>
      </c>
      <c r="E122" s="2">
        <v>4479</v>
      </c>
      <c r="F122" s="2">
        <v>5420</v>
      </c>
      <c r="G122" s="2">
        <v>6496.82</v>
      </c>
      <c r="H122" s="2">
        <v>7792.64</v>
      </c>
      <c r="I122" s="2">
        <v>9214.1</v>
      </c>
      <c r="J122" s="2">
        <v>12396.3</v>
      </c>
      <c r="K122" s="2">
        <v>15505.67</v>
      </c>
    </row>
    <row r="123" spans="1:11" x14ac:dyDescent="0.25">
      <c r="A123" t="s">
        <v>83</v>
      </c>
      <c r="B123">
        <v>75.33</v>
      </c>
      <c r="C123">
        <v>77.97</v>
      </c>
      <c r="D123">
        <v>80.760000000000005</v>
      </c>
      <c r="E123">
        <v>76.09</v>
      </c>
      <c r="F123">
        <v>72.88</v>
      </c>
      <c r="G123">
        <v>71.72</v>
      </c>
    </row>
    <row r="124" spans="1:11" x14ac:dyDescent="0.25">
      <c r="A124" t="s">
        <v>88</v>
      </c>
      <c r="B124">
        <v>392.76</v>
      </c>
      <c r="C124">
        <v>482.32</v>
      </c>
      <c r="D124">
        <v>670.34</v>
      </c>
      <c r="E124">
        <v>698.82</v>
      </c>
      <c r="F124">
        <v>826.09</v>
      </c>
      <c r="G124">
        <v>965.2</v>
      </c>
      <c r="H124" s="2">
        <v>1042.2</v>
      </c>
      <c r="I124" s="2">
        <v>1093.2</v>
      </c>
      <c r="J124" s="2">
        <v>1133.48</v>
      </c>
      <c r="K124" s="2">
        <v>1235.5</v>
      </c>
    </row>
    <row r="125" spans="1:11" x14ac:dyDescent="0.25">
      <c r="A125" t="s">
        <v>89</v>
      </c>
      <c r="B125">
        <v>768.5</v>
      </c>
      <c r="C125" s="2">
        <v>1076.9000000000001</v>
      </c>
      <c r="D125" s="2">
        <v>1384.77</v>
      </c>
      <c r="E125" s="2">
        <v>1698.37</v>
      </c>
      <c r="F125" s="2">
        <v>2057.35</v>
      </c>
      <c r="G125" s="2">
        <v>2447.35</v>
      </c>
      <c r="H125" s="2">
        <v>2874.47</v>
      </c>
      <c r="I125" s="2">
        <v>3282.7</v>
      </c>
      <c r="J125" s="2">
        <v>3984.29</v>
      </c>
      <c r="K125" s="2">
        <v>4542.09</v>
      </c>
    </row>
    <row r="126" spans="1:11" x14ac:dyDescent="0.25">
      <c r="A126" t="s">
        <v>61</v>
      </c>
      <c r="B126">
        <v>25.15</v>
      </c>
      <c r="C126">
        <v>27.24</v>
      </c>
      <c r="D126">
        <v>28.78</v>
      </c>
      <c r="E126">
        <v>27.64</v>
      </c>
      <c r="F126">
        <v>27.77</v>
      </c>
      <c r="G126">
        <v>27.74</v>
      </c>
      <c r="H126">
        <v>28.96</v>
      </c>
      <c r="I126">
        <v>28.96</v>
      </c>
      <c r="J126">
        <v>28.61</v>
      </c>
      <c r="K126">
        <v>28.53</v>
      </c>
    </row>
    <row r="127" spans="1:11" x14ac:dyDescent="0.25">
      <c r="A127" t="s">
        <v>90</v>
      </c>
      <c r="B127" s="2">
        <v>1140.57</v>
      </c>
      <c r="C127" s="2">
        <v>1523.36</v>
      </c>
      <c r="D127" s="2">
        <v>1831.25</v>
      </c>
      <c r="E127" s="2">
        <v>2018.13</v>
      </c>
      <c r="F127" s="2">
        <v>2527.92</v>
      </c>
      <c r="G127" s="2">
        <v>2983.27</v>
      </c>
      <c r="H127" s="2">
        <v>3424.45</v>
      </c>
      <c r="I127" s="2">
        <v>3851.12</v>
      </c>
      <c r="J127" s="2">
        <v>4337.6899999999996</v>
      </c>
      <c r="K127" s="2">
        <v>4923.28</v>
      </c>
    </row>
    <row r="128" spans="1:11" x14ac:dyDescent="0.25">
      <c r="A128" t="s">
        <v>17</v>
      </c>
    </row>
    <row r="129" spans="1:11" x14ac:dyDescent="0.25">
      <c r="A129" t="s">
        <v>91</v>
      </c>
      <c r="B129">
        <v>-2</v>
      </c>
      <c r="C129">
        <v>-120.43</v>
      </c>
      <c r="D129">
        <v>-293.29000000000002</v>
      </c>
      <c r="E129">
        <v>-75.69</v>
      </c>
      <c r="F129">
        <v>473.94</v>
      </c>
      <c r="G129">
        <v>976.95</v>
      </c>
      <c r="H129" s="2">
        <v>2815.32</v>
      </c>
      <c r="I129" s="2">
        <v>4625.93</v>
      </c>
      <c r="J129" s="2">
        <v>8750.76</v>
      </c>
      <c r="K129" s="2">
        <v>11143.87</v>
      </c>
    </row>
    <row r="130" spans="1:11" x14ac:dyDescent="0.25">
      <c r="A130" t="s">
        <v>92</v>
      </c>
      <c r="B130">
        <v>-7.0000000000000007E-2</v>
      </c>
      <c r="C130">
        <v>-3.05</v>
      </c>
      <c r="D130">
        <v>-6.1</v>
      </c>
      <c r="E130">
        <v>-0.77</v>
      </c>
      <c r="F130">
        <v>3.04</v>
      </c>
      <c r="G130">
        <v>6.07</v>
      </c>
      <c r="H130">
        <v>14.48</v>
      </c>
      <c r="I130">
        <v>18.59</v>
      </c>
      <c r="J130">
        <v>18.38</v>
      </c>
      <c r="K130">
        <v>19.88</v>
      </c>
    </row>
    <row r="131" spans="1:11" x14ac:dyDescent="0.25">
      <c r="A131" t="s">
        <v>17</v>
      </c>
    </row>
    <row r="132" spans="1:11" x14ac:dyDescent="0.25">
      <c r="A132" t="s">
        <v>93</v>
      </c>
      <c r="B132">
        <v>126.84</v>
      </c>
      <c r="C132">
        <v>187.95</v>
      </c>
      <c r="D132">
        <v>250.22</v>
      </c>
      <c r="E132">
        <v>320.95999999999998</v>
      </c>
      <c r="F132">
        <v>370.45</v>
      </c>
      <c r="G132">
        <v>447.26</v>
      </c>
      <c r="H132">
        <v>622.41999999999996</v>
      </c>
      <c r="I132">
        <v>761.45</v>
      </c>
      <c r="J132">
        <v>928.15</v>
      </c>
      <c r="K132" s="2">
        <v>1104.94</v>
      </c>
    </row>
    <row r="133" spans="1:11" x14ac:dyDescent="0.25">
      <c r="A133" t="s">
        <v>94</v>
      </c>
      <c r="B133">
        <v>126.84</v>
      </c>
      <c r="C133">
        <v>161.94999999999999</v>
      </c>
      <c r="D133">
        <v>218.99</v>
      </c>
      <c r="E133">
        <v>281.91000000000003</v>
      </c>
      <c r="F133">
        <v>309.05</v>
      </c>
      <c r="G133">
        <v>340.5</v>
      </c>
      <c r="H133">
        <v>484.46</v>
      </c>
    </row>
    <row r="134" spans="1:11" x14ac:dyDescent="0.25">
      <c r="A134" t="s">
        <v>61</v>
      </c>
      <c r="B134">
        <v>4.1500000000000004</v>
      </c>
      <c r="C134">
        <v>4.0999999999999996</v>
      </c>
      <c r="D134">
        <v>4.55</v>
      </c>
      <c r="E134">
        <v>5.49</v>
      </c>
      <c r="F134">
        <v>5.33</v>
      </c>
      <c r="G134">
        <v>5.39</v>
      </c>
      <c r="H134">
        <v>5.78</v>
      </c>
      <c r="I134">
        <v>5.65</v>
      </c>
      <c r="J134">
        <v>5.39</v>
      </c>
      <c r="K134">
        <v>5.12</v>
      </c>
    </row>
    <row r="135" spans="1:11" x14ac:dyDescent="0.25">
      <c r="A135" t="s">
        <v>17</v>
      </c>
    </row>
    <row r="136" spans="1:11" x14ac:dyDescent="0.25">
      <c r="A136" t="s">
        <v>95</v>
      </c>
      <c r="B136">
        <v>-124.81</v>
      </c>
      <c r="C136">
        <v>-174.96</v>
      </c>
      <c r="D136">
        <v>-166.3</v>
      </c>
      <c r="E136">
        <v>-177.7</v>
      </c>
      <c r="F136">
        <v>-178.15</v>
      </c>
      <c r="G136">
        <v>-235.86</v>
      </c>
      <c r="H136">
        <v>-301.74</v>
      </c>
      <c r="I136">
        <v>-314.45</v>
      </c>
      <c r="J136">
        <v>-479.77</v>
      </c>
      <c r="K136">
        <v>-571.79</v>
      </c>
    </row>
    <row r="137" spans="1:11" x14ac:dyDescent="0.25">
      <c r="A137" t="s">
        <v>96</v>
      </c>
      <c r="B137">
        <v>25.76</v>
      </c>
      <c r="C137">
        <v>26.31</v>
      </c>
      <c r="D137">
        <v>28.02</v>
      </c>
      <c r="E137">
        <v>23.65</v>
      </c>
      <c r="F137">
        <v>24.82</v>
      </c>
      <c r="G137">
        <v>22.56</v>
      </c>
      <c r="H137">
        <v>14.74</v>
      </c>
      <c r="I137">
        <v>10.66</v>
      </c>
      <c r="J137">
        <v>13.41</v>
      </c>
      <c r="K137">
        <v>13.54</v>
      </c>
    </row>
    <row r="138" spans="1:11" x14ac:dyDescent="0.25">
      <c r="A138" t="s">
        <v>97</v>
      </c>
      <c r="B138">
        <v>148.93</v>
      </c>
      <c r="C138">
        <v>196.17</v>
      </c>
      <c r="D138">
        <v>194.97</v>
      </c>
      <c r="E138">
        <v>181.05</v>
      </c>
      <c r="F138">
        <v>207.26</v>
      </c>
      <c r="G138">
        <v>280.68</v>
      </c>
      <c r="H138">
        <v>324.91000000000003</v>
      </c>
      <c r="I138">
        <v>220.52</v>
      </c>
    </row>
    <row r="139" spans="1:11" x14ac:dyDescent="0.25">
      <c r="A139" t="s">
        <v>98</v>
      </c>
      <c r="B139">
        <v>-1.64</v>
      </c>
      <c r="C139">
        <v>-5.0999999999999996</v>
      </c>
      <c r="D139">
        <v>0.65</v>
      </c>
    </row>
    <row r="140" spans="1:11" x14ac:dyDescent="0.25">
      <c r="A140" t="s">
        <v>99</v>
      </c>
      <c r="B140">
        <v>-150.57</v>
      </c>
      <c r="C140">
        <v>-201.28</v>
      </c>
      <c r="D140">
        <v>-194.32</v>
      </c>
      <c r="E140">
        <v>-187.3</v>
      </c>
      <c r="F140">
        <v>-192.45</v>
      </c>
      <c r="G140">
        <v>-235.7</v>
      </c>
      <c r="H140">
        <v>-306.01</v>
      </c>
      <c r="I140">
        <v>-377.51</v>
      </c>
      <c r="J140">
        <v>-642.61</v>
      </c>
      <c r="K140">
        <v>-848.39</v>
      </c>
    </row>
    <row r="141" spans="1:11" x14ac:dyDescent="0.25">
      <c r="A141" t="s">
        <v>100</v>
      </c>
      <c r="B141">
        <v>122.82</v>
      </c>
      <c r="C141">
        <v>54.53</v>
      </c>
      <c r="D141">
        <v>-126.99</v>
      </c>
      <c r="E141">
        <v>111.89</v>
      </c>
      <c r="F141">
        <v>388.23</v>
      </c>
      <c r="G141">
        <v>798.58</v>
      </c>
      <c r="H141" s="2">
        <v>1393.62</v>
      </c>
      <c r="I141" s="2">
        <v>2359.0300000000002</v>
      </c>
      <c r="J141" s="2">
        <v>3561.64</v>
      </c>
      <c r="K141" s="2">
        <v>5079.79</v>
      </c>
    </row>
    <row r="142" spans="1:11" x14ac:dyDescent="0.25">
      <c r="A142" t="s">
        <v>83</v>
      </c>
      <c r="B142">
        <v>4.0199999999999996</v>
      </c>
      <c r="C142">
        <v>1.38</v>
      </c>
      <c r="D142">
        <v>-2.64</v>
      </c>
      <c r="E142">
        <v>2.78</v>
      </c>
      <c r="F142">
        <v>6.76</v>
      </c>
    </row>
    <row r="143" spans="1:11" x14ac:dyDescent="0.25">
      <c r="A143" t="s">
        <v>17</v>
      </c>
    </row>
    <row r="144" spans="1:11" x14ac:dyDescent="0.25">
      <c r="A144" t="s">
        <v>101</v>
      </c>
      <c r="B144">
        <v>32.229999999999997</v>
      </c>
      <c r="C144">
        <v>71.13</v>
      </c>
      <c r="D144">
        <v>34.18</v>
      </c>
      <c r="E144">
        <v>12.75</v>
      </c>
      <c r="F144">
        <v>97.87</v>
      </c>
      <c r="G144">
        <v>85.24</v>
      </c>
      <c r="H144">
        <v>252.95</v>
      </c>
      <c r="I144">
        <v>386.66</v>
      </c>
      <c r="J144">
        <v>525.69000000000005</v>
      </c>
      <c r="K144">
        <v>682.77</v>
      </c>
    </row>
    <row r="145" spans="1:11" x14ac:dyDescent="0.25">
      <c r="A145" t="s">
        <v>102</v>
      </c>
      <c r="B145">
        <v>26.24</v>
      </c>
      <c r="C145">
        <v>130.43</v>
      </c>
      <c r="D145">
        <v>21</v>
      </c>
      <c r="E145">
        <v>23.76</v>
      </c>
      <c r="F145">
        <v>24.37</v>
      </c>
      <c r="G145">
        <v>21.5</v>
      </c>
      <c r="H145">
        <v>19.489999999999998</v>
      </c>
      <c r="I145">
        <v>15</v>
      </c>
      <c r="J145">
        <v>17</v>
      </c>
      <c r="K145">
        <v>19</v>
      </c>
    </row>
    <row r="146" spans="1:11" x14ac:dyDescent="0.25">
      <c r="A146" t="s">
        <v>103</v>
      </c>
      <c r="B146">
        <v>-3.39</v>
      </c>
      <c r="C146">
        <v>-9.9</v>
      </c>
      <c r="D146">
        <v>-14.8</v>
      </c>
      <c r="E146">
        <v>-6.01</v>
      </c>
      <c r="F146">
        <v>5.51</v>
      </c>
      <c r="G146">
        <v>1.02</v>
      </c>
      <c r="H146">
        <v>-7.99</v>
      </c>
      <c r="I146">
        <v>-36.64</v>
      </c>
      <c r="J146">
        <v>-42.96</v>
      </c>
      <c r="K146">
        <v>-50.09</v>
      </c>
    </row>
    <row r="147" spans="1:11" x14ac:dyDescent="0.25">
      <c r="A147" t="s">
        <v>17</v>
      </c>
    </row>
    <row r="148" spans="1:11" x14ac:dyDescent="0.25">
      <c r="A148" t="s">
        <v>104</v>
      </c>
      <c r="B148">
        <v>90.59</v>
      </c>
      <c r="C148">
        <v>-16.600000000000001</v>
      </c>
      <c r="D148">
        <v>-161.16999999999999</v>
      </c>
      <c r="E148">
        <v>104.03</v>
      </c>
      <c r="F148">
        <v>282.64999999999998</v>
      </c>
      <c r="G148">
        <v>525.82000000000005</v>
      </c>
      <c r="H148">
        <v>724.62</v>
      </c>
      <c r="I148" s="2">
        <v>1343.05</v>
      </c>
      <c r="J148" s="2">
        <v>1870.52</v>
      </c>
      <c r="K148" s="2">
        <v>2515.27</v>
      </c>
    </row>
    <row r="149" spans="1:11" x14ac:dyDescent="0.25">
      <c r="A149" t="s">
        <v>105</v>
      </c>
      <c r="B149">
        <v>1.26</v>
      </c>
      <c r="C149">
        <v>2.68</v>
      </c>
      <c r="D149">
        <v>1.34</v>
      </c>
      <c r="E149">
        <v>18.37</v>
      </c>
      <c r="F149">
        <v>8.91</v>
      </c>
      <c r="G149">
        <v>18.21</v>
      </c>
    </row>
    <row r="150" spans="1:11" x14ac:dyDescent="0.25">
      <c r="A150" t="s">
        <v>106</v>
      </c>
      <c r="B150">
        <v>89.33</v>
      </c>
      <c r="C150">
        <v>-19.27</v>
      </c>
      <c r="D150">
        <v>-162.5</v>
      </c>
      <c r="E150">
        <v>144.76</v>
      </c>
      <c r="F150">
        <v>315.62</v>
      </c>
      <c r="G150">
        <v>571.04</v>
      </c>
      <c r="H150" s="2">
        <v>1311.29</v>
      </c>
      <c r="I150" s="2">
        <v>1961.33</v>
      </c>
      <c r="J150" s="2">
        <v>2120.67</v>
      </c>
      <c r="K150" s="2">
        <v>2667</v>
      </c>
    </row>
    <row r="151" spans="1:11" x14ac:dyDescent="0.25">
      <c r="A151" t="s">
        <v>107</v>
      </c>
      <c r="B151">
        <v>2.92</v>
      </c>
      <c r="C151">
        <v>-0.49</v>
      </c>
      <c r="D151">
        <v>-3.38</v>
      </c>
      <c r="E151">
        <v>1.08</v>
      </c>
      <c r="F151">
        <v>3.79</v>
      </c>
      <c r="G151">
        <v>10.220000000000001</v>
      </c>
      <c r="H151">
        <v>15.6</v>
      </c>
      <c r="I151">
        <v>18.8</v>
      </c>
      <c r="J151">
        <v>12.37</v>
      </c>
      <c r="K151">
        <v>12.73</v>
      </c>
    </row>
    <row r="152" spans="1:11" x14ac:dyDescent="0.25">
      <c r="A152" t="s">
        <v>17</v>
      </c>
    </row>
    <row r="153" spans="1:11" x14ac:dyDescent="0.25">
      <c r="A153" t="s">
        <v>108</v>
      </c>
      <c r="B153">
        <v>974.54</v>
      </c>
      <c r="C153">
        <v>979</v>
      </c>
      <c r="D153" s="2">
        <v>1002.3</v>
      </c>
      <c r="E153" s="2">
        <v>1032.47</v>
      </c>
      <c r="F153" s="2">
        <v>1047.3499999999999</v>
      </c>
      <c r="G153" s="2">
        <v>1056.33</v>
      </c>
      <c r="H153" s="2">
        <v>1072.18</v>
      </c>
      <c r="I153" s="2">
        <v>1084.03</v>
      </c>
      <c r="J153" s="2">
        <v>1099.54</v>
      </c>
      <c r="K153" s="2">
        <v>1110.58</v>
      </c>
    </row>
    <row r="154" spans="1:11" x14ac:dyDescent="0.25">
      <c r="A154" t="s">
        <v>17</v>
      </c>
    </row>
    <row r="155" spans="1:11" x14ac:dyDescent="0.25">
      <c r="A155" t="s">
        <v>109</v>
      </c>
      <c r="B155">
        <v>974.54</v>
      </c>
      <c r="C155" s="2">
        <v>1005.54</v>
      </c>
      <c r="D155" s="2">
        <v>1025.9000000000001</v>
      </c>
      <c r="E155" s="2">
        <v>1043.93</v>
      </c>
      <c r="F155" s="2">
        <v>1059.31</v>
      </c>
      <c r="G155" s="2">
        <v>1073.47</v>
      </c>
      <c r="H155" s="2">
        <v>1087.54</v>
      </c>
      <c r="I155" s="2">
        <v>1086.0999999999999</v>
      </c>
      <c r="J155" s="2">
        <v>1107.08</v>
      </c>
      <c r="K155" s="2">
        <v>1115.23</v>
      </c>
    </row>
    <row r="156" spans="1:11" x14ac:dyDescent="0.25">
      <c r="A156" t="s">
        <v>110</v>
      </c>
      <c r="B156">
        <v>0.09</v>
      </c>
      <c r="C156">
        <v>-0.02</v>
      </c>
      <c r="D156">
        <v>-0.16</v>
      </c>
      <c r="E156">
        <v>0.1</v>
      </c>
      <c r="F156">
        <v>0.25</v>
      </c>
      <c r="G156">
        <v>0.55000000000000004</v>
      </c>
      <c r="H156">
        <v>1.01</v>
      </c>
      <c r="I156">
        <v>1.58</v>
      </c>
      <c r="J156">
        <v>1.9</v>
      </c>
      <c r="K156">
        <v>2.36</v>
      </c>
    </row>
    <row r="157" spans="1:11" x14ac:dyDescent="0.25">
      <c r="A157" t="s">
        <v>17</v>
      </c>
    </row>
    <row r="158" spans="1:11" x14ac:dyDescent="0.25">
      <c r="A158" t="s">
        <v>111</v>
      </c>
    </row>
    <row r="159" spans="1:11" x14ac:dyDescent="0.25">
      <c r="A159" t="s">
        <v>62</v>
      </c>
      <c r="B159">
        <v>673.98</v>
      </c>
      <c r="C159">
        <v>864.79</v>
      </c>
      <c r="D159" s="2">
        <v>1049.71</v>
      </c>
      <c r="E159" s="2">
        <v>1273.56</v>
      </c>
      <c r="F159" s="2">
        <v>1528.15</v>
      </c>
      <c r="G159" s="2">
        <v>1778.07</v>
      </c>
      <c r="H159" s="2">
        <v>2049.31</v>
      </c>
      <c r="I159" s="2">
        <v>2462</v>
      </c>
      <c r="J159" s="2">
        <v>3583.49</v>
      </c>
      <c r="K159" s="2">
        <v>4561.3900000000003</v>
      </c>
    </row>
    <row r="160" spans="1:11" x14ac:dyDescent="0.25">
      <c r="A160" t="s">
        <v>63</v>
      </c>
      <c r="B160" s="2">
        <v>2381.58</v>
      </c>
      <c r="C160" s="2">
        <v>3088.84</v>
      </c>
      <c r="D160" s="2">
        <v>3762.3</v>
      </c>
      <c r="E160" s="2">
        <v>4725.1400000000003</v>
      </c>
      <c r="F160" s="2">
        <v>5833.96</v>
      </c>
      <c r="G160" s="2">
        <v>7192.46</v>
      </c>
      <c r="H160" s="2">
        <v>9040.65</v>
      </c>
      <c r="I160" s="2">
        <v>11087.68</v>
      </c>
      <c r="J160" s="2">
        <v>14050.55</v>
      </c>
      <c r="K160" s="2">
        <v>17300.28</v>
      </c>
    </row>
    <row r="161" spans="1:11" x14ac:dyDescent="0.25">
      <c r="A161" t="s">
        <v>64</v>
      </c>
      <c r="B161">
        <v>78</v>
      </c>
      <c r="C161">
        <v>78</v>
      </c>
      <c r="D161">
        <v>78</v>
      </c>
      <c r="E161">
        <v>78.69</v>
      </c>
      <c r="F161">
        <v>79.13</v>
      </c>
      <c r="G161">
        <v>79.94</v>
      </c>
      <c r="H161">
        <v>81.489999999999995</v>
      </c>
      <c r="I161">
        <v>81.59</v>
      </c>
      <c r="J161">
        <v>81.040000000000006</v>
      </c>
      <c r="K161">
        <v>81.260000000000005</v>
      </c>
    </row>
    <row r="162" spans="1:11" x14ac:dyDescent="0.25">
      <c r="A162" t="s">
        <v>112</v>
      </c>
      <c r="B162" s="2">
        <v>1721.29</v>
      </c>
      <c r="C162" s="2">
        <v>2251.14</v>
      </c>
      <c r="D162">
        <v>281.67</v>
      </c>
      <c r="E162" s="2">
        <v>3224.6</v>
      </c>
      <c r="F162" s="2">
        <v>3867.21</v>
      </c>
      <c r="G162" s="2">
        <v>4626.57</v>
      </c>
      <c r="H162" s="2">
        <v>5883.04</v>
      </c>
      <c r="I162" s="2">
        <v>7312.21</v>
      </c>
      <c r="J162" s="2">
        <v>10432.39</v>
      </c>
      <c r="K162" s="2">
        <v>13398.72</v>
      </c>
    </row>
    <row r="163" spans="1:11" x14ac:dyDescent="0.25">
      <c r="A163" t="s">
        <v>113</v>
      </c>
      <c r="B163">
        <v>962.58</v>
      </c>
      <c r="C163" s="2">
        <v>1263.48</v>
      </c>
      <c r="D163" s="2">
        <v>1520</v>
      </c>
      <c r="E163" s="2">
        <v>1727.47</v>
      </c>
      <c r="F163" s="2">
        <v>2103.1799999999998</v>
      </c>
      <c r="G163" s="2">
        <v>2510.12</v>
      </c>
      <c r="H163" s="2">
        <v>3138.27</v>
      </c>
      <c r="I163" s="2">
        <v>3790.85</v>
      </c>
      <c r="J163" s="2">
        <v>4732.1000000000004</v>
      </c>
      <c r="K163" s="2">
        <v>5758.12</v>
      </c>
    </row>
    <row r="164" spans="1:11" x14ac:dyDescent="0.25">
      <c r="A164" t="s">
        <v>114</v>
      </c>
      <c r="B164">
        <v>561.32000000000005</v>
      </c>
      <c r="C164">
        <v>731.77</v>
      </c>
      <c r="D164">
        <v>914.16</v>
      </c>
      <c r="E164" s="2">
        <v>1155.22</v>
      </c>
      <c r="F164" s="2">
        <v>1356.33</v>
      </c>
      <c r="G164" s="2">
        <v>1625.9</v>
      </c>
      <c r="H164" s="2">
        <v>1973.49</v>
      </c>
      <c r="I164" s="2">
        <v>2389.12</v>
      </c>
      <c r="J164" s="2">
        <v>3020.3</v>
      </c>
      <c r="K164" s="2">
        <v>3697.67</v>
      </c>
    </row>
    <row r="165" spans="1:11" x14ac:dyDescent="0.25">
      <c r="A165" t="s">
        <v>76</v>
      </c>
      <c r="B165">
        <v>18.37</v>
      </c>
      <c r="C165">
        <v>18.510000000000002</v>
      </c>
      <c r="D165">
        <v>19</v>
      </c>
      <c r="E165">
        <v>19.2</v>
      </c>
      <c r="F165">
        <v>18.38</v>
      </c>
      <c r="G165">
        <v>18.059999999999999</v>
      </c>
      <c r="H165">
        <v>17.829999999999998</v>
      </c>
      <c r="I165">
        <v>17.690000000000001</v>
      </c>
      <c r="J165">
        <v>17.57</v>
      </c>
      <c r="K165">
        <v>17.48</v>
      </c>
    </row>
    <row r="166" spans="1:11" x14ac:dyDescent="0.25">
      <c r="A166" t="s">
        <v>115</v>
      </c>
      <c r="B166">
        <v>197.38</v>
      </c>
      <c r="C166">
        <v>255.9</v>
      </c>
      <c r="D166">
        <v>281.67</v>
      </c>
      <c r="E166">
        <v>343.34</v>
      </c>
      <c r="F166">
        <v>407.75</v>
      </c>
      <c r="G166">
        <v>475.07</v>
      </c>
      <c r="H166">
        <v>591.11</v>
      </c>
      <c r="I166">
        <v>707.98</v>
      </c>
      <c r="J166">
        <v>897.35</v>
      </c>
      <c r="K166" s="2">
        <v>1090.5999999999999</v>
      </c>
    </row>
    <row r="167" spans="1:11" x14ac:dyDescent="0.25">
      <c r="A167" t="s">
        <v>116</v>
      </c>
      <c r="B167">
        <v>660.3</v>
      </c>
      <c r="C167">
        <v>837.7</v>
      </c>
      <c r="D167" s="2">
        <v>1046.47</v>
      </c>
      <c r="E167" s="2">
        <v>1504.05</v>
      </c>
      <c r="F167" s="2">
        <v>1934.77</v>
      </c>
      <c r="G167" s="2">
        <v>2514.19</v>
      </c>
      <c r="H167" s="2">
        <v>3337.71</v>
      </c>
      <c r="I167" s="2">
        <v>4019.43</v>
      </c>
      <c r="J167" s="2">
        <v>5047</v>
      </c>
      <c r="K167" s="2">
        <v>6300.6</v>
      </c>
    </row>
    <row r="168" spans="1:11" x14ac:dyDescent="0.25">
      <c r="A168" t="s">
        <v>61</v>
      </c>
      <c r="B168">
        <v>21.61</v>
      </c>
      <c r="C168">
        <v>21.19</v>
      </c>
      <c r="D168">
        <v>21.75</v>
      </c>
      <c r="E168">
        <v>25.07</v>
      </c>
      <c r="F168">
        <v>26.72</v>
      </c>
      <c r="G168">
        <v>28.73</v>
      </c>
      <c r="H168">
        <v>30.17</v>
      </c>
      <c r="I168">
        <v>31.2</v>
      </c>
      <c r="J168">
        <v>31.68</v>
      </c>
      <c r="K168">
        <v>32.409999999999997</v>
      </c>
    </row>
    <row r="169" spans="1:11" x14ac:dyDescent="0.25">
      <c r="A169" t="s">
        <v>117</v>
      </c>
      <c r="B169">
        <v>787.13</v>
      </c>
      <c r="C169" s="2">
        <v>1025.6500000000001</v>
      </c>
      <c r="D169" s="2">
        <v>1296.69</v>
      </c>
      <c r="E169" s="2">
        <v>1829.52</v>
      </c>
      <c r="F169" s="2">
        <v>2330.71</v>
      </c>
      <c r="G169" s="2">
        <v>2975.5</v>
      </c>
      <c r="H169" s="2">
        <v>3660.2</v>
      </c>
      <c r="I169" s="2">
        <v>4410</v>
      </c>
      <c r="J169" s="2">
        <v>5273.5</v>
      </c>
      <c r="K169" s="2">
        <v>6127.5</v>
      </c>
    </row>
    <row r="170" spans="1:11" x14ac:dyDescent="0.25">
      <c r="A170" t="s">
        <v>118</v>
      </c>
      <c r="B170">
        <v>-1.64</v>
      </c>
      <c r="C170">
        <v>-5.0999999999999996</v>
      </c>
      <c r="D170">
        <v>0.65</v>
      </c>
      <c r="E170">
        <v>-34.31</v>
      </c>
      <c r="F170">
        <v>4.5</v>
      </c>
      <c r="G170">
        <v>-21.62</v>
      </c>
      <c r="H170">
        <v>324.91000000000003</v>
      </c>
      <c r="I170">
        <v>220.52</v>
      </c>
    </row>
    <row r="171" spans="1:11" x14ac:dyDescent="0.25">
      <c r="A171" t="s">
        <v>119</v>
      </c>
      <c r="B171">
        <v>758.89</v>
      </c>
      <c r="C171" s="2">
        <v>1058.77</v>
      </c>
      <c r="D171" s="2">
        <v>1210.8699999999999</v>
      </c>
      <c r="E171" s="2">
        <v>1672.07</v>
      </c>
      <c r="F171" s="2">
        <v>2108.02</v>
      </c>
      <c r="G171" s="2">
        <v>2820.04</v>
      </c>
      <c r="H171" s="2">
        <v>3667.83</v>
      </c>
      <c r="I171" s="2">
        <v>4352.33</v>
      </c>
      <c r="J171" s="2">
        <v>5595.5</v>
      </c>
      <c r="K171" s="2">
        <v>7017.5</v>
      </c>
    </row>
    <row r="172" spans="1:11" x14ac:dyDescent="0.25">
      <c r="A172" t="s">
        <v>120</v>
      </c>
      <c r="B172">
        <v>32.229999999999997</v>
      </c>
      <c r="C172">
        <v>71.13</v>
      </c>
      <c r="D172">
        <v>34.18</v>
      </c>
      <c r="E172">
        <v>12.75</v>
      </c>
      <c r="F172">
        <v>97.87</v>
      </c>
      <c r="G172">
        <v>85.24</v>
      </c>
      <c r="H172">
        <v>252.95</v>
      </c>
      <c r="I172">
        <v>386.66</v>
      </c>
      <c r="J172">
        <v>525.69000000000005</v>
      </c>
      <c r="K172">
        <v>682.77</v>
      </c>
    </row>
    <row r="173" spans="1:11" x14ac:dyDescent="0.25">
      <c r="A173" t="s">
        <v>121</v>
      </c>
      <c r="B173">
        <v>751.75</v>
      </c>
      <c r="C173">
        <v>987.64</v>
      </c>
      <c r="D173">
        <v>956.59</v>
      </c>
      <c r="E173" s="2">
        <v>1311.23</v>
      </c>
      <c r="F173" s="2">
        <v>1704.34</v>
      </c>
      <c r="G173" s="2">
        <v>2232.9299999999998</v>
      </c>
      <c r="H173" s="2">
        <v>2934.17</v>
      </c>
      <c r="I173" s="2">
        <v>3561.5</v>
      </c>
      <c r="J173" s="2">
        <v>4377</v>
      </c>
      <c r="K173" s="2">
        <v>5532.25</v>
      </c>
    </row>
    <row r="174" spans="1:11" x14ac:dyDescent="0.25">
      <c r="A174" t="s">
        <v>122</v>
      </c>
      <c r="B174">
        <v>24.6</v>
      </c>
      <c r="C174">
        <v>24.98</v>
      </c>
      <c r="D174">
        <v>19.88</v>
      </c>
      <c r="E174">
        <v>21.9</v>
      </c>
      <c r="F174">
        <v>23.2</v>
      </c>
      <c r="G174">
        <v>25.22</v>
      </c>
      <c r="H174">
        <v>26.22</v>
      </c>
      <c r="I174">
        <v>26.92</v>
      </c>
      <c r="J174">
        <v>26.34</v>
      </c>
      <c r="K174">
        <v>26.91</v>
      </c>
    </row>
    <row r="175" spans="1:11" x14ac:dyDescent="0.25">
      <c r="A175" t="s">
        <v>123</v>
      </c>
      <c r="B175">
        <v>954.55</v>
      </c>
      <c r="C175">
        <v>979</v>
      </c>
      <c r="D175" s="2">
        <v>1002.3</v>
      </c>
      <c r="E175" s="2">
        <v>1024.69</v>
      </c>
      <c r="F175" s="2">
        <v>1040.0999999999999</v>
      </c>
      <c r="G175" s="2">
        <v>1053.27</v>
      </c>
      <c r="H175" s="2">
        <v>1099.7</v>
      </c>
      <c r="I175" s="2">
        <v>1100.98</v>
      </c>
      <c r="J175" s="2">
        <v>1166.33</v>
      </c>
      <c r="K175" s="2">
        <v>1193.6099999999999</v>
      </c>
    </row>
    <row r="176" spans="1:11" x14ac:dyDescent="0.25">
      <c r="A176" t="s">
        <v>124</v>
      </c>
      <c r="B176">
        <v>0.77</v>
      </c>
      <c r="C176">
        <v>0.98</v>
      </c>
      <c r="D176">
        <v>0.93</v>
      </c>
      <c r="E176">
        <v>1.25</v>
      </c>
      <c r="F176">
        <v>1.61</v>
      </c>
      <c r="G176">
        <v>2.08</v>
      </c>
      <c r="H176">
        <v>2.7</v>
      </c>
      <c r="I176">
        <v>3.38</v>
      </c>
      <c r="J176">
        <v>4.26</v>
      </c>
      <c r="K176">
        <v>5.33</v>
      </c>
    </row>
    <row r="177" spans="1:11" x14ac:dyDescent="0.25">
      <c r="A177" t="s">
        <v>17</v>
      </c>
    </row>
    <row r="178" spans="1:11" x14ac:dyDescent="0.25">
      <c r="A178" t="s">
        <v>125</v>
      </c>
    </row>
    <row r="179" spans="1:11" x14ac:dyDescent="0.25">
      <c r="A179" t="s">
        <v>67</v>
      </c>
      <c r="B179">
        <v>631.52</v>
      </c>
      <c r="C179">
        <v>865.42</v>
      </c>
      <c r="D179" s="2">
        <v>1096.68</v>
      </c>
      <c r="E179" s="2">
        <v>1411.52</v>
      </c>
      <c r="F179" s="2">
        <v>1720.92</v>
      </c>
      <c r="G179" s="2">
        <v>1995.2</v>
      </c>
      <c r="H179" s="2">
        <v>2260.4499999999998</v>
      </c>
      <c r="I179" s="2">
        <v>2318.77</v>
      </c>
      <c r="J179" s="2">
        <v>2827.69</v>
      </c>
      <c r="K179" s="2">
        <v>3137.55</v>
      </c>
    </row>
    <row r="180" spans="1:11" x14ac:dyDescent="0.25">
      <c r="A180" t="s">
        <v>61</v>
      </c>
      <c r="B180">
        <v>20.67</v>
      </c>
      <c r="C180">
        <v>21.89</v>
      </c>
      <c r="D180">
        <v>22.79</v>
      </c>
      <c r="E180">
        <v>24.39</v>
      </c>
      <c r="F180">
        <v>22.49</v>
      </c>
      <c r="G180">
        <v>21.5</v>
      </c>
      <c r="H180">
        <v>19.690000000000001</v>
      </c>
      <c r="I180">
        <v>16.25</v>
      </c>
      <c r="J180">
        <v>15.18</v>
      </c>
      <c r="K180">
        <v>14.2</v>
      </c>
    </row>
    <row r="181" spans="1:11" x14ac:dyDescent="0.25">
      <c r="A181" t="s">
        <v>126</v>
      </c>
      <c r="B181">
        <v>66.19</v>
      </c>
      <c r="C181">
        <v>104.72</v>
      </c>
      <c r="D181">
        <v>136.19999999999999</v>
      </c>
      <c r="E181">
        <v>166.18</v>
      </c>
      <c r="F181">
        <v>207.04</v>
      </c>
      <c r="G181">
        <v>234.19</v>
      </c>
      <c r="H181">
        <v>241.74</v>
      </c>
      <c r="I181">
        <v>253.6</v>
      </c>
      <c r="J181">
        <v>275.83</v>
      </c>
      <c r="K181">
        <v>282.52</v>
      </c>
    </row>
    <row r="182" spans="1:11" x14ac:dyDescent="0.25">
      <c r="A182" t="s">
        <v>114</v>
      </c>
      <c r="B182">
        <v>205.9</v>
      </c>
      <c r="C182">
        <v>337.62</v>
      </c>
      <c r="D182">
        <v>439.09</v>
      </c>
      <c r="E182">
        <v>593.37</v>
      </c>
      <c r="F182">
        <v>697.25</v>
      </c>
      <c r="G182">
        <v>820.92</v>
      </c>
      <c r="H182">
        <v>929.12</v>
      </c>
      <c r="I182">
        <v>947.08</v>
      </c>
      <c r="J182" s="2">
        <v>1215</v>
      </c>
      <c r="K182" s="2">
        <v>1366.11</v>
      </c>
    </row>
    <row r="183" spans="1:11" x14ac:dyDescent="0.25">
      <c r="A183" t="s">
        <v>113</v>
      </c>
      <c r="B183">
        <v>175.81</v>
      </c>
      <c r="C183">
        <v>235.5</v>
      </c>
      <c r="D183">
        <v>287.02</v>
      </c>
      <c r="E183">
        <v>356.18</v>
      </c>
      <c r="F183">
        <v>427.99</v>
      </c>
      <c r="G183">
        <v>503.52</v>
      </c>
      <c r="H183">
        <v>549.02</v>
      </c>
      <c r="I183">
        <v>555.25</v>
      </c>
      <c r="J183">
        <v>665.36</v>
      </c>
      <c r="K183">
        <v>742.08</v>
      </c>
    </row>
    <row r="184" spans="1:11" x14ac:dyDescent="0.25">
      <c r="A184" t="s">
        <v>115</v>
      </c>
      <c r="B184">
        <v>183.63</v>
      </c>
      <c r="C184">
        <v>187.58</v>
      </c>
      <c r="D184">
        <v>241.45</v>
      </c>
      <c r="E184">
        <v>351.75</v>
      </c>
      <c r="F184">
        <v>414.77</v>
      </c>
      <c r="G184">
        <v>494.69</v>
      </c>
      <c r="H184">
        <v>549.46</v>
      </c>
      <c r="I184">
        <v>555.85</v>
      </c>
      <c r="J184">
        <v>665.36</v>
      </c>
      <c r="K184">
        <v>742.08</v>
      </c>
    </row>
    <row r="185" spans="1:11" x14ac:dyDescent="0.25">
      <c r="A185" t="s">
        <v>127</v>
      </c>
      <c r="B185">
        <v>18.420000000000002</v>
      </c>
      <c r="C185">
        <v>26</v>
      </c>
      <c r="D185">
        <v>31.23</v>
      </c>
      <c r="E185">
        <v>44.59</v>
      </c>
      <c r="F185">
        <v>45.85</v>
      </c>
      <c r="G185">
        <v>43.05</v>
      </c>
      <c r="H185">
        <v>57</v>
      </c>
      <c r="I185">
        <v>64.98</v>
      </c>
      <c r="J185">
        <v>90.85</v>
      </c>
      <c r="K185">
        <v>106.86</v>
      </c>
    </row>
    <row r="186" spans="1:11" x14ac:dyDescent="0.25">
      <c r="A186" t="s">
        <v>128</v>
      </c>
      <c r="B186">
        <v>15.56</v>
      </c>
      <c r="C186">
        <v>21.98</v>
      </c>
      <c r="D186">
        <v>26.31</v>
      </c>
      <c r="E186">
        <v>41.67</v>
      </c>
      <c r="F186">
        <v>41.46</v>
      </c>
      <c r="G186">
        <v>38.020000000000003</v>
      </c>
      <c r="H186">
        <v>50.93</v>
      </c>
      <c r="I186">
        <v>57.33</v>
      </c>
      <c r="J186">
        <v>71.77</v>
      </c>
      <c r="K186">
        <v>83.23</v>
      </c>
    </row>
    <row r="187" spans="1:11" x14ac:dyDescent="0.25">
      <c r="A187" t="s">
        <v>114</v>
      </c>
      <c r="B187">
        <v>0.47</v>
      </c>
      <c r="C187">
        <v>0</v>
      </c>
      <c r="D187">
        <v>0</v>
      </c>
      <c r="E187">
        <v>1.25</v>
      </c>
      <c r="F187">
        <v>2.56</v>
      </c>
      <c r="G187">
        <v>2.56</v>
      </c>
    </row>
    <row r="188" spans="1:11" x14ac:dyDescent="0.25">
      <c r="A188" t="s">
        <v>129</v>
      </c>
      <c r="B188">
        <v>2.09</v>
      </c>
      <c r="C188">
        <v>2.65</v>
      </c>
      <c r="D188">
        <v>3.59</v>
      </c>
      <c r="E188">
        <v>3.33</v>
      </c>
      <c r="F188">
        <v>3.94</v>
      </c>
      <c r="G188">
        <v>4.16</v>
      </c>
      <c r="H188">
        <v>6.68</v>
      </c>
      <c r="I188">
        <v>8.77</v>
      </c>
      <c r="J188">
        <v>12.67</v>
      </c>
      <c r="K188">
        <v>14.69</v>
      </c>
    </row>
    <row r="189" spans="1:11" x14ac:dyDescent="0.25">
      <c r="A189" t="s">
        <v>115</v>
      </c>
      <c r="B189">
        <v>0.3</v>
      </c>
      <c r="C189">
        <v>1.37</v>
      </c>
      <c r="D189">
        <v>1.34</v>
      </c>
      <c r="E189">
        <v>1.28</v>
      </c>
      <c r="F189">
        <v>1.54</v>
      </c>
      <c r="G189">
        <v>1.39</v>
      </c>
      <c r="H189">
        <v>1.57</v>
      </c>
      <c r="I189">
        <v>1.57</v>
      </c>
    </row>
    <row r="190" spans="1:11" x14ac:dyDescent="0.25">
      <c r="A190" t="s">
        <v>130</v>
      </c>
      <c r="B190">
        <v>-0.62</v>
      </c>
      <c r="C190">
        <v>49.88</v>
      </c>
      <c r="D190">
        <v>-220.11</v>
      </c>
      <c r="E190">
        <v>-242.99</v>
      </c>
      <c r="F190">
        <v>-288.91000000000003</v>
      </c>
      <c r="G190">
        <v>-376.1</v>
      </c>
    </row>
    <row r="191" spans="1:11" x14ac:dyDescent="0.25">
      <c r="A191" t="s">
        <v>131</v>
      </c>
    </row>
    <row r="192" spans="1:11" x14ac:dyDescent="0.25">
      <c r="A192" t="s">
        <v>132</v>
      </c>
      <c r="B192">
        <v>4.38</v>
      </c>
      <c r="C192">
        <v>6.03</v>
      </c>
      <c r="D192">
        <v>14.04</v>
      </c>
      <c r="E192">
        <v>17.43</v>
      </c>
      <c r="F192">
        <v>24.65</v>
      </c>
      <c r="G192">
        <v>23.74</v>
      </c>
    </row>
    <row r="193" spans="1:11" x14ac:dyDescent="0.25">
      <c r="A193" t="s">
        <v>133</v>
      </c>
      <c r="B193">
        <v>3.63</v>
      </c>
      <c r="C193">
        <v>59.19</v>
      </c>
      <c r="D193">
        <v>128.03</v>
      </c>
      <c r="E193">
        <v>19.55</v>
      </c>
    </row>
    <row r="194" spans="1:11" x14ac:dyDescent="0.25">
      <c r="A194" t="s">
        <v>17</v>
      </c>
    </row>
    <row r="195" spans="1:11" x14ac:dyDescent="0.25">
      <c r="A195" t="s">
        <v>134</v>
      </c>
    </row>
    <row r="196" spans="1:11" x14ac:dyDescent="0.25">
      <c r="A196" t="s">
        <v>135</v>
      </c>
    </row>
    <row r="197" spans="1:11" x14ac:dyDescent="0.25">
      <c r="A197" t="s">
        <v>136</v>
      </c>
      <c r="B197" s="2">
        <v>4757.3100000000004</v>
      </c>
      <c r="C197" s="2">
        <v>6113.35</v>
      </c>
      <c r="D197" s="2">
        <v>7419.12</v>
      </c>
      <c r="E197" s="2">
        <v>8795</v>
      </c>
      <c r="F197" s="2">
        <v>11612.63</v>
      </c>
      <c r="G197" s="2">
        <v>14687</v>
      </c>
      <c r="H197" s="2">
        <v>20058.259999999998</v>
      </c>
      <c r="I197" s="2">
        <v>25804.42</v>
      </c>
      <c r="J197" s="2">
        <v>32043.7</v>
      </c>
      <c r="K197" s="2">
        <v>39221.07</v>
      </c>
    </row>
    <row r="198" spans="1:11" x14ac:dyDescent="0.25">
      <c r="A198" t="s">
        <v>137</v>
      </c>
      <c r="B198" s="2">
        <v>3474.66</v>
      </c>
      <c r="C198" s="2">
        <v>4323.3</v>
      </c>
      <c r="D198" s="2">
        <v>5230.13</v>
      </c>
      <c r="E198" s="2">
        <v>6111.88</v>
      </c>
      <c r="F198" s="2">
        <v>8376.77</v>
      </c>
      <c r="G198" s="2">
        <v>11093.52</v>
      </c>
      <c r="H198" s="2">
        <v>14270.09</v>
      </c>
      <c r="I198" s="2">
        <v>18409.75</v>
      </c>
      <c r="J198" s="2">
        <v>24933.8</v>
      </c>
      <c r="K198" s="2">
        <v>31645.96</v>
      </c>
    </row>
    <row r="199" spans="1:11" x14ac:dyDescent="0.25">
      <c r="A199" t="s">
        <v>138</v>
      </c>
      <c r="B199" s="2">
        <v>3530.9</v>
      </c>
      <c r="C199" s="2">
        <v>4395.84</v>
      </c>
      <c r="D199" s="2">
        <v>5306.96</v>
      </c>
      <c r="E199" s="2">
        <v>7041.96</v>
      </c>
      <c r="F199" s="2">
        <v>9457.35</v>
      </c>
      <c r="G199" s="2">
        <v>11371.27</v>
      </c>
      <c r="H199" s="2">
        <v>15474.66</v>
      </c>
      <c r="I199" s="2">
        <v>20149.68</v>
      </c>
      <c r="J199" s="2">
        <v>25702.33</v>
      </c>
      <c r="K199" s="2">
        <v>31950.02</v>
      </c>
    </row>
    <row r="200" spans="1:11" x14ac:dyDescent="0.25">
      <c r="A200" t="s">
        <v>139</v>
      </c>
      <c r="B200" s="2">
        <v>3375.07</v>
      </c>
      <c r="C200" s="2">
        <v>4323.3</v>
      </c>
      <c r="D200" s="2">
        <v>5230.13</v>
      </c>
      <c r="E200" s="2">
        <v>6100.3</v>
      </c>
      <c r="F200" s="2">
        <v>8382.23</v>
      </c>
      <c r="G200" s="2">
        <v>11289.11</v>
      </c>
      <c r="H200" s="2">
        <v>15352.51</v>
      </c>
      <c r="I200" s="2">
        <v>19987.53</v>
      </c>
      <c r="J200" s="2">
        <v>25467.33</v>
      </c>
      <c r="K200" s="2">
        <v>31666.2</v>
      </c>
    </row>
    <row r="201" spans="1:11" x14ac:dyDescent="0.25">
      <c r="A201" t="s">
        <v>140</v>
      </c>
      <c r="B201">
        <v>99.59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11" x14ac:dyDescent="0.25">
      <c r="A202" t="s">
        <v>141</v>
      </c>
      <c r="B202">
        <v>853.11</v>
      </c>
      <c r="C202" s="2">
        <v>1128.56</v>
      </c>
      <c r="D202" s="2">
        <v>1361.84</v>
      </c>
      <c r="E202" s="2">
        <v>1619.59</v>
      </c>
      <c r="F202" s="2">
        <v>1901.74</v>
      </c>
      <c r="G202" s="2">
        <v>2360.9499999999998</v>
      </c>
      <c r="H202" s="2">
        <v>2868.65</v>
      </c>
      <c r="I202" s="2">
        <v>3525.67</v>
      </c>
      <c r="J202" s="2">
        <v>3659.05</v>
      </c>
      <c r="K202" s="2">
        <v>3988.41</v>
      </c>
    </row>
    <row r="203" spans="1:11" x14ac:dyDescent="0.25">
      <c r="A203" t="s">
        <v>142</v>
      </c>
      <c r="E203">
        <v>515.39</v>
      </c>
      <c r="F203">
        <v>674.3</v>
      </c>
      <c r="G203">
        <v>749.61</v>
      </c>
      <c r="H203">
        <v>827.48</v>
      </c>
      <c r="I203">
        <v>882.63</v>
      </c>
      <c r="J203" s="2">
        <v>1039.43</v>
      </c>
      <c r="K203" s="2">
        <v>1141.7</v>
      </c>
    </row>
    <row r="204" spans="1:11" x14ac:dyDescent="0.25">
      <c r="A204" t="s">
        <v>143</v>
      </c>
      <c r="B204">
        <v>183.17</v>
      </c>
      <c r="C204">
        <v>314.44</v>
      </c>
      <c r="D204">
        <v>379.7</v>
      </c>
      <c r="E204">
        <v>539.21</v>
      </c>
      <c r="F204">
        <v>677.29</v>
      </c>
      <c r="G204">
        <v>849.53</v>
      </c>
      <c r="H204" s="2">
        <v>1243.4000000000001</v>
      </c>
      <c r="I204" s="2">
        <v>1641.98</v>
      </c>
      <c r="J204" s="2">
        <v>2224.37</v>
      </c>
      <c r="K204" s="2">
        <v>2805.33</v>
      </c>
    </row>
    <row r="205" spans="1:11" x14ac:dyDescent="0.25">
      <c r="A205" t="s">
        <v>144</v>
      </c>
      <c r="B205">
        <v>48.21</v>
      </c>
      <c r="C205">
        <v>42.76</v>
      </c>
      <c r="D205">
        <v>69.86</v>
      </c>
      <c r="E205">
        <v>67.34</v>
      </c>
      <c r="F205">
        <v>65.099999999999994</v>
      </c>
      <c r="G205">
        <v>62.43</v>
      </c>
      <c r="H205">
        <v>49.34</v>
      </c>
      <c r="I205">
        <v>35.729999999999997</v>
      </c>
      <c r="J205">
        <v>68.39</v>
      </c>
      <c r="K205">
        <v>68.39</v>
      </c>
    </row>
    <row r="206" spans="1:11" x14ac:dyDescent="0.25">
      <c r="A206" t="s">
        <v>145</v>
      </c>
      <c r="B206">
        <v>429.54</v>
      </c>
      <c r="C206">
        <v>661.49</v>
      </c>
      <c r="D206">
        <v>827.15</v>
      </c>
      <c r="E206">
        <v>935.84</v>
      </c>
      <c r="F206" s="2">
        <v>1120.01</v>
      </c>
    </row>
    <row r="207" spans="1:11" x14ac:dyDescent="0.25">
      <c r="A207" t="s">
        <v>146</v>
      </c>
      <c r="B207" s="2">
        <v>1889.21</v>
      </c>
      <c r="C207" s="2">
        <v>2588.23</v>
      </c>
      <c r="D207" s="2">
        <v>3667.57</v>
      </c>
      <c r="E207" s="2">
        <v>4935.25</v>
      </c>
      <c r="F207" s="2">
        <v>5504.62</v>
      </c>
      <c r="G207" s="2">
        <v>6160.45</v>
      </c>
      <c r="H207" s="2">
        <v>6005.1</v>
      </c>
      <c r="I207" s="2">
        <v>6257.12</v>
      </c>
      <c r="J207" s="2">
        <v>6464.4</v>
      </c>
      <c r="K207" s="2">
        <v>6664.42</v>
      </c>
    </row>
    <row r="208" spans="1:11" x14ac:dyDescent="0.25">
      <c r="A208" t="s">
        <v>147</v>
      </c>
      <c r="B208">
        <v>958.44</v>
      </c>
      <c r="C208" s="2">
        <v>1310.3900000000001</v>
      </c>
      <c r="D208" s="2">
        <v>1747</v>
      </c>
      <c r="E208" s="2">
        <v>2618.2199999999998</v>
      </c>
      <c r="F208" s="2">
        <v>3476.52</v>
      </c>
      <c r="G208" s="2">
        <v>4386.5</v>
      </c>
      <c r="H208" s="2">
        <v>5352.29</v>
      </c>
      <c r="I208" s="2">
        <v>6341.57</v>
      </c>
    </row>
    <row r="209" spans="1:11" x14ac:dyDescent="0.25">
      <c r="A209" t="s">
        <v>148</v>
      </c>
      <c r="B209">
        <v>620.16999999999996</v>
      </c>
      <c r="C209">
        <v>788.64</v>
      </c>
      <c r="D209">
        <v>976.33</v>
      </c>
      <c r="E209" s="2">
        <v>1245.53</v>
      </c>
      <c r="F209" s="2">
        <v>1580.17</v>
      </c>
      <c r="G209" s="2">
        <v>1872.43</v>
      </c>
      <c r="H209" s="2">
        <v>1829.56</v>
      </c>
      <c r="I209" s="2">
        <v>1842.65</v>
      </c>
      <c r="J209" s="2">
        <v>2056.42</v>
      </c>
      <c r="K209" s="2">
        <v>2159</v>
      </c>
    </row>
    <row r="210" spans="1:11" x14ac:dyDescent="0.25">
      <c r="A210" t="s">
        <v>149</v>
      </c>
      <c r="B210">
        <v>56.24</v>
      </c>
      <c r="C210">
        <v>72.540000000000006</v>
      </c>
      <c r="D210">
        <v>76.83</v>
      </c>
      <c r="E210">
        <v>71.33</v>
      </c>
      <c r="F210">
        <v>74.180000000000007</v>
      </c>
      <c r="G210">
        <v>82.16</v>
      </c>
      <c r="H210">
        <v>122.15</v>
      </c>
      <c r="I210">
        <v>162.16</v>
      </c>
      <c r="J210">
        <v>235</v>
      </c>
      <c r="K210">
        <v>283.83</v>
      </c>
    </row>
    <row r="211" spans="1:11" x14ac:dyDescent="0.25">
      <c r="A211" t="s">
        <v>150</v>
      </c>
      <c r="B211">
        <v>752.56</v>
      </c>
      <c r="C211" s="2">
        <v>1045.92</v>
      </c>
      <c r="D211" s="2">
        <v>1500</v>
      </c>
      <c r="E211" s="2">
        <v>1573</v>
      </c>
      <c r="F211" s="2">
        <v>1670</v>
      </c>
    </row>
    <row r="212" spans="1:11" x14ac:dyDescent="0.25">
      <c r="A212" t="s">
        <v>151</v>
      </c>
      <c r="B212">
        <v>114.52</v>
      </c>
      <c r="C212">
        <v>133.11000000000001</v>
      </c>
      <c r="D212">
        <v>136.69999999999999</v>
      </c>
      <c r="E212">
        <v>259.32</v>
      </c>
      <c r="F212">
        <v>251.25</v>
      </c>
      <c r="G212">
        <v>240.06</v>
      </c>
      <c r="H212">
        <v>241.65</v>
      </c>
      <c r="I212">
        <v>227.77</v>
      </c>
      <c r="J212">
        <v>-45.34</v>
      </c>
      <c r="K212">
        <v>-130.69999999999999</v>
      </c>
    </row>
    <row r="213" spans="1:11" x14ac:dyDescent="0.25">
      <c r="A213" t="s">
        <v>152</v>
      </c>
      <c r="B213">
        <v>638.04</v>
      </c>
      <c r="C213">
        <v>912.81</v>
      </c>
      <c r="D213" s="2">
        <v>1363.29</v>
      </c>
      <c r="E213" s="2">
        <v>2190.39</v>
      </c>
      <c r="F213" s="2">
        <v>2194.98</v>
      </c>
      <c r="G213" s="2">
        <v>2169.2199999999998</v>
      </c>
      <c r="H213" s="2">
        <v>2103.36</v>
      </c>
      <c r="I213" s="2">
        <v>2073.7399999999998</v>
      </c>
      <c r="J213" s="2">
        <v>2251.4299999999998</v>
      </c>
      <c r="K213" s="2">
        <v>2251.4299999999998</v>
      </c>
    </row>
    <row r="214" spans="1:11" x14ac:dyDescent="0.25">
      <c r="A214" t="s">
        <v>142</v>
      </c>
      <c r="B214">
        <v>335.93</v>
      </c>
      <c r="C214">
        <v>500.91</v>
      </c>
      <c r="D214">
        <v>655.66</v>
      </c>
      <c r="E214">
        <v>867.64</v>
      </c>
      <c r="F214" s="2">
        <v>1110.46</v>
      </c>
      <c r="G214" s="2">
        <v>1446.16</v>
      </c>
      <c r="H214" s="2">
        <v>1487.93</v>
      </c>
      <c r="I214" s="2">
        <v>1697.06</v>
      </c>
      <c r="J214" s="2">
        <v>2126.98</v>
      </c>
      <c r="K214" s="2">
        <v>2293.56</v>
      </c>
    </row>
    <row r="215" spans="1:11" x14ac:dyDescent="0.25">
      <c r="A215" t="s">
        <v>153</v>
      </c>
      <c r="B215">
        <v>582.29999999999995</v>
      </c>
      <c r="C215">
        <v>847.95</v>
      </c>
      <c r="D215" s="2">
        <v>1103.1099999999999</v>
      </c>
      <c r="E215" s="2">
        <v>1231.32</v>
      </c>
      <c r="F215" s="2">
        <v>1485.13</v>
      </c>
      <c r="G215" s="2">
        <v>1507.37</v>
      </c>
    </row>
    <row r="216" spans="1:11" x14ac:dyDescent="0.25">
      <c r="A216" t="s">
        <v>154</v>
      </c>
      <c r="B216">
        <v>76.09</v>
      </c>
      <c r="C216">
        <v>137.46</v>
      </c>
      <c r="D216">
        <v>388.89</v>
      </c>
      <c r="E216">
        <v>492.99</v>
      </c>
      <c r="F216">
        <v>530.5</v>
      </c>
      <c r="G216">
        <v>616.98</v>
      </c>
      <c r="H216">
        <v>602.13</v>
      </c>
      <c r="I216">
        <v>593.24</v>
      </c>
      <c r="J216">
        <v>459.98</v>
      </c>
      <c r="K216">
        <v>473.35</v>
      </c>
    </row>
    <row r="217" spans="1:11" x14ac:dyDescent="0.25">
      <c r="A217" t="s">
        <v>155</v>
      </c>
      <c r="B217" s="2">
        <v>6646.52</v>
      </c>
      <c r="C217" s="2">
        <v>8701.58</v>
      </c>
      <c r="D217" s="2">
        <v>11086.68</v>
      </c>
      <c r="E217" s="2">
        <v>13879.23</v>
      </c>
      <c r="F217" s="2">
        <v>17253.18</v>
      </c>
      <c r="G217" s="2">
        <v>20886.47</v>
      </c>
      <c r="H217" s="2">
        <v>25466.44</v>
      </c>
      <c r="I217" s="2">
        <v>31010.49</v>
      </c>
      <c r="J217" s="2">
        <v>38508.1</v>
      </c>
      <c r="K217" s="2">
        <v>45885.49</v>
      </c>
    </row>
    <row r="218" spans="1:11" x14ac:dyDescent="0.25">
      <c r="A218" t="s">
        <v>17</v>
      </c>
    </row>
    <row r="219" spans="1:11" x14ac:dyDescent="0.25">
      <c r="A219" t="s">
        <v>156</v>
      </c>
    </row>
    <row r="220" spans="1:11" x14ac:dyDescent="0.25">
      <c r="A220" t="s">
        <v>157</v>
      </c>
      <c r="B220" s="2">
        <v>2697.28</v>
      </c>
      <c r="C220" s="2">
        <v>3461.05</v>
      </c>
      <c r="D220" s="2">
        <v>4184.1899999999996</v>
      </c>
      <c r="E220" s="2">
        <v>5195.9399999999996</v>
      </c>
      <c r="F220" s="2">
        <v>6268.53</v>
      </c>
      <c r="G220" s="2">
        <v>7524.86</v>
      </c>
      <c r="H220" s="2">
        <v>9340.8799999999992</v>
      </c>
      <c r="I220" s="2">
        <v>11166.21</v>
      </c>
      <c r="J220" s="2">
        <v>12338.08</v>
      </c>
      <c r="K220" s="2">
        <v>14146.12</v>
      </c>
    </row>
    <row r="221" spans="1:11" x14ac:dyDescent="0.25">
      <c r="A221" t="s">
        <v>158</v>
      </c>
      <c r="B221">
        <v>28.18</v>
      </c>
      <c r="C221">
        <v>130.88999999999999</v>
      </c>
      <c r="D221">
        <v>105.32</v>
      </c>
      <c r="E221">
        <v>122.85</v>
      </c>
      <c r="F221">
        <v>153.87</v>
      </c>
      <c r="G221">
        <v>155.9</v>
      </c>
      <c r="H221">
        <v>197.9</v>
      </c>
      <c r="I221">
        <v>254.79</v>
      </c>
      <c r="J221">
        <v>359.85</v>
      </c>
      <c r="K221">
        <v>465.62</v>
      </c>
    </row>
    <row r="222" spans="1:11" x14ac:dyDescent="0.25">
      <c r="A222" t="s">
        <v>159</v>
      </c>
      <c r="B222">
        <v>125.9</v>
      </c>
      <c r="C222">
        <v>191.35</v>
      </c>
      <c r="D222">
        <v>181.09</v>
      </c>
      <c r="E222">
        <v>217.73</v>
      </c>
      <c r="F222">
        <v>261.68</v>
      </c>
      <c r="G222">
        <v>301.22000000000003</v>
      </c>
      <c r="H222">
        <v>337.62</v>
      </c>
      <c r="I222">
        <v>380.6</v>
      </c>
      <c r="J222">
        <v>547.42999999999995</v>
      </c>
      <c r="K222">
        <v>631.01</v>
      </c>
    </row>
    <row r="223" spans="1:11" x14ac:dyDescent="0.25">
      <c r="A223" t="s">
        <v>160</v>
      </c>
      <c r="B223">
        <v>234.62</v>
      </c>
      <c r="C223">
        <v>319.24</v>
      </c>
      <c r="D223">
        <v>389.69</v>
      </c>
      <c r="E223">
        <v>459.34</v>
      </c>
      <c r="F223">
        <v>536.01</v>
      </c>
      <c r="G223">
        <v>616.23</v>
      </c>
      <c r="H223">
        <v>863.43</v>
      </c>
      <c r="I223">
        <v>960.35</v>
      </c>
      <c r="J223" s="2">
        <v>1231.6300000000001</v>
      </c>
      <c r="K223" s="2">
        <v>1400.76</v>
      </c>
    </row>
    <row r="224" spans="1:11" x14ac:dyDescent="0.25">
      <c r="A224" t="s">
        <v>161</v>
      </c>
      <c r="B224" s="2">
        <v>2270.7600000000002</v>
      </c>
      <c r="C224" s="2">
        <v>2733.01</v>
      </c>
      <c r="D224" s="2">
        <v>3421.05</v>
      </c>
      <c r="E224" s="2">
        <v>4217.93</v>
      </c>
      <c r="F224" s="2">
        <v>5114.97</v>
      </c>
      <c r="G224" s="2">
        <v>6242.22</v>
      </c>
      <c r="H224" s="2">
        <v>7727.28</v>
      </c>
      <c r="I224" s="2">
        <v>9284.83</v>
      </c>
      <c r="J224" s="2">
        <v>10047.31</v>
      </c>
      <c r="K224" s="2">
        <v>11494.62</v>
      </c>
    </row>
    <row r="225" spans="1:11" x14ac:dyDescent="0.25">
      <c r="A225" t="s">
        <v>162</v>
      </c>
      <c r="B225">
        <v>14.15</v>
      </c>
      <c r="C225">
        <v>13.81</v>
      </c>
      <c r="D225">
        <v>18.23</v>
      </c>
      <c r="E225">
        <v>21.72</v>
      </c>
      <c r="F225">
        <v>22.75</v>
      </c>
      <c r="G225">
        <v>24.31</v>
      </c>
      <c r="H225">
        <v>25.76</v>
      </c>
      <c r="I225">
        <v>28.92</v>
      </c>
      <c r="J225">
        <v>35.54</v>
      </c>
      <c r="K225">
        <v>38.909999999999997</v>
      </c>
    </row>
    <row r="226" spans="1:11" x14ac:dyDescent="0.25">
      <c r="A226" t="s">
        <v>78</v>
      </c>
      <c r="B226" s="2">
        <v>2654.95</v>
      </c>
      <c r="C226" s="2">
        <v>3316.35</v>
      </c>
      <c r="D226" s="2">
        <v>4060.64</v>
      </c>
      <c r="E226" s="2">
        <v>5143.9399999999996</v>
      </c>
      <c r="F226" s="2">
        <v>6197.02</v>
      </c>
      <c r="G226" s="2">
        <v>8150</v>
      </c>
    </row>
    <row r="227" spans="1:11" x14ac:dyDescent="0.25">
      <c r="A227" t="s">
        <v>163</v>
      </c>
      <c r="B227">
        <v>23.67</v>
      </c>
      <c r="C227">
        <v>72.760000000000005</v>
      </c>
      <c r="D227">
        <v>68.81</v>
      </c>
      <c r="E227">
        <v>161.93</v>
      </c>
      <c r="F227">
        <v>174.72</v>
      </c>
      <c r="G227">
        <v>205.14</v>
      </c>
      <c r="H227">
        <v>258.88</v>
      </c>
      <c r="I227">
        <v>288.18</v>
      </c>
      <c r="J227">
        <v>128.16999999999999</v>
      </c>
      <c r="K227">
        <v>128.16999999999999</v>
      </c>
    </row>
    <row r="228" spans="1:11" x14ac:dyDescent="0.25">
      <c r="A228" t="s">
        <v>164</v>
      </c>
      <c r="B228" s="2">
        <v>1612.15</v>
      </c>
      <c r="C228" s="2">
        <v>1921.61</v>
      </c>
      <c r="D228" s="2">
        <v>2429.89</v>
      </c>
      <c r="E228" s="2">
        <v>2710.84</v>
      </c>
      <c r="F228" s="2">
        <v>3042.87</v>
      </c>
      <c r="G228" s="2">
        <v>3570.31</v>
      </c>
      <c r="H228" s="2">
        <v>3752.57</v>
      </c>
      <c r="I228" s="2">
        <v>4290.97</v>
      </c>
      <c r="J228" s="2">
        <v>4728.21</v>
      </c>
      <c r="K228" s="2">
        <v>5265</v>
      </c>
    </row>
    <row r="229" spans="1:11" x14ac:dyDescent="0.25">
      <c r="A229" t="s">
        <v>165</v>
      </c>
      <c r="B229">
        <v>742.49</v>
      </c>
      <c r="C229">
        <v>743.98</v>
      </c>
      <c r="D229">
        <v>745.47</v>
      </c>
      <c r="E229">
        <v>746.14</v>
      </c>
      <c r="F229">
        <v>741.89</v>
      </c>
      <c r="G229">
        <v>711.23</v>
      </c>
      <c r="H229">
        <v>426.94</v>
      </c>
      <c r="I229">
        <v>373.73</v>
      </c>
      <c r="J229">
        <v>498.72</v>
      </c>
      <c r="K229">
        <v>498.72</v>
      </c>
    </row>
    <row r="230" spans="1:11" x14ac:dyDescent="0.25">
      <c r="A230" t="s">
        <v>161</v>
      </c>
      <c r="B230">
        <v>783.34</v>
      </c>
      <c r="C230">
        <v>995.67</v>
      </c>
      <c r="D230" s="2">
        <v>1332.39</v>
      </c>
      <c r="E230" s="2">
        <v>1597.22</v>
      </c>
      <c r="F230" s="2">
        <v>1927.68</v>
      </c>
      <c r="G230" s="2">
        <v>2370.2600000000002</v>
      </c>
      <c r="H230" s="2">
        <v>2990.79</v>
      </c>
      <c r="I230" s="2">
        <v>3642.66</v>
      </c>
      <c r="J230" s="2">
        <v>3820.8</v>
      </c>
      <c r="K230" s="2">
        <v>4337.53</v>
      </c>
    </row>
    <row r="231" spans="1:11" x14ac:dyDescent="0.25">
      <c r="A231" t="s">
        <v>162</v>
      </c>
      <c r="B231">
        <v>36.229999999999997</v>
      </c>
      <c r="C231">
        <v>31.11</v>
      </c>
      <c r="D231">
        <v>56.37</v>
      </c>
      <c r="E231">
        <v>53.22</v>
      </c>
      <c r="F231">
        <v>56.8</v>
      </c>
      <c r="G231">
        <v>59.66</v>
      </c>
      <c r="H231">
        <v>78.349999999999994</v>
      </c>
      <c r="I231">
        <v>101.84</v>
      </c>
      <c r="J231">
        <v>152.61000000000001</v>
      </c>
      <c r="K231">
        <v>182.69</v>
      </c>
    </row>
    <row r="232" spans="1:11" x14ac:dyDescent="0.25">
      <c r="A232" t="s">
        <v>166</v>
      </c>
      <c r="B232">
        <v>50.09</v>
      </c>
      <c r="C232">
        <v>150.85</v>
      </c>
      <c r="D232">
        <v>295.66000000000003</v>
      </c>
      <c r="E232">
        <v>321.75</v>
      </c>
      <c r="F232">
        <v>328.29</v>
      </c>
      <c r="G232">
        <v>334.16</v>
      </c>
      <c r="H232">
        <v>309.22000000000003</v>
      </c>
      <c r="I232">
        <v>308.37</v>
      </c>
      <c r="J232">
        <v>306.95999999999998</v>
      </c>
      <c r="K232">
        <v>306.95999999999998</v>
      </c>
    </row>
    <row r="233" spans="1:11" x14ac:dyDescent="0.25">
      <c r="A233" t="s">
        <v>167</v>
      </c>
      <c r="B233" s="2">
        <v>4309.43</v>
      </c>
      <c r="C233" s="2">
        <v>5382.66</v>
      </c>
      <c r="D233" s="2">
        <v>6614.08</v>
      </c>
      <c r="E233" s="2">
        <v>7911.07</v>
      </c>
      <c r="F233" s="2">
        <v>9322.31</v>
      </c>
      <c r="G233" s="2">
        <v>10986.71</v>
      </c>
      <c r="H233" s="2">
        <v>12937.52</v>
      </c>
      <c r="I233" s="2">
        <v>15255.21</v>
      </c>
      <c r="J233" s="2">
        <v>17066.3</v>
      </c>
      <c r="K233" s="2">
        <v>19411.11</v>
      </c>
    </row>
    <row r="234" spans="1:11" x14ac:dyDescent="0.25">
      <c r="A234" t="s">
        <v>168</v>
      </c>
      <c r="B234" s="2">
        <v>2303.9499999999998</v>
      </c>
      <c r="C234" s="2">
        <v>3279.49</v>
      </c>
      <c r="D234" s="2">
        <v>4428.3900000000003</v>
      </c>
      <c r="E234" s="2">
        <v>6038.89</v>
      </c>
      <c r="F234" s="2">
        <v>7857.1</v>
      </c>
      <c r="G234" s="2">
        <v>9622.86</v>
      </c>
      <c r="H234" s="2">
        <v>12065.71</v>
      </c>
      <c r="I234" s="2">
        <v>15904.1</v>
      </c>
      <c r="J234" s="2">
        <v>27383.919999999998</v>
      </c>
      <c r="K234" s="2">
        <v>34639.370000000003</v>
      </c>
    </row>
    <row r="235" spans="1:11" x14ac:dyDescent="0.25">
      <c r="A235" t="s">
        <v>169</v>
      </c>
      <c r="B235">
        <v>33.14</v>
      </c>
      <c r="C235">
        <v>39.42</v>
      </c>
      <c r="D235">
        <v>44.22</v>
      </c>
      <c r="E235">
        <v>37.76</v>
      </c>
      <c r="F235">
        <v>37.770000000000003</v>
      </c>
      <c r="G235">
        <v>37.26</v>
      </c>
      <c r="H235">
        <v>28.35</v>
      </c>
      <c r="I235">
        <v>25.2</v>
      </c>
      <c r="J235">
        <v>37.799999999999997</v>
      </c>
      <c r="K235">
        <v>37.799999999999997</v>
      </c>
    </row>
    <row r="236" spans="1:11" x14ac:dyDescent="0.25">
      <c r="A236" t="s">
        <v>170</v>
      </c>
      <c r="B236" s="2">
        <v>2337.09</v>
      </c>
      <c r="C236" s="2">
        <v>3318.92</v>
      </c>
      <c r="D236" s="2">
        <v>4472.6099999999997</v>
      </c>
      <c r="E236" s="2">
        <v>5950.56</v>
      </c>
      <c r="F236" s="2">
        <v>7917.31</v>
      </c>
      <c r="G236" s="2">
        <v>9893.49</v>
      </c>
      <c r="H236" s="2">
        <v>12523.52</v>
      </c>
      <c r="I236" s="2">
        <v>15755.28</v>
      </c>
      <c r="J236" s="2">
        <v>21441.8</v>
      </c>
      <c r="K236" s="2">
        <v>26474.38</v>
      </c>
    </row>
    <row r="237" spans="1:11" x14ac:dyDescent="0.25">
      <c r="A237" t="s">
        <v>171</v>
      </c>
      <c r="B237">
        <v>0.12</v>
      </c>
      <c r="C237">
        <v>0.12</v>
      </c>
      <c r="D237">
        <v>0.13</v>
      </c>
      <c r="E237">
        <v>0.48</v>
      </c>
      <c r="F237">
        <v>0.48</v>
      </c>
      <c r="G237">
        <v>0.44</v>
      </c>
      <c r="H237">
        <v>0.51</v>
      </c>
      <c r="I237">
        <v>0.51</v>
      </c>
      <c r="J237">
        <v>0.51</v>
      </c>
      <c r="K237">
        <v>0.51</v>
      </c>
    </row>
    <row r="238" spans="1:11" x14ac:dyDescent="0.25">
      <c r="A238" t="s">
        <v>172</v>
      </c>
      <c r="B238" s="2">
        <v>3364.33</v>
      </c>
      <c r="C238" s="2">
        <v>4367.07</v>
      </c>
      <c r="D238" s="2">
        <v>5694.55</v>
      </c>
      <c r="E238" s="2">
        <v>6962.42</v>
      </c>
      <c r="F238" s="2">
        <v>8381.5</v>
      </c>
      <c r="G238" s="2">
        <v>10530.35</v>
      </c>
      <c r="H238" s="2">
        <v>13773.82</v>
      </c>
      <c r="I238" s="2">
        <v>16515.169999999998</v>
      </c>
      <c r="J238" s="2">
        <v>23604.28</v>
      </c>
      <c r="K238" s="2">
        <v>28344.45</v>
      </c>
    </row>
    <row r="239" spans="1:11" x14ac:dyDescent="0.25">
      <c r="A239" t="s">
        <v>173</v>
      </c>
      <c r="B239" s="2">
        <v>-1058.8399999999999</v>
      </c>
      <c r="C239" s="2">
        <v>-1078.1099999999999</v>
      </c>
      <c r="D239" s="2">
        <v>-1283.04</v>
      </c>
      <c r="E239" s="2">
        <v>-1114.3399999999999</v>
      </c>
      <c r="F239">
        <v>-657.66</v>
      </c>
      <c r="G239">
        <v>-21.64</v>
      </c>
      <c r="H239">
        <v>222.6</v>
      </c>
      <c r="I239" s="2">
        <v>1477.26</v>
      </c>
      <c r="J239" s="2">
        <v>3763.44</v>
      </c>
      <c r="K239" s="2">
        <v>6278.72</v>
      </c>
    </row>
    <row r="240" spans="1:11" x14ac:dyDescent="0.25">
      <c r="A240" t="s">
        <v>174</v>
      </c>
      <c r="B240">
        <v>-1.66</v>
      </c>
      <c r="C240">
        <v>-9.59</v>
      </c>
      <c r="D240">
        <v>16.760000000000002</v>
      </c>
      <c r="E240">
        <v>41.29</v>
      </c>
      <c r="F240">
        <v>89.57</v>
      </c>
      <c r="G240">
        <v>132.38</v>
      </c>
      <c r="H240">
        <v>15.68</v>
      </c>
      <c r="I240">
        <v>15.68</v>
      </c>
      <c r="J240">
        <v>15.68</v>
      </c>
      <c r="K240">
        <v>15.68</v>
      </c>
    </row>
    <row r="241" spans="1:11" x14ac:dyDescent="0.25">
      <c r="A241" t="s">
        <v>175</v>
      </c>
      <c r="B241" s="2">
        <v>6646.52</v>
      </c>
      <c r="C241" s="2">
        <v>8701.58</v>
      </c>
      <c r="D241" s="2">
        <v>11086.68</v>
      </c>
      <c r="E241" s="2">
        <v>13879.23</v>
      </c>
      <c r="F241" s="2">
        <v>17253.18</v>
      </c>
      <c r="G241" s="2">
        <v>20886.47</v>
      </c>
      <c r="H241" s="2">
        <v>25466.44</v>
      </c>
      <c r="I241" s="2">
        <v>31010.49</v>
      </c>
      <c r="J241" s="2">
        <v>38508.1</v>
      </c>
      <c r="K241" s="2">
        <v>45885.49</v>
      </c>
    </row>
    <row r="242" spans="1:11" x14ac:dyDescent="0.25">
      <c r="A242" t="s">
        <v>17</v>
      </c>
    </row>
    <row r="243" spans="1:11" x14ac:dyDescent="0.25">
      <c r="A243" t="s">
        <v>176</v>
      </c>
    </row>
    <row r="244" spans="1:11" x14ac:dyDescent="0.25">
      <c r="A244" t="s">
        <v>177</v>
      </c>
      <c r="B244" s="2">
        <v>-2732.17</v>
      </c>
      <c r="C244" s="2">
        <v>-3579.31</v>
      </c>
      <c r="D244" s="2">
        <v>-4484.6499999999996</v>
      </c>
      <c r="E244" s="2">
        <v>-5311.3</v>
      </c>
      <c r="F244" s="2">
        <v>-7668.3</v>
      </c>
      <c r="G244" s="2">
        <v>-10482.93</v>
      </c>
      <c r="H244" s="2">
        <v>-14039.75</v>
      </c>
      <c r="I244" s="2">
        <v>-19301.5</v>
      </c>
      <c r="J244" s="2">
        <v>-24399.67</v>
      </c>
      <c r="K244" s="2">
        <v>-30534.67</v>
      </c>
    </row>
    <row r="245" spans="1:11" x14ac:dyDescent="0.25">
      <c r="A245" t="s">
        <v>178</v>
      </c>
    </row>
    <row r="246" spans="1:11" x14ac:dyDescent="0.25">
      <c r="A246" t="s">
        <v>179</v>
      </c>
      <c r="B246">
        <v>1.53</v>
      </c>
      <c r="C246">
        <v>-0.25</v>
      </c>
      <c r="D246">
        <v>-1.64</v>
      </c>
      <c r="E246">
        <v>4.16</v>
      </c>
      <c r="F246">
        <v>5.28</v>
      </c>
      <c r="G246">
        <v>8.35</v>
      </c>
      <c r="H246">
        <v>9</v>
      </c>
      <c r="I246">
        <v>10.6</v>
      </c>
    </row>
    <row r="247" spans="1:11" x14ac:dyDescent="0.25">
      <c r="A247" t="s">
        <v>180</v>
      </c>
      <c r="B247">
        <v>4.74</v>
      </c>
      <c r="C247">
        <v>-0.69</v>
      </c>
      <c r="D247">
        <v>-4.22</v>
      </c>
      <c r="E247">
        <v>25.17</v>
      </c>
      <c r="F247">
        <v>19.75</v>
      </c>
      <c r="G247">
        <v>19.399999999999999</v>
      </c>
      <c r="H247">
        <v>21.7</v>
      </c>
      <c r="I247">
        <v>24.1</v>
      </c>
    </row>
    <row r="248" spans="1:11" x14ac:dyDescent="0.25">
      <c r="A248" t="s">
        <v>181</v>
      </c>
      <c r="B248" s="2">
        <v>3054.1</v>
      </c>
      <c r="C248" s="2">
        <v>3728.68</v>
      </c>
      <c r="D248" s="2">
        <v>4753.4399999999996</v>
      </c>
      <c r="E248" s="2">
        <v>5834</v>
      </c>
      <c r="F248" s="2">
        <v>7078.23</v>
      </c>
      <c r="G248" s="2">
        <v>8635.93</v>
      </c>
      <c r="H248" s="2">
        <v>10379.56</v>
      </c>
      <c r="I248" s="2">
        <v>12394.74</v>
      </c>
      <c r="J248" s="2">
        <v>13485.24</v>
      </c>
      <c r="K248" s="2">
        <v>15456.59</v>
      </c>
    </row>
    <row r="249" spans="1:11" x14ac:dyDescent="0.25">
      <c r="A249" t="s">
        <v>182</v>
      </c>
      <c r="B249">
        <v>2.38</v>
      </c>
      <c r="C249">
        <v>3.31</v>
      </c>
      <c r="D249">
        <v>4.37</v>
      </c>
      <c r="E249">
        <v>5.62</v>
      </c>
      <c r="F249">
        <v>9.32</v>
      </c>
      <c r="G249">
        <v>11.84</v>
      </c>
    </row>
    <row r="250" spans="1:11" x14ac:dyDescent="0.25">
      <c r="A250" t="s">
        <v>183</v>
      </c>
      <c r="B250">
        <v>967.46</v>
      </c>
      <c r="C250">
        <v>991.49</v>
      </c>
      <c r="D250" s="2">
        <v>1013.45</v>
      </c>
      <c r="E250" s="2">
        <v>1036.51</v>
      </c>
      <c r="F250" s="2">
        <v>1052.3900000000001</v>
      </c>
      <c r="G250" s="2">
        <v>1059.02</v>
      </c>
      <c r="H250" s="2">
        <v>1036.3900000000001</v>
      </c>
      <c r="I250" s="2">
        <v>1020.84</v>
      </c>
    </row>
    <row r="251" spans="1:11" x14ac:dyDescent="0.25">
      <c r="A251" t="s">
        <v>184</v>
      </c>
      <c r="B251">
        <v>0</v>
      </c>
      <c r="C251">
        <v>0.01</v>
      </c>
      <c r="D251">
        <v>0.01</v>
      </c>
    </row>
    <row r="252" spans="1:11" x14ac:dyDescent="0.25">
      <c r="A252" t="s">
        <v>185</v>
      </c>
      <c r="B252">
        <v>0</v>
      </c>
      <c r="C252">
        <v>0</v>
      </c>
      <c r="D252">
        <v>0</v>
      </c>
    </row>
    <row r="253" spans="1:11" x14ac:dyDescent="0.25">
      <c r="A253" t="s">
        <v>186</v>
      </c>
      <c r="B253">
        <v>1.76</v>
      </c>
      <c r="C253">
        <v>1.77</v>
      </c>
      <c r="D253">
        <v>1.77</v>
      </c>
      <c r="E253">
        <v>1.62</v>
      </c>
      <c r="F253">
        <v>1.7</v>
      </c>
      <c r="G253">
        <v>1.83</v>
      </c>
      <c r="H253">
        <v>2.1800000000000002</v>
      </c>
      <c r="I253">
        <v>2.31</v>
      </c>
      <c r="J253">
        <v>2.6</v>
      </c>
      <c r="K253">
        <v>2.77</v>
      </c>
    </row>
    <row r="254" spans="1:11" x14ac:dyDescent="0.25">
      <c r="A254" t="s">
        <v>187</v>
      </c>
      <c r="B254">
        <v>49.7</v>
      </c>
      <c r="C254">
        <v>75.64</v>
      </c>
      <c r="D254">
        <v>107.1</v>
      </c>
      <c r="E254">
        <v>138.16999999999999</v>
      </c>
      <c r="F254">
        <v>153.41999999999999</v>
      </c>
      <c r="G254">
        <v>166.96</v>
      </c>
    </row>
    <row r="255" spans="1:11" x14ac:dyDescent="0.25">
      <c r="A255" t="s">
        <v>17</v>
      </c>
    </row>
    <row r="256" spans="1:11" x14ac:dyDescent="0.25">
      <c r="A256" t="s">
        <v>188</v>
      </c>
    </row>
    <row r="257" spans="1:11" x14ac:dyDescent="0.25">
      <c r="A257" t="s">
        <v>189</v>
      </c>
    </row>
    <row r="258" spans="1:11" x14ac:dyDescent="0.25">
      <c r="A258" t="s">
        <v>121</v>
      </c>
      <c r="B258">
        <v>89.33</v>
      </c>
      <c r="C258">
        <v>-19.27</v>
      </c>
      <c r="D258">
        <v>-162.5</v>
      </c>
      <c r="E258">
        <v>144.76</v>
      </c>
      <c r="F258">
        <v>315.62</v>
      </c>
      <c r="G258">
        <v>571.04</v>
      </c>
      <c r="H258" s="2">
        <v>1311.29</v>
      </c>
      <c r="I258" s="2">
        <v>1961.33</v>
      </c>
      <c r="J258" s="2">
        <v>2120.67</v>
      </c>
      <c r="K258" s="2">
        <v>2667</v>
      </c>
    </row>
    <row r="259" spans="1:11" x14ac:dyDescent="0.25">
      <c r="A259" t="s">
        <v>190</v>
      </c>
      <c r="B259">
        <v>145.25</v>
      </c>
      <c r="C259">
        <v>213.96</v>
      </c>
      <c r="D259">
        <v>281.45</v>
      </c>
      <c r="E259">
        <v>366.75</v>
      </c>
      <c r="F259">
        <v>403.72</v>
      </c>
      <c r="G259">
        <v>369.72</v>
      </c>
      <c r="H259">
        <v>541.46</v>
      </c>
    </row>
    <row r="260" spans="1:11" x14ac:dyDescent="0.25">
      <c r="A260" t="s">
        <v>191</v>
      </c>
      <c r="B260">
        <v>126.84</v>
      </c>
      <c r="C260">
        <v>161.94999999999999</v>
      </c>
      <c r="D260">
        <v>218.99</v>
      </c>
      <c r="E260">
        <v>281.91000000000003</v>
      </c>
      <c r="F260">
        <v>309.05</v>
      </c>
      <c r="G260">
        <v>340.5</v>
      </c>
      <c r="H260">
        <v>484.46</v>
      </c>
    </row>
    <row r="261" spans="1:11" x14ac:dyDescent="0.25">
      <c r="A261" t="s">
        <v>192</v>
      </c>
      <c r="B261">
        <v>18.420000000000002</v>
      </c>
      <c r="C261">
        <v>26</v>
      </c>
      <c r="D261">
        <v>31.23</v>
      </c>
      <c r="E261">
        <v>44.59</v>
      </c>
      <c r="F261">
        <v>45.85</v>
      </c>
      <c r="G261">
        <v>43.05</v>
      </c>
      <c r="H261">
        <v>57</v>
      </c>
      <c r="I261">
        <v>64.98</v>
      </c>
      <c r="J261">
        <v>90.85</v>
      </c>
      <c r="K261">
        <v>106.86</v>
      </c>
    </row>
    <row r="262" spans="1:11" x14ac:dyDescent="0.25">
      <c r="A262" t="s">
        <v>193</v>
      </c>
      <c r="B262">
        <v>238.9</v>
      </c>
      <c r="C262">
        <v>318.83999999999997</v>
      </c>
      <c r="D262">
        <v>449.41</v>
      </c>
      <c r="E262">
        <v>427.13</v>
      </c>
      <c r="F262">
        <v>588.26</v>
      </c>
      <c r="G262">
        <v>780.35</v>
      </c>
      <c r="H262">
        <v>816.57</v>
      </c>
      <c r="I262">
        <v>892.67</v>
      </c>
      <c r="J262" s="2">
        <v>1242.99</v>
      </c>
      <c r="K262" s="2">
        <v>1451.37</v>
      </c>
    </row>
    <row r="263" spans="1:11" x14ac:dyDescent="0.25">
      <c r="A263" t="s">
        <v>67</v>
      </c>
      <c r="B263">
        <v>631.52</v>
      </c>
      <c r="C263">
        <v>865.42</v>
      </c>
      <c r="D263" s="2">
        <v>1096.68</v>
      </c>
      <c r="E263" s="2">
        <v>1473.24</v>
      </c>
      <c r="F263" s="2">
        <v>1725.62</v>
      </c>
      <c r="G263" s="2">
        <v>1962.76</v>
      </c>
      <c r="H263" s="2">
        <v>2022.74</v>
      </c>
      <c r="I263" s="2">
        <v>2135.62</v>
      </c>
      <c r="J263" s="2">
        <v>2197.48</v>
      </c>
      <c r="K263" s="2">
        <v>2329.15</v>
      </c>
    </row>
    <row r="264" spans="1:11" x14ac:dyDescent="0.25">
      <c r="A264" t="s">
        <v>194</v>
      </c>
      <c r="B264">
        <v>3.17</v>
      </c>
      <c r="C264">
        <v>3.76</v>
      </c>
      <c r="D264">
        <v>5.44</v>
      </c>
      <c r="E264">
        <v>1.06</v>
      </c>
      <c r="F264">
        <v>0.56000000000000005</v>
      </c>
      <c r="G264">
        <v>-0.21</v>
      </c>
      <c r="H264">
        <v>-1.37</v>
      </c>
      <c r="I264">
        <v>-0.54</v>
      </c>
      <c r="J264">
        <v>0.52</v>
      </c>
      <c r="K264">
        <v>1.88</v>
      </c>
    </row>
    <row r="265" spans="1:11" x14ac:dyDescent="0.25">
      <c r="A265" t="s">
        <v>195</v>
      </c>
      <c r="B265" s="2">
        <v>2060.0300000000002</v>
      </c>
      <c r="C265" s="2">
        <v>2652.3</v>
      </c>
      <c r="D265" s="2">
        <v>3234.93</v>
      </c>
      <c r="E265" s="2">
        <v>3847.67</v>
      </c>
      <c r="F265" s="2">
        <v>5809.81</v>
      </c>
      <c r="G265" s="2">
        <v>8255.27</v>
      </c>
      <c r="H265" s="2">
        <v>10559.63</v>
      </c>
      <c r="I265" s="2">
        <v>14638.21</v>
      </c>
      <c r="J265" s="2">
        <v>19705.61</v>
      </c>
      <c r="K265" s="2">
        <v>25074.95</v>
      </c>
    </row>
    <row r="266" spans="1:11" x14ac:dyDescent="0.25">
      <c r="A266" t="s">
        <v>196</v>
      </c>
      <c r="B266">
        <v>1.46</v>
      </c>
      <c r="C266">
        <v>1</v>
      </c>
      <c r="D266">
        <v>1.58</v>
      </c>
    </row>
    <row r="267" spans="1:11" x14ac:dyDescent="0.25">
      <c r="A267" t="s">
        <v>197</v>
      </c>
      <c r="B267">
        <v>-217.7</v>
      </c>
      <c r="C267">
        <v>-274.22000000000003</v>
      </c>
      <c r="D267">
        <v>-232.53</v>
      </c>
      <c r="E267">
        <v>-230.77</v>
      </c>
      <c r="F267">
        <v>-307.37</v>
      </c>
      <c r="G267">
        <v>-420.59</v>
      </c>
      <c r="H267">
        <v>-440.48</v>
      </c>
      <c r="I267">
        <v>-556.78</v>
      </c>
      <c r="J267">
        <v>-471.16</v>
      </c>
      <c r="K267">
        <v>-475.44</v>
      </c>
    </row>
    <row r="268" spans="1:11" x14ac:dyDescent="0.25">
      <c r="A268" t="s">
        <v>198</v>
      </c>
      <c r="E268">
        <v>16.45</v>
      </c>
      <c r="F268">
        <v>19.27</v>
      </c>
      <c r="G268">
        <v>22.77</v>
      </c>
      <c r="H268">
        <v>29.22</v>
      </c>
      <c r="I268">
        <v>38.18</v>
      </c>
      <c r="J268">
        <v>54.6</v>
      </c>
      <c r="K268">
        <v>69.19</v>
      </c>
    </row>
    <row r="269" spans="1:11" x14ac:dyDescent="0.25">
      <c r="A269" t="s">
        <v>145</v>
      </c>
      <c r="B269">
        <v>-371.65</v>
      </c>
      <c r="C269">
        <v>-584.48</v>
      </c>
      <c r="D269">
        <v>-703.71</v>
      </c>
      <c r="E269">
        <v>-622.23</v>
      </c>
      <c r="F269">
        <v>-759.29</v>
      </c>
      <c r="G269">
        <v>-933.64</v>
      </c>
      <c r="H269" s="2">
        <v>-1020.22</v>
      </c>
      <c r="I269" s="2">
        <v>-1067.5899999999999</v>
      </c>
      <c r="J269" s="2">
        <v>-1365.46</v>
      </c>
      <c r="K269" s="2">
        <v>-1596.57</v>
      </c>
    </row>
    <row r="270" spans="1:11" x14ac:dyDescent="0.25">
      <c r="A270" t="s">
        <v>158</v>
      </c>
      <c r="B270">
        <v>-18.899999999999999</v>
      </c>
      <c r="C270">
        <v>84.94</v>
      </c>
      <c r="D270">
        <v>-11.27</v>
      </c>
      <c r="E270">
        <v>11.93</v>
      </c>
      <c r="F270">
        <v>40.44</v>
      </c>
      <c r="G270">
        <v>22.05</v>
      </c>
      <c r="H270">
        <v>31.45</v>
      </c>
      <c r="I270">
        <v>32.549999999999997</v>
      </c>
      <c r="J270">
        <v>33.11</v>
      </c>
      <c r="K270">
        <v>31.64</v>
      </c>
    </row>
    <row r="271" spans="1:11" x14ac:dyDescent="0.25">
      <c r="A271" t="s">
        <v>199</v>
      </c>
      <c r="B271">
        <v>696.64</v>
      </c>
      <c r="C271">
        <v>669.26</v>
      </c>
      <c r="D271" s="2">
        <v>1023.86</v>
      </c>
      <c r="E271" s="2">
        <v>1085.94</v>
      </c>
      <c r="F271" s="2">
        <v>1225.3599999999999</v>
      </c>
      <c r="G271" s="2">
        <v>1399.42</v>
      </c>
      <c r="H271" s="2">
        <v>1842.99</v>
      </c>
      <c r="I271" s="2">
        <v>2203.41</v>
      </c>
      <c r="J271" s="2">
        <v>1548.22</v>
      </c>
      <c r="K271" s="2">
        <v>1549.73</v>
      </c>
    </row>
    <row r="272" spans="1:11" x14ac:dyDescent="0.25">
      <c r="A272" t="s">
        <v>200</v>
      </c>
      <c r="B272">
        <v>14.59</v>
      </c>
      <c r="C272">
        <v>218.52</v>
      </c>
      <c r="D272">
        <v>22.59</v>
      </c>
      <c r="E272">
        <v>8.33</v>
      </c>
      <c r="F272">
        <v>55.45</v>
      </c>
      <c r="G272">
        <v>43.99</v>
      </c>
      <c r="H272">
        <v>63.98</v>
      </c>
      <c r="I272">
        <v>73.09</v>
      </c>
      <c r="J272">
        <v>90.16</v>
      </c>
      <c r="K272">
        <v>102.66</v>
      </c>
    </row>
    <row r="273" spans="1:11" x14ac:dyDescent="0.25">
      <c r="A273" t="s">
        <v>201</v>
      </c>
      <c r="B273">
        <v>65.099999999999994</v>
      </c>
      <c r="C273">
        <v>85.87</v>
      </c>
      <c r="D273">
        <v>61.61</v>
      </c>
      <c r="E273">
        <v>64.41</v>
      </c>
      <c r="F273">
        <v>89.65</v>
      </c>
      <c r="G273">
        <v>86.32</v>
      </c>
      <c r="H273">
        <v>129.99</v>
      </c>
      <c r="I273">
        <v>128.75</v>
      </c>
      <c r="J273">
        <v>132.41</v>
      </c>
      <c r="K273">
        <v>133.37</v>
      </c>
    </row>
    <row r="274" spans="1:11" x14ac:dyDescent="0.25">
      <c r="A274" t="s">
        <v>202</v>
      </c>
      <c r="B274">
        <v>-14.04</v>
      </c>
      <c r="C274">
        <v>-15.66</v>
      </c>
      <c r="D274">
        <v>-13.69</v>
      </c>
      <c r="E274">
        <v>-13.4</v>
      </c>
      <c r="F274">
        <v>-3.92</v>
      </c>
      <c r="G274">
        <v>-7.33</v>
      </c>
      <c r="H274">
        <v>-40.53</v>
      </c>
      <c r="I274">
        <v>-25.7</v>
      </c>
      <c r="J274">
        <v>-36.97</v>
      </c>
      <c r="K274">
        <v>-53.11</v>
      </c>
    </row>
    <row r="275" spans="1:11" x14ac:dyDescent="0.25">
      <c r="A275" t="s">
        <v>203</v>
      </c>
      <c r="B275">
        <v>-102.52</v>
      </c>
      <c r="C275">
        <v>-190.23</v>
      </c>
      <c r="D275">
        <v>-206.16</v>
      </c>
      <c r="E275">
        <v>-130.85</v>
      </c>
      <c r="F275">
        <v>-190.02</v>
      </c>
      <c r="G275">
        <v>-209.27</v>
      </c>
      <c r="H275">
        <v>-346.69</v>
      </c>
      <c r="I275">
        <v>-439.97</v>
      </c>
      <c r="J275">
        <v>-635.29</v>
      </c>
      <c r="K275">
        <v>-709.25</v>
      </c>
    </row>
    <row r="276" spans="1:11" x14ac:dyDescent="0.25">
      <c r="A276" t="s">
        <v>166</v>
      </c>
      <c r="B276">
        <v>-14.04</v>
      </c>
      <c r="C276">
        <v>0</v>
      </c>
      <c r="D276">
        <v>0</v>
      </c>
      <c r="E276">
        <v>-10.94</v>
      </c>
      <c r="F276">
        <v>-7.69</v>
      </c>
      <c r="G276">
        <v>4.6100000000000003</v>
      </c>
      <c r="H276">
        <v>5.27</v>
      </c>
      <c r="I276">
        <v>5.78</v>
      </c>
      <c r="J276">
        <v>6.39</v>
      </c>
      <c r="K276">
        <v>6.73</v>
      </c>
    </row>
    <row r="277" spans="1:11" x14ac:dyDescent="0.25">
      <c r="A277" t="s">
        <v>204</v>
      </c>
      <c r="B277" s="2">
        <v>1166.21</v>
      </c>
      <c r="C277" s="2">
        <v>1381.73</v>
      </c>
      <c r="D277" s="2">
        <v>1612.35</v>
      </c>
      <c r="E277" s="2">
        <v>2359.87</v>
      </c>
      <c r="F277" s="2">
        <v>3061.39</v>
      </c>
      <c r="G277" s="2">
        <v>3794.28</v>
      </c>
      <c r="H277" s="2">
        <v>4565.2299999999996</v>
      </c>
      <c r="I277" s="2">
        <v>5437.62</v>
      </c>
      <c r="J277" s="2">
        <v>6476.87</v>
      </c>
      <c r="K277" s="2">
        <v>7878.92</v>
      </c>
    </row>
    <row r="278" spans="1:11" x14ac:dyDescent="0.25">
      <c r="A278" t="s">
        <v>17</v>
      </c>
    </row>
    <row r="279" spans="1:11" x14ac:dyDescent="0.25">
      <c r="A279" t="s">
        <v>205</v>
      </c>
    </row>
    <row r="280" spans="1:11" x14ac:dyDescent="0.25">
      <c r="A280" t="s">
        <v>206</v>
      </c>
      <c r="B280">
        <v>-176.53</v>
      </c>
      <c r="C280">
        <v>-254.85</v>
      </c>
      <c r="D280">
        <v>-302.11</v>
      </c>
      <c r="E280">
        <v>-442.61</v>
      </c>
      <c r="F280">
        <v>-606.15</v>
      </c>
      <c r="G280">
        <v>-658.81</v>
      </c>
      <c r="H280">
        <v>-722.25</v>
      </c>
      <c r="I280">
        <v>-854.13</v>
      </c>
      <c r="J280" s="2">
        <v>-1066.5999999999999</v>
      </c>
      <c r="K280" s="2">
        <v>-1250</v>
      </c>
    </row>
    <row r="281" spans="1:11" x14ac:dyDescent="0.25">
      <c r="A281" t="s">
        <v>207</v>
      </c>
      <c r="B281">
        <v>-49.46</v>
      </c>
      <c r="C281">
        <v>-58.97</v>
      </c>
      <c r="D281">
        <v>-68.75</v>
      </c>
      <c r="E281">
        <v>-94.26</v>
      </c>
      <c r="F281">
        <v>-107.59</v>
      </c>
      <c r="G281">
        <v>-123.26</v>
      </c>
      <c r="H281">
        <v>-134</v>
      </c>
      <c r="I281">
        <v>-154.32</v>
      </c>
      <c r="J281">
        <v>-225.12</v>
      </c>
      <c r="K281">
        <v>-262</v>
      </c>
    </row>
    <row r="282" spans="1:11" x14ac:dyDescent="0.25">
      <c r="A282" t="s">
        <v>208</v>
      </c>
      <c r="B282">
        <v>-11.13</v>
      </c>
      <c r="C282">
        <v>0</v>
      </c>
      <c r="D282">
        <v>0</v>
      </c>
      <c r="E282">
        <v>-5.09</v>
      </c>
      <c r="F282">
        <v>-11.61</v>
      </c>
    </row>
    <row r="283" spans="1:11" x14ac:dyDescent="0.25">
      <c r="A283" t="s">
        <v>209</v>
      </c>
      <c r="B283">
        <v>-2.0299999999999998</v>
      </c>
      <c r="C283">
        <v>0.11</v>
      </c>
      <c r="D283">
        <v>0.21</v>
      </c>
      <c r="E283">
        <v>0.17</v>
      </c>
      <c r="F283">
        <v>0.24</v>
      </c>
    </row>
    <row r="284" spans="1:11" x14ac:dyDescent="0.25">
      <c r="A284" t="s">
        <v>210</v>
      </c>
      <c r="B284">
        <v>348.28</v>
      </c>
      <c r="C284">
        <v>97.3</v>
      </c>
      <c r="D284">
        <v>-10.77</v>
      </c>
    </row>
    <row r="285" spans="1:11" x14ac:dyDescent="0.25">
      <c r="A285" t="s">
        <v>211</v>
      </c>
      <c r="B285">
        <v>-239.03</v>
      </c>
      <c r="C285">
        <v>-310.26</v>
      </c>
      <c r="D285">
        <v>-382.27</v>
      </c>
      <c r="E285">
        <v>-882.2</v>
      </c>
      <c r="F285">
        <v>-40</v>
      </c>
      <c r="G285">
        <v>-26.67</v>
      </c>
      <c r="H285">
        <v>-80</v>
      </c>
      <c r="I285">
        <v>-80</v>
      </c>
      <c r="J285">
        <v>-80</v>
      </c>
      <c r="K285">
        <v>-80</v>
      </c>
    </row>
    <row r="286" spans="1:11" x14ac:dyDescent="0.25">
      <c r="A286" t="s">
        <v>212</v>
      </c>
      <c r="B286">
        <v>135.49</v>
      </c>
      <c r="C286">
        <v>87.49</v>
      </c>
      <c r="D286">
        <v>-11.35</v>
      </c>
      <c r="E286">
        <v>11.71</v>
      </c>
      <c r="F286">
        <v>0</v>
      </c>
    </row>
    <row r="287" spans="1:11" x14ac:dyDescent="0.25">
      <c r="A287" t="s">
        <v>213</v>
      </c>
      <c r="B287">
        <v>-340.65</v>
      </c>
      <c r="C287">
        <v>-536.59</v>
      </c>
      <c r="D287">
        <v>-764.48</v>
      </c>
      <c r="E287" s="2">
        <v>-1311.75</v>
      </c>
      <c r="F287">
        <v>-701.47</v>
      </c>
      <c r="G287">
        <v>-792.12</v>
      </c>
      <c r="H287">
        <v>-889.51</v>
      </c>
      <c r="I287" s="2">
        <v>-1011.15</v>
      </c>
      <c r="J287" s="2">
        <v>-1216.04</v>
      </c>
      <c r="K287" s="2">
        <v>-1395.09</v>
      </c>
    </row>
    <row r="288" spans="1:11" x14ac:dyDescent="0.25">
      <c r="A288" t="s">
        <v>17</v>
      </c>
    </row>
    <row r="289" spans="1:11" x14ac:dyDescent="0.25">
      <c r="A289" t="s">
        <v>214</v>
      </c>
    </row>
    <row r="290" spans="1:11" x14ac:dyDescent="0.25">
      <c r="A290" t="s">
        <v>215</v>
      </c>
      <c r="B290">
        <v>85.07</v>
      </c>
      <c r="C290">
        <v>103.6</v>
      </c>
      <c r="D290">
        <v>129</v>
      </c>
      <c r="E290">
        <v>88.7</v>
      </c>
      <c r="F290">
        <v>57.24</v>
      </c>
      <c r="G290">
        <v>75.63</v>
      </c>
      <c r="H290">
        <v>139.37</v>
      </c>
      <c r="I290">
        <v>151.78</v>
      </c>
      <c r="J290">
        <v>252.05</v>
      </c>
      <c r="K290">
        <v>274.82</v>
      </c>
    </row>
    <row r="291" spans="1:11" x14ac:dyDescent="0.25">
      <c r="A291" t="s">
        <v>216</v>
      </c>
      <c r="B291">
        <v>8.6999999999999993</v>
      </c>
      <c r="C291">
        <v>3.98</v>
      </c>
      <c r="E291">
        <v>2.2799999999999998</v>
      </c>
      <c r="F291">
        <v>2.9</v>
      </c>
      <c r="G291">
        <v>38.83</v>
      </c>
      <c r="H291">
        <v>111.68</v>
      </c>
      <c r="I291">
        <v>132.1</v>
      </c>
      <c r="J291">
        <v>155.36000000000001</v>
      </c>
      <c r="K291">
        <v>181.82</v>
      </c>
    </row>
    <row r="292" spans="1:11" x14ac:dyDescent="0.25">
      <c r="A292" t="s">
        <v>217</v>
      </c>
      <c r="B292">
        <v>8.09</v>
      </c>
      <c r="C292">
        <v>8.5</v>
      </c>
      <c r="D292">
        <v>6</v>
      </c>
      <c r="E292">
        <v>-9.84</v>
      </c>
      <c r="F292">
        <v>0</v>
      </c>
      <c r="G292">
        <v>0</v>
      </c>
    </row>
    <row r="293" spans="1:11" x14ac:dyDescent="0.25">
      <c r="A293" t="s">
        <v>218</v>
      </c>
      <c r="B293">
        <v>93.16</v>
      </c>
      <c r="C293">
        <v>107.21</v>
      </c>
      <c r="D293">
        <v>132.44999999999999</v>
      </c>
      <c r="E293">
        <v>-127.72</v>
      </c>
      <c r="F293">
        <v>-4.2300000000000004</v>
      </c>
      <c r="G293">
        <v>67.55</v>
      </c>
      <c r="H293">
        <v>-280.37</v>
      </c>
      <c r="I293">
        <v>238.57</v>
      </c>
      <c r="J293">
        <v>406.56</v>
      </c>
      <c r="K293">
        <v>456.66</v>
      </c>
    </row>
    <row r="294" spans="1:11" x14ac:dyDescent="0.25">
      <c r="A294" t="s">
        <v>17</v>
      </c>
    </row>
    <row r="295" spans="1:11" x14ac:dyDescent="0.25">
      <c r="A295" t="s">
        <v>176</v>
      </c>
    </row>
    <row r="296" spans="1:11" x14ac:dyDescent="0.25">
      <c r="A296" t="s">
        <v>219</v>
      </c>
      <c r="B296">
        <v>1.96</v>
      </c>
      <c r="C296">
        <v>-5.28</v>
      </c>
      <c r="D296">
        <v>9.6300000000000008</v>
      </c>
      <c r="E296">
        <v>-1.77</v>
      </c>
      <c r="F296">
        <v>-2.31</v>
      </c>
    </row>
    <row r="297" spans="1:11" x14ac:dyDescent="0.25">
      <c r="A297" t="s">
        <v>220</v>
      </c>
      <c r="B297">
        <v>920.67</v>
      </c>
      <c r="C297">
        <v>947.07</v>
      </c>
      <c r="D297">
        <v>989.95</v>
      </c>
      <c r="E297">
        <v>942.48</v>
      </c>
      <c r="F297" s="2">
        <v>2349.09</v>
      </c>
      <c r="G297" s="2">
        <v>3017.14</v>
      </c>
      <c r="H297" s="2">
        <v>3555.57</v>
      </c>
      <c r="I297" s="2">
        <v>4545.76</v>
      </c>
      <c r="J297" s="2">
        <v>5464.11</v>
      </c>
      <c r="K297" s="2">
        <v>6712.16</v>
      </c>
    </row>
    <row r="298" spans="1:11" x14ac:dyDescent="0.25">
      <c r="A298" t="s">
        <v>221</v>
      </c>
      <c r="B298" s="2">
        <v>2456.92</v>
      </c>
      <c r="C298" s="2">
        <v>3377.6</v>
      </c>
      <c r="D298" s="2">
        <v>4324.67</v>
      </c>
      <c r="E298" s="2">
        <v>5147.6899999999996</v>
      </c>
      <c r="F298" s="2">
        <v>6036.04</v>
      </c>
      <c r="G298" s="2">
        <v>8207.0499999999993</v>
      </c>
      <c r="H298" s="2">
        <v>11519.15</v>
      </c>
      <c r="I298" s="2">
        <v>15047.29</v>
      </c>
      <c r="J298" s="2">
        <v>19450.11</v>
      </c>
      <c r="K298" s="2">
        <v>24914.22</v>
      </c>
    </row>
    <row r="299" spans="1:11" x14ac:dyDescent="0.25">
      <c r="A299" t="s">
        <v>222</v>
      </c>
      <c r="B299" s="2">
        <v>3377.6</v>
      </c>
      <c r="C299" s="2">
        <v>4324.67</v>
      </c>
      <c r="D299" s="2">
        <v>5314.62</v>
      </c>
      <c r="E299" s="2">
        <v>6260.19</v>
      </c>
      <c r="F299" s="2">
        <v>8595.64</v>
      </c>
      <c r="G299" s="2">
        <v>11615.88</v>
      </c>
      <c r="H299" s="2">
        <v>15094.24</v>
      </c>
      <c r="I299" s="2">
        <v>19634.95</v>
      </c>
      <c r="J299" s="2">
        <v>24873.52</v>
      </c>
      <c r="K299" s="2">
        <v>31585.68</v>
      </c>
    </row>
    <row r="300" spans="1:11" x14ac:dyDescent="0.25">
      <c r="A300" t="s">
        <v>178</v>
      </c>
    </row>
    <row r="301" spans="1:11" x14ac:dyDescent="0.25">
      <c r="A301" t="s">
        <v>223</v>
      </c>
      <c r="B301">
        <v>22.61</v>
      </c>
      <c r="C301">
        <v>19.02</v>
      </c>
      <c r="D301">
        <v>51.46</v>
      </c>
      <c r="E301">
        <v>46.23</v>
      </c>
      <c r="F301">
        <v>20</v>
      </c>
      <c r="G301">
        <v>20</v>
      </c>
    </row>
    <row r="302" spans="1:11" x14ac:dyDescent="0.25">
      <c r="A302" t="s">
        <v>224</v>
      </c>
      <c r="B302">
        <v>1.22</v>
      </c>
      <c r="C302">
        <v>1.41</v>
      </c>
      <c r="D302">
        <v>1.61</v>
      </c>
      <c r="E302">
        <v>2.0699999999999998</v>
      </c>
      <c r="F302">
        <v>2.59</v>
      </c>
      <c r="G302">
        <v>5.37</v>
      </c>
      <c r="I302">
        <v>5.59</v>
      </c>
      <c r="J302">
        <v>6.73</v>
      </c>
      <c r="K302">
        <v>8.1300000000000008</v>
      </c>
    </row>
    <row r="303" spans="1:11" x14ac:dyDescent="0.25">
      <c r="A303" t="s">
        <v>225</v>
      </c>
      <c r="B303">
        <v>938.19</v>
      </c>
      <c r="C303" s="2">
        <v>1065.08</v>
      </c>
      <c r="D303" s="2">
        <v>1235.27</v>
      </c>
      <c r="E303" s="2">
        <v>1829.96</v>
      </c>
      <c r="F303" s="2">
        <v>2392.85</v>
      </c>
      <c r="G303" s="2">
        <v>3045.48</v>
      </c>
      <c r="H303" s="2">
        <v>3928.79</v>
      </c>
      <c r="I303" s="2">
        <v>4865.05</v>
      </c>
      <c r="J303" s="2">
        <v>6138.85</v>
      </c>
      <c r="K303" s="2">
        <v>7617.73</v>
      </c>
    </row>
    <row r="304" spans="1:11" x14ac:dyDescent="0.25">
      <c r="A304" t="s">
        <v>226</v>
      </c>
      <c r="B304">
        <v>0.98</v>
      </c>
      <c r="C304">
        <v>1.0900000000000001</v>
      </c>
      <c r="D304">
        <v>1.24</v>
      </c>
      <c r="E304">
        <v>1.8</v>
      </c>
      <c r="F304">
        <v>2.29</v>
      </c>
      <c r="G304">
        <v>2.89</v>
      </c>
      <c r="H304">
        <v>3.48</v>
      </c>
      <c r="I304">
        <v>4.05</v>
      </c>
      <c r="J304">
        <v>4.47</v>
      </c>
      <c r="K304">
        <v>4.91</v>
      </c>
    </row>
    <row r="305" spans="1:11" x14ac:dyDescent="0.25">
      <c r="A305" t="s">
        <v>227</v>
      </c>
      <c r="B305">
        <v>0.96</v>
      </c>
      <c r="C305">
        <v>1.0900000000000001</v>
      </c>
      <c r="D305">
        <v>1.24</v>
      </c>
      <c r="E305">
        <v>1.76</v>
      </c>
      <c r="F305">
        <v>2.2599999999999998</v>
      </c>
      <c r="G305">
        <v>2.84</v>
      </c>
      <c r="H305">
        <v>3.49</v>
      </c>
      <c r="I305">
        <v>4.05</v>
      </c>
      <c r="J305">
        <v>4.75</v>
      </c>
      <c r="K305">
        <v>5.56</v>
      </c>
    </row>
    <row r="306" spans="1:11" x14ac:dyDescent="0.25">
      <c r="A306" t="s">
        <v>228</v>
      </c>
      <c r="B306">
        <v>30.77</v>
      </c>
      <c r="C306">
        <v>27.01</v>
      </c>
      <c r="D306">
        <v>25.8</v>
      </c>
      <c r="E306">
        <v>30.48</v>
      </c>
      <c r="F306">
        <v>32.56</v>
      </c>
      <c r="G306">
        <v>34.17</v>
      </c>
      <c r="H306">
        <v>36.18</v>
      </c>
      <c r="I306">
        <v>36.369999999999997</v>
      </c>
      <c r="J306">
        <v>36.29</v>
      </c>
      <c r="K306">
        <v>36.909999999999997</v>
      </c>
    </row>
    <row r="307" spans="1:11" x14ac:dyDescent="0.25">
      <c r="A307" t="s">
        <v>229</v>
      </c>
      <c r="B307">
        <v>38.17</v>
      </c>
      <c r="C307">
        <v>34.950000000000003</v>
      </c>
      <c r="D307">
        <v>33.51</v>
      </c>
      <c r="E307">
        <v>39.26</v>
      </c>
      <c r="F307">
        <v>42.06</v>
      </c>
      <c r="G307">
        <v>43.01</v>
      </c>
      <c r="H307">
        <v>42.48</v>
      </c>
      <c r="I307">
        <v>41.28</v>
      </c>
      <c r="J307">
        <v>41.04</v>
      </c>
      <c r="K307">
        <v>40.049999999999997</v>
      </c>
    </row>
    <row r="308" spans="1:11" x14ac:dyDescent="0.25">
      <c r="A308" t="s">
        <v>230</v>
      </c>
      <c r="B308">
        <v>7.4</v>
      </c>
      <c r="C308">
        <v>7.94</v>
      </c>
      <c r="D308">
        <v>7.71</v>
      </c>
      <c r="E308">
        <v>8.82</v>
      </c>
      <c r="F308">
        <v>10.050000000000001</v>
      </c>
      <c r="G308">
        <v>9.2899999999999991</v>
      </c>
      <c r="H308">
        <v>7.65</v>
      </c>
      <c r="I308">
        <v>6.92</v>
      </c>
      <c r="J308">
        <v>6.37</v>
      </c>
      <c r="K308">
        <v>5.82</v>
      </c>
    </row>
    <row r="309" spans="1:11" x14ac:dyDescent="0.25">
      <c r="A309" t="s">
        <v>17</v>
      </c>
    </row>
    <row r="310" spans="1:11" x14ac:dyDescent="0.25">
      <c r="A310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2141-7647-41FE-B22B-D11650BE5C12}">
  <dimension ref="A1:U310"/>
  <sheetViews>
    <sheetView workbookViewId="0">
      <selection activeCell="F29" sqref="F29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42004</v>
      </c>
      <c r="C4" s="1">
        <v>42369</v>
      </c>
      <c r="D4" s="1">
        <v>42400</v>
      </c>
      <c r="E4" s="1">
        <v>42766</v>
      </c>
      <c r="F4" s="1">
        <v>43131</v>
      </c>
      <c r="G4" s="1">
        <v>43496</v>
      </c>
      <c r="H4" s="1">
        <v>43861</v>
      </c>
      <c r="I4" s="1">
        <v>44227</v>
      </c>
      <c r="J4" s="1">
        <v>44592</v>
      </c>
      <c r="K4" s="1">
        <v>44957</v>
      </c>
      <c r="L4" s="1">
        <v>45322</v>
      </c>
      <c r="M4" s="1">
        <v>45688</v>
      </c>
      <c r="N4" s="1">
        <v>46053</v>
      </c>
      <c r="O4" s="1">
        <v>46418</v>
      </c>
      <c r="P4" s="1">
        <v>46783</v>
      </c>
      <c r="Q4" s="1">
        <v>47149</v>
      </c>
      <c r="R4" s="1">
        <v>47514</v>
      </c>
      <c r="S4" s="1">
        <v>47879</v>
      </c>
      <c r="T4" s="1">
        <v>48244</v>
      </c>
      <c r="U4" s="1">
        <v>48610</v>
      </c>
    </row>
    <row r="5" spans="1:21" x14ac:dyDescent="0.25">
      <c r="A5" t="s">
        <v>14</v>
      </c>
    </row>
    <row r="6" spans="1:21" x14ac:dyDescent="0.25">
      <c r="A6" t="s">
        <v>15</v>
      </c>
      <c r="H6">
        <v>0.03</v>
      </c>
      <c r="I6">
        <v>7.0000000000000007E-2</v>
      </c>
      <c r="J6">
        <v>0.17</v>
      </c>
      <c r="K6">
        <v>0.39</v>
      </c>
      <c r="L6">
        <v>0.77</v>
      </c>
      <c r="M6">
        <v>0.98</v>
      </c>
      <c r="N6">
        <v>0.93</v>
      </c>
      <c r="O6">
        <v>1.25</v>
      </c>
      <c r="P6">
        <v>1.6</v>
      </c>
      <c r="Q6">
        <v>2.08</v>
      </c>
      <c r="R6">
        <v>2.7</v>
      </c>
      <c r="S6">
        <v>3.38</v>
      </c>
      <c r="T6">
        <v>4.26</v>
      </c>
      <c r="U6">
        <v>5.33</v>
      </c>
    </row>
    <row r="7" spans="1:21" x14ac:dyDescent="0.25">
      <c r="A7" t="s">
        <v>16</v>
      </c>
      <c r="H7">
        <v>481.41</v>
      </c>
      <c r="I7">
        <v>874.44</v>
      </c>
      <c r="J7" s="2">
        <v>1451.59</v>
      </c>
      <c r="K7" s="2">
        <v>2241.2399999999998</v>
      </c>
      <c r="L7" s="2">
        <v>3055.56</v>
      </c>
      <c r="M7" s="2">
        <v>3953.62</v>
      </c>
      <c r="N7" s="2">
        <v>4812.01</v>
      </c>
      <c r="O7" s="2">
        <v>6007.2</v>
      </c>
      <c r="P7" s="2">
        <v>7372.24</v>
      </c>
      <c r="Q7" s="2">
        <v>8989.5300000000007</v>
      </c>
      <c r="R7" s="2">
        <v>11076</v>
      </c>
      <c r="S7" s="2">
        <v>13495.17</v>
      </c>
      <c r="T7" s="2">
        <v>17139.5</v>
      </c>
      <c r="U7" s="2">
        <v>21028</v>
      </c>
    </row>
    <row r="8" spans="1:21" x14ac:dyDescent="0.25">
      <c r="A8" t="s">
        <v>17</v>
      </c>
    </row>
    <row r="9" spans="1:21" x14ac:dyDescent="0.25">
      <c r="A9" t="s">
        <v>18</v>
      </c>
      <c r="E9">
        <v>58.76</v>
      </c>
      <c r="F9">
        <v>141.31</v>
      </c>
      <c r="G9">
        <v>312.66000000000003</v>
      </c>
      <c r="H9">
        <v>600.46</v>
      </c>
      <c r="I9" s="2">
        <v>1050.05</v>
      </c>
      <c r="J9" s="2">
        <v>1731.34</v>
      </c>
      <c r="K9" s="2">
        <v>2559.69</v>
      </c>
      <c r="L9" s="2">
        <v>3435.15</v>
      </c>
      <c r="M9" s="2">
        <v>4241.84</v>
      </c>
      <c r="N9" s="2">
        <v>5252.75</v>
      </c>
      <c r="O9" s="2">
        <v>6608.96</v>
      </c>
      <c r="P9" s="2">
        <v>8188.14</v>
      </c>
      <c r="Q9" s="2">
        <v>9859.91</v>
      </c>
      <c r="R9" s="2">
        <v>11606.27</v>
      </c>
      <c r="S9" s="2">
        <v>13030.23</v>
      </c>
      <c r="T9" s="2">
        <v>17618.07</v>
      </c>
      <c r="U9" s="2">
        <v>20895.03</v>
      </c>
    </row>
    <row r="10" spans="1:21" x14ac:dyDescent="0.25">
      <c r="A10" t="s">
        <v>19</v>
      </c>
      <c r="L10">
        <v>400</v>
      </c>
      <c r="M10">
        <v>600</v>
      </c>
      <c r="N10">
        <v>800</v>
      </c>
      <c r="O10" s="2">
        <v>1059.8499999999999</v>
      </c>
      <c r="P10" s="2">
        <v>1352.23</v>
      </c>
      <c r="Q10" s="2">
        <v>1666.02</v>
      </c>
      <c r="R10" s="2">
        <v>2360.0500000000002</v>
      </c>
      <c r="S10" s="2">
        <v>2050.0500000000002</v>
      </c>
    </row>
    <row r="11" spans="1:21" x14ac:dyDescent="0.25">
      <c r="A11" t="s">
        <v>20</v>
      </c>
      <c r="L11">
        <v>300</v>
      </c>
      <c r="M11">
        <v>370</v>
      </c>
      <c r="N11">
        <v>520</v>
      </c>
      <c r="O11">
        <v>685.44</v>
      </c>
      <c r="P11">
        <v>900.43</v>
      </c>
      <c r="Q11" s="2">
        <v>1129.1099999999999</v>
      </c>
      <c r="R11" s="2">
        <v>1219.48</v>
      </c>
    </row>
    <row r="12" spans="1:21" x14ac:dyDescent="0.25">
      <c r="A12" t="s">
        <v>21</v>
      </c>
      <c r="L12">
        <v>150</v>
      </c>
      <c r="M12">
        <v>330</v>
      </c>
      <c r="N12">
        <v>585</v>
      </c>
      <c r="O12">
        <v>890.22</v>
      </c>
      <c r="P12" s="2">
        <v>1264.82</v>
      </c>
      <c r="Q12" s="2">
        <v>1739.93</v>
      </c>
      <c r="R12" s="2">
        <v>2266.9499999999998</v>
      </c>
      <c r="S12" s="2">
        <v>2573.85</v>
      </c>
    </row>
    <row r="13" spans="1:21" x14ac:dyDescent="0.25">
      <c r="A13" t="s">
        <v>22</v>
      </c>
      <c r="H13">
        <v>287.8</v>
      </c>
      <c r="I13">
        <v>449.6</v>
      </c>
      <c r="J13">
        <v>681.3</v>
      </c>
      <c r="K13">
        <v>828.4</v>
      </c>
      <c r="L13">
        <v>875.5</v>
      </c>
      <c r="M13">
        <v>807</v>
      </c>
      <c r="N13" s="2">
        <v>1011</v>
      </c>
      <c r="O13" s="2">
        <v>1350.36</v>
      </c>
      <c r="P13" s="2">
        <v>1589.41</v>
      </c>
      <c r="Q13" s="2">
        <v>1677.08</v>
      </c>
      <c r="R13" s="2">
        <v>1768.41</v>
      </c>
      <c r="S13" s="2">
        <v>1983.44</v>
      </c>
      <c r="T13" s="2">
        <v>2850.2</v>
      </c>
      <c r="U13" s="2">
        <v>3276.96</v>
      </c>
    </row>
    <row r="14" spans="1:21" x14ac:dyDescent="0.25">
      <c r="A14" t="s">
        <v>17</v>
      </c>
    </row>
    <row r="15" spans="1:21" x14ac:dyDescent="0.25">
      <c r="A15" t="s">
        <v>23</v>
      </c>
      <c r="E15">
        <v>104</v>
      </c>
      <c r="F15">
        <v>119</v>
      </c>
      <c r="G15">
        <v>147</v>
      </c>
      <c r="H15">
        <v>124</v>
      </c>
      <c r="I15">
        <v>125</v>
      </c>
      <c r="J15">
        <v>123.9</v>
      </c>
      <c r="K15">
        <v>125.3</v>
      </c>
      <c r="L15">
        <v>119</v>
      </c>
      <c r="M15">
        <v>112</v>
      </c>
      <c r="N15">
        <v>115</v>
      </c>
      <c r="O15">
        <v>116.33</v>
      </c>
      <c r="P15">
        <v>116.39</v>
      </c>
      <c r="Q15">
        <v>114.99</v>
      </c>
      <c r="R15">
        <v>112.75</v>
      </c>
      <c r="S15">
        <v>115</v>
      </c>
      <c r="T15">
        <v>114.5</v>
      </c>
      <c r="U15">
        <v>114</v>
      </c>
    </row>
    <row r="16" spans="1:21" x14ac:dyDescent="0.25">
      <c r="A16" t="s">
        <v>24</v>
      </c>
      <c r="H16">
        <v>762.51</v>
      </c>
      <c r="I16" s="2">
        <v>1215.17</v>
      </c>
      <c r="J16" s="2">
        <v>2069.02</v>
      </c>
      <c r="K16" s="2">
        <v>3067.03</v>
      </c>
      <c r="L16" s="2">
        <v>3754.54</v>
      </c>
      <c r="M16" s="2">
        <v>4628.2</v>
      </c>
      <c r="N16" s="2">
        <v>5836.77</v>
      </c>
      <c r="O16" s="2">
        <v>7095.86</v>
      </c>
      <c r="P16" s="2">
        <v>8628.9500000000007</v>
      </c>
      <c r="Q16" s="2">
        <v>9994.6200000000008</v>
      </c>
      <c r="R16" s="2">
        <v>12459.75</v>
      </c>
      <c r="S16" s="2">
        <v>14552.23</v>
      </c>
      <c r="T16" s="2">
        <v>16253.68</v>
      </c>
      <c r="U16" s="2">
        <v>18373.3</v>
      </c>
    </row>
    <row r="17" spans="1:21" x14ac:dyDescent="0.25">
      <c r="A17" t="s">
        <v>25</v>
      </c>
      <c r="H17">
        <v>764</v>
      </c>
      <c r="I17" s="2">
        <v>1400</v>
      </c>
      <c r="J17" s="2">
        <v>2300</v>
      </c>
      <c r="K17" s="2">
        <v>3400</v>
      </c>
      <c r="L17" s="2">
        <v>4600</v>
      </c>
      <c r="M17" s="2">
        <v>6500</v>
      </c>
      <c r="N17" s="2">
        <v>9000</v>
      </c>
      <c r="O17" s="2">
        <v>12195.42</v>
      </c>
      <c r="P17" s="2">
        <v>13704.35</v>
      </c>
      <c r="Q17" s="2">
        <v>18810.73</v>
      </c>
      <c r="R17" s="2">
        <v>26557.02</v>
      </c>
      <c r="S17" s="2">
        <v>26056.09</v>
      </c>
      <c r="T17" s="2">
        <v>38548.400000000001</v>
      </c>
      <c r="U17" s="2">
        <v>46573.11</v>
      </c>
    </row>
    <row r="18" spans="1:21" x14ac:dyDescent="0.25">
      <c r="A18" t="s">
        <v>26</v>
      </c>
      <c r="G18">
        <v>55.6</v>
      </c>
      <c r="H18">
        <v>192.8</v>
      </c>
      <c r="I18">
        <v>70.37</v>
      </c>
      <c r="J18">
        <v>735.76</v>
      </c>
      <c r="K18" s="2">
        <v>1013.37</v>
      </c>
      <c r="L18" s="2">
        <v>1500</v>
      </c>
      <c r="M18" s="2">
        <v>2800</v>
      </c>
      <c r="N18" s="2">
        <v>4200</v>
      </c>
      <c r="O18" s="2">
        <v>6305.48</v>
      </c>
      <c r="P18" s="2">
        <v>7883.3</v>
      </c>
      <c r="Q18" s="2">
        <v>9901.7099999999991</v>
      </c>
      <c r="R18" s="2">
        <v>12093.53</v>
      </c>
      <c r="S18" s="2">
        <v>14882.59</v>
      </c>
      <c r="T18" s="2">
        <v>24485.599999999999</v>
      </c>
      <c r="U18" s="2">
        <v>30117.33</v>
      </c>
    </row>
    <row r="19" spans="1:21" x14ac:dyDescent="0.25">
      <c r="A19" t="s">
        <v>17</v>
      </c>
    </row>
    <row r="20" spans="1:21" x14ac:dyDescent="0.25">
      <c r="A20" t="s">
        <v>27</v>
      </c>
      <c r="G20">
        <v>290.07</v>
      </c>
      <c r="H20">
        <v>571.16999999999996</v>
      </c>
      <c r="I20">
        <v>911.9</v>
      </c>
      <c r="J20" s="2">
        <v>1529.32</v>
      </c>
      <c r="K20" s="2">
        <v>2355.11</v>
      </c>
      <c r="L20" s="2">
        <v>3054.1</v>
      </c>
      <c r="M20" s="2">
        <v>3728.68</v>
      </c>
      <c r="N20" s="2">
        <v>4753.4399999999996</v>
      </c>
      <c r="O20" s="2">
        <v>5834</v>
      </c>
      <c r="P20" s="2">
        <v>7078.23</v>
      </c>
      <c r="Q20" s="2">
        <v>8635.93</v>
      </c>
      <c r="R20" s="2">
        <v>10379.56</v>
      </c>
      <c r="S20" s="2">
        <v>12394.74</v>
      </c>
      <c r="T20" s="2">
        <v>13485.24</v>
      </c>
      <c r="U20" s="2">
        <v>15456.59</v>
      </c>
    </row>
    <row r="21" spans="1:21" x14ac:dyDescent="0.25">
      <c r="A21" t="s">
        <v>28</v>
      </c>
      <c r="E21">
        <v>-9.35</v>
      </c>
      <c r="F21">
        <v>-25.34</v>
      </c>
      <c r="G21">
        <v>131.12</v>
      </c>
      <c r="H21">
        <v>280.77</v>
      </c>
      <c r="I21">
        <v>338.8</v>
      </c>
      <c r="J21">
        <v>616.41</v>
      </c>
      <c r="K21">
        <v>825.75</v>
      </c>
      <c r="L21">
        <v>696.64</v>
      </c>
      <c r="M21">
        <v>669.26</v>
      </c>
      <c r="N21" s="2">
        <v>1023.86</v>
      </c>
      <c r="O21" s="2">
        <v>1085.94</v>
      </c>
      <c r="P21" s="2">
        <v>1225.3599999999999</v>
      </c>
      <c r="Q21" s="2">
        <v>1399.42</v>
      </c>
      <c r="R21" s="2">
        <v>1842.99</v>
      </c>
      <c r="S21" s="2">
        <v>2203.41</v>
      </c>
      <c r="T21" s="2">
        <v>1548.22</v>
      </c>
      <c r="U21" s="2">
        <v>1549.73</v>
      </c>
    </row>
    <row r="22" spans="1:21" x14ac:dyDescent="0.25">
      <c r="A22" t="s">
        <v>17</v>
      </c>
    </row>
    <row r="23" spans="1:21" x14ac:dyDescent="0.25">
      <c r="A23" t="s">
        <v>29</v>
      </c>
      <c r="H23">
        <v>-65.64</v>
      </c>
      <c r="I23">
        <v>62.35</v>
      </c>
      <c r="J23">
        <v>196.18</v>
      </c>
      <c r="K23">
        <v>355.62</v>
      </c>
      <c r="L23">
        <v>660.3</v>
      </c>
      <c r="M23">
        <v>837.7</v>
      </c>
      <c r="N23" s="2">
        <v>1046.47</v>
      </c>
      <c r="O23" s="2">
        <v>1504.05</v>
      </c>
      <c r="P23" s="2">
        <v>1934.9</v>
      </c>
      <c r="Q23" s="2">
        <v>2514.5</v>
      </c>
      <c r="R23" s="2">
        <v>3337.71</v>
      </c>
      <c r="S23" s="2">
        <v>4199.83</v>
      </c>
      <c r="T23" s="2">
        <v>5401</v>
      </c>
      <c r="U23" s="2">
        <v>6754</v>
      </c>
    </row>
    <row r="24" spans="1:21" x14ac:dyDescent="0.25">
      <c r="A24" t="s">
        <v>30</v>
      </c>
      <c r="H24">
        <v>72.25</v>
      </c>
      <c r="I24">
        <v>75.900000000000006</v>
      </c>
      <c r="J24">
        <v>76.55</v>
      </c>
      <c r="K24">
        <v>76</v>
      </c>
      <c r="L24">
        <v>78</v>
      </c>
      <c r="M24">
        <v>78</v>
      </c>
      <c r="N24">
        <v>78</v>
      </c>
      <c r="O24">
        <v>78.69</v>
      </c>
      <c r="P24">
        <v>79.13</v>
      </c>
      <c r="Q24">
        <v>79.94</v>
      </c>
      <c r="R24">
        <v>81.489999999999995</v>
      </c>
      <c r="S24">
        <v>82.04</v>
      </c>
      <c r="T24">
        <v>81.55</v>
      </c>
      <c r="U24">
        <v>81.81</v>
      </c>
    </row>
    <row r="25" spans="1:21" x14ac:dyDescent="0.25">
      <c r="A25" t="s">
        <v>31</v>
      </c>
      <c r="E25">
        <v>-167.72</v>
      </c>
      <c r="F25">
        <v>-99.62</v>
      </c>
      <c r="G25">
        <v>-46.34</v>
      </c>
      <c r="H25">
        <v>-13.63</v>
      </c>
      <c r="I25">
        <v>7.13</v>
      </c>
      <c r="J25">
        <v>13.51</v>
      </c>
      <c r="K25">
        <v>15.87</v>
      </c>
      <c r="L25">
        <v>21.61</v>
      </c>
      <c r="M25">
        <v>21.19</v>
      </c>
      <c r="N25">
        <v>21.75</v>
      </c>
      <c r="O25">
        <v>25.07</v>
      </c>
      <c r="P25">
        <v>26.72</v>
      </c>
      <c r="Q25">
        <v>28.73</v>
      </c>
      <c r="R25">
        <v>30.17</v>
      </c>
      <c r="S25">
        <v>31.2</v>
      </c>
      <c r="T25">
        <v>31.68</v>
      </c>
      <c r="U25">
        <v>32.409999999999997</v>
      </c>
    </row>
    <row r="26" spans="1:21" x14ac:dyDescent="0.25">
      <c r="A26" t="s">
        <v>17</v>
      </c>
    </row>
    <row r="27" spans="1:21" x14ac:dyDescent="0.25">
      <c r="A27" t="s">
        <v>32</v>
      </c>
    </row>
    <row r="28" spans="1:21" x14ac:dyDescent="0.25">
      <c r="A28" t="s">
        <v>33</v>
      </c>
      <c r="E28">
        <v>37.9</v>
      </c>
      <c r="F28">
        <v>92.57</v>
      </c>
      <c r="G28">
        <v>219.4</v>
      </c>
      <c r="H28">
        <v>436.32</v>
      </c>
      <c r="I28">
        <v>804.67</v>
      </c>
      <c r="J28" s="2">
        <v>1359.54</v>
      </c>
      <c r="K28" s="2">
        <v>2111.66</v>
      </c>
      <c r="L28" s="2">
        <v>2870.56</v>
      </c>
      <c r="M28" s="2">
        <v>3761.48</v>
      </c>
      <c r="N28" s="2">
        <v>4564.68</v>
      </c>
      <c r="O28" s="2">
        <v>5728.28</v>
      </c>
      <c r="P28" s="2">
        <v>7065.12</v>
      </c>
      <c r="Q28" s="2">
        <v>8635.5499999999993</v>
      </c>
      <c r="R28" s="2">
        <v>10655.34</v>
      </c>
      <c r="S28" s="2">
        <v>13015.66</v>
      </c>
      <c r="T28" s="2">
        <v>16531.86</v>
      </c>
      <c r="U28" s="2">
        <v>20316.900000000001</v>
      </c>
    </row>
    <row r="29" spans="1:21" x14ac:dyDescent="0.25">
      <c r="A29" t="s">
        <v>34</v>
      </c>
      <c r="E29">
        <v>14.85</v>
      </c>
      <c r="F29">
        <v>26.18</v>
      </c>
      <c r="G29">
        <v>30.42</v>
      </c>
      <c r="H29">
        <v>45.09</v>
      </c>
      <c r="I29">
        <v>69.77</v>
      </c>
      <c r="J29">
        <v>92.06</v>
      </c>
      <c r="K29">
        <v>129.58000000000001</v>
      </c>
      <c r="L29">
        <v>185</v>
      </c>
      <c r="M29">
        <v>192.14</v>
      </c>
      <c r="N29">
        <v>247.32</v>
      </c>
      <c r="O29">
        <v>279.47000000000003</v>
      </c>
      <c r="P29">
        <v>307.49</v>
      </c>
      <c r="Q29">
        <v>343.43</v>
      </c>
      <c r="R29">
        <v>420.63</v>
      </c>
      <c r="S29">
        <v>479.52</v>
      </c>
      <c r="T29">
        <v>607.70000000000005</v>
      </c>
      <c r="U29">
        <v>711.13</v>
      </c>
    </row>
    <row r="30" spans="1:21" x14ac:dyDescent="0.25">
      <c r="A30" t="s">
        <v>17</v>
      </c>
    </row>
    <row r="31" spans="1:21" x14ac:dyDescent="0.25">
      <c r="A31" t="s">
        <v>35</v>
      </c>
      <c r="E31">
        <v>1.99</v>
      </c>
      <c r="F31">
        <v>12.34</v>
      </c>
      <c r="G31">
        <v>20.51</v>
      </c>
      <c r="H31">
        <v>79.94</v>
      </c>
      <c r="I31">
        <v>149.68</v>
      </c>
      <c r="J31">
        <v>309.95</v>
      </c>
      <c r="K31">
        <v>526.5</v>
      </c>
      <c r="L31">
        <v>631.52</v>
      </c>
      <c r="M31">
        <v>865.42</v>
      </c>
      <c r="N31" s="2">
        <v>1096.68</v>
      </c>
      <c r="O31" s="2">
        <v>1473.24</v>
      </c>
      <c r="P31" s="2">
        <v>1725.62</v>
      </c>
      <c r="Q31" s="2">
        <v>1962.76</v>
      </c>
      <c r="R31" s="2">
        <v>2022.74</v>
      </c>
      <c r="S31" s="2">
        <v>2135.62</v>
      </c>
      <c r="T31" s="2">
        <v>2197.48</v>
      </c>
      <c r="U31" s="2">
        <v>2329.15</v>
      </c>
    </row>
    <row r="32" spans="1:21" x14ac:dyDescent="0.25">
      <c r="A32" t="s">
        <v>17</v>
      </c>
    </row>
    <row r="33" spans="1:21" x14ac:dyDescent="0.25">
      <c r="A33" t="s">
        <v>36</v>
      </c>
      <c r="E33">
        <v>-64.650000000000006</v>
      </c>
      <c r="F33">
        <v>-94.99</v>
      </c>
      <c r="G33">
        <v>-65.61</v>
      </c>
      <c r="H33">
        <v>12.46</v>
      </c>
      <c r="I33">
        <v>292.89999999999998</v>
      </c>
      <c r="J33">
        <v>441.78</v>
      </c>
      <c r="K33">
        <v>676.83</v>
      </c>
      <c r="L33">
        <v>938.19</v>
      </c>
      <c r="M33" s="2">
        <v>1065.08</v>
      </c>
      <c r="N33" s="2">
        <v>1235.27</v>
      </c>
      <c r="O33" s="2">
        <v>1829.96</v>
      </c>
      <c r="P33" s="2">
        <v>2392.85</v>
      </c>
      <c r="Q33" s="2">
        <v>3045.48</v>
      </c>
      <c r="R33" s="2">
        <v>3928.79</v>
      </c>
      <c r="S33" s="2">
        <v>4876.26</v>
      </c>
      <c r="T33" s="2">
        <v>6230.21</v>
      </c>
      <c r="U33" s="2">
        <v>7778.32</v>
      </c>
    </row>
    <row r="34" spans="1:21" x14ac:dyDescent="0.25">
      <c r="A34" t="s">
        <v>17</v>
      </c>
    </row>
    <row r="35" spans="1:21" x14ac:dyDescent="0.25">
      <c r="A35" t="s">
        <v>37</v>
      </c>
    </row>
    <row r="36" spans="1:21" x14ac:dyDescent="0.25">
      <c r="A36" t="s">
        <v>17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E39">
        <v>58.76</v>
      </c>
      <c r="F39">
        <v>141.31</v>
      </c>
      <c r="G39">
        <v>312.66000000000003</v>
      </c>
      <c r="H39">
        <v>600.46</v>
      </c>
      <c r="I39" s="2">
        <v>1050.05</v>
      </c>
      <c r="J39" s="2">
        <v>1731.34</v>
      </c>
      <c r="K39" s="2">
        <v>2559.69</v>
      </c>
      <c r="L39" s="2">
        <v>3435.15</v>
      </c>
      <c r="M39" s="2">
        <v>4241.84</v>
      </c>
      <c r="N39" s="2">
        <v>5252.75</v>
      </c>
      <c r="O39" s="2">
        <v>6608.96</v>
      </c>
      <c r="P39" s="2">
        <v>8188.14</v>
      </c>
      <c r="Q39" s="2">
        <v>9859.91</v>
      </c>
      <c r="R39" s="2">
        <v>11606.27</v>
      </c>
      <c r="S39" s="2">
        <v>13030.23</v>
      </c>
      <c r="T39" s="2">
        <v>17618.07</v>
      </c>
      <c r="U39" s="2">
        <v>20895.03</v>
      </c>
    </row>
    <row r="40" spans="1:21" x14ac:dyDescent="0.25">
      <c r="A40" t="s">
        <v>41</v>
      </c>
      <c r="O40" s="2">
        <v>138496.04</v>
      </c>
      <c r="P40" s="2">
        <v>136067.85</v>
      </c>
      <c r="Q40" s="2">
        <v>1080973.28</v>
      </c>
      <c r="R40" s="2">
        <v>107268.1</v>
      </c>
      <c r="S40" s="2">
        <v>180228.93</v>
      </c>
      <c r="T40" s="2">
        <v>279088.15999999997</v>
      </c>
      <c r="U40" s="2">
        <v>311968.48</v>
      </c>
    </row>
    <row r="41" spans="1:21" x14ac:dyDescent="0.25">
      <c r="A41" t="s">
        <v>22</v>
      </c>
      <c r="H41">
        <v>287.8</v>
      </c>
      <c r="I41">
        <v>449.6</v>
      </c>
      <c r="J41">
        <v>681.3</v>
      </c>
      <c r="K41">
        <v>828.4</v>
      </c>
      <c r="L41">
        <v>875.5</v>
      </c>
      <c r="M41">
        <v>807</v>
      </c>
      <c r="N41" s="2">
        <v>1011</v>
      </c>
      <c r="O41" s="2">
        <v>1350.36</v>
      </c>
      <c r="P41" s="2">
        <v>1589.41</v>
      </c>
      <c r="Q41" s="2">
        <v>1677.08</v>
      </c>
      <c r="R41" s="2">
        <v>1768.41</v>
      </c>
      <c r="S41" s="2">
        <v>1983.44</v>
      </c>
      <c r="T41" s="2">
        <v>2850.2</v>
      </c>
      <c r="U41" s="2">
        <v>3276.96</v>
      </c>
    </row>
    <row r="42" spans="1:21" x14ac:dyDescent="0.25">
      <c r="A42" t="s">
        <v>17</v>
      </c>
    </row>
    <row r="43" spans="1:21" x14ac:dyDescent="0.25">
      <c r="A43" t="s">
        <v>42</v>
      </c>
      <c r="H43">
        <v>-1.58</v>
      </c>
      <c r="J43">
        <v>9.5</v>
      </c>
      <c r="L43">
        <v>7.8</v>
      </c>
      <c r="M43">
        <v>0</v>
      </c>
      <c r="O43">
        <v>3.76</v>
      </c>
    </row>
    <row r="44" spans="1:21" x14ac:dyDescent="0.25">
      <c r="A44" t="s">
        <v>17</v>
      </c>
    </row>
    <row r="45" spans="1:21" x14ac:dyDescent="0.25">
      <c r="A45" t="s">
        <v>43</v>
      </c>
      <c r="F45">
        <v>910</v>
      </c>
      <c r="G45" s="2">
        <v>1455</v>
      </c>
      <c r="H45" s="2">
        <v>2309</v>
      </c>
      <c r="I45" s="2">
        <v>3394</v>
      </c>
      <c r="J45" s="2">
        <v>4965</v>
      </c>
      <c r="K45" s="2">
        <v>7273</v>
      </c>
      <c r="L45" s="2">
        <v>7925</v>
      </c>
      <c r="M45" s="2">
        <v>10118</v>
      </c>
      <c r="N45" s="2">
        <v>10698</v>
      </c>
    </row>
    <row r="46" spans="1:21" x14ac:dyDescent="0.25">
      <c r="A46" t="s">
        <v>23</v>
      </c>
      <c r="E46">
        <v>104</v>
      </c>
      <c r="F46">
        <v>119</v>
      </c>
      <c r="G46">
        <v>147</v>
      </c>
      <c r="H46">
        <v>124</v>
      </c>
      <c r="I46">
        <v>125</v>
      </c>
      <c r="J46">
        <v>123.9</v>
      </c>
      <c r="K46">
        <v>125.3</v>
      </c>
      <c r="L46">
        <v>119</v>
      </c>
      <c r="M46">
        <v>112</v>
      </c>
      <c r="N46">
        <v>115</v>
      </c>
      <c r="O46">
        <v>116.33</v>
      </c>
      <c r="P46">
        <v>116.39</v>
      </c>
      <c r="Q46">
        <v>114.99</v>
      </c>
      <c r="R46">
        <v>112.75</v>
      </c>
      <c r="S46">
        <v>115</v>
      </c>
      <c r="T46">
        <v>114.5</v>
      </c>
      <c r="U46">
        <v>114</v>
      </c>
    </row>
    <row r="47" spans="1:21" x14ac:dyDescent="0.25">
      <c r="A47" t="s">
        <v>44</v>
      </c>
      <c r="F47">
        <v>96</v>
      </c>
      <c r="G47">
        <v>98</v>
      </c>
      <c r="H47">
        <v>98</v>
      </c>
      <c r="I47">
        <v>98</v>
      </c>
      <c r="J47">
        <v>98.1</v>
      </c>
      <c r="K47">
        <v>98</v>
      </c>
      <c r="L47">
        <v>98</v>
      </c>
      <c r="M47">
        <v>97</v>
      </c>
      <c r="N47">
        <v>97</v>
      </c>
      <c r="O47">
        <v>97.38</v>
      </c>
      <c r="P47">
        <v>97.42</v>
      </c>
      <c r="Q47">
        <v>97.3</v>
      </c>
      <c r="R47">
        <v>97.5</v>
      </c>
      <c r="S47">
        <v>98</v>
      </c>
      <c r="T47">
        <v>98</v>
      </c>
      <c r="U47">
        <v>98</v>
      </c>
    </row>
    <row r="48" spans="1:21" x14ac:dyDescent="0.25">
      <c r="A48" t="s">
        <v>17</v>
      </c>
    </row>
    <row r="49" spans="1:21" x14ac:dyDescent="0.25">
      <c r="A49" t="s">
        <v>45</v>
      </c>
    </row>
    <row r="50" spans="1:21" x14ac:dyDescent="0.25">
      <c r="A50" t="s">
        <v>46</v>
      </c>
      <c r="N50">
        <v>50</v>
      </c>
      <c r="O50">
        <v>49</v>
      </c>
      <c r="P50">
        <v>50.5</v>
      </c>
      <c r="Q50">
        <v>49</v>
      </c>
    </row>
    <row r="51" spans="1:21" x14ac:dyDescent="0.25">
      <c r="A51" t="s">
        <v>47</v>
      </c>
      <c r="N51">
        <v>34</v>
      </c>
      <c r="O51">
        <v>35</v>
      </c>
      <c r="P51">
        <v>37</v>
      </c>
    </row>
    <row r="52" spans="1:21" x14ac:dyDescent="0.25">
      <c r="A52" t="s">
        <v>48</v>
      </c>
      <c r="N52">
        <v>24</v>
      </c>
    </row>
    <row r="53" spans="1:21" x14ac:dyDescent="0.25">
      <c r="A53" t="s">
        <v>17</v>
      </c>
    </row>
    <row r="54" spans="1:21" x14ac:dyDescent="0.25">
      <c r="A54" t="s">
        <v>24</v>
      </c>
      <c r="H54">
        <v>762.51</v>
      </c>
      <c r="I54" s="2">
        <v>1215.17</v>
      </c>
      <c r="J54" s="2">
        <v>2069.02</v>
      </c>
      <c r="K54" s="2">
        <v>3067.03</v>
      </c>
      <c r="L54" s="2">
        <v>3754.54</v>
      </c>
      <c r="M54" s="2">
        <v>4628.2</v>
      </c>
      <c r="N54" s="2">
        <v>5836.77</v>
      </c>
      <c r="O54" s="2">
        <v>7095.86</v>
      </c>
      <c r="P54" s="2">
        <v>8628.9500000000007</v>
      </c>
      <c r="Q54" s="2">
        <v>9994.6200000000008</v>
      </c>
      <c r="R54" s="2">
        <v>12459.75</v>
      </c>
      <c r="S54" s="2">
        <v>14552.23</v>
      </c>
      <c r="T54" s="2">
        <v>16253.68</v>
      </c>
      <c r="U54" s="2">
        <v>18373.3</v>
      </c>
    </row>
    <row r="55" spans="1:21" x14ac:dyDescent="0.25">
      <c r="A55" t="s">
        <v>27</v>
      </c>
      <c r="G55">
        <v>290.07</v>
      </c>
      <c r="H55">
        <v>571.16999999999996</v>
      </c>
      <c r="I55">
        <v>911.9</v>
      </c>
      <c r="J55" s="2">
        <v>1529.32</v>
      </c>
      <c r="K55" s="2">
        <v>2355.11</v>
      </c>
      <c r="L55" s="2">
        <v>3054.1</v>
      </c>
      <c r="M55" s="2">
        <v>3728.68</v>
      </c>
      <c r="N55" s="2">
        <v>4753.4399999999996</v>
      </c>
      <c r="O55" s="2">
        <v>5834</v>
      </c>
      <c r="P55" s="2">
        <v>7078.23</v>
      </c>
      <c r="Q55" s="2">
        <v>8635.93</v>
      </c>
      <c r="R55" s="2">
        <v>10379.56</v>
      </c>
      <c r="S55" s="2">
        <v>12394.74</v>
      </c>
      <c r="T55" s="2">
        <v>13485.24</v>
      </c>
      <c r="U55" s="2">
        <v>15456.59</v>
      </c>
    </row>
    <row r="56" spans="1:21" x14ac:dyDescent="0.25">
      <c r="A56" t="s">
        <v>28</v>
      </c>
      <c r="E56">
        <v>-9.35</v>
      </c>
      <c r="F56">
        <v>-25.34</v>
      </c>
      <c r="G56">
        <v>131.12</v>
      </c>
      <c r="H56">
        <v>280.77</v>
      </c>
      <c r="I56">
        <v>338.8</v>
      </c>
      <c r="J56">
        <v>616.41</v>
      </c>
      <c r="K56">
        <v>825.75</v>
      </c>
      <c r="L56">
        <v>696.64</v>
      </c>
      <c r="M56">
        <v>669.26</v>
      </c>
      <c r="N56" s="2">
        <v>1023.86</v>
      </c>
      <c r="O56" s="2">
        <v>1085.94</v>
      </c>
      <c r="P56" s="2">
        <v>1225.3599999999999</v>
      </c>
      <c r="Q56" s="2">
        <v>1399.42</v>
      </c>
      <c r="R56" s="2">
        <v>1842.99</v>
      </c>
      <c r="S56" s="2">
        <v>2203.41</v>
      </c>
      <c r="T56" s="2">
        <v>1548.22</v>
      </c>
      <c r="U56" s="2">
        <v>1549.73</v>
      </c>
    </row>
    <row r="57" spans="1:21" x14ac:dyDescent="0.25">
      <c r="A57" t="s">
        <v>49</v>
      </c>
      <c r="F57">
        <v>183.84</v>
      </c>
      <c r="G57">
        <v>135.11000000000001</v>
      </c>
      <c r="H57">
        <v>125.09</v>
      </c>
      <c r="I57">
        <v>100.12</v>
      </c>
      <c r="J57">
        <v>92.57</v>
      </c>
      <c r="K57">
        <v>101.98</v>
      </c>
      <c r="L57">
        <v>101.91</v>
      </c>
      <c r="M57">
        <v>104.47</v>
      </c>
      <c r="N57">
        <v>103.3</v>
      </c>
      <c r="O57">
        <v>76.930000000000007</v>
      </c>
      <c r="P57">
        <v>79.239999999999995</v>
      </c>
      <c r="Q57">
        <v>79.260000000000005</v>
      </c>
      <c r="R57">
        <v>64.94</v>
      </c>
      <c r="S57">
        <v>58.62</v>
      </c>
      <c r="T57">
        <v>97.25</v>
      </c>
      <c r="U57">
        <v>94.25</v>
      </c>
    </row>
    <row r="58" spans="1:21" x14ac:dyDescent="0.25">
      <c r="A58" t="s">
        <v>25</v>
      </c>
      <c r="H58">
        <v>764</v>
      </c>
      <c r="I58" s="2">
        <v>1400</v>
      </c>
      <c r="J58" s="2">
        <v>2300</v>
      </c>
      <c r="K58" s="2">
        <v>3400</v>
      </c>
      <c r="L58" s="2">
        <v>4600</v>
      </c>
      <c r="M58" s="2">
        <v>6500</v>
      </c>
      <c r="N58" s="2">
        <v>9000</v>
      </c>
      <c r="O58" s="2">
        <v>12195.42</v>
      </c>
      <c r="P58" s="2">
        <v>13704.35</v>
      </c>
      <c r="Q58" s="2">
        <v>18810.73</v>
      </c>
      <c r="R58" s="2">
        <v>26557.02</v>
      </c>
      <c r="S58" s="2">
        <v>26056.09</v>
      </c>
      <c r="T58" s="2">
        <v>38548.400000000001</v>
      </c>
      <c r="U58" s="2">
        <v>46573.11</v>
      </c>
    </row>
    <row r="59" spans="1:21" x14ac:dyDescent="0.25">
      <c r="A59" t="s">
        <v>50</v>
      </c>
      <c r="H59">
        <v>527.16</v>
      </c>
      <c r="I59" s="2">
        <v>1008</v>
      </c>
      <c r="J59" s="2">
        <v>1495</v>
      </c>
      <c r="K59" s="2">
        <v>2142</v>
      </c>
      <c r="L59" s="2">
        <v>2760</v>
      </c>
      <c r="M59" s="2">
        <v>3445</v>
      </c>
      <c r="N59" s="2">
        <v>4590</v>
      </c>
      <c r="O59" s="2">
        <v>6553.68</v>
      </c>
      <c r="P59" s="2">
        <v>8130.25</v>
      </c>
      <c r="Q59" s="2">
        <v>10307.870000000001</v>
      </c>
      <c r="R59" s="2">
        <v>13295.16</v>
      </c>
      <c r="S59" s="2">
        <v>16774.11</v>
      </c>
      <c r="T59" s="2">
        <v>19274.2</v>
      </c>
      <c r="U59" s="2">
        <v>23286.55</v>
      </c>
    </row>
    <row r="60" spans="1:21" x14ac:dyDescent="0.25">
      <c r="A60" t="s">
        <v>26</v>
      </c>
      <c r="G60">
        <v>55.6</v>
      </c>
      <c r="H60">
        <v>192.8</v>
      </c>
      <c r="I60">
        <v>70.37</v>
      </c>
      <c r="J60">
        <v>735.76</v>
      </c>
      <c r="K60" s="2">
        <v>1013.37</v>
      </c>
      <c r="L60" s="2">
        <v>1500</v>
      </c>
      <c r="M60" s="2">
        <v>2800</v>
      </c>
      <c r="N60" s="2">
        <v>4200</v>
      </c>
      <c r="O60" s="2">
        <v>6305.48</v>
      </c>
      <c r="P60" s="2">
        <v>7883.3</v>
      </c>
      <c r="Q60" s="2">
        <v>9901.7099999999991</v>
      </c>
      <c r="R60" s="2">
        <v>12093.53</v>
      </c>
      <c r="S60" s="2">
        <v>14882.59</v>
      </c>
      <c r="T60" s="2">
        <v>24485.599999999999</v>
      </c>
      <c r="U60" s="2">
        <v>30117.33</v>
      </c>
    </row>
    <row r="61" spans="1:21" x14ac:dyDescent="0.25">
      <c r="A61" t="s">
        <v>17</v>
      </c>
    </row>
    <row r="62" spans="1:21" x14ac:dyDescent="0.25">
      <c r="A62" t="s">
        <v>51</v>
      </c>
    </row>
    <row r="63" spans="1:21" x14ac:dyDescent="0.25">
      <c r="A63" t="s">
        <v>52</v>
      </c>
      <c r="E63">
        <v>0.45</v>
      </c>
      <c r="F63">
        <v>1.24</v>
      </c>
      <c r="G63">
        <v>2.52</v>
      </c>
      <c r="H63">
        <v>5.43</v>
      </c>
      <c r="I63">
        <v>9.9</v>
      </c>
      <c r="J63">
        <v>16.329999999999998</v>
      </c>
      <c r="K63">
        <v>23.02</v>
      </c>
      <c r="L63">
        <v>29</v>
      </c>
      <c r="O63">
        <v>44.66</v>
      </c>
      <c r="P63">
        <v>49.6</v>
      </c>
      <c r="Q63">
        <v>53.05</v>
      </c>
      <c r="R63">
        <v>55.29</v>
      </c>
      <c r="S63">
        <v>59.22</v>
      </c>
      <c r="T63">
        <v>63.13</v>
      </c>
      <c r="U63">
        <v>66.98</v>
      </c>
    </row>
    <row r="64" spans="1:21" x14ac:dyDescent="0.25">
      <c r="A64" t="s">
        <v>53</v>
      </c>
      <c r="H64" s="2">
        <v>2915</v>
      </c>
      <c r="I64" s="2">
        <v>4465</v>
      </c>
      <c r="J64" s="2">
        <v>6429</v>
      </c>
      <c r="K64" s="2">
        <v>6694</v>
      </c>
      <c r="L64" s="2">
        <v>5981</v>
      </c>
      <c r="O64" s="2">
        <v>5956</v>
      </c>
      <c r="P64" s="2">
        <v>6073</v>
      </c>
      <c r="Q64" s="2">
        <v>5993</v>
      </c>
      <c r="R64" s="2">
        <v>4000</v>
      </c>
      <c r="S64" s="2">
        <v>2963</v>
      </c>
      <c r="T64" s="2">
        <v>3908</v>
      </c>
      <c r="U64" s="2">
        <v>3851</v>
      </c>
    </row>
    <row r="65" spans="1:21" x14ac:dyDescent="0.25">
      <c r="A65" t="s">
        <v>54</v>
      </c>
      <c r="G65">
        <v>103</v>
      </c>
      <c r="H65">
        <v>116</v>
      </c>
      <c r="I65">
        <v>82</v>
      </c>
      <c r="J65">
        <v>65</v>
      </c>
      <c r="K65">
        <v>41</v>
      </c>
      <c r="L65">
        <v>26</v>
      </c>
      <c r="O65">
        <v>23</v>
      </c>
      <c r="P65">
        <v>22.15</v>
      </c>
      <c r="Q65">
        <v>21.3</v>
      </c>
      <c r="R65">
        <v>17.440000000000001</v>
      </c>
      <c r="S65">
        <v>16.22</v>
      </c>
      <c r="T65">
        <v>18.71</v>
      </c>
      <c r="U65">
        <v>18.13</v>
      </c>
    </row>
    <row r="66" spans="1:21" x14ac:dyDescent="0.25">
      <c r="A66" t="s">
        <v>55</v>
      </c>
      <c r="I66" s="2">
        <v>9896</v>
      </c>
      <c r="J66" s="2">
        <v>16325</v>
      </c>
      <c r="K66" s="2">
        <v>23019</v>
      </c>
      <c r="L66" s="2">
        <v>29000</v>
      </c>
      <c r="N66" s="2">
        <v>1600</v>
      </c>
    </row>
    <row r="67" spans="1:21" x14ac:dyDescent="0.25">
      <c r="A67" t="s">
        <v>45</v>
      </c>
    </row>
    <row r="68" spans="1:21" x14ac:dyDescent="0.25">
      <c r="A68" t="s">
        <v>56</v>
      </c>
      <c r="O68">
        <v>52.71</v>
      </c>
      <c r="P68">
        <v>52.83</v>
      </c>
      <c r="Q68">
        <v>51.75</v>
      </c>
      <c r="R68">
        <v>51</v>
      </c>
      <c r="S68">
        <v>51</v>
      </c>
      <c r="T68">
        <v>50</v>
      </c>
      <c r="U68">
        <v>50</v>
      </c>
    </row>
    <row r="69" spans="1:21" x14ac:dyDescent="0.25">
      <c r="A69" t="s">
        <v>57</v>
      </c>
    </row>
    <row r="70" spans="1:21" x14ac:dyDescent="0.25">
      <c r="A70" t="s">
        <v>17</v>
      </c>
    </row>
    <row r="71" spans="1:21" x14ac:dyDescent="0.25">
      <c r="A71" t="s">
        <v>58</v>
      </c>
    </row>
    <row r="72" spans="1:21" x14ac:dyDescent="0.25">
      <c r="A72" t="s">
        <v>59</v>
      </c>
    </row>
    <row r="73" spans="1:21" x14ac:dyDescent="0.25">
      <c r="A73" t="s">
        <v>60</v>
      </c>
      <c r="E73">
        <v>37.9</v>
      </c>
      <c r="F73">
        <v>92.57</v>
      </c>
      <c r="G73">
        <v>219.4</v>
      </c>
      <c r="H73">
        <v>436.32</v>
      </c>
      <c r="I73">
        <v>804.67</v>
      </c>
      <c r="J73" s="2">
        <v>1359.54</v>
      </c>
      <c r="K73" s="2">
        <v>2111.66</v>
      </c>
      <c r="L73" s="2">
        <v>2870.56</v>
      </c>
      <c r="M73" s="2">
        <v>3761.48</v>
      </c>
      <c r="N73" s="2">
        <v>4564.68</v>
      </c>
      <c r="O73" s="2">
        <v>5728.28</v>
      </c>
      <c r="P73" s="2">
        <v>7065.12</v>
      </c>
      <c r="Q73" s="2">
        <v>8635.5499999999993</v>
      </c>
      <c r="R73" s="2">
        <v>10655.34</v>
      </c>
      <c r="S73" s="2">
        <v>13015.66</v>
      </c>
      <c r="T73" s="2">
        <v>16531.86</v>
      </c>
      <c r="U73" s="2">
        <v>20316.900000000001</v>
      </c>
    </row>
    <row r="74" spans="1:21" x14ac:dyDescent="0.25">
      <c r="A74" t="s">
        <v>61</v>
      </c>
      <c r="E74">
        <v>72</v>
      </c>
      <c r="F74">
        <v>78</v>
      </c>
      <c r="G74">
        <v>88</v>
      </c>
      <c r="H74">
        <v>91</v>
      </c>
      <c r="I74">
        <v>92</v>
      </c>
      <c r="J74">
        <v>94</v>
      </c>
      <c r="K74">
        <v>94</v>
      </c>
      <c r="L74">
        <v>94</v>
      </c>
      <c r="M74">
        <v>95</v>
      </c>
      <c r="N74">
        <v>95</v>
      </c>
      <c r="O74">
        <v>95.28</v>
      </c>
      <c r="P74">
        <v>95.84</v>
      </c>
      <c r="Q74">
        <v>96.16</v>
      </c>
      <c r="R74">
        <v>96.33</v>
      </c>
      <c r="S74">
        <v>96.57</v>
      </c>
      <c r="T74">
        <v>96.6</v>
      </c>
      <c r="U74">
        <v>96.76</v>
      </c>
    </row>
    <row r="75" spans="1:21" x14ac:dyDescent="0.25">
      <c r="A75" t="s">
        <v>62</v>
      </c>
      <c r="E75">
        <v>24.38</v>
      </c>
      <c r="F75">
        <v>39.86</v>
      </c>
      <c r="G75">
        <v>69.209999999999994</v>
      </c>
      <c r="H75">
        <v>112.47</v>
      </c>
      <c r="I75">
        <v>185.21</v>
      </c>
      <c r="J75">
        <v>321.89999999999998</v>
      </c>
      <c r="K75">
        <v>511.68</v>
      </c>
      <c r="L75">
        <v>630.75</v>
      </c>
      <c r="M75">
        <v>835.51</v>
      </c>
      <c r="N75" s="2">
        <v>1015.92</v>
      </c>
      <c r="O75" s="2">
        <v>1197.01</v>
      </c>
      <c r="P75" s="2">
        <v>1492.83</v>
      </c>
      <c r="Q75" s="2">
        <v>1750.34</v>
      </c>
      <c r="R75" s="2">
        <v>1972.56</v>
      </c>
      <c r="S75" s="2">
        <v>2223.02</v>
      </c>
      <c r="T75" s="2">
        <v>2882.24</v>
      </c>
      <c r="U75" s="2">
        <v>3314.58</v>
      </c>
    </row>
    <row r="76" spans="1:21" x14ac:dyDescent="0.25">
      <c r="A76" t="s">
        <v>63</v>
      </c>
      <c r="E76">
        <v>13.52</v>
      </c>
      <c r="F76">
        <v>52.71</v>
      </c>
      <c r="G76">
        <v>150.19</v>
      </c>
      <c r="H76">
        <v>323.85000000000002</v>
      </c>
      <c r="I76">
        <v>619.46</v>
      </c>
      <c r="J76" s="2">
        <v>1037.6300000000001</v>
      </c>
      <c r="K76" s="2">
        <v>1599.98</v>
      </c>
      <c r="L76" s="2">
        <v>2239.81</v>
      </c>
      <c r="M76" s="2">
        <v>2925.97</v>
      </c>
      <c r="N76" s="2">
        <v>3548.77</v>
      </c>
      <c r="O76" s="2">
        <v>4233.1499999999996</v>
      </c>
      <c r="P76" s="2">
        <v>5554.12</v>
      </c>
      <c r="Q76" s="2">
        <v>6801.13</v>
      </c>
      <c r="R76" s="2">
        <v>7946.88</v>
      </c>
      <c r="S76" s="2">
        <v>9427.5499999999993</v>
      </c>
      <c r="T76" s="2">
        <v>11117.69</v>
      </c>
      <c r="U76" s="2">
        <v>13047.13</v>
      </c>
    </row>
    <row r="77" spans="1:21" x14ac:dyDescent="0.25">
      <c r="A77" t="s">
        <v>64</v>
      </c>
      <c r="E77">
        <v>36</v>
      </c>
      <c r="F77">
        <v>57</v>
      </c>
      <c r="G77">
        <v>68</v>
      </c>
      <c r="H77">
        <v>74</v>
      </c>
      <c r="I77">
        <v>77</v>
      </c>
      <c r="J77">
        <v>76</v>
      </c>
      <c r="K77">
        <v>76</v>
      </c>
      <c r="L77">
        <v>78</v>
      </c>
      <c r="M77">
        <v>78</v>
      </c>
      <c r="N77">
        <v>78</v>
      </c>
      <c r="O77">
        <v>76.099999999999994</v>
      </c>
      <c r="P77">
        <v>79.180000000000007</v>
      </c>
      <c r="Q77">
        <v>80</v>
      </c>
      <c r="R77">
        <v>81.239999999999995</v>
      </c>
      <c r="S77">
        <v>80.900000000000006</v>
      </c>
      <c r="T77">
        <v>81.14</v>
      </c>
      <c r="U77">
        <v>81.400000000000006</v>
      </c>
    </row>
    <row r="78" spans="1:21" x14ac:dyDescent="0.25">
      <c r="A78" t="s">
        <v>65</v>
      </c>
      <c r="E78">
        <v>13.66</v>
      </c>
      <c r="F78">
        <v>0.05</v>
      </c>
      <c r="G78">
        <v>151.21</v>
      </c>
      <c r="H78">
        <v>329.4</v>
      </c>
      <c r="I78">
        <v>632.22</v>
      </c>
      <c r="J78" s="2">
        <v>1070.44</v>
      </c>
      <c r="K78" s="2">
        <v>1645.97</v>
      </c>
      <c r="L78" s="2">
        <v>2299.2600000000002</v>
      </c>
      <c r="M78" s="2">
        <v>3021.54</v>
      </c>
      <c r="N78" s="2">
        <v>3675.78</v>
      </c>
      <c r="O78" s="2">
        <v>4623.8900000000003</v>
      </c>
      <c r="P78" s="2">
        <v>5707.07</v>
      </c>
      <c r="Q78" s="2">
        <v>7021.38</v>
      </c>
      <c r="R78" s="2">
        <v>8580.15</v>
      </c>
      <c r="S78" s="2">
        <v>10163.66</v>
      </c>
      <c r="T78" s="2">
        <v>11850.59</v>
      </c>
      <c r="U78" s="2">
        <v>13718.21</v>
      </c>
    </row>
    <row r="79" spans="1:21" x14ac:dyDescent="0.25">
      <c r="A79" t="s">
        <v>66</v>
      </c>
      <c r="E79">
        <v>36</v>
      </c>
      <c r="F79">
        <v>57</v>
      </c>
      <c r="G79">
        <v>69</v>
      </c>
      <c r="H79">
        <v>75</v>
      </c>
      <c r="I79">
        <v>79</v>
      </c>
      <c r="J79">
        <v>79</v>
      </c>
      <c r="K79">
        <v>78</v>
      </c>
      <c r="L79">
        <v>78</v>
      </c>
      <c r="M79">
        <v>80</v>
      </c>
      <c r="N79">
        <v>81</v>
      </c>
      <c r="O79">
        <v>81.02</v>
      </c>
      <c r="P79">
        <v>81.23</v>
      </c>
      <c r="Q79">
        <v>82</v>
      </c>
      <c r="R79">
        <v>83.38</v>
      </c>
      <c r="S79">
        <v>83.77</v>
      </c>
      <c r="T79">
        <v>83.4</v>
      </c>
      <c r="U79">
        <v>83.51</v>
      </c>
    </row>
    <row r="80" spans="1:21" x14ac:dyDescent="0.25">
      <c r="A80" t="s">
        <v>67</v>
      </c>
      <c r="E80">
        <v>0.05</v>
      </c>
      <c r="F80">
        <v>0.09</v>
      </c>
      <c r="G80">
        <v>0.69</v>
      </c>
      <c r="H80">
        <v>5.23</v>
      </c>
      <c r="I80">
        <v>11.71</v>
      </c>
      <c r="J80">
        <v>22.04</v>
      </c>
      <c r="K80">
        <v>32.090000000000003</v>
      </c>
      <c r="L80">
        <v>43.89</v>
      </c>
      <c r="M80">
        <v>73.59</v>
      </c>
      <c r="N80">
        <v>92.24</v>
      </c>
      <c r="O80">
        <v>122.38</v>
      </c>
      <c r="P80">
        <v>144.5</v>
      </c>
      <c r="Q80">
        <v>168.45</v>
      </c>
      <c r="R80">
        <v>199.38</v>
      </c>
      <c r="S80">
        <v>199.8</v>
      </c>
      <c r="T80">
        <v>216.96</v>
      </c>
      <c r="U80">
        <v>219.25</v>
      </c>
    </row>
    <row r="81" spans="1:21" x14ac:dyDescent="0.25">
      <c r="A81" t="s">
        <v>17</v>
      </c>
    </row>
    <row r="82" spans="1:21" x14ac:dyDescent="0.25">
      <c r="A82" t="s">
        <v>68</v>
      </c>
    </row>
    <row r="83" spans="1:21" x14ac:dyDescent="0.25">
      <c r="A83" t="s">
        <v>60</v>
      </c>
      <c r="E83">
        <v>14.85</v>
      </c>
      <c r="F83">
        <v>26.18</v>
      </c>
      <c r="G83">
        <v>30.42</v>
      </c>
      <c r="H83">
        <v>45.09</v>
      </c>
      <c r="I83">
        <v>69.77</v>
      </c>
      <c r="J83">
        <v>92.06</v>
      </c>
      <c r="K83">
        <v>129.58000000000001</v>
      </c>
      <c r="L83">
        <v>185</v>
      </c>
      <c r="M83">
        <v>192.14</v>
      </c>
      <c r="N83">
        <v>247.32</v>
      </c>
      <c r="O83">
        <v>279.47000000000003</v>
      </c>
      <c r="P83">
        <v>307.49</v>
      </c>
      <c r="Q83">
        <v>343.43</v>
      </c>
      <c r="R83">
        <v>420.63</v>
      </c>
      <c r="S83">
        <v>479.52</v>
      </c>
      <c r="T83">
        <v>607.70000000000005</v>
      </c>
      <c r="U83">
        <v>711.13</v>
      </c>
    </row>
    <row r="84" spans="1:21" x14ac:dyDescent="0.25">
      <c r="A84" t="s">
        <v>69</v>
      </c>
      <c r="E84">
        <v>28</v>
      </c>
      <c r="F84">
        <v>22</v>
      </c>
      <c r="G84">
        <v>12</v>
      </c>
      <c r="H84">
        <v>9</v>
      </c>
      <c r="I84">
        <v>8</v>
      </c>
      <c r="J84">
        <v>6</v>
      </c>
      <c r="K84">
        <v>6</v>
      </c>
      <c r="L84">
        <v>6</v>
      </c>
      <c r="M84">
        <v>5</v>
      </c>
      <c r="N84">
        <v>5</v>
      </c>
      <c r="O84">
        <v>4.83</v>
      </c>
      <c r="P84">
        <v>4.25</v>
      </c>
      <c r="Q84">
        <v>4.05</v>
      </c>
      <c r="R84">
        <v>3.8</v>
      </c>
      <c r="S84">
        <v>3.53</v>
      </c>
      <c r="T84">
        <v>3.57</v>
      </c>
      <c r="U84">
        <v>3.4</v>
      </c>
    </row>
    <row r="85" spans="1:21" x14ac:dyDescent="0.25">
      <c r="A85" t="s">
        <v>62</v>
      </c>
      <c r="E85">
        <v>9.6300000000000008</v>
      </c>
      <c r="F85">
        <v>14.63</v>
      </c>
      <c r="G85">
        <v>18.03</v>
      </c>
      <c r="H85">
        <v>29.15</v>
      </c>
      <c r="I85">
        <v>44.33</v>
      </c>
      <c r="J85">
        <v>61.32</v>
      </c>
      <c r="K85">
        <v>89.55</v>
      </c>
      <c r="L85">
        <v>124.98</v>
      </c>
      <c r="M85">
        <v>155.97</v>
      </c>
      <c r="N85">
        <v>203.01</v>
      </c>
      <c r="O85">
        <v>226.26</v>
      </c>
      <c r="P85">
        <v>259.60000000000002</v>
      </c>
      <c r="Q85">
        <v>281.81</v>
      </c>
      <c r="R85">
        <v>323.58999999999997</v>
      </c>
      <c r="S85">
        <v>337.52</v>
      </c>
      <c r="T85">
        <v>376.21</v>
      </c>
      <c r="U85">
        <v>398.78</v>
      </c>
    </row>
    <row r="86" spans="1:21" x14ac:dyDescent="0.25">
      <c r="A86" t="s">
        <v>63</v>
      </c>
      <c r="E86">
        <v>5.22</v>
      </c>
      <c r="F86">
        <v>11.56</v>
      </c>
      <c r="G86">
        <v>12.39</v>
      </c>
      <c r="H86">
        <v>15.94</v>
      </c>
      <c r="I86">
        <v>25.44</v>
      </c>
      <c r="J86">
        <v>30.74</v>
      </c>
      <c r="K86">
        <v>40.03</v>
      </c>
      <c r="L86">
        <v>60.02</v>
      </c>
      <c r="M86">
        <v>36.17</v>
      </c>
      <c r="N86">
        <v>44.31</v>
      </c>
      <c r="O86">
        <v>38.549999999999997</v>
      </c>
      <c r="P86">
        <v>42.87</v>
      </c>
      <c r="Q86">
        <v>51.46</v>
      </c>
      <c r="R86">
        <v>59.97</v>
      </c>
      <c r="S86">
        <v>72.48</v>
      </c>
      <c r="T86">
        <v>88.15</v>
      </c>
      <c r="U86">
        <v>105.05</v>
      </c>
    </row>
    <row r="87" spans="1:21" x14ac:dyDescent="0.25">
      <c r="A87" t="s">
        <v>64</v>
      </c>
      <c r="E87">
        <v>35</v>
      </c>
      <c r="F87">
        <v>44</v>
      </c>
      <c r="G87">
        <v>41</v>
      </c>
      <c r="H87">
        <v>35</v>
      </c>
      <c r="I87">
        <v>36</v>
      </c>
      <c r="J87">
        <v>33</v>
      </c>
      <c r="K87">
        <v>31</v>
      </c>
      <c r="L87">
        <v>32</v>
      </c>
      <c r="M87">
        <v>19</v>
      </c>
      <c r="N87">
        <v>18</v>
      </c>
      <c r="O87">
        <v>14.47</v>
      </c>
      <c r="P87">
        <v>16.3</v>
      </c>
      <c r="Q87">
        <v>19.989999999999998</v>
      </c>
      <c r="R87">
        <v>15.56</v>
      </c>
      <c r="S87">
        <v>17.09</v>
      </c>
      <c r="T87">
        <v>18.98</v>
      </c>
      <c r="U87">
        <v>20.85</v>
      </c>
    </row>
    <row r="88" spans="1:21" x14ac:dyDescent="0.25">
      <c r="A88" t="s">
        <v>65</v>
      </c>
      <c r="E88">
        <v>5.26</v>
      </c>
      <c r="F88">
        <v>11.81</v>
      </c>
      <c r="G88">
        <v>12.6</v>
      </c>
      <c r="H88">
        <v>18.420000000000002</v>
      </c>
      <c r="I88">
        <v>31.44</v>
      </c>
      <c r="J88">
        <v>40.79</v>
      </c>
      <c r="K88">
        <v>55.72</v>
      </c>
      <c r="L88">
        <v>82.32</v>
      </c>
      <c r="M88">
        <v>67.3</v>
      </c>
      <c r="N88">
        <v>86.52</v>
      </c>
      <c r="O88">
        <v>89.1</v>
      </c>
      <c r="P88">
        <v>101.48</v>
      </c>
      <c r="Q88">
        <v>114.7</v>
      </c>
      <c r="R88">
        <v>126.16</v>
      </c>
      <c r="S88">
        <v>140.65</v>
      </c>
      <c r="T88">
        <v>160.83000000000001</v>
      </c>
      <c r="U88">
        <v>183.44</v>
      </c>
    </row>
    <row r="89" spans="1:21" x14ac:dyDescent="0.25">
      <c r="A89" t="s">
        <v>66</v>
      </c>
      <c r="K89">
        <v>43</v>
      </c>
      <c r="L89">
        <v>44</v>
      </c>
      <c r="M89">
        <v>35</v>
      </c>
      <c r="N89">
        <v>35</v>
      </c>
      <c r="O89">
        <v>32.979999999999997</v>
      </c>
      <c r="P89">
        <v>34.6</v>
      </c>
      <c r="Q89">
        <v>34.94</v>
      </c>
      <c r="R89">
        <v>35.72</v>
      </c>
      <c r="S89">
        <v>36.26</v>
      </c>
      <c r="T89">
        <v>36.75</v>
      </c>
      <c r="U89">
        <v>37.79</v>
      </c>
    </row>
    <row r="90" spans="1:21" x14ac:dyDescent="0.25">
      <c r="A90" t="s">
        <v>67</v>
      </c>
      <c r="G90">
        <v>0.21</v>
      </c>
      <c r="H90">
        <v>2.4900000000000002</v>
      </c>
      <c r="I90">
        <v>6.01</v>
      </c>
      <c r="J90">
        <v>10.050000000000001</v>
      </c>
      <c r="K90">
        <v>15.69</v>
      </c>
      <c r="L90">
        <v>22.3</v>
      </c>
      <c r="M90">
        <v>31.13</v>
      </c>
      <c r="N90">
        <v>37.869999999999997</v>
      </c>
      <c r="O90">
        <v>47.95</v>
      </c>
      <c r="P90">
        <v>57.16</v>
      </c>
      <c r="Q90">
        <v>66.819999999999993</v>
      </c>
      <c r="R90">
        <v>75.319999999999993</v>
      </c>
      <c r="S90">
        <v>73.09</v>
      </c>
      <c r="T90">
        <v>65.010000000000005</v>
      </c>
      <c r="U90">
        <v>68.02</v>
      </c>
    </row>
    <row r="91" spans="1:21" x14ac:dyDescent="0.25">
      <c r="A91" t="s">
        <v>17</v>
      </c>
    </row>
    <row r="92" spans="1:21" x14ac:dyDescent="0.25">
      <c r="A92" t="s">
        <v>51</v>
      </c>
    </row>
    <row r="93" spans="1:21" x14ac:dyDescent="0.25">
      <c r="A93" t="s">
        <v>70</v>
      </c>
    </row>
    <row r="94" spans="1:21" x14ac:dyDescent="0.25">
      <c r="A94" t="s">
        <v>60</v>
      </c>
      <c r="G94">
        <v>172.14</v>
      </c>
      <c r="H94">
        <v>331.28</v>
      </c>
      <c r="I94">
        <v>655.03</v>
      </c>
      <c r="J94" s="2">
        <v>1093.3399999999999</v>
      </c>
      <c r="K94" s="2">
        <v>1856.72</v>
      </c>
    </row>
    <row r="95" spans="1:21" x14ac:dyDescent="0.25">
      <c r="A95" t="s">
        <v>71</v>
      </c>
    </row>
    <row r="96" spans="1:21" x14ac:dyDescent="0.25">
      <c r="A96" t="s">
        <v>60</v>
      </c>
      <c r="G96">
        <v>77.680000000000007</v>
      </c>
      <c r="H96">
        <v>150.13</v>
      </c>
      <c r="I96">
        <v>219.41</v>
      </c>
      <c r="J96">
        <v>358.26</v>
      </c>
      <c r="K96">
        <v>384.52</v>
      </c>
    </row>
    <row r="97" spans="1:21" x14ac:dyDescent="0.25">
      <c r="A97" t="s">
        <v>17</v>
      </c>
    </row>
    <row r="98" spans="1:21" x14ac:dyDescent="0.25">
      <c r="A98" t="s">
        <v>72</v>
      </c>
    </row>
    <row r="99" spans="1:21" x14ac:dyDescent="0.25">
      <c r="A99" t="s">
        <v>16</v>
      </c>
    </row>
    <row r="100" spans="1:21" x14ac:dyDescent="0.25">
      <c r="A100" t="s">
        <v>73</v>
      </c>
      <c r="E100">
        <v>45.98</v>
      </c>
      <c r="F100">
        <v>99.21</v>
      </c>
      <c r="G100">
        <v>192.06</v>
      </c>
      <c r="H100">
        <v>356.51</v>
      </c>
      <c r="I100">
        <v>627.4</v>
      </c>
      <c r="J100" s="2">
        <v>1046.47</v>
      </c>
      <c r="K100" s="2">
        <v>1563.57</v>
      </c>
      <c r="L100" s="2">
        <v>2088.0500000000002</v>
      </c>
      <c r="M100" s="2">
        <v>2682.94</v>
      </c>
      <c r="N100" s="2">
        <v>3216.65</v>
      </c>
      <c r="O100" s="2">
        <v>2955.82</v>
      </c>
      <c r="P100" s="2">
        <v>4275.3900000000003</v>
      </c>
      <c r="Q100" s="2">
        <v>4485.84</v>
      </c>
      <c r="R100" s="2">
        <v>6834.03</v>
      </c>
    </row>
    <row r="101" spans="1:21" x14ac:dyDescent="0.25">
      <c r="A101" t="s">
        <v>61</v>
      </c>
      <c r="E101">
        <v>87</v>
      </c>
      <c r="F101">
        <v>84</v>
      </c>
      <c r="G101">
        <v>77</v>
      </c>
      <c r="H101">
        <v>74</v>
      </c>
      <c r="I101">
        <v>72</v>
      </c>
      <c r="J101">
        <v>72</v>
      </c>
      <c r="K101">
        <v>70</v>
      </c>
      <c r="L101">
        <v>68</v>
      </c>
      <c r="M101">
        <v>68</v>
      </c>
      <c r="N101">
        <v>67</v>
      </c>
      <c r="O101">
        <v>65.66</v>
      </c>
      <c r="P101">
        <v>65.58</v>
      </c>
      <c r="Q101">
        <v>65.87</v>
      </c>
      <c r="R101">
        <v>64.89</v>
      </c>
    </row>
    <row r="102" spans="1:21" x14ac:dyDescent="0.25">
      <c r="A102" t="s">
        <v>74</v>
      </c>
      <c r="E102">
        <v>6.76</v>
      </c>
      <c r="F102">
        <v>19.54</v>
      </c>
      <c r="G102">
        <v>57.77</v>
      </c>
      <c r="H102">
        <v>124.9</v>
      </c>
      <c r="I102">
        <v>247.04</v>
      </c>
      <c r="J102">
        <v>405.12</v>
      </c>
      <c r="K102">
        <v>677.67</v>
      </c>
      <c r="L102">
        <v>967.5</v>
      </c>
      <c r="M102" s="2">
        <v>1270.68</v>
      </c>
      <c r="N102" s="2">
        <v>1595.35</v>
      </c>
      <c r="O102" s="2">
        <v>1595.35</v>
      </c>
      <c r="P102" s="2">
        <v>1595.35</v>
      </c>
      <c r="Q102" s="2">
        <v>1595.35</v>
      </c>
    </row>
    <row r="103" spans="1:21" x14ac:dyDescent="0.25">
      <c r="A103" t="s">
        <v>61</v>
      </c>
      <c r="E103">
        <v>13</v>
      </c>
      <c r="F103">
        <v>16</v>
      </c>
      <c r="G103">
        <v>23</v>
      </c>
      <c r="H103">
        <v>26</v>
      </c>
      <c r="I103">
        <v>28</v>
      </c>
      <c r="J103">
        <v>28</v>
      </c>
      <c r="K103">
        <v>30</v>
      </c>
      <c r="L103">
        <v>32</v>
      </c>
      <c r="M103">
        <v>32</v>
      </c>
      <c r="N103">
        <v>33</v>
      </c>
      <c r="O103">
        <v>30.52</v>
      </c>
      <c r="P103">
        <v>30.4</v>
      </c>
      <c r="Q103">
        <v>31.08</v>
      </c>
    </row>
    <row r="104" spans="1:21" x14ac:dyDescent="0.25">
      <c r="A104" t="s">
        <v>75</v>
      </c>
      <c r="G104">
        <v>29.72</v>
      </c>
      <c r="H104">
        <v>67.430000000000007</v>
      </c>
      <c r="I104">
        <v>123.9</v>
      </c>
      <c r="J104">
        <v>200.2</v>
      </c>
      <c r="K104">
        <v>327.93</v>
      </c>
      <c r="L104">
        <v>467.93</v>
      </c>
      <c r="M104">
        <v>619.48</v>
      </c>
      <c r="N104">
        <v>782.67</v>
      </c>
      <c r="O104">
        <v>710.23</v>
      </c>
      <c r="P104" s="2">
        <v>1050.3</v>
      </c>
      <c r="Q104" s="2">
        <v>1186.33</v>
      </c>
      <c r="R104" s="2">
        <v>1888.1</v>
      </c>
    </row>
    <row r="105" spans="1:21" x14ac:dyDescent="0.25">
      <c r="A105" t="s">
        <v>76</v>
      </c>
      <c r="G105">
        <v>12</v>
      </c>
      <c r="H105">
        <v>14</v>
      </c>
      <c r="I105">
        <v>14</v>
      </c>
      <c r="J105">
        <v>14</v>
      </c>
      <c r="K105">
        <v>15</v>
      </c>
      <c r="L105">
        <v>15</v>
      </c>
      <c r="M105">
        <v>16</v>
      </c>
      <c r="N105">
        <v>16</v>
      </c>
      <c r="O105">
        <v>14.93</v>
      </c>
      <c r="P105">
        <v>17.100000000000001</v>
      </c>
      <c r="Q105">
        <v>17.100000000000001</v>
      </c>
      <c r="R105">
        <v>17.93</v>
      </c>
    </row>
    <row r="106" spans="1:21" x14ac:dyDescent="0.25">
      <c r="A106" t="s">
        <v>77</v>
      </c>
      <c r="G106">
        <v>17.21</v>
      </c>
      <c r="H106">
        <v>37.67</v>
      </c>
      <c r="I106">
        <v>80.19</v>
      </c>
      <c r="J106">
        <v>142.69</v>
      </c>
      <c r="K106">
        <v>228.12</v>
      </c>
      <c r="L106">
        <v>315.52</v>
      </c>
      <c r="M106">
        <v>402.45</v>
      </c>
      <c r="N106">
        <v>495.7</v>
      </c>
      <c r="O106">
        <v>436.36</v>
      </c>
      <c r="P106">
        <v>642.41999999999996</v>
      </c>
      <c r="Q106">
        <v>723.86</v>
      </c>
      <c r="R106" s="2">
        <v>1130.53</v>
      </c>
    </row>
    <row r="107" spans="1:21" x14ac:dyDescent="0.25">
      <c r="A107" t="s">
        <v>76</v>
      </c>
      <c r="G107">
        <v>7</v>
      </c>
      <c r="H107">
        <v>8</v>
      </c>
      <c r="I107">
        <v>9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9.18</v>
      </c>
      <c r="P107">
        <v>10.52</v>
      </c>
      <c r="Q107">
        <v>10.52</v>
      </c>
      <c r="R107">
        <v>10.73</v>
      </c>
    </row>
    <row r="108" spans="1:21" x14ac:dyDescent="0.25">
      <c r="A108" t="s">
        <v>78</v>
      </c>
      <c r="G108">
        <v>10.83</v>
      </c>
      <c r="H108">
        <v>19.8</v>
      </c>
      <c r="I108">
        <v>42.95</v>
      </c>
      <c r="J108">
        <v>62.24</v>
      </c>
      <c r="K108">
        <v>121.62</v>
      </c>
      <c r="L108">
        <v>184.05</v>
      </c>
      <c r="M108">
        <v>248.75</v>
      </c>
      <c r="N108">
        <v>316.98</v>
      </c>
      <c r="O108">
        <v>268.75</v>
      </c>
      <c r="P108">
        <v>395.5</v>
      </c>
      <c r="Q108">
        <v>444.42</v>
      </c>
      <c r="R108">
        <v>679.08</v>
      </c>
    </row>
    <row r="109" spans="1:21" x14ac:dyDescent="0.25">
      <c r="A109" t="s">
        <v>76</v>
      </c>
      <c r="G109">
        <v>4</v>
      </c>
      <c r="H109">
        <v>4</v>
      </c>
      <c r="I109">
        <v>5</v>
      </c>
      <c r="J109">
        <v>4</v>
      </c>
      <c r="K109">
        <v>5</v>
      </c>
      <c r="L109">
        <v>7</v>
      </c>
      <c r="M109">
        <v>6</v>
      </c>
      <c r="N109">
        <v>7</v>
      </c>
      <c r="O109">
        <v>5.65</v>
      </c>
      <c r="P109">
        <v>6.52</v>
      </c>
      <c r="Q109">
        <v>6.52</v>
      </c>
      <c r="R109">
        <v>6.45</v>
      </c>
    </row>
    <row r="110" spans="1:21" x14ac:dyDescent="0.25">
      <c r="A110" t="s">
        <v>17</v>
      </c>
    </row>
    <row r="111" spans="1:21" x14ac:dyDescent="0.25">
      <c r="A111" t="s">
        <v>79</v>
      </c>
    </row>
    <row r="112" spans="1:21" x14ac:dyDescent="0.25">
      <c r="A112" t="s">
        <v>80</v>
      </c>
      <c r="H112">
        <v>481.41</v>
      </c>
      <c r="I112">
        <v>874.44</v>
      </c>
      <c r="J112" s="2">
        <v>1451.59</v>
      </c>
      <c r="K112" s="2">
        <v>2241.2399999999998</v>
      </c>
      <c r="L112" s="2">
        <v>3055.56</v>
      </c>
      <c r="M112" s="2">
        <v>3953.62</v>
      </c>
      <c r="N112" s="2">
        <v>4812.01</v>
      </c>
      <c r="O112" s="2">
        <v>6007.2</v>
      </c>
      <c r="P112" s="2">
        <v>7372.24</v>
      </c>
      <c r="Q112" s="2">
        <v>8989.5300000000007</v>
      </c>
      <c r="R112" s="2">
        <v>11076</v>
      </c>
      <c r="S112" s="2">
        <v>13495.17</v>
      </c>
      <c r="T112" s="2">
        <v>17139.5</v>
      </c>
      <c r="U112" s="2">
        <v>21028</v>
      </c>
    </row>
    <row r="113" spans="1:21" x14ac:dyDescent="0.25">
      <c r="A113" t="s">
        <v>81</v>
      </c>
      <c r="E113">
        <v>37.9</v>
      </c>
      <c r="F113">
        <v>92.57</v>
      </c>
      <c r="G113">
        <v>219.4</v>
      </c>
      <c r="H113">
        <v>436.32</v>
      </c>
      <c r="I113">
        <v>804.67</v>
      </c>
      <c r="J113" s="2">
        <v>1359.54</v>
      </c>
      <c r="K113" s="2">
        <v>2111.66</v>
      </c>
      <c r="L113" s="2">
        <v>2870.56</v>
      </c>
      <c r="M113" s="2">
        <v>3953.62</v>
      </c>
      <c r="N113" s="2">
        <v>4812.01</v>
      </c>
      <c r="O113" s="2">
        <v>5945.7</v>
      </c>
      <c r="P113" s="2">
        <v>7359.11</v>
      </c>
      <c r="Q113" s="2">
        <v>9128.09</v>
      </c>
      <c r="R113" s="2">
        <v>11231.6</v>
      </c>
      <c r="S113" s="2">
        <v>13393.86</v>
      </c>
      <c r="T113" s="2">
        <v>15365.7</v>
      </c>
      <c r="U113" s="2">
        <v>17563</v>
      </c>
    </row>
    <row r="114" spans="1:21" x14ac:dyDescent="0.25">
      <c r="A114" t="s">
        <v>17</v>
      </c>
    </row>
    <row r="115" spans="1:21" x14ac:dyDescent="0.25">
      <c r="A115" t="s">
        <v>82</v>
      </c>
      <c r="E115">
        <v>34.01</v>
      </c>
      <c r="F115">
        <v>54.49</v>
      </c>
      <c r="G115">
        <v>87.24</v>
      </c>
      <c r="H115">
        <v>141.63</v>
      </c>
      <c r="I115">
        <v>229.55</v>
      </c>
      <c r="J115">
        <v>383.22</v>
      </c>
      <c r="K115">
        <v>601.23</v>
      </c>
      <c r="L115">
        <v>755.72</v>
      </c>
      <c r="M115">
        <v>991.48</v>
      </c>
      <c r="N115" s="2">
        <v>1218.93</v>
      </c>
      <c r="O115" s="2">
        <v>1459.87</v>
      </c>
      <c r="P115" s="2">
        <v>1760.22</v>
      </c>
      <c r="Q115" s="2">
        <v>2023.41</v>
      </c>
      <c r="R115" s="2">
        <v>2368.2199999999998</v>
      </c>
      <c r="S115" s="2">
        <v>2802.48</v>
      </c>
      <c r="T115" s="2">
        <v>3929.18</v>
      </c>
      <c r="U115" s="2">
        <v>4920.51</v>
      </c>
    </row>
    <row r="116" spans="1:21" x14ac:dyDescent="0.25">
      <c r="A116" t="s">
        <v>83</v>
      </c>
      <c r="E116">
        <v>64.47</v>
      </c>
      <c r="F116">
        <v>45.88</v>
      </c>
      <c r="G116">
        <v>34.92</v>
      </c>
      <c r="H116">
        <v>29.42</v>
      </c>
      <c r="I116">
        <v>26.25</v>
      </c>
      <c r="J116">
        <v>26.4</v>
      </c>
      <c r="K116">
        <v>26.83</v>
      </c>
      <c r="L116">
        <v>24.73</v>
      </c>
      <c r="M116">
        <v>25.08</v>
      </c>
      <c r="N116">
        <v>25.33</v>
      </c>
      <c r="O116">
        <v>24.43</v>
      </c>
      <c r="P116">
        <v>23.32</v>
      </c>
      <c r="Q116">
        <v>21.14</v>
      </c>
    </row>
    <row r="117" spans="1:21" x14ac:dyDescent="0.25">
      <c r="A117" t="s">
        <v>17</v>
      </c>
    </row>
    <row r="118" spans="1:21" x14ac:dyDescent="0.25">
      <c r="A118" t="s">
        <v>84</v>
      </c>
      <c r="E118">
        <v>18.739999999999998</v>
      </c>
      <c r="F118">
        <v>64.27</v>
      </c>
      <c r="G118">
        <v>162.59</v>
      </c>
      <c r="H118">
        <v>339.79</v>
      </c>
      <c r="I118">
        <v>644.89</v>
      </c>
      <c r="J118" s="2">
        <v>1068.3699999999999</v>
      </c>
      <c r="K118" s="2">
        <v>1640.01</v>
      </c>
      <c r="L118" s="2">
        <v>2299.83</v>
      </c>
      <c r="M118" s="2">
        <v>2962.14</v>
      </c>
      <c r="N118" s="2">
        <v>3593.08</v>
      </c>
      <c r="O118" s="2">
        <v>4455.38</v>
      </c>
      <c r="P118" s="2">
        <v>5649.88</v>
      </c>
      <c r="Q118" s="2">
        <v>7031.8</v>
      </c>
      <c r="R118" s="2">
        <v>8916.7199999999993</v>
      </c>
      <c r="S118" s="2">
        <v>10946.07</v>
      </c>
      <c r="T118" s="2">
        <v>14681.5</v>
      </c>
      <c r="U118" s="2">
        <v>18583.46</v>
      </c>
    </row>
    <row r="119" spans="1:21" x14ac:dyDescent="0.25">
      <c r="A119" t="s">
        <v>85</v>
      </c>
      <c r="G119">
        <v>65</v>
      </c>
      <c r="H119">
        <v>71</v>
      </c>
      <c r="I119">
        <v>74</v>
      </c>
      <c r="J119">
        <v>74</v>
      </c>
      <c r="K119">
        <v>73</v>
      </c>
      <c r="L119">
        <v>75</v>
      </c>
      <c r="M119">
        <v>75</v>
      </c>
      <c r="N119">
        <v>75</v>
      </c>
      <c r="O119">
        <v>73.75</v>
      </c>
      <c r="P119">
        <v>75.58</v>
      </c>
      <c r="Q119">
        <v>76.45</v>
      </c>
      <c r="R119">
        <v>74.94</v>
      </c>
      <c r="S119">
        <v>75.61</v>
      </c>
      <c r="T119">
        <v>73.599999999999994</v>
      </c>
      <c r="U119">
        <v>73.599999999999994</v>
      </c>
    </row>
    <row r="120" spans="1:21" x14ac:dyDescent="0.25">
      <c r="A120" t="s">
        <v>17</v>
      </c>
    </row>
    <row r="121" spans="1:21" x14ac:dyDescent="0.25">
      <c r="A121" t="s">
        <v>86</v>
      </c>
      <c r="E121">
        <v>143.30000000000001</v>
      </c>
      <c r="F121">
        <v>250.19</v>
      </c>
      <c r="G121">
        <v>386.69</v>
      </c>
      <c r="H121">
        <v>627.48</v>
      </c>
      <c r="I121">
        <v>966.97</v>
      </c>
      <c r="J121" s="2">
        <v>1594.14</v>
      </c>
      <c r="K121" s="2">
        <v>2431.35</v>
      </c>
      <c r="L121" s="2">
        <v>3057.55</v>
      </c>
      <c r="M121" s="2">
        <v>4074.05</v>
      </c>
      <c r="N121" s="2">
        <v>5105.3</v>
      </c>
      <c r="O121" s="2">
        <v>5319.31</v>
      </c>
      <c r="P121" s="2">
        <v>7251.36</v>
      </c>
      <c r="Q121" s="2">
        <v>8497.35</v>
      </c>
      <c r="R121" s="2">
        <v>9962.2999999999993</v>
      </c>
      <c r="S121" s="2">
        <v>11136.32</v>
      </c>
      <c r="T121" s="2">
        <v>12713.91</v>
      </c>
      <c r="U121" s="2">
        <v>14414.22</v>
      </c>
    </row>
    <row r="122" spans="1:21" x14ac:dyDescent="0.25">
      <c r="A122" t="s">
        <v>87</v>
      </c>
      <c r="E122">
        <v>109.3</v>
      </c>
      <c r="F122">
        <v>195.71</v>
      </c>
      <c r="G122">
        <v>299.45</v>
      </c>
      <c r="H122">
        <v>485.85</v>
      </c>
      <c r="I122">
        <v>737.42</v>
      </c>
      <c r="J122" s="2">
        <v>1210.92</v>
      </c>
      <c r="K122" s="2">
        <v>1830.12</v>
      </c>
      <c r="L122" s="2">
        <v>2301.83</v>
      </c>
      <c r="M122" s="2">
        <v>3082.57</v>
      </c>
      <c r="N122" s="2">
        <v>3886.37</v>
      </c>
      <c r="O122" s="2">
        <v>4479</v>
      </c>
      <c r="P122" s="2">
        <v>5420</v>
      </c>
      <c r="Q122" s="2">
        <v>6496.82</v>
      </c>
      <c r="R122" s="2">
        <v>7792.64</v>
      </c>
      <c r="S122" s="2">
        <v>9214.1</v>
      </c>
      <c r="T122" s="2">
        <v>12396.3</v>
      </c>
      <c r="U122" s="2">
        <v>15505.67</v>
      </c>
    </row>
    <row r="123" spans="1:21" x14ac:dyDescent="0.25">
      <c r="A123" t="s">
        <v>83</v>
      </c>
      <c r="E123">
        <v>207.21</v>
      </c>
      <c r="F123">
        <v>164.8</v>
      </c>
      <c r="G123">
        <v>119.86</v>
      </c>
      <c r="H123">
        <v>100.92</v>
      </c>
      <c r="I123">
        <v>84.33</v>
      </c>
      <c r="J123">
        <v>83.42</v>
      </c>
      <c r="K123">
        <v>81.66</v>
      </c>
      <c r="L123">
        <v>75.33</v>
      </c>
      <c r="M123">
        <v>77.97</v>
      </c>
      <c r="N123">
        <v>80.760000000000005</v>
      </c>
      <c r="O123">
        <v>76.09</v>
      </c>
      <c r="P123">
        <v>72.88</v>
      </c>
      <c r="Q123">
        <v>71.72</v>
      </c>
    </row>
    <row r="124" spans="1:21" x14ac:dyDescent="0.25">
      <c r="A124" t="s">
        <v>88</v>
      </c>
      <c r="E124">
        <v>16.399999999999999</v>
      </c>
      <c r="F124">
        <v>32.54</v>
      </c>
      <c r="G124">
        <v>42.22</v>
      </c>
      <c r="H124">
        <v>89.07</v>
      </c>
      <c r="I124">
        <v>121.44</v>
      </c>
      <c r="J124">
        <v>223.09</v>
      </c>
      <c r="K124">
        <v>317.33999999999997</v>
      </c>
      <c r="L124">
        <v>392.76</v>
      </c>
      <c r="M124">
        <v>482.32</v>
      </c>
      <c r="N124">
        <v>670.34</v>
      </c>
      <c r="O124">
        <v>698.82</v>
      </c>
      <c r="P124">
        <v>826.09</v>
      </c>
      <c r="Q124">
        <v>965.2</v>
      </c>
      <c r="R124" s="2">
        <v>1042.2</v>
      </c>
      <c r="S124" s="2">
        <v>1093.2</v>
      </c>
      <c r="T124" s="2">
        <v>1133.48</v>
      </c>
      <c r="U124" s="2">
        <v>1235.5</v>
      </c>
    </row>
    <row r="125" spans="1:21" x14ac:dyDescent="0.25">
      <c r="A125" t="s">
        <v>89</v>
      </c>
      <c r="E125">
        <v>39.15</v>
      </c>
      <c r="F125">
        <v>58.89</v>
      </c>
      <c r="G125">
        <v>84.55</v>
      </c>
      <c r="H125">
        <v>130.19</v>
      </c>
      <c r="I125">
        <v>214.67</v>
      </c>
      <c r="J125">
        <v>371.28</v>
      </c>
      <c r="K125">
        <v>608.36</v>
      </c>
      <c r="L125">
        <v>768.5</v>
      </c>
      <c r="M125" s="2">
        <v>1076.9000000000001</v>
      </c>
      <c r="N125" s="2">
        <v>1384.77</v>
      </c>
      <c r="O125" s="2">
        <v>1698.37</v>
      </c>
      <c r="P125" s="2">
        <v>2057.35</v>
      </c>
      <c r="Q125" s="2">
        <v>2447.35</v>
      </c>
      <c r="R125" s="2">
        <v>2874.47</v>
      </c>
      <c r="S125" s="2">
        <v>3282.7</v>
      </c>
      <c r="T125" s="2">
        <v>3984.29</v>
      </c>
      <c r="U125" s="2">
        <v>4542.09</v>
      </c>
    </row>
    <row r="126" spans="1:21" x14ac:dyDescent="0.25">
      <c r="A126" t="s">
        <v>61</v>
      </c>
      <c r="E126">
        <v>74.22</v>
      </c>
      <c r="F126">
        <v>49.59</v>
      </c>
      <c r="G126">
        <v>33.840000000000003</v>
      </c>
      <c r="H126">
        <v>27.04</v>
      </c>
      <c r="I126">
        <v>24.55</v>
      </c>
      <c r="J126">
        <v>25.58</v>
      </c>
      <c r="K126">
        <v>27.14</v>
      </c>
      <c r="L126">
        <v>25.15</v>
      </c>
      <c r="M126">
        <v>27.24</v>
      </c>
      <c r="N126">
        <v>28.78</v>
      </c>
      <c r="O126">
        <v>27.64</v>
      </c>
      <c r="P126">
        <v>27.77</v>
      </c>
      <c r="Q126">
        <v>27.74</v>
      </c>
      <c r="R126">
        <v>28.96</v>
      </c>
      <c r="S126">
        <v>28.96</v>
      </c>
      <c r="T126">
        <v>28.61</v>
      </c>
      <c r="U126">
        <v>28.53</v>
      </c>
    </row>
    <row r="127" spans="1:21" x14ac:dyDescent="0.25">
      <c r="A127" t="s">
        <v>90</v>
      </c>
      <c r="E127">
        <v>53.75</v>
      </c>
      <c r="F127">
        <v>104.28</v>
      </c>
      <c r="G127">
        <v>172.68</v>
      </c>
      <c r="H127">
        <v>266.60000000000002</v>
      </c>
      <c r="I127">
        <v>401.32</v>
      </c>
      <c r="J127">
        <v>616.54999999999995</v>
      </c>
      <c r="K127">
        <v>904.41</v>
      </c>
      <c r="L127" s="2">
        <v>1140.57</v>
      </c>
      <c r="M127" s="2">
        <v>1523.36</v>
      </c>
      <c r="N127" s="2">
        <v>1831.25</v>
      </c>
      <c r="O127" s="2">
        <v>2018.13</v>
      </c>
      <c r="P127" s="2">
        <v>2527.92</v>
      </c>
      <c r="Q127" s="2">
        <v>2983.27</v>
      </c>
      <c r="R127" s="2">
        <v>3424.45</v>
      </c>
      <c r="S127" s="2">
        <v>3851.12</v>
      </c>
      <c r="T127" s="2">
        <v>4337.6899999999996</v>
      </c>
      <c r="U127" s="2">
        <v>4923.28</v>
      </c>
    </row>
    <row r="128" spans="1:21" x14ac:dyDescent="0.25">
      <c r="A128" t="s">
        <v>17</v>
      </c>
    </row>
    <row r="129" spans="1:21" x14ac:dyDescent="0.25">
      <c r="A129" t="s">
        <v>91</v>
      </c>
      <c r="E129">
        <v>-88.65</v>
      </c>
      <c r="F129">
        <v>-119.44</v>
      </c>
      <c r="G129">
        <v>-136.86000000000001</v>
      </c>
      <c r="H129">
        <v>-146.07</v>
      </c>
      <c r="I129">
        <v>-92.53</v>
      </c>
      <c r="J129">
        <v>-142.55000000000001</v>
      </c>
      <c r="K129">
        <v>-190.11</v>
      </c>
      <c r="L129">
        <v>-2</v>
      </c>
      <c r="M129">
        <v>-120.43</v>
      </c>
      <c r="N129">
        <v>-293.29000000000002</v>
      </c>
      <c r="O129">
        <v>-75.69</v>
      </c>
      <c r="P129">
        <v>473.94</v>
      </c>
      <c r="Q129">
        <v>976.95</v>
      </c>
      <c r="R129" s="2">
        <v>2815.32</v>
      </c>
      <c r="S129" s="2">
        <v>4625.93</v>
      </c>
      <c r="T129" s="2">
        <v>8750.76</v>
      </c>
      <c r="U129" s="2">
        <v>11143.87</v>
      </c>
    </row>
    <row r="130" spans="1:21" x14ac:dyDescent="0.25">
      <c r="A130" t="s">
        <v>92</v>
      </c>
      <c r="E130">
        <v>-171.69</v>
      </c>
      <c r="F130">
        <v>-110.68</v>
      </c>
      <c r="G130">
        <v>-54.78</v>
      </c>
      <c r="H130">
        <v>-30.34</v>
      </c>
      <c r="I130">
        <v>-10.58</v>
      </c>
      <c r="J130">
        <v>-9.82</v>
      </c>
      <c r="K130">
        <v>-8.48</v>
      </c>
      <c r="L130">
        <v>-7.0000000000000007E-2</v>
      </c>
      <c r="M130">
        <v>-3.05</v>
      </c>
      <c r="N130">
        <v>-6.1</v>
      </c>
      <c r="O130">
        <v>-0.77</v>
      </c>
      <c r="P130">
        <v>3.04</v>
      </c>
      <c r="Q130">
        <v>6.07</v>
      </c>
      <c r="R130">
        <v>14.48</v>
      </c>
      <c r="S130">
        <v>18.59</v>
      </c>
      <c r="T130">
        <v>18.38</v>
      </c>
      <c r="U130">
        <v>19.88</v>
      </c>
    </row>
    <row r="131" spans="1:21" x14ac:dyDescent="0.25">
      <c r="A131" t="s">
        <v>17</v>
      </c>
    </row>
    <row r="132" spans="1:21" x14ac:dyDescent="0.25">
      <c r="A132" t="s">
        <v>93</v>
      </c>
      <c r="E132">
        <v>2.92</v>
      </c>
      <c r="F132">
        <v>7.11</v>
      </c>
      <c r="G132">
        <v>14.82</v>
      </c>
      <c r="H132">
        <v>23.03</v>
      </c>
      <c r="I132">
        <v>38.700000000000003</v>
      </c>
      <c r="J132">
        <v>55.91</v>
      </c>
      <c r="K132">
        <v>77.25</v>
      </c>
      <c r="L132">
        <v>126.84</v>
      </c>
      <c r="M132">
        <v>187.95</v>
      </c>
      <c r="N132">
        <v>250.22</v>
      </c>
      <c r="O132">
        <v>320.95999999999998</v>
      </c>
      <c r="P132">
        <v>370.45</v>
      </c>
      <c r="Q132">
        <v>447.26</v>
      </c>
      <c r="R132">
        <v>622.41999999999996</v>
      </c>
      <c r="S132">
        <v>761.45</v>
      </c>
      <c r="T132">
        <v>928.15</v>
      </c>
      <c r="U132" s="2">
        <v>1104.94</v>
      </c>
    </row>
    <row r="133" spans="1:21" x14ac:dyDescent="0.25">
      <c r="A133" t="s">
        <v>94</v>
      </c>
      <c r="E133">
        <v>3.02</v>
      </c>
      <c r="F133">
        <v>7.1</v>
      </c>
      <c r="G133">
        <v>14.8</v>
      </c>
      <c r="H133">
        <v>23</v>
      </c>
      <c r="I133">
        <v>38.700000000000003</v>
      </c>
      <c r="J133">
        <v>55.91</v>
      </c>
      <c r="K133">
        <v>77.25</v>
      </c>
      <c r="L133">
        <v>126.84</v>
      </c>
      <c r="M133">
        <v>161.94999999999999</v>
      </c>
      <c r="N133">
        <v>218.99</v>
      </c>
      <c r="O133">
        <v>281.91000000000003</v>
      </c>
      <c r="P133">
        <v>309.05</v>
      </c>
      <c r="Q133">
        <v>340.5</v>
      </c>
      <c r="R133">
        <v>484.46</v>
      </c>
    </row>
    <row r="134" spans="1:21" x14ac:dyDescent="0.25">
      <c r="A134" t="s">
        <v>61</v>
      </c>
      <c r="F134">
        <v>5.98</v>
      </c>
      <c r="G134">
        <v>5.92</v>
      </c>
      <c r="H134">
        <v>4.78</v>
      </c>
      <c r="I134">
        <v>4.43</v>
      </c>
      <c r="J134">
        <v>3.85</v>
      </c>
      <c r="K134">
        <v>3.45</v>
      </c>
      <c r="L134">
        <v>4.1500000000000004</v>
      </c>
      <c r="M134">
        <v>4.0999999999999996</v>
      </c>
      <c r="N134">
        <v>4.55</v>
      </c>
      <c r="O134">
        <v>5.49</v>
      </c>
      <c r="P134">
        <v>5.33</v>
      </c>
      <c r="Q134">
        <v>5.39</v>
      </c>
      <c r="R134">
        <v>5.78</v>
      </c>
      <c r="S134">
        <v>5.65</v>
      </c>
      <c r="T134">
        <v>5.39</v>
      </c>
      <c r="U134">
        <v>5.12</v>
      </c>
    </row>
    <row r="135" spans="1:21" x14ac:dyDescent="0.25">
      <c r="A135" t="s">
        <v>17</v>
      </c>
    </row>
    <row r="136" spans="1:21" x14ac:dyDescent="0.25">
      <c r="A136" t="s">
        <v>95</v>
      </c>
      <c r="E136">
        <v>0.7</v>
      </c>
      <c r="F136">
        <v>3.12</v>
      </c>
      <c r="G136">
        <v>1.85</v>
      </c>
      <c r="H136">
        <v>-6.28</v>
      </c>
      <c r="I136">
        <v>-4.66</v>
      </c>
      <c r="J136">
        <v>17.48</v>
      </c>
      <c r="K136">
        <v>-30.23</v>
      </c>
      <c r="L136">
        <v>-124.81</v>
      </c>
      <c r="M136">
        <v>-174.96</v>
      </c>
      <c r="N136">
        <v>-166.3</v>
      </c>
      <c r="O136">
        <v>-177.7</v>
      </c>
      <c r="P136">
        <v>-178.15</v>
      </c>
      <c r="Q136">
        <v>-235.86</v>
      </c>
      <c r="R136">
        <v>-301.74</v>
      </c>
      <c r="S136">
        <v>-314.45</v>
      </c>
      <c r="T136">
        <v>-479.77</v>
      </c>
      <c r="U136">
        <v>-571.79</v>
      </c>
    </row>
    <row r="137" spans="1:21" x14ac:dyDescent="0.25">
      <c r="A137" t="s">
        <v>96</v>
      </c>
      <c r="E137">
        <v>0.62</v>
      </c>
      <c r="F137">
        <v>1.65</v>
      </c>
      <c r="G137">
        <v>0.43</v>
      </c>
      <c r="H137">
        <v>0.44</v>
      </c>
      <c r="I137">
        <v>1.56</v>
      </c>
      <c r="J137">
        <v>25.23</v>
      </c>
      <c r="K137">
        <v>25.32</v>
      </c>
      <c r="L137">
        <v>25.76</v>
      </c>
      <c r="M137">
        <v>26.31</v>
      </c>
      <c r="N137">
        <v>28.02</v>
      </c>
      <c r="O137">
        <v>23.65</v>
      </c>
      <c r="P137">
        <v>24.82</v>
      </c>
      <c r="Q137">
        <v>22.56</v>
      </c>
      <c r="R137">
        <v>14.74</v>
      </c>
      <c r="S137">
        <v>10.66</v>
      </c>
      <c r="T137">
        <v>13.41</v>
      </c>
      <c r="U137">
        <v>13.54</v>
      </c>
    </row>
    <row r="138" spans="1:21" x14ac:dyDescent="0.25">
      <c r="A138" t="s">
        <v>97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52.5</v>
      </c>
      <c r="L138">
        <v>148.93</v>
      </c>
      <c r="M138">
        <v>196.17</v>
      </c>
      <c r="N138">
        <v>194.97</v>
      </c>
      <c r="O138">
        <v>181.05</v>
      </c>
      <c r="P138">
        <v>207.26</v>
      </c>
      <c r="Q138">
        <v>280.68</v>
      </c>
      <c r="R138">
        <v>324.91000000000003</v>
      </c>
      <c r="S138">
        <v>220.52</v>
      </c>
    </row>
    <row r="139" spans="1:21" x14ac:dyDescent="0.25">
      <c r="A139" t="s">
        <v>98</v>
      </c>
      <c r="E139">
        <v>0.08</v>
      </c>
      <c r="F139">
        <v>1.47</v>
      </c>
      <c r="G139">
        <v>1.42</v>
      </c>
      <c r="H139">
        <v>-6.73</v>
      </c>
      <c r="I139">
        <v>-6.22</v>
      </c>
      <c r="J139">
        <v>-7.76</v>
      </c>
      <c r="K139">
        <v>-3.05</v>
      </c>
      <c r="L139">
        <v>-1.64</v>
      </c>
      <c r="M139">
        <v>-5.0999999999999996</v>
      </c>
      <c r="N139">
        <v>0.65</v>
      </c>
    </row>
    <row r="140" spans="1:21" x14ac:dyDescent="0.25">
      <c r="A140" t="s">
        <v>99</v>
      </c>
      <c r="E140">
        <v>0.08</v>
      </c>
      <c r="F140">
        <v>1.47</v>
      </c>
      <c r="G140">
        <v>1.42</v>
      </c>
      <c r="H140">
        <v>-6.73</v>
      </c>
      <c r="I140">
        <v>-6.22</v>
      </c>
      <c r="J140">
        <v>-7.76</v>
      </c>
      <c r="K140">
        <v>-55.55</v>
      </c>
      <c r="L140">
        <v>-150.57</v>
      </c>
      <c r="M140">
        <v>-201.28</v>
      </c>
      <c r="N140">
        <v>-194.32</v>
      </c>
      <c r="O140">
        <v>-187.3</v>
      </c>
      <c r="P140">
        <v>-192.45</v>
      </c>
      <c r="Q140">
        <v>-235.7</v>
      </c>
      <c r="R140">
        <v>-306.01</v>
      </c>
      <c r="S140">
        <v>-377.51</v>
      </c>
      <c r="T140">
        <v>-642.61</v>
      </c>
      <c r="U140">
        <v>-848.39</v>
      </c>
    </row>
    <row r="141" spans="1:21" x14ac:dyDescent="0.25">
      <c r="A141" t="s">
        <v>100</v>
      </c>
      <c r="E141">
        <v>-91.25</v>
      </c>
      <c r="F141">
        <v>-134.56</v>
      </c>
      <c r="G141">
        <v>-138.71</v>
      </c>
      <c r="H141">
        <v>-139.78</v>
      </c>
      <c r="I141">
        <v>-87.87</v>
      </c>
      <c r="J141">
        <v>-160.02000000000001</v>
      </c>
      <c r="K141">
        <v>-159.88</v>
      </c>
      <c r="L141">
        <v>122.82</v>
      </c>
      <c r="M141">
        <v>54.53</v>
      </c>
      <c r="N141">
        <v>-126.99</v>
      </c>
      <c r="O141">
        <v>111.89</v>
      </c>
      <c r="P141">
        <v>388.23</v>
      </c>
      <c r="Q141">
        <v>798.58</v>
      </c>
      <c r="R141" s="2">
        <v>1393.62</v>
      </c>
      <c r="S141" s="2">
        <v>2359.0300000000002</v>
      </c>
      <c r="T141" s="2">
        <v>3561.64</v>
      </c>
      <c r="U141" s="2">
        <v>5079.79</v>
      </c>
    </row>
    <row r="142" spans="1:21" x14ac:dyDescent="0.25">
      <c r="A142" t="s">
        <v>83</v>
      </c>
      <c r="E142">
        <v>-173.01</v>
      </c>
      <c r="F142">
        <v>-113.31</v>
      </c>
      <c r="G142">
        <v>-55.52</v>
      </c>
      <c r="H142">
        <v>-29.04</v>
      </c>
      <c r="I142">
        <v>-10.050000000000001</v>
      </c>
      <c r="J142">
        <v>-11.02</v>
      </c>
      <c r="K142">
        <v>-7.13</v>
      </c>
      <c r="L142">
        <v>4.0199999999999996</v>
      </c>
      <c r="M142">
        <v>1.38</v>
      </c>
      <c r="N142">
        <v>-2.64</v>
      </c>
      <c r="O142">
        <v>2.78</v>
      </c>
      <c r="P142">
        <v>6.76</v>
      </c>
    </row>
    <row r="143" spans="1:21" x14ac:dyDescent="0.25">
      <c r="A143" t="s">
        <v>17</v>
      </c>
    </row>
    <row r="144" spans="1:21" x14ac:dyDescent="0.25">
      <c r="A144" t="s">
        <v>101</v>
      </c>
      <c r="E144">
        <v>0.09</v>
      </c>
      <c r="F144">
        <v>0.93</v>
      </c>
      <c r="G144">
        <v>1.37</v>
      </c>
      <c r="H144">
        <v>2</v>
      </c>
      <c r="I144">
        <v>4.76</v>
      </c>
      <c r="J144">
        <v>72.36</v>
      </c>
      <c r="K144">
        <v>22.4</v>
      </c>
      <c r="L144">
        <v>32.229999999999997</v>
      </c>
      <c r="M144">
        <v>71.13</v>
      </c>
      <c r="N144">
        <v>34.18</v>
      </c>
      <c r="O144">
        <v>12.75</v>
      </c>
      <c r="P144">
        <v>97.87</v>
      </c>
      <c r="Q144">
        <v>85.24</v>
      </c>
      <c r="R144">
        <v>252.95</v>
      </c>
      <c r="S144">
        <v>386.66</v>
      </c>
      <c r="T144">
        <v>525.69000000000005</v>
      </c>
      <c r="U144">
        <v>682.77</v>
      </c>
    </row>
    <row r="145" spans="1:21" x14ac:dyDescent="0.25">
      <c r="A145" t="s">
        <v>102</v>
      </c>
      <c r="L145">
        <v>26.24</v>
      </c>
      <c r="M145">
        <v>130.43</v>
      </c>
      <c r="N145">
        <v>21</v>
      </c>
      <c r="O145">
        <v>23.76</v>
      </c>
      <c r="P145">
        <v>24.37</v>
      </c>
      <c r="Q145">
        <v>21.5</v>
      </c>
      <c r="R145">
        <v>19.489999999999998</v>
      </c>
      <c r="S145">
        <v>15</v>
      </c>
      <c r="T145">
        <v>17</v>
      </c>
      <c r="U145">
        <v>19</v>
      </c>
    </row>
    <row r="146" spans="1:21" x14ac:dyDescent="0.25">
      <c r="A146" t="s">
        <v>103</v>
      </c>
      <c r="I146">
        <v>-1.45</v>
      </c>
      <c r="J146">
        <v>-13.96</v>
      </c>
      <c r="K146">
        <v>1.31</v>
      </c>
      <c r="L146">
        <v>-3.39</v>
      </c>
      <c r="M146">
        <v>-9.9</v>
      </c>
      <c r="N146">
        <v>-14.8</v>
      </c>
      <c r="O146">
        <v>-6.01</v>
      </c>
      <c r="P146">
        <v>5.51</v>
      </c>
      <c r="Q146">
        <v>1.02</v>
      </c>
      <c r="R146">
        <v>-7.99</v>
      </c>
      <c r="S146">
        <v>-36.64</v>
      </c>
      <c r="T146">
        <v>-42.96</v>
      </c>
      <c r="U146">
        <v>-50.09</v>
      </c>
    </row>
    <row r="147" spans="1:21" x14ac:dyDescent="0.25">
      <c r="A147" t="s">
        <v>17</v>
      </c>
    </row>
    <row r="148" spans="1:21" x14ac:dyDescent="0.25">
      <c r="A148" t="s">
        <v>104</v>
      </c>
      <c r="E148">
        <v>-91.34</v>
      </c>
      <c r="F148">
        <v>-135.49</v>
      </c>
      <c r="G148">
        <v>-140.08000000000001</v>
      </c>
      <c r="H148">
        <v>-141.78</v>
      </c>
      <c r="I148">
        <v>-92.63</v>
      </c>
      <c r="J148">
        <v>-232.38</v>
      </c>
      <c r="K148">
        <v>-182.29</v>
      </c>
      <c r="L148">
        <v>90.59</v>
      </c>
      <c r="M148">
        <v>-16.600000000000001</v>
      </c>
      <c r="N148">
        <v>-161.16999999999999</v>
      </c>
      <c r="O148">
        <v>104.03</v>
      </c>
      <c r="P148">
        <v>282.64999999999998</v>
      </c>
      <c r="Q148">
        <v>525.82000000000005</v>
      </c>
      <c r="R148">
        <v>724.62</v>
      </c>
      <c r="S148" s="2">
        <v>1343.05</v>
      </c>
      <c r="T148" s="2">
        <v>1870.52</v>
      </c>
      <c r="U148" s="2">
        <v>2515.27</v>
      </c>
    </row>
    <row r="149" spans="1:21" x14ac:dyDescent="0.25">
      <c r="A149" t="s">
        <v>105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2.42</v>
      </c>
      <c r="K149">
        <v>0.96</v>
      </c>
      <c r="L149">
        <v>1.26</v>
      </c>
      <c r="M149">
        <v>2.68</v>
      </c>
      <c r="N149">
        <v>1.34</v>
      </c>
      <c r="O149">
        <v>18.37</v>
      </c>
      <c r="P149">
        <v>8.91</v>
      </c>
      <c r="Q149">
        <v>18.21</v>
      </c>
    </row>
    <row r="150" spans="1:21" x14ac:dyDescent="0.25">
      <c r="A150" t="s">
        <v>106</v>
      </c>
      <c r="H150">
        <v>-141.78</v>
      </c>
      <c r="I150">
        <v>-92.63</v>
      </c>
      <c r="J150">
        <v>-234.8</v>
      </c>
      <c r="K150">
        <v>-183.25</v>
      </c>
      <c r="L150">
        <v>89.33</v>
      </c>
      <c r="M150">
        <v>-19.27</v>
      </c>
      <c r="N150">
        <v>-162.5</v>
      </c>
      <c r="O150">
        <v>144.76</v>
      </c>
      <c r="P150">
        <v>315.62</v>
      </c>
      <c r="Q150">
        <v>571.04</v>
      </c>
      <c r="R150" s="2">
        <v>1311.29</v>
      </c>
      <c r="S150" s="2">
        <v>1961.33</v>
      </c>
      <c r="T150" s="2">
        <v>2120.67</v>
      </c>
      <c r="U150" s="2">
        <v>2667</v>
      </c>
    </row>
    <row r="151" spans="1:21" x14ac:dyDescent="0.25">
      <c r="A151" t="s">
        <v>107</v>
      </c>
      <c r="E151">
        <v>-173.17</v>
      </c>
      <c r="F151">
        <v>-114.09</v>
      </c>
      <c r="G151">
        <v>-56.07</v>
      </c>
      <c r="H151">
        <v>-29.45</v>
      </c>
      <c r="I151">
        <v>-10.59</v>
      </c>
      <c r="J151">
        <v>-16.18</v>
      </c>
      <c r="K151">
        <v>-8.18</v>
      </c>
      <c r="L151">
        <v>2.92</v>
      </c>
      <c r="M151">
        <v>-0.49</v>
      </c>
      <c r="N151">
        <v>-3.38</v>
      </c>
      <c r="O151">
        <v>1.08</v>
      </c>
      <c r="P151">
        <v>3.79</v>
      </c>
      <c r="Q151">
        <v>10.220000000000001</v>
      </c>
      <c r="R151">
        <v>15.6</v>
      </c>
      <c r="S151">
        <v>18.8</v>
      </c>
      <c r="T151">
        <v>12.37</v>
      </c>
      <c r="U151">
        <v>12.68</v>
      </c>
    </row>
    <row r="152" spans="1:21" x14ac:dyDescent="0.25">
      <c r="A152" t="s">
        <v>17</v>
      </c>
    </row>
    <row r="153" spans="1:21" x14ac:dyDescent="0.25">
      <c r="A153" t="s">
        <v>108</v>
      </c>
      <c r="G153">
        <v>179.45</v>
      </c>
      <c r="H153">
        <v>592.25</v>
      </c>
      <c r="I153">
        <v>871.02</v>
      </c>
      <c r="J153">
        <v>908.57</v>
      </c>
      <c r="K153">
        <v>932.56</v>
      </c>
      <c r="L153">
        <v>974.54</v>
      </c>
      <c r="M153">
        <v>979</v>
      </c>
      <c r="N153" s="2">
        <v>1002.3</v>
      </c>
      <c r="O153" s="2">
        <v>1032.47</v>
      </c>
      <c r="P153" s="2">
        <v>1047.3499999999999</v>
      </c>
      <c r="Q153" s="2">
        <v>1056.33</v>
      </c>
      <c r="R153" s="2">
        <v>1072.18</v>
      </c>
      <c r="S153" s="2">
        <v>1084.03</v>
      </c>
      <c r="T153" s="2">
        <v>1099.54</v>
      </c>
      <c r="U153" s="2">
        <v>1110.58</v>
      </c>
    </row>
    <row r="154" spans="1:21" x14ac:dyDescent="0.25">
      <c r="A154" t="s">
        <v>17</v>
      </c>
    </row>
    <row r="155" spans="1:21" x14ac:dyDescent="0.25">
      <c r="A155" t="s">
        <v>109</v>
      </c>
      <c r="G155">
        <v>179.45</v>
      </c>
      <c r="H155">
        <v>592.25</v>
      </c>
      <c r="I155">
        <v>937.42</v>
      </c>
      <c r="J155">
        <v>952.49</v>
      </c>
      <c r="K155">
        <v>956.39</v>
      </c>
      <c r="L155">
        <v>974.54</v>
      </c>
      <c r="M155" s="2">
        <v>1005.54</v>
      </c>
      <c r="N155" s="2">
        <v>1025.9000000000001</v>
      </c>
      <c r="O155" s="2">
        <v>1043.93</v>
      </c>
      <c r="P155" s="2">
        <v>1059.31</v>
      </c>
      <c r="Q155" s="2">
        <v>1073.47</v>
      </c>
      <c r="R155" s="2">
        <v>1087.54</v>
      </c>
      <c r="S155" s="2">
        <v>1086.0999999999999</v>
      </c>
      <c r="T155" s="2">
        <v>1107.08</v>
      </c>
      <c r="U155" s="2">
        <v>1115.23</v>
      </c>
    </row>
    <row r="156" spans="1:21" x14ac:dyDescent="0.25">
      <c r="A156" t="s">
        <v>110</v>
      </c>
      <c r="H156">
        <v>-0.24</v>
      </c>
      <c r="I156">
        <v>-0.11</v>
      </c>
      <c r="J156">
        <v>-0.26</v>
      </c>
      <c r="K156">
        <v>-0.2</v>
      </c>
      <c r="L156">
        <v>0.09</v>
      </c>
      <c r="M156">
        <v>-0.02</v>
      </c>
      <c r="N156">
        <v>-0.16</v>
      </c>
      <c r="O156">
        <v>0.1</v>
      </c>
      <c r="P156">
        <v>0.25</v>
      </c>
      <c r="Q156">
        <v>0.55000000000000004</v>
      </c>
      <c r="R156">
        <v>1.01</v>
      </c>
      <c r="S156">
        <v>1.58</v>
      </c>
      <c r="T156">
        <v>1.9</v>
      </c>
      <c r="U156">
        <v>2.36</v>
      </c>
    </row>
    <row r="157" spans="1:21" x14ac:dyDescent="0.25">
      <c r="A157" t="s">
        <v>17</v>
      </c>
    </row>
    <row r="158" spans="1:21" x14ac:dyDescent="0.25">
      <c r="A158" t="s">
        <v>111</v>
      </c>
    </row>
    <row r="159" spans="1:21" x14ac:dyDescent="0.25">
      <c r="A159" t="s">
        <v>62</v>
      </c>
      <c r="G159">
        <v>86.02</v>
      </c>
      <c r="H159">
        <v>133.59</v>
      </c>
      <c r="I159">
        <v>210.78</v>
      </c>
      <c r="J159">
        <v>340.37</v>
      </c>
      <c r="K159">
        <v>539.54</v>
      </c>
      <c r="L159">
        <v>673.98</v>
      </c>
      <c r="M159">
        <v>864.79</v>
      </c>
      <c r="N159" s="2">
        <v>1049.71</v>
      </c>
      <c r="O159" s="2">
        <v>1273.56</v>
      </c>
      <c r="P159" s="2">
        <v>1528.15</v>
      </c>
      <c r="Q159" s="2">
        <v>1778.07</v>
      </c>
      <c r="R159" s="2">
        <v>2049.31</v>
      </c>
      <c r="S159" s="2">
        <v>2462</v>
      </c>
      <c r="T159" s="2">
        <v>3583.49</v>
      </c>
      <c r="U159" s="2">
        <v>4561.3900000000003</v>
      </c>
    </row>
    <row r="160" spans="1:21" x14ac:dyDescent="0.25">
      <c r="A160" t="s">
        <v>63</v>
      </c>
      <c r="G160">
        <v>163.81</v>
      </c>
      <c r="H160">
        <v>347.82</v>
      </c>
      <c r="I160">
        <v>663.66</v>
      </c>
      <c r="J160" s="2">
        <v>1111.23</v>
      </c>
      <c r="K160" s="2">
        <v>1701.7</v>
      </c>
      <c r="L160" s="2">
        <v>2381.58</v>
      </c>
      <c r="M160" s="2">
        <v>3088.84</v>
      </c>
      <c r="N160" s="2">
        <v>3762.3</v>
      </c>
      <c r="O160" s="2">
        <v>4725.1400000000003</v>
      </c>
      <c r="P160" s="2">
        <v>5833.96</v>
      </c>
      <c r="Q160" s="2">
        <v>7192.46</v>
      </c>
      <c r="R160" s="2">
        <v>9040.65</v>
      </c>
      <c r="S160" s="2">
        <v>11087.68</v>
      </c>
      <c r="T160" s="2">
        <v>14050.55</v>
      </c>
      <c r="U160" s="2">
        <v>17300.28</v>
      </c>
    </row>
    <row r="161" spans="1:21" x14ac:dyDescent="0.25">
      <c r="A161" t="s">
        <v>64</v>
      </c>
      <c r="H161">
        <v>72.25</v>
      </c>
      <c r="I161">
        <v>75.900000000000006</v>
      </c>
      <c r="J161">
        <v>76.55</v>
      </c>
      <c r="K161">
        <v>76</v>
      </c>
      <c r="L161">
        <v>78</v>
      </c>
      <c r="M161">
        <v>78</v>
      </c>
      <c r="N161">
        <v>78</v>
      </c>
      <c r="O161">
        <v>78.69</v>
      </c>
      <c r="P161">
        <v>79.13</v>
      </c>
      <c r="Q161">
        <v>79.94</v>
      </c>
      <c r="R161">
        <v>81.489999999999995</v>
      </c>
      <c r="S161">
        <v>82.04</v>
      </c>
      <c r="T161">
        <v>81.55</v>
      </c>
      <c r="U161">
        <v>81.81</v>
      </c>
    </row>
    <row r="162" spans="1:21" x14ac:dyDescent="0.25">
      <c r="A162" t="s">
        <v>112</v>
      </c>
      <c r="G162">
        <v>279.58</v>
      </c>
      <c r="H162">
        <v>413.46</v>
      </c>
      <c r="I162">
        <v>601.30999999999995</v>
      </c>
      <c r="J162">
        <v>915.05</v>
      </c>
      <c r="K162" s="2">
        <v>1346.07</v>
      </c>
      <c r="L162" s="2">
        <v>1721.29</v>
      </c>
      <c r="M162" s="2">
        <v>2251.14</v>
      </c>
      <c r="N162">
        <v>281.67</v>
      </c>
      <c r="O162" s="2">
        <v>3224.6</v>
      </c>
      <c r="P162" s="2">
        <v>3867.21</v>
      </c>
      <c r="Q162" s="2">
        <v>4626.57</v>
      </c>
      <c r="R162" s="2">
        <v>5883.04</v>
      </c>
      <c r="S162" s="2">
        <v>7312.21</v>
      </c>
      <c r="T162" s="2">
        <v>10432.39</v>
      </c>
      <c r="U162" s="2">
        <v>13398.72</v>
      </c>
    </row>
    <row r="163" spans="1:21" x14ac:dyDescent="0.25">
      <c r="A163" t="s">
        <v>113</v>
      </c>
      <c r="G163">
        <v>167.36</v>
      </c>
      <c r="H163">
        <v>242.55</v>
      </c>
      <c r="I163">
        <v>350.4</v>
      </c>
      <c r="J163">
        <v>524.79999999999995</v>
      </c>
      <c r="K163">
        <v>749.93</v>
      </c>
      <c r="L163">
        <v>962.58</v>
      </c>
      <c r="M163" s="2">
        <v>1263.48</v>
      </c>
      <c r="N163" s="2">
        <v>1520</v>
      </c>
      <c r="O163" s="2">
        <v>1727.47</v>
      </c>
      <c r="P163" s="2">
        <v>2103.1799999999998</v>
      </c>
      <c r="Q163" s="2">
        <v>2510.12</v>
      </c>
      <c r="R163" s="2">
        <v>3138.27</v>
      </c>
      <c r="S163" s="2">
        <v>3790.85</v>
      </c>
      <c r="T163" s="2">
        <v>4732.1000000000004</v>
      </c>
      <c r="U163" s="2">
        <v>5758.12</v>
      </c>
    </row>
    <row r="164" spans="1:21" x14ac:dyDescent="0.25">
      <c r="A164" t="s">
        <v>114</v>
      </c>
      <c r="G164">
        <v>76.62</v>
      </c>
      <c r="H164">
        <v>114.74</v>
      </c>
      <c r="I164">
        <v>174.37</v>
      </c>
      <c r="J164">
        <v>269.26</v>
      </c>
      <c r="K164">
        <v>433.65</v>
      </c>
      <c r="L164">
        <v>561.32000000000005</v>
      </c>
      <c r="M164">
        <v>731.77</v>
      </c>
      <c r="N164">
        <v>914.16</v>
      </c>
      <c r="O164" s="2">
        <v>1155.22</v>
      </c>
      <c r="P164" s="2">
        <v>1356.33</v>
      </c>
      <c r="Q164" s="2">
        <v>1625.9</v>
      </c>
      <c r="R164" s="2">
        <v>1973.49</v>
      </c>
      <c r="S164" s="2">
        <v>2389.12</v>
      </c>
      <c r="T164" s="2">
        <v>3020.3</v>
      </c>
      <c r="U164" s="2">
        <v>3697.67</v>
      </c>
    </row>
    <row r="165" spans="1:21" x14ac:dyDescent="0.25">
      <c r="A165" t="s">
        <v>76</v>
      </c>
      <c r="G165">
        <v>30.67</v>
      </c>
      <c r="H165">
        <v>23.83</v>
      </c>
      <c r="I165">
        <v>19.940000000000001</v>
      </c>
      <c r="J165">
        <v>18.55</v>
      </c>
      <c r="K165">
        <v>19.350000000000001</v>
      </c>
      <c r="L165">
        <v>18.37</v>
      </c>
      <c r="M165">
        <v>18.510000000000002</v>
      </c>
      <c r="N165">
        <v>19</v>
      </c>
      <c r="O165">
        <v>19.2</v>
      </c>
      <c r="P165">
        <v>18.38</v>
      </c>
      <c r="Q165">
        <v>18.059999999999999</v>
      </c>
      <c r="R165">
        <v>17.829999999999998</v>
      </c>
      <c r="S165">
        <v>17.690000000000001</v>
      </c>
      <c r="T165">
        <v>17.57</v>
      </c>
      <c r="U165">
        <v>17.48</v>
      </c>
    </row>
    <row r="166" spans="1:21" x14ac:dyDescent="0.25">
      <c r="A166" t="s">
        <v>115</v>
      </c>
      <c r="G166">
        <v>35.6</v>
      </c>
      <c r="H166">
        <v>56.16</v>
      </c>
      <c r="I166">
        <v>76.540000000000006</v>
      </c>
      <c r="J166">
        <v>121</v>
      </c>
      <c r="K166">
        <v>162.49</v>
      </c>
      <c r="L166">
        <v>197.38</v>
      </c>
      <c r="M166">
        <v>255.9</v>
      </c>
      <c r="N166">
        <v>281.67</v>
      </c>
      <c r="O166">
        <v>343.34</v>
      </c>
      <c r="P166">
        <v>407.75</v>
      </c>
      <c r="Q166">
        <v>475.07</v>
      </c>
      <c r="R166">
        <v>591.11</v>
      </c>
      <c r="S166">
        <v>707.98</v>
      </c>
      <c r="T166">
        <v>897.35</v>
      </c>
      <c r="U166" s="2">
        <v>1090.5999999999999</v>
      </c>
    </row>
    <row r="167" spans="1:21" x14ac:dyDescent="0.25">
      <c r="A167" t="s">
        <v>116</v>
      </c>
      <c r="H167">
        <v>-65.64</v>
      </c>
      <c r="I167">
        <v>62.35</v>
      </c>
      <c r="J167">
        <v>196.18</v>
      </c>
      <c r="K167">
        <v>355.62</v>
      </c>
      <c r="L167">
        <v>660.3</v>
      </c>
      <c r="M167">
        <v>837.7</v>
      </c>
      <c r="N167" s="2">
        <v>1046.47</v>
      </c>
      <c r="O167" s="2">
        <v>1504.05</v>
      </c>
      <c r="P167" s="2">
        <v>1934.9</v>
      </c>
      <c r="Q167" s="2">
        <v>2514.5</v>
      </c>
      <c r="R167" s="2">
        <v>3337.71</v>
      </c>
      <c r="S167" s="2">
        <v>4199.83</v>
      </c>
      <c r="T167" s="2">
        <v>5401</v>
      </c>
      <c r="U167" s="2">
        <v>6754</v>
      </c>
    </row>
    <row r="168" spans="1:21" x14ac:dyDescent="0.25">
      <c r="A168" t="s">
        <v>61</v>
      </c>
      <c r="E168">
        <v>-167.72</v>
      </c>
      <c r="F168">
        <v>-99.62</v>
      </c>
      <c r="G168">
        <v>-46.34</v>
      </c>
      <c r="H168">
        <v>-13.63</v>
      </c>
      <c r="I168">
        <v>7.13</v>
      </c>
      <c r="J168">
        <v>13.51</v>
      </c>
      <c r="K168">
        <v>15.87</v>
      </c>
      <c r="L168">
        <v>21.61</v>
      </c>
      <c r="M168">
        <v>21.19</v>
      </c>
      <c r="N168">
        <v>21.75</v>
      </c>
      <c r="O168">
        <v>25.07</v>
      </c>
      <c r="P168">
        <v>26.72</v>
      </c>
      <c r="Q168">
        <v>28.73</v>
      </c>
      <c r="R168">
        <v>30.17</v>
      </c>
      <c r="S168">
        <v>31.2</v>
      </c>
      <c r="T168">
        <v>31.68</v>
      </c>
      <c r="U168">
        <v>32.409999999999997</v>
      </c>
    </row>
    <row r="169" spans="1:21" x14ac:dyDescent="0.25">
      <c r="A169" t="s">
        <v>117</v>
      </c>
      <c r="H169">
        <v>-42.61</v>
      </c>
      <c r="I169">
        <v>101.05</v>
      </c>
      <c r="J169">
        <v>264.99</v>
      </c>
      <c r="K169">
        <v>432.87</v>
      </c>
      <c r="L169">
        <v>787.13</v>
      </c>
      <c r="M169" s="2">
        <v>1025.6500000000001</v>
      </c>
      <c r="N169" s="2">
        <v>1296.69</v>
      </c>
      <c r="O169" s="2">
        <v>1829.52</v>
      </c>
      <c r="P169" s="2">
        <v>2298.17</v>
      </c>
      <c r="Q169" s="2">
        <v>2915.82</v>
      </c>
      <c r="R169" s="2">
        <v>3660.2</v>
      </c>
      <c r="S169" s="2">
        <v>4410</v>
      </c>
      <c r="T169" s="2">
        <v>5273.5</v>
      </c>
      <c r="U169" s="2">
        <v>6127.5</v>
      </c>
    </row>
    <row r="170" spans="1:21" x14ac:dyDescent="0.25">
      <c r="A170" t="s">
        <v>118</v>
      </c>
      <c r="E170">
        <v>0.08</v>
      </c>
      <c r="F170">
        <v>1.47</v>
      </c>
      <c r="G170">
        <v>1.42</v>
      </c>
      <c r="H170">
        <v>-6.73</v>
      </c>
      <c r="I170">
        <v>-6.22</v>
      </c>
      <c r="J170">
        <v>-7.76</v>
      </c>
      <c r="K170">
        <v>-3.05</v>
      </c>
      <c r="L170">
        <v>-1.64</v>
      </c>
      <c r="M170">
        <v>-5.0999999999999996</v>
      </c>
      <c r="N170">
        <v>0.65</v>
      </c>
      <c r="O170">
        <v>-34.31</v>
      </c>
      <c r="P170">
        <v>4.5</v>
      </c>
      <c r="Q170">
        <v>-21.62</v>
      </c>
      <c r="R170">
        <v>324.91000000000003</v>
      </c>
      <c r="S170">
        <v>220.52</v>
      </c>
    </row>
    <row r="171" spans="1:21" x14ac:dyDescent="0.25">
      <c r="A171" t="s">
        <v>119</v>
      </c>
      <c r="H171">
        <v>-59.36</v>
      </c>
      <c r="I171">
        <v>67.010000000000005</v>
      </c>
      <c r="J171">
        <v>175.78</v>
      </c>
      <c r="K171">
        <v>385.85</v>
      </c>
      <c r="L171">
        <v>758.89</v>
      </c>
      <c r="M171" s="2">
        <v>1058.77</v>
      </c>
      <c r="N171" s="2">
        <v>1210.8699999999999</v>
      </c>
      <c r="O171" s="2">
        <v>1672.07</v>
      </c>
      <c r="P171" s="2">
        <v>2108.14</v>
      </c>
      <c r="Q171" s="2">
        <v>2820.42</v>
      </c>
      <c r="R171" s="2">
        <v>3667.83</v>
      </c>
      <c r="S171" s="2">
        <v>4602.6000000000004</v>
      </c>
      <c r="T171" s="2">
        <v>6195.67</v>
      </c>
      <c r="U171" s="2">
        <v>7806.33</v>
      </c>
    </row>
    <row r="172" spans="1:21" x14ac:dyDescent="0.25">
      <c r="A172" t="s">
        <v>120</v>
      </c>
      <c r="E172">
        <v>0.09</v>
      </c>
      <c r="F172">
        <v>0.93</v>
      </c>
      <c r="G172">
        <v>1.37</v>
      </c>
      <c r="H172">
        <v>2</v>
      </c>
      <c r="I172">
        <v>4.76</v>
      </c>
      <c r="J172">
        <v>72.36</v>
      </c>
      <c r="K172">
        <v>22.4</v>
      </c>
      <c r="L172">
        <v>32.229999999999997</v>
      </c>
      <c r="M172">
        <v>71.13</v>
      </c>
      <c r="N172">
        <v>34.18</v>
      </c>
      <c r="O172">
        <v>12.75</v>
      </c>
      <c r="P172">
        <v>97.87</v>
      </c>
      <c r="Q172">
        <v>85.24</v>
      </c>
      <c r="R172">
        <v>252.95</v>
      </c>
      <c r="S172">
        <v>386.66</v>
      </c>
      <c r="T172">
        <v>525.69000000000005</v>
      </c>
      <c r="U172">
        <v>682.77</v>
      </c>
    </row>
    <row r="173" spans="1:21" x14ac:dyDescent="0.25">
      <c r="A173" t="s">
        <v>121</v>
      </c>
      <c r="H173">
        <v>17.32</v>
      </c>
      <c r="I173">
        <v>62.6</v>
      </c>
      <c r="J173">
        <v>160.66</v>
      </c>
      <c r="K173">
        <v>368.37</v>
      </c>
      <c r="L173">
        <v>751.75</v>
      </c>
      <c r="M173">
        <v>987.64</v>
      </c>
      <c r="N173">
        <v>956.59</v>
      </c>
      <c r="O173" s="2">
        <v>1311.23</v>
      </c>
      <c r="P173" s="2">
        <v>1704.45</v>
      </c>
      <c r="Q173" s="2">
        <v>2233.2399999999998</v>
      </c>
      <c r="R173" s="2">
        <v>2934.17</v>
      </c>
      <c r="S173" s="2">
        <v>3715.6</v>
      </c>
      <c r="T173" s="2">
        <v>4697.67</v>
      </c>
      <c r="U173" s="2">
        <v>5981</v>
      </c>
    </row>
    <row r="174" spans="1:21" x14ac:dyDescent="0.25">
      <c r="A174" t="s">
        <v>122</v>
      </c>
      <c r="G174">
        <v>-47.63</v>
      </c>
      <c r="H174">
        <v>-13</v>
      </c>
      <c r="I174">
        <v>7.16</v>
      </c>
      <c r="J174">
        <v>11.07</v>
      </c>
      <c r="K174">
        <v>16.440000000000001</v>
      </c>
      <c r="L174">
        <v>24.6</v>
      </c>
      <c r="M174">
        <v>24.98</v>
      </c>
      <c r="N174">
        <v>19.88</v>
      </c>
      <c r="O174">
        <v>21.9</v>
      </c>
      <c r="P174">
        <v>23.2</v>
      </c>
      <c r="Q174">
        <v>25.22</v>
      </c>
      <c r="R174">
        <v>26.22</v>
      </c>
      <c r="S174">
        <v>26.92</v>
      </c>
      <c r="T174">
        <v>26.34</v>
      </c>
      <c r="U174">
        <v>26.91</v>
      </c>
    </row>
    <row r="175" spans="1:21" x14ac:dyDescent="0.25">
      <c r="A175" t="s">
        <v>123</v>
      </c>
      <c r="G175">
        <v>179.45</v>
      </c>
      <c r="H175">
        <v>592.25</v>
      </c>
      <c r="I175">
        <v>871.02</v>
      </c>
      <c r="J175">
        <v>908.57</v>
      </c>
      <c r="K175">
        <v>932.56</v>
      </c>
      <c r="L175">
        <v>954.55</v>
      </c>
      <c r="M175">
        <v>979</v>
      </c>
      <c r="N175" s="2">
        <v>1002.3</v>
      </c>
      <c r="O175" s="2">
        <v>1024.69</v>
      </c>
      <c r="P175" s="2">
        <v>1040.0999999999999</v>
      </c>
      <c r="Q175" s="2">
        <v>1053.27</v>
      </c>
      <c r="R175" s="2">
        <v>1099.7</v>
      </c>
      <c r="S175" s="2">
        <v>1100.98</v>
      </c>
      <c r="T175" s="2">
        <v>1166.33</v>
      </c>
      <c r="U175" s="2">
        <v>1193.6099999999999</v>
      </c>
    </row>
    <row r="176" spans="1:21" x14ac:dyDescent="0.25">
      <c r="A176" t="s">
        <v>124</v>
      </c>
      <c r="H176">
        <v>0.03</v>
      </c>
      <c r="I176">
        <v>7.0000000000000007E-2</v>
      </c>
      <c r="J176">
        <v>0.17</v>
      </c>
      <c r="K176">
        <v>0.39</v>
      </c>
      <c r="L176">
        <v>0.77</v>
      </c>
      <c r="M176">
        <v>0.98</v>
      </c>
      <c r="N176">
        <v>0.93</v>
      </c>
      <c r="O176">
        <v>1.25</v>
      </c>
      <c r="P176">
        <v>1.6</v>
      </c>
      <c r="Q176">
        <v>2.08</v>
      </c>
      <c r="R176">
        <v>2.7</v>
      </c>
      <c r="S176">
        <v>3.38</v>
      </c>
      <c r="T176">
        <v>4.26</v>
      </c>
      <c r="U176">
        <v>5.33</v>
      </c>
    </row>
    <row r="177" spans="1:21" x14ac:dyDescent="0.25">
      <c r="A177" t="s">
        <v>17</v>
      </c>
    </row>
    <row r="178" spans="1:21" x14ac:dyDescent="0.25">
      <c r="A178" t="s">
        <v>125</v>
      </c>
    </row>
    <row r="179" spans="1:21" x14ac:dyDescent="0.25">
      <c r="A179" t="s">
        <v>67</v>
      </c>
      <c r="F179">
        <v>12.34</v>
      </c>
      <c r="G179">
        <v>20.51</v>
      </c>
      <c r="H179">
        <v>79.94</v>
      </c>
      <c r="I179">
        <v>149.68</v>
      </c>
      <c r="J179">
        <v>309.95</v>
      </c>
      <c r="K179">
        <v>526.5</v>
      </c>
      <c r="L179">
        <v>631.52</v>
      </c>
      <c r="M179">
        <v>865.42</v>
      </c>
      <c r="N179" s="2">
        <v>1096.68</v>
      </c>
      <c r="O179" s="2">
        <v>1411.52</v>
      </c>
      <c r="P179" s="2">
        <v>1720.92</v>
      </c>
      <c r="Q179" s="2">
        <v>1995.2</v>
      </c>
      <c r="R179" s="2">
        <v>2260.4499999999998</v>
      </c>
      <c r="S179" s="2">
        <v>2318.77</v>
      </c>
      <c r="T179" s="2">
        <v>2827.69</v>
      </c>
      <c r="U179" s="2">
        <v>3137.55</v>
      </c>
    </row>
    <row r="180" spans="1:21" x14ac:dyDescent="0.25">
      <c r="A180" t="s">
        <v>61</v>
      </c>
      <c r="F180">
        <v>10.39</v>
      </c>
      <c r="G180">
        <v>8.2100000000000009</v>
      </c>
      <c r="H180">
        <v>16.61</v>
      </c>
      <c r="I180">
        <v>17.12</v>
      </c>
      <c r="J180">
        <v>21.35</v>
      </c>
      <c r="K180">
        <v>23.49</v>
      </c>
      <c r="L180">
        <v>20.67</v>
      </c>
      <c r="M180">
        <v>21.89</v>
      </c>
      <c r="N180">
        <v>22.79</v>
      </c>
      <c r="O180">
        <v>24.39</v>
      </c>
      <c r="P180">
        <v>22.49</v>
      </c>
      <c r="Q180">
        <v>21.5</v>
      </c>
      <c r="R180">
        <v>19.690000000000001</v>
      </c>
      <c r="S180">
        <v>16.25</v>
      </c>
      <c r="T180">
        <v>15.18</v>
      </c>
      <c r="U180">
        <v>14.2</v>
      </c>
    </row>
    <row r="181" spans="1:21" x14ac:dyDescent="0.25">
      <c r="A181" t="s">
        <v>126</v>
      </c>
      <c r="E181">
        <v>0.09</v>
      </c>
      <c r="F181">
        <v>0.34</v>
      </c>
      <c r="G181">
        <v>0.89</v>
      </c>
      <c r="H181">
        <v>7.71</v>
      </c>
      <c r="I181">
        <v>17.71</v>
      </c>
      <c r="J181">
        <v>32.090000000000003</v>
      </c>
      <c r="K181">
        <v>47.78</v>
      </c>
      <c r="L181">
        <v>66.19</v>
      </c>
      <c r="M181">
        <v>104.72</v>
      </c>
      <c r="N181">
        <v>136.19999999999999</v>
      </c>
      <c r="O181">
        <v>166.18</v>
      </c>
      <c r="P181">
        <v>207.04</v>
      </c>
      <c r="Q181">
        <v>234.19</v>
      </c>
      <c r="R181">
        <v>241.74</v>
      </c>
      <c r="S181">
        <v>253.6</v>
      </c>
      <c r="T181">
        <v>275.83</v>
      </c>
      <c r="U181">
        <v>282.52</v>
      </c>
    </row>
    <row r="182" spans="1:21" x14ac:dyDescent="0.25">
      <c r="A182" t="s">
        <v>114</v>
      </c>
      <c r="E182">
        <v>0.56000000000000005</v>
      </c>
      <c r="F182">
        <v>3.43</v>
      </c>
      <c r="G182">
        <v>7.82</v>
      </c>
      <c r="H182">
        <v>15.4</v>
      </c>
      <c r="I182">
        <v>40.270000000000003</v>
      </c>
      <c r="J182">
        <v>102.03</v>
      </c>
      <c r="K182">
        <v>174.71</v>
      </c>
      <c r="L182">
        <v>205.9</v>
      </c>
      <c r="M182">
        <v>337.62</v>
      </c>
      <c r="N182">
        <v>439.09</v>
      </c>
      <c r="O182">
        <v>593.37</v>
      </c>
      <c r="P182">
        <v>697.25</v>
      </c>
      <c r="Q182">
        <v>820.92</v>
      </c>
      <c r="R182">
        <v>929.12</v>
      </c>
      <c r="S182">
        <v>947.08</v>
      </c>
      <c r="T182" s="2">
        <v>1215</v>
      </c>
      <c r="U182" s="2">
        <v>1366.11</v>
      </c>
    </row>
    <row r="183" spans="1:21" x14ac:dyDescent="0.25">
      <c r="A183" t="s">
        <v>113</v>
      </c>
      <c r="E183">
        <v>0.64</v>
      </c>
      <c r="F183">
        <v>1.39</v>
      </c>
      <c r="G183">
        <v>5.18</v>
      </c>
      <c r="H183">
        <v>23.92</v>
      </c>
      <c r="I183">
        <v>50.56</v>
      </c>
      <c r="J183">
        <v>89.63</v>
      </c>
      <c r="K183">
        <v>151.91999999999999</v>
      </c>
      <c r="L183">
        <v>175.81</v>
      </c>
      <c r="M183">
        <v>235.5</v>
      </c>
      <c r="N183">
        <v>287.02</v>
      </c>
      <c r="O183">
        <v>356.18</v>
      </c>
      <c r="P183">
        <v>427.99</v>
      </c>
      <c r="Q183">
        <v>503.52</v>
      </c>
      <c r="R183">
        <v>549.02</v>
      </c>
      <c r="S183">
        <v>555.25</v>
      </c>
      <c r="T183">
        <v>665.36</v>
      </c>
      <c r="U183">
        <v>742.08</v>
      </c>
    </row>
    <row r="184" spans="1:21" x14ac:dyDescent="0.25">
      <c r="A184" t="s">
        <v>115</v>
      </c>
      <c r="E184">
        <v>0.7</v>
      </c>
      <c r="F184">
        <v>7.19</v>
      </c>
      <c r="G184">
        <v>6.62</v>
      </c>
      <c r="H184">
        <v>32.909999999999997</v>
      </c>
      <c r="I184">
        <v>41.13</v>
      </c>
      <c r="J184">
        <v>86.2</v>
      </c>
      <c r="K184">
        <v>152.09</v>
      </c>
      <c r="L184">
        <v>183.63</v>
      </c>
      <c r="M184">
        <v>187.58</v>
      </c>
      <c r="N184">
        <v>241.45</v>
      </c>
      <c r="O184">
        <v>351.75</v>
      </c>
      <c r="P184">
        <v>414.77</v>
      </c>
      <c r="Q184">
        <v>494.69</v>
      </c>
      <c r="R184">
        <v>549.46</v>
      </c>
      <c r="S184">
        <v>555.85</v>
      </c>
      <c r="T184">
        <v>665.36</v>
      </c>
      <c r="U184">
        <v>742.08</v>
      </c>
    </row>
    <row r="185" spans="1:21" x14ac:dyDescent="0.25">
      <c r="A185" t="s">
        <v>127</v>
      </c>
      <c r="F185">
        <v>0.1</v>
      </c>
      <c r="G185">
        <v>0.6</v>
      </c>
      <c r="H185">
        <v>0.5</v>
      </c>
      <c r="I185">
        <v>1.45</v>
      </c>
      <c r="J185">
        <v>12.9</v>
      </c>
      <c r="K185">
        <v>16.57</v>
      </c>
      <c r="L185">
        <v>18.420000000000002</v>
      </c>
      <c r="M185">
        <v>26</v>
      </c>
      <c r="N185">
        <v>31.23</v>
      </c>
      <c r="O185">
        <v>44.59</v>
      </c>
      <c r="P185">
        <v>45.85</v>
      </c>
      <c r="Q185">
        <v>43.05</v>
      </c>
      <c r="R185">
        <v>57</v>
      </c>
      <c r="S185">
        <v>64.33</v>
      </c>
      <c r="T185">
        <v>94.31</v>
      </c>
      <c r="U185">
        <v>108.63</v>
      </c>
    </row>
    <row r="186" spans="1:21" x14ac:dyDescent="0.25">
      <c r="A186" t="s">
        <v>128</v>
      </c>
      <c r="G186">
        <v>0.33</v>
      </c>
      <c r="H186">
        <v>0.32</v>
      </c>
      <c r="I186">
        <v>1.06</v>
      </c>
      <c r="J186">
        <v>10.76</v>
      </c>
      <c r="K186">
        <v>13.91</v>
      </c>
      <c r="L186">
        <v>15.56</v>
      </c>
      <c r="M186">
        <v>21.98</v>
      </c>
      <c r="N186">
        <v>26.31</v>
      </c>
      <c r="O186">
        <v>41.67</v>
      </c>
      <c r="P186">
        <v>41.46</v>
      </c>
      <c r="Q186">
        <v>38.020000000000003</v>
      </c>
      <c r="R186">
        <v>50.93</v>
      </c>
      <c r="S186">
        <v>57.33</v>
      </c>
      <c r="T186">
        <v>71.77</v>
      </c>
      <c r="U186">
        <v>83.23</v>
      </c>
    </row>
    <row r="187" spans="1:21" x14ac:dyDescent="0.25">
      <c r="A187" t="s">
        <v>114</v>
      </c>
      <c r="G187">
        <v>0.11</v>
      </c>
      <c r="H187">
        <v>0.04</v>
      </c>
      <c r="I187">
        <v>0.03</v>
      </c>
      <c r="J187">
        <v>0</v>
      </c>
      <c r="L187">
        <v>0.47</v>
      </c>
      <c r="M187">
        <v>0</v>
      </c>
      <c r="N187">
        <v>0</v>
      </c>
      <c r="O187">
        <v>1.25</v>
      </c>
      <c r="P187">
        <v>2.56</v>
      </c>
      <c r="Q187">
        <v>2.56</v>
      </c>
    </row>
    <row r="188" spans="1:21" x14ac:dyDescent="0.25">
      <c r="A188" t="s">
        <v>129</v>
      </c>
      <c r="G188">
        <v>0.14000000000000001</v>
      </c>
      <c r="H188">
        <v>0.12</v>
      </c>
      <c r="I188">
        <v>0.36</v>
      </c>
      <c r="J188">
        <v>2.12</v>
      </c>
      <c r="K188">
        <v>2.56</v>
      </c>
      <c r="L188">
        <v>2.09</v>
      </c>
      <c r="M188">
        <v>2.65</v>
      </c>
      <c r="N188">
        <v>3.59</v>
      </c>
      <c r="O188">
        <v>3.33</v>
      </c>
      <c r="P188">
        <v>3.94</v>
      </c>
      <c r="Q188">
        <v>4.16</v>
      </c>
      <c r="R188">
        <v>6.68</v>
      </c>
      <c r="S188">
        <v>8.77</v>
      </c>
      <c r="T188">
        <v>12.67</v>
      </c>
      <c r="U188">
        <v>14.69</v>
      </c>
    </row>
    <row r="189" spans="1:21" x14ac:dyDescent="0.25">
      <c r="A189" t="s">
        <v>115</v>
      </c>
      <c r="J189">
        <v>0.03</v>
      </c>
      <c r="K189">
        <v>0.1</v>
      </c>
      <c r="L189">
        <v>0.3</v>
      </c>
      <c r="M189">
        <v>1.37</v>
      </c>
      <c r="N189">
        <v>1.34</v>
      </c>
      <c r="O189">
        <v>1.28</v>
      </c>
      <c r="P189">
        <v>1.54</v>
      </c>
      <c r="Q189">
        <v>1.39</v>
      </c>
      <c r="R189">
        <v>1.57</v>
      </c>
      <c r="S189">
        <v>1.57</v>
      </c>
    </row>
    <row r="190" spans="1:21" x14ac:dyDescent="0.25">
      <c r="A190" t="s">
        <v>130</v>
      </c>
      <c r="I190">
        <v>0</v>
      </c>
      <c r="J190">
        <v>57.24</v>
      </c>
      <c r="K190">
        <v>4.66</v>
      </c>
      <c r="L190">
        <v>-0.62</v>
      </c>
      <c r="M190">
        <v>49.88</v>
      </c>
      <c r="N190">
        <v>-220.11</v>
      </c>
      <c r="O190">
        <v>-242.99</v>
      </c>
      <c r="P190">
        <v>-288.91000000000003</v>
      </c>
      <c r="Q190">
        <v>-376.1</v>
      </c>
    </row>
    <row r="191" spans="1:21" x14ac:dyDescent="0.25">
      <c r="A191" t="s">
        <v>131</v>
      </c>
    </row>
    <row r="192" spans="1:21" x14ac:dyDescent="0.25">
      <c r="A192" t="s">
        <v>132</v>
      </c>
      <c r="F192">
        <v>0.17</v>
      </c>
      <c r="I192">
        <v>3.76</v>
      </c>
      <c r="J192">
        <v>6.37</v>
      </c>
      <c r="K192">
        <v>2.66</v>
      </c>
      <c r="L192">
        <v>4.38</v>
      </c>
      <c r="M192">
        <v>6.03</v>
      </c>
      <c r="N192">
        <v>14.04</v>
      </c>
      <c r="O192">
        <v>17.43</v>
      </c>
      <c r="P192">
        <v>24.65</v>
      </c>
      <c r="Q192">
        <v>23.74</v>
      </c>
    </row>
    <row r="193" spans="1:21" x14ac:dyDescent="0.25">
      <c r="A193" t="s">
        <v>133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15.87</v>
      </c>
      <c r="K193">
        <v>2.66</v>
      </c>
      <c r="L193">
        <v>3.63</v>
      </c>
      <c r="M193">
        <v>59.19</v>
      </c>
      <c r="N193">
        <v>128.03</v>
      </c>
      <c r="O193">
        <v>19.55</v>
      </c>
    </row>
    <row r="194" spans="1:21" x14ac:dyDescent="0.25">
      <c r="A194" t="s">
        <v>17</v>
      </c>
    </row>
    <row r="195" spans="1:21" x14ac:dyDescent="0.25">
      <c r="A195" t="s">
        <v>134</v>
      </c>
    </row>
    <row r="196" spans="1:21" x14ac:dyDescent="0.25">
      <c r="A196" t="s">
        <v>135</v>
      </c>
    </row>
    <row r="197" spans="1:21" x14ac:dyDescent="0.25">
      <c r="A197" t="s">
        <v>136</v>
      </c>
      <c r="F197">
        <v>153.61000000000001</v>
      </c>
      <c r="G197">
        <v>331.39</v>
      </c>
      <c r="H197" s="2">
        <v>1171.6400000000001</v>
      </c>
      <c r="I197" s="2">
        <v>2292.27</v>
      </c>
      <c r="J197" s="2">
        <v>2570.9499999999998</v>
      </c>
      <c r="K197" s="2">
        <v>3640.27</v>
      </c>
      <c r="L197" s="2">
        <v>4757.3100000000004</v>
      </c>
      <c r="M197" s="2">
        <v>6113.35</v>
      </c>
      <c r="N197" s="2">
        <v>7419.12</v>
      </c>
      <c r="O197" s="2">
        <v>8795</v>
      </c>
      <c r="P197" s="2">
        <v>11612.63</v>
      </c>
      <c r="Q197" s="2">
        <v>14687</v>
      </c>
      <c r="R197" s="2">
        <v>20058.259999999998</v>
      </c>
      <c r="S197" s="2">
        <v>25804.42</v>
      </c>
      <c r="T197" s="2">
        <v>32043.7</v>
      </c>
      <c r="U197" s="2">
        <v>39221.07</v>
      </c>
    </row>
    <row r="198" spans="1:21" x14ac:dyDescent="0.25">
      <c r="A198" t="s">
        <v>137</v>
      </c>
      <c r="F198">
        <v>65.77</v>
      </c>
      <c r="G198">
        <v>191.66</v>
      </c>
      <c r="H198">
        <v>912.06</v>
      </c>
      <c r="I198" s="2">
        <v>1918.61</v>
      </c>
      <c r="J198" s="2">
        <v>1996.63</v>
      </c>
      <c r="K198" s="2">
        <v>2705.37</v>
      </c>
      <c r="L198" s="2">
        <v>3474.66</v>
      </c>
      <c r="M198" s="2">
        <v>4323.3</v>
      </c>
      <c r="N198" s="2">
        <v>5230.13</v>
      </c>
      <c r="O198" s="2">
        <v>6111.88</v>
      </c>
      <c r="P198" s="2">
        <v>8376.77</v>
      </c>
      <c r="Q198" s="2">
        <v>11093.52</v>
      </c>
      <c r="R198" s="2">
        <v>14270.09</v>
      </c>
      <c r="S198" s="2">
        <v>18409.75</v>
      </c>
      <c r="T198" s="2">
        <v>24933.8</v>
      </c>
      <c r="U198" s="2">
        <v>31645.96</v>
      </c>
    </row>
    <row r="199" spans="1:21" x14ac:dyDescent="0.25">
      <c r="A199" t="s">
        <v>138</v>
      </c>
      <c r="F199">
        <v>65.77</v>
      </c>
      <c r="G199">
        <v>191.66</v>
      </c>
      <c r="H199">
        <v>913.06</v>
      </c>
      <c r="I199" s="2">
        <v>1921.11</v>
      </c>
      <c r="J199" s="2">
        <v>2020.27</v>
      </c>
      <c r="K199" s="2">
        <v>2752.64</v>
      </c>
      <c r="L199" s="2">
        <v>3530.9</v>
      </c>
      <c r="M199" s="2">
        <v>4395.84</v>
      </c>
      <c r="N199" s="2">
        <v>5306.96</v>
      </c>
      <c r="O199" s="2">
        <v>7041.96</v>
      </c>
      <c r="P199" s="2">
        <v>9457.35</v>
      </c>
      <c r="Q199" s="2">
        <v>11371.27</v>
      </c>
      <c r="R199" s="2">
        <v>15474.66</v>
      </c>
      <c r="S199" s="2">
        <v>20149.68</v>
      </c>
      <c r="T199" s="2">
        <v>25702.33</v>
      </c>
      <c r="U199" s="2">
        <v>31950.02</v>
      </c>
    </row>
    <row r="200" spans="1:21" x14ac:dyDescent="0.25">
      <c r="A200" t="s">
        <v>139</v>
      </c>
      <c r="F200">
        <v>63.18</v>
      </c>
      <c r="G200">
        <v>88.41</v>
      </c>
      <c r="H200">
        <v>264.8</v>
      </c>
      <c r="I200" s="2">
        <v>1918.61</v>
      </c>
      <c r="J200" s="2">
        <v>1996.63</v>
      </c>
      <c r="K200" s="2">
        <v>2455.37</v>
      </c>
      <c r="L200" s="2">
        <v>3375.07</v>
      </c>
      <c r="M200" s="2">
        <v>4323.3</v>
      </c>
      <c r="N200" s="2">
        <v>5230.13</v>
      </c>
      <c r="O200" s="2">
        <v>6100.3</v>
      </c>
      <c r="P200" s="2">
        <v>8382.23</v>
      </c>
      <c r="Q200" s="2">
        <v>11289.11</v>
      </c>
      <c r="R200" s="2">
        <v>15352.51</v>
      </c>
      <c r="S200" s="2">
        <v>19987.53</v>
      </c>
      <c r="T200" s="2">
        <v>25467.33</v>
      </c>
      <c r="U200" s="2">
        <v>31666.2</v>
      </c>
    </row>
    <row r="201" spans="1:21" x14ac:dyDescent="0.25">
      <c r="A201" t="s">
        <v>140</v>
      </c>
      <c r="F201">
        <v>2.59</v>
      </c>
      <c r="G201">
        <v>103.25</v>
      </c>
      <c r="H201">
        <v>647.27</v>
      </c>
      <c r="I201">
        <v>0</v>
      </c>
      <c r="J201">
        <v>0</v>
      </c>
      <c r="K201">
        <v>250</v>
      </c>
      <c r="L201">
        <v>99.59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21" x14ac:dyDescent="0.25">
      <c r="A202" t="s">
        <v>141</v>
      </c>
      <c r="F202">
        <v>59.61</v>
      </c>
      <c r="G202">
        <v>92.48</v>
      </c>
      <c r="H202">
        <v>164.99</v>
      </c>
      <c r="I202">
        <v>239.2</v>
      </c>
      <c r="J202">
        <v>368.15</v>
      </c>
      <c r="K202">
        <v>626.17999999999995</v>
      </c>
      <c r="L202">
        <v>853.11</v>
      </c>
      <c r="M202" s="2">
        <v>1128.56</v>
      </c>
      <c r="N202" s="2">
        <v>1361.84</v>
      </c>
      <c r="O202" s="2">
        <v>1619.59</v>
      </c>
      <c r="P202" s="2">
        <v>1901.74</v>
      </c>
      <c r="Q202" s="2">
        <v>2360.9499999999998</v>
      </c>
      <c r="R202" s="2">
        <v>2868.65</v>
      </c>
      <c r="S202" s="2">
        <v>3525.67</v>
      </c>
      <c r="T202" s="2">
        <v>3659.05</v>
      </c>
      <c r="U202" s="2">
        <v>3988.41</v>
      </c>
    </row>
    <row r="203" spans="1:21" x14ac:dyDescent="0.25">
      <c r="A203" t="s">
        <v>142</v>
      </c>
      <c r="F203">
        <v>15.62</v>
      </c>
      <c r="O203">
        <v>515.39</v>
      </c>
      <c r="P203">
        <v>674.3</v>
      </c>
      <c r="Q203">
        <v>749.61</v>
      </c>
      <c r="R203">
        <v>827.48</v>
      </c>
      <c r="S203">
        <v>882.63</v>
      </c>
      <c r="T203" s="2">
        <v>1039.43</v>
      </c>
      <c r="U203" s="2">
        <v>1141.7</v>
      </c>
    </row>
    <row r="204" spans="1:21" x14ac:dyDescent="0.25">
      <c r="A204" t="s">
        <v>143</v>
      </c>
      <c r="F204">
        <v>12.41</v>
      </c>
      <c r="G204">
        <v>18.41</v>
      </c>
      <c r="H204">
        <v>51.61</v>
      </c>
      <c r="I204">
        <v>53.62</v>
      </c>
      <c r="J204">
        <v>79.349999999999994</v>
      </c>
      <c r="K204">
        <v>121.86</v>
      </c>
      <c r="L204">
        <v>183.17</v>
      </c>
      <c r="M204">
        <v>314.44</v>
      </c>
      <c r="N204">
        <v>379.7</v>
      </c>
      <c r="O204">
        <v>539.21</v>
      </c>
      <c r="P204">
        <v>677.29</v>
      </c>
      <c r="Q204">
        <v>849.53</v>
      </c>
      <c r="R204" s="2">
        <v>1243.4000000000001</v>
      </c>
      <c r="S204" s="2">
        <v>1641.98</v>
      </c>
      <c r="T204" s="2">
        <v>2224.37</v>
      </c>
      <c r="U204" s="2">
        <v>2805.33</v>
      </c>
    </row>
    <row r="205" spans="1:21" x14ac:dyDescent="0.25">
      <c r="A205" t="s">
        <v>144</v>
      </c>
      <c r="I205">
        <v>36.479999999999997</v>
      </c>
      <c r="J205">
        <v>31.74</v>
      </c>
      <c r="K205">
        <v>39.94</v>
      </c>
      <c r="L205">
        <v>48.21</v>
      </c>
      <c r="M205">
        <v>42.76</v>
      </c>
      <c r="N205">
        <v>69.86</v>
      </c>
      <c r="O205">
        <v>67.34</v>
      </c>
      <c r="P205">
        <v>65.099999999999994</v>
      </c>
      <c r="Q205">
        <v>62.43</v>
      </c>
      <c r="R205">
        <v>49.34</v>
      </c>
      <c r="S205">
        <v>35.729999999999997</v>
      </c>
      <c r="T205">
        <v>68.39</v>
      </c>
      <c r="U205">
        <v>68.39</v>
      </c>
    </row>
    <row r="206" spans="1:21" x14ac:dyDescent="0.25">
      <c r="A206" t="s">
        <v>145</v>
      </c>
      <c r="F206">
        <v>28.03</v>
      </c>
      <c r="G206">
        <v>47.26</v>
      </c>
      <c r="H206">
        <v>94.59</v>
      </c>
      <c r="I206">
        <v>134.47</v>
      </c>
      <c r="J206">
        <v>206.17</v>
      </c>
      <c r="K206">
        <v>308.72000000000003</v>
      </c>
      <c r="L206">
        <v>429.54</v>
      </c>
      <c r="M206">
        <v>661.49</v>
      </c>
      <c r="N206">
        <v>827.15</v>
      </c>
      <c r="O206">
        <v>935.84</v>
      </c>
      <c r="P206" s="2">
        <v>1120.01</v>
      </c>
    </row>
    <row r="207" spans="1:21" x14ac:dyDescent="0.25">
      <c r="A207" t="s">
        <v>146</v>
      </c>
      <c r="F207">
        <v>64.09</v>
      </c>
      <c r="G207">
        <v>101.83</v>
      </c>
      <c r="H207">
        <v>233.27</v>
      </c>
      <c r="I207">
        <v>440.26</v>
      </c>
      <c r="J207" s="2">
        <v>1047.43</v>
      </c>
      <c r="K207" s="2">
        <v>1386.27</v>
      </c>
      <c r="L207" s="2">
        <v>1889.21</v>
      </c>
      <c r="M207" s="2">
        <v>2588.23</v>
      </c>
      <c r="N207" s="2">
        <v>3667.57</v>
      </c>
      <c r="O207" s="2">
        <v>4935.25</v>
      </c>
      <c r="P207" s="2">
        <v>5504.62</v>
      </c>
      <c r="Q207" s="2">
        <v>6160.45</v>
      </c>
      <c r="R207" s="2">
        <v>6005.1</v>
      </c>
      <c r="S207" s="2">
        <v>6257.12</v>
      </c>
      <c r="T207" s="2">
        <v>6464.4</v>
      </c>
      <c r="U207" s="2">
        <v>6664.42</v>
      </c>
    </row>
    <row r="208" spans="1:21" x14ac:dyDescent="0.25">
      <c r="A208" t="s">
        <v>147</v>
      </c>
      <c r="F208">
        <v>53.11</v>
      </c>
      <c r="G208">
        <v>100.42</v>
      </c>
      <c r="H208">
        <v>185.74</v>
      </c>
      <c r="I208">
        <v>255.55</v>
      </c>
      <c r="J208">
        <v>402.36</v>
      </c>
      <c r="K208">
        <v>708.61</v>
      </c>
      <c r="L208">
        <v>958.44</v>
      </c>
      <c r="M208" s="2">
        <v>1310.3900000000001</v>
      </c>
      <c r="N208" s="2">
        <v>1747</v>
      </c>
      <c r="O208" s="2">
        <v>2618.2199999999998</v>
      </c>
      <c r="P208" s="2">
        <v>3476.52</v>
      </c>
      <c r="Q208" s="2">
        <v>4386.5</v>
      </c>
      <c r="R208" s="2">
        <v>5352.29</v>
      </c>
      <c r="S208" s="2">
        <v>6341.57</v>
      </c>
    </row>
    <row r="209" spans="1:21" x14ac:dyDescent="0.25">
      <c r="A209" t="s">
        <v>148</v>
      </c>
      <c r="F209">
        <v>40.75</v>
      </c>
      <c r="G209">
        <v>73.739999999999995</v>
      </c>
      <c r="H209">
        <v>136.08000000000001</v>
      </c>
      <c r="I209">
        <v>167.01</v>
      </c>
      <c r="J209">
        <v>260.58</v>
      </c>
      <c r="K209">
        <v>492.34</v>
      </c>
      <c r="L209">
        <v>620.16999999999996</v>
      </c>
      <c r="M209">
        <v>788.64</v>
      </c>
      <c r="N209">
        <v>976.33</v>
      </c>
      <c r="O209" s="2">
        <v>1245.53</v>
      </c>
      <c r="P209" s="2">
        <v>1580.17</v>
      </c>
      <c r="Q209" s="2">
        <v>1872.43</v>
      </c>
      <c r="R209" s="2">
        <v>1829.56</v>
      </c>
      <c r="S209" s="2">
        <v>1842.65</v>
      </c>
      <c r="T209" s="2">
        <v>2056.42</v>
      </c>
      <c r="U209" s="2">
        <v>2159</v>
      </c>
    </row>
    <row r="210" spans="1:21" x14ac:dyDescent="0.25">
      <c r="A210" t="s">
        <v>149</v>
      </c>
      <c r="F210">
        <v>0</v>
      </c>
      <c r="G210">
        <v>0</v>
      </c>
      <c r="H210">
        <v>1</v>
      </c>
      <c r="I210">
        <v>2.5</v>
      </c>
      <c r="J210">
        <v>23.63</v>
      </c>
      <c r="K210">
        <v>47.27</v>
      </c>
      <c r="L210">
        <v>56.24</v>
      </c>
      <c r="M210">
        <v>72.540000000000006</v>
      </c>
      <c r="N210">
        <v>76.83</v>
      </c>
      <c r="O210">
        <v>71.33</v>
      </c>
      <c r="P210">
        <v>74.180000000000007</v>
      </c>
      <c r="Q210">
        <v>82.16</v>
      </c>
      <c r="R210">
        <v>122.15</v>
      </c>
      <c r="S210">
        <v>162.16</v>
      </c>
      <c r="T210">
        <v>235</v>
      </c>
      <c r="U210">
        <v>283.83</v>
      </c>
    </row>
    <row r="211" spans="1:21" x14ac:dyDescent="0.25">
      <c r="A211" t="s">
        <v>150</v>
      </c>
      <c r="I211">
        <v>99.24</v>
      </c>
      <c r="J211">
        <v>513.78</v>
      </c>
      <c r="K211">
        <v>517.53</v>
      </c>
      <c r="L211">
        <v>752.56</v>
      </c>
      <c r="M211" s="2">
        <v>1045.92</v>
      </c>
      <c r="N211" s="2">
        <v>1500</v>
      </c>
      <c r="O211" s="2">
        <v>1573</v>
      </c>
      <c r="P211" s="2">
        <v>1670</v>
      </c>
    </row>
    <row r="212" spans="1:21" x14ac:dyDescent="0.25">
      <c r="A212" t="s">
        <v>151</v>
      </c>
      <c r="F212">
        <v>1.74</v>
      </c>
      <c r="G212">
        <v>1.05</v>
      </c>
      <c r="H212">
        <v>0.53</v>
      </c>
      <c r="I212">
        <v>15.68</v>
      </c>
      <c r="J212">
        <v>97.34</v>
      </c>
      <c r="K212">
        <v>86.89</v>
      </c>
      <c r="L212">
        <v>114.52</v>
      </c>
      <c r="M212">
        <v>133.11000000000001</v>
      </c>
      <c r="N212">
        <v>136.69999999999999</v>
      </c>
      <c r="O212">
        <v>259.32</v>
      </c>
      <c r="P212">
        <v>251.25</v>
      </c>
      <c r="Q212">
        <v>240.06</v>
      </c>
      <c r="R212">
        <v>241.65</v>
      </c>
      <c r="S212">
        <v>227.77</v>
      </c>
      <c r="T212">
        <v>-45.34</v>
      </c>
      <c r="U212">
        <v>-130.69999999999999</v>
      </c>
    </row>
    <row r="213" spans="1:21" x14ac:dyDescent="0.25">
      <c r="A213" t="s">
        <v>152</v>
      </c>
      <c r="F213">
        <v>8.42</v>
      </c>
      <c r="G213">
        <v>7.95</v>
      </c>
      <c r="H213">
        <v>7.72</v>
      </c>
      <c r="I213">
        <v>83.57</v>
      </c>
      <c r="J213">
        <v>416.45</v>
      </c>
      <c r="K213">
        <v>430.65</v>
      </c>
      <c r="L213">
        <v>638.04</v>
      </c>
      <c r="M213">
        <v>912.81</v>
      </c>
      <c r="N213" s="2">
        <v>1363.29</v>
      </c>
      <c r="O213" s="2">
        <v>2190.39</v>
      </c>
      <c r="P213" s="2">
        <v>2194.98</v>
      </c>
      <c r="Q213" s="2">
        <v>2169.2199999999998</v>
      </c>
      <c r="R213" s="2">
        <v>2103.36</v>
      </c>
      <c r="S213" s="2">
        <v>2073.7399999999998</v>
      </c>
      <c r="T213" s="2">
        <v>2251.4299999999998</v>
      </c>
      <c r="U213" s="2">
        <v>2251.4299999999998</v>
      </c>
    </row>
    <row r="214" spans="1:21" x14ac:dyDescent="0.25">
      <c r="A214" t="s">
        <v>142</v>
      </c>
      <c r="G214">
        <v>9.92</v>
      </c>
      <c r="H214">
        <v>71.239999999999995</v>
      </c>
      <c r="I214">
        <v>117.91</v>
      </c>
      <c r="J214">
        <v>192.36</v>
      </c>
      <c r="K214">
        <v>260.23</v>
      </c>
      <c r="L214">
        <v>335.93</v>
      </c>
      <c r="M214">
        <v>500.91</v>
      </c>
      <c r="N214">
        <v>655.66</v>
      </c>
      <c r="O214">
        <v>867.64</v>
      </c>
      <c r="P214" s="2">
        <v>1110.46</v>
      </c>
      <c r="Q214" s="2">
        <v>1446.16</v>
      </c>
      <c r="R214" s="2">
        <v>1487.93</v>
      </c>
      <c r="S214" s="2">
        <v>1697.06</v>
      </c>
      <c r="T214" s="2">
        <v>2126.98</v>
      </c>
      <c r="U214" s="2">
        <v>2293.56</v>
      </c>
    </row>
    <row r="215" spans="1:21" x14ac:dyDescent="0.25">
      <c r="A215" t="s">
        <v>153</v>
      </c>
      <c r="G215">
        <v>38.770000000000003</v>
      </c>
      <c r="H215">
        <v>114.21</v>
      </c>
      <c r="I215">
        <v>198.76</v>
      </c>
      <c r="J215">
        <v>319.18</v>
      </c>
      <c r="K215">
        <v>447.09</v>
      </c>
      <c r="L215">
        <v>582.29999999999995</v>
      </c>
      <c r="M215">
        <v>847.95</v>
      </c>
      <c r="N215" s="2">
        <v>1103.1099999999999</v>
      </c>
      <c r="O215" s="2">
        <v>1231.32</v>
      </c>
      <c r="P215" s="2">
        <v>1485.13</v>
      </c>
      <c r="Q215" s="2">
        <v>1507.37</v>
      </c>
    </row>
    <row r="216" spans="1:21" x14ac:dyDescent="0.25">
      <c r="A216" t="s">
        <v>154</v>
      </c>
      <c r="F216">
        <v>13.18</v>
      </c>
      <c r="G216">
        <v>9.18</v>
      </c>
      <c r="H216">
        <v>16.71</v>
      </c>
      <c r="I216">
        <v>17.11</v>
      </c>
      <c r="J216">
        <v>25.35</v>
      </c>
      <c r="K216">
        <v>28.97</v>
      </c>
      <c r="L216">
        <v>76.09</v>
      </c>
      <c r="M216">
        <v>137.46</v>
      </c>
      <c r="N216">
        <v>388.89</v>
      </c>
      <c r="O216">
        <v>492.99</v>
      </c>
      <c r="P216">
        <v>530.5</v>
      </c>
      <c r="Q216">
        <v>616.98</v>
      </c>
      <c r="R216">
        <v>602.13</v>
      </c>
      <c r="S216">
        <v>593.24</v>
      </c>
      <c r="T216">
        <v>459.98</v>
      </c>
      <c r="U216">
        <v>473.35</v>
      </c>
    </row>
    <row r="217" spans="1:21" x14ac:dyDescent="0.25">
      <c r="A217" t="s">
        <v>155</v>
      </c>
      <c r="F217">
        <v>217.7</v>
      </c>
      <c r="G217">
        <v>433.22</v>
      </c>
      <c r="H217" s="2">
        <v>1404.91</v>
      </c>
      <c r="I217" s="2">
        <v>2732.53</v>
      </c>
      <c r="J217" s="2">
        <v>3618.38</v>
      </c>
      <c r="K217" s="2">
        <v>5026.54</v>
      </c>
      <c r="L217" s="2">
        <v>6646.52</v>
      </c>
      <c r="M217" s="2">
        <v>8701.58</v>
      </c>
      <c r="N217" s="2">
        <v>11086.68</v>
      </c>
      <c r="O217" s="2">
        <v>13879.23</v>
      </c>
      <c r="P217" s="2">
        <v>17253.18</v>
      </c>
      <c r="Q217" s="2">
        <v>20886.47</v>
      </c>
      <c r="R217" s="2">
        <v>25466.44</v>
      </c>
      <c r="S217" s="2">
        <v>31010.49</v>
      </c>
      <c r="T217" s="2">
        <v>38508.1</v>
      </c>
      <c r="U217" s="2">
        <v>45885.49</v>
      </c>
    </row>
    <row r="218" spans="1:21" x14ac:dyDescent="0.25">
      <c r="A218" t="s">
        <v>17</v>
      </c>
    </row>
    <row r="219" spans="1:21" x14ac:dyDescent="0.25">
      <c r="A219" t="s">
        <v>156</v>
      </c>
    </row>
    <row r="220" spans="1:21" x14ac:dyDescent="0.25">
      <c r="A220" t="s">
        <v>157</v>
      </c>
      <c r="F220">
        <v>165.89</v>
      </c>
      <c r="G220">
        <v>281.42</v>
      </c>
      <c r="H220">
        <v>493.1</v>
      </c>
      <c r="I220">
        <v>863.55</v>
      </c>
      <c r="J220" s="2">
        <v>1406.83</v>
      </c>
      <c r="K220" s="2">
        <v>2109.0700000000002</v>
      </c>
      <c r="L220" s="2">
        <v>2697.28</v>
      </c>
      <c r="M220" s="2">
        <v>3461.05</v>
      </c>
      <c r="N220" s="2">
        <v>4184.1899999999996</v>
      </c>
      <c r="O220" s="2">
        <v>5195.9399999999996</v>
      </c>
      <c r="P220" s="2">
        <v>6268.53</v>
      </c>
      <c r="Q220" s="2">
        <v>7524.86</v>
      </c>
      <c r="R220" s="2">
        <v>9340.8799999999992</v>
      </c>
      <c r="S220" s="2">
        <v>11166.21</v>
      </c>
      <c r="T220" s="2">
        <v>12338.08</v>
      </c>
      <c r="U220" s="2">
        <v>14146.12</v>
      </c>
    </row>
    <row r="221" spans="1:21" x14ac:dyDescent="0.25">
      <c r="A221" t="s">
        <v>158</v>
      </c>
      <c r="F221">
        <v>12.26</v>
      </c>
      <c r="G221">
        <v>6.86</v>
      </c>
      <c r="H221">
        <v>1.35</v>
      </c>
      <c r="I221">
        <v>12.07</v>
      </c>
      <c r="J221">
        <v>47.63</v>
      </c>
      <c r="K221">
        <v>45.37</v>
      </c>
      <c r="L221">
        <v>28.18</v>
      </c>
      <c r="M221">
        <v>130.88999999999999</v>
      </c>
      <c r="N221">
        <v>105.32</v>
      </c>
      <c r="O221">
        <v>122.85</v>
      </c>
      <c r="P221">
        <v>153.87</v>
      </c>
      <c r="Q221">
        <v>155.9</v>
      </c>
      <c r="R221">
        <v>197.9</v>
      </c>
      <c r="S221">
        <v>254.79</v>
      </c>
      <c r="T221">
        <v>359.85</v>
      </c>
      <c r="U221">
        <v>465.62</v>
      </c>
    </row>
    <row r="222" spans="1:21" x14ac:dyDescent="0.25">
      <c r="A222" t="s">
        <v>159</v>
      </c>
      <c r="F222">
        <v>21.51</v>
      </c>
      <c r="G222">
        <v>32.54</v>
      </c>
      <c r="H222">
        <v>30.36</v>
      </c>
      <c r="I222">
        <v>51.12</v>
      </c>
      <c r="J222">
        <v>83.38</v>
      </c>
      <c r="K222">
        <v>137.88</v>
      </c>
      <c r="L222">
        <v>125.9</v>
      </c>
      <c r="M222">
        <v>191.35</v>
      </c>
      <c r="N222">
        <v>181.09</v>
      </c>
      <c r="O222">
        <v>217.73</v>
      </c>
      <c r="P222">
        <v>261.68</v>
      </c>
      <c r="Q222">
        <v>301.22000000000003</v>
      </c>
      <c r="R222">
        <v>337.62</v>
      </c>
      <c r="S222">
        <v>380.6</v>
      </c>
      <c r="T222">
        <v>547.42999999999995</v>
      </c>
      <c r="U222">
        <v>631.01</v>
      </c>
    </row>
    <row r="223" spans="1:21" x14ac:dyDescent="0.25">
      <c r="A223" t="s">
        <v>160</v>
      </c>
      <c r="F223">
        <v>18.309999999999999</v>
      </c>
      <c r="G223">
        <v>19.28</v>
      </c>
      <c r="H223">
        <v>36.81</v>
      </c>
      <c r="I223">
        <v>71.91</v>
      </c>
      <c r="J223">
        <v>104.56</v>
      </c>
      <c r="K223">
        <v>168.77</v>
      </c>
      <c r="L223">
        <v>234.62</v>
      </c>
      <c r="M223">
        <v>319.24</v>
      </c>
      <c r="N223">
        <v>389.69</v>
      </c>
      <c r="O223">
        <v>459.34</v>
      </c>
      <c r="P223">
        <v>536.01</v>
      </c>
      <c r="Q223">
        <v>616.23</v>
      </c>
      <c r="R223">
        <v>863.43</v>
      </c>
      <c r="S223">
        <v>960.35</v>
      </c>
      <c r="T223" s="2">
        <v>1231.6300000000001</v>
      </c>
      <c r="U223" s="2">
        <v>1400.76</v>
      </c>
    </row>
    <row r="224" spans="1:21" x14ac:dyDescent="0.25">
      <c r="A224" t="s">
        <v>161</v>
      </c>
      <c r="F224">
        <v>109</v>
      </c>
      <c r="G224">
        <v>218.7</v>
      </c>
      <c r="H224">
        <v>412.99</v>
      </c>
      <c r="I224">
        <v>701.99</v>
      </c>
      <c r="J224" s="2">
        <v>1136.5</v>
      </c>
      <c r="K224" s="2">
        <v>1727.48</v>
      </c>
      <c r="L224" s="2">
        <v>2270.7600000000002</v>
      </c>
      <c r="M224" s="2">
        <v>2733.01</v>
      </c>
      <c r="N224" s="2">
        <v>3421.05</v>
      </c>
      <c r="O224" s="2">
        <v>4217.93</v>
      </c>
      <c r="P224" s="2">
        <v>5114.97</v>
      </c>
      <c r="Q224" s="2">
        <v>6242.22</v>
      </c>
      <c r="R224" s="2">
        <v>7727.28</v>
      </c>
      <c r="S224" s="2">
        <v>9284.83</v>
      </c>
      <c r="T224" s="2">
        <v>10047.31</v>
      </c>
      <c r="U224" s="2">
        <v>11494.62</v>
      </c>
    </row>
    <row r="225" spans="1:21" x14ac:dyDescent="0.25">
      <c r="A225" t="s">
        <v>162</v>
      </c>
      <c r="I225">
        <v>8.98</v>
      </c>
      <c r="J225">
        <v>9.82</v>
      </c>
      <c r="K225">
        <v>13.05</v>
      </c>
      <c r="L225">
        <v>14.15</v>
      </c>
      <c r="M225">
        <v>13.81</v>
      </c>
      <c r="N225">
        <v>18.23</v>
      </c>
      <c r="O225">
        <v>21.72</v>
      </c>
      <c r="P225">
        <v>22.75</v>
      </c>
      <c r="Q225">
        <v>24.31</v>
      </c>
      <c r="R225">
        <v>25.76</v>
      </c>
      <c r="S225">
        <v>28.92</v>
      </c>
      <c r="T225">
        <v>35.54</v>
      </c>
      <c r="U225">
        <v>38.909999999999997</v>
      </c>
    </row>
    <row r="226" spans="1:21" x14ac:dyDescent="0.25">
      <c r="A226" t="s">
        <v>78</v>
      </c>
      <c r="F226">
        <v>153.63</v>
      </c>
      <c r="G226">
        <v>274.57</v>
      </c>
      <c r="H226">
        <v>491.75</v>
      </c>
      <c r="I226">
        <v>842.51</v>
      </c>
      <c r="J226" s="2">
        <v>1349.38</v>
      </c>
      <c r="K226" s="2">
        <v>2050.65</v>
      </c>
      <c r="L226" s="2">
        <v>2654.95</v>
      </c>
      <c r="M226" s="2">
        <v>3316.35</v>
      </c>
      <c r="N226" s="2">
        <v>4060.64</v>
      </c>
      <c r="O226" s="2">
        <v>5143.9399999999996</v>
      </c>
      <c r="P226" s="2">
        <v>6197.02</v>
      </c>
      <c r="Q226" s="2">
        <v>8150</v>
      </c>
    </row>
    <row r="227" spans="1:21" x14ac:dyDescent="0.25">
      <c r="A227" t="s">
        <v>163</v>
      </c>
      <c r="F227">
        <v>4.8</v>
      </c>
      <c r="G227">
        <v>4.04</v>
      </c>
      <c r="H227">
        <v>11.6</v>
      </c>
      <c r="I227">
        <v>17.5</v>
      </c>
      <c r="J227">
        <v>24.93</v>
      </c>
      <c r="K227">
        <v>16.52</v>
      </c>
      <c r="L227">
        <v>23.67</v>
      </c>
      <c r="M227">
        <v>72.760000000000005</v>
      </c>
      <c r="N227">
        <v>68.81</v>
      </c>
      <c r="O227">
        <v>161.93</v>
      </c>
      <c r="P227">
        <v>174.72</v>
      </c>
      <c r="Q227">
        <v>205.14</v>
      </c>
      <c r="R227">
        <v>258.88</v>
      </c>
      <c r="S227">
        <v>288.18</v>
      </c>
      <c r="T227">
        <v>128.16999999999999</v>
      </c>
      <c r="U227">
        <v>128.16999999999999</v>
      </c>
    </row>
    <row r="228" spans="1:21" x14ac:dyDescent="0.25">
      <c r="A228" t="s">
        <v>164</v>
      </c>
      <c r="F228">
        <v>70.27</v>
      </c>
      <c r="G228">
        <v>81.680000000000007</v>
      </c>
      <c r="H228">
        <v>169.2</v>
      </c>
      <c r="I228">
        <v>997.11</v>
      </c>
      <c r="J228" s="2">
        <v>1173.9100000000001</v>
      </c>
      <c r="K228" s="2">
        <v>1430.03</v>
      </c>
      <c r="L228" s="2">
        <v>1612.15</v>
      </c>
      <c r="M228" s="2">
        <v>1921.61</v>
      </c>
      <c r="N228" s="2">
        <v>2429.89</v>
      </c>
      <c r="O228" s="2">
        <v>2710.84</v>
      </c>
      <c r="P228" s="2">
        <v>3042.87</v>
      </c>
      <c r="Q228" s="2">
        <v>3570.31</v>
      </c>
      <c r="R228" s="2">
        <v>3752.57</v>
      </c>
      <c r="S228" s="2">
        <v>4290.97</v>
      </c>
      <c r="T228" s="2">
        <v>4728.21</v>
      </c>
      <c r="U228" s="2">
        <v>5265</v>
      </c>
    </row>
    <row r="229" spans="1:21" x14ac:dyDescent="0.25">
      <c r="A229" t="s">
        <v>165</v>
      </c>
      <c r="I229">
        <v>738.03</v>
      </c>
      <c r="J229">
        <v>739.52</v>
      </c>
      <c r="K229">
        <v>741.01</v>
      </c>
      <c r="L229">
        <v>742.49</v>
      </c>
      <c r="M229">
        <v>743.98</v>
      </c>
      <c r="N229">
        <v>745.47</v>
      </c>
      <c r="O229">
        <v>746.14</v>
      </c>
      <c r="P229">
        <v>741.89</v>
      </c>
      <c r="Q229">
        <v>711.23</v>
      </c>
      <c r="R229">
        <v>426.94</v>
      </c>
      <c r="S229">
        <v>373.73</v>
      </c>
      <c r="T229">
        <v>498.72</v>
      </c>
      <c r="U229">
        <v>498.72</v>
      </c>
    </row>
    <row r="230" spans="1:21" x14ac:dyDescent="0.25">
      <c r="A230" t="s">
        <v>161</v>
      </c>
      <c r="F230">
        <v>49.95</v>
      </c>
      <c r="G230">
        <v>71.37</v>
      </c>
      <c r="H230">
        <v>158.18</v>
      </c>
      <c r="I230">
        <v>209.91</v>
      </c>
      <c r="J230">
        <v>392.82</v>
      </c>
      <c r="K230">
        <v>627.63</v>
      </c>
      <c r="L230">
        <v>783.34</v>
      </c>
      <c r="M230">
        <v>995.67</v>
      </c>
      <c r="N230" s="2">
        <v>1332.39</v>
      </c>
      <c r="O230" s="2">
        <v>1597.22</v>
      </c>
      <c r="P230" s="2">
        <v>1927.68</v>
      </c>
      <c r="Q230" s="2">
        <v>2370.2600000000002</v>
      </c>
      <c r="R230" s="2">
        <v>2990.79</v>
      </c>
      <c r="S230" s="2">
        <v>3642.66</v>
      </c>
      <c r="T230" s="2">
        <v>3820.8</v>
      </c>
      <c r="U230" s="2">
        <v>4337.53</v>
      </c>
    </row>
    <row r="231" spans="1:21" x14ac:dyDescent="0.25">
      <c r="A231" t="s">
        <v>162</v>
      </c>
      <c r="I231">
        <v>31.99</v>
      </c>
      <c r="J231">
        <v>25.38</v>
      </c>
      <c r="K231">
        <v>29.57</v>
      </c>
      <c r="L231">
        <v>36.229999999999997</v>
      </c>
      <c r="M231">
        <v>31.11</v>
      </c>
      <c r="N231">
        <v>56.37</v>
      </c>
      <c r="O231">
        <v>53.22</v>
      </c>
      <c r="P231">
        <v>56.8</v>
      </c>
      <c r="Q231">
        <v>59.66</v>
      </c>
      <c r="R231">
        <v>78.349999999999994</v>
      </c>
      <c r="S231">
        <v>101.84</v>
      </c>
      <c r="T231">
        <v>152.61000000000001</v>
      </c>
      <c r="U231">
        <v>182.69</v>
      </c>
    </row>
    <row r="232" spans="1:21" x14ac:dyDescent="0.25">
      <c r="A232" t="s">
        <v>166</v>
      </c>
      <c r="F232">
        <v>4.3499999999999996</v>
      </c>
      <c r="G232">
        <v>10.31</v>
      </c>
      <c r="H232">
        <v>11.02</v>
      </c>
      <c r="I232">
        <v>17.18</v>
      </c>
      <c r="J232">
        <v>16.190000000000001</v>
      </c>
      <c r="K232">
        <v>31.83</v>
      </c>
      <c r="L232">
        <v>50.09</v>
      </c>
      <c r="M232">
        <v>150.85</v>
      </c>
      <c r="N232">
        <v>295.66000000000003</v>
      </c>
      <c r="O232">
        <v>321.75</v>
      </c>
      <c r="P232">
        <v>328.29</v>
      </c>
      <c r="Q232">
        <v>334.16</v>
      </c>
      <c r="R232">
        <v>309.22000000000003</v>
      </c>
      <c r="S232">
        <v>308.37</v>
      </c>
      <c r="T232">
        <v>306.95999999999998</v>
      </c>
      <c r="U232">
        <v>306.95999999999998</v>
      </c>
    </row>
    <row r="233" spans="1:21" x14ac:dyDescent="0.25">
      <c r="A233" t="s">
        <v>167</v>
      </c>
      <c r="F233">
        <v>236.16</v>
      </c>
      <c r="G233">
        <v>363.1</v>
      </c>
      <c r="H233">
        <v>662.3</v>
      </c>
      <c r="I233" s="2">
        <v>1860.66</v>
      </c>
      <c r="J233" s="2">
        <v>2580.7399999999998</v>
      </c>
      <c r="K233" s="2">
        <v>3539.11</v>
      </c>
      <c r="L233" s="2">
        <v>4309.43</v>
      </c>
      <c r="M233" s="2">
        <v>5382.66</v>
      </c>
      <c r="N233" s="2">
        <v>6614.08</v>
      </c>
      <c r="O233" s="2">
        <v>7911.07</v>
      </c>
      <c r="P233" s="2">
        <v>9322.31</v>
      </c>
      <c r="Q233" s="2">
        <v>10986.71</v>
      </c>
      <c r="R233" s="2">
        <v>12937.52</v>
      </c>
      <c r="S233" s="2">
        <v>15255.21</v>
      </c>
      <c r="T233" s="2">
        <v>17066.3</v>
      </c>
      <c r="U233" s="2">
        <v>19411.11</v>
      </c>
    </row>
    <row r="234" spans="1:21" x14ac:dyDescent="0.25">
      <c r="A234" t="s">
        <v>168</v>
      </c>
      <c r="F234">
        <v>-18.46</v>
      </c>
      <c r="G234">
        <v>70.12</v>
      </c>
      <c r="H234">
        <v>742.11</v>
      </c>
      <c r="I234">
        <v>870.57</v>
      </c>
      <c r="J234" s="2">
        <v>1025.76</v>
      </c>
      <c r="K234" s="2">
        <v>1463.64</v>
      </c>
      <c r="L234" s="2">
        <v>2303.9499999999998</v>
      </c>
      <c r="M234" s="2">
        <v>3279.49</v>
      </c>
      <c r="N234" s="2">
        <v>4428.3900000000003</v>
      </c>
      <c r="O234" s="2">
        <v>6038.89</v>
      </c>
      <c r="P234" s="2">
        <v>7857.1</v>
      </c>
      <c r="Q234" s="2">
        <v>9622.86</v>
      </c>
      <c r="R234" s="2">
        <v>12065.71</v>
      </c>
      <c r="S234" s="2">
        <v>15904.1</v>
      </c>
      <c r="T234" s="2">
        <v>27383.919999999998</v>
      </c>
      <c r="U234" s="2">
        <v>34639.370000000003</v>
      </c>
    </row>
    <row r="235" spans="1:21" x14ac:dyDescent="0.25">
      <c r="A235" t="s">
        <v>169</v>
      </c>
      <c r="G235">
        <v>0</v>
      </c>
      <c r="H235">
        <v>0.5</v>
      </c>
      <c r="I235">
        <v>1.3</v>
      </c>
      <c r="J235">
        <v>11.88</v>
      </c>
      <c r="K235">
        <v>23.79</v>
      </c>
      <c r="L235">
        <v>33.14</v>
      </c>
      <c r="M235">
        <v>39.42</v>
      </c>
      <c r="N235">
        <v>44.22</v>
      </c>
      <c r="O235">
        <v>37.76</v>
      </c>
      <c r="P235">
        <v>37.770000000000003</v>
      </c>
      <c r="Q235">
        <v>37.26</v>
      </c>
      <c r="R235">
        <v>28.35</v>
      </c>
      <c r="S235">
        <v>25.2</v>
      </c>
      <c r="T235">
        <v>37.799999999999997</v>
      </c>
      <c r="U235">
        <v>37.799999999999997</v>
      </c>
    </row>
    <row r="236" spans="1:21" x14ac:dyDescent="0.25">
      <c r="A236" t="s">
        <v>170</v>
      </c>
      <c r="F236">
        <v>-18.46</v>
      </c>
      <c r="G236">
        <v>70.12</v>
      </c>
      <c r="H236">
        <v>742.61</v>
      </c>
      <c r="I236">
        <v>871.87</v>
      </c>
      <c r="J236" s="2">
        <v>1037.6400000000001</v>
      </c>
      <c r="K236" s="2">
        <v>1487.43</v>
      </c>
      <c r="L236" s="2">
        <v>2337.09</v>
      </c>
      <c r="M236" s="2">
        <v>3318.92</v>
      </c>
      <c r="N236" s="2">
        <v>4472.6099999999997</v>
      </c>
      <c r="O236" s="2">
        <v>5950.56</v>
      </c>
      <c r="P236" s="2">
        <v>7917.31</v>
      </c>
      <c r="Q236" s="2">
        <v>9893.49</v>
      </c>
      <c r="R236" s="2">
        <v>12523.52</v>
      </c>
      <c r="S236" s="2">
        <v>15755.28</v>
      </c>
      <c r="T236" s="2">
        <v>21441.8</v>
      </c>
      <c r="U236" s="2">
        <v>26474.38</v>
      </c>
    </row>
    <row r="237" spans="1:21" x14ac:dyDescent="0.25">
      <c r="A237" t="s">
        <v>171</v>
      </c>
      <c r="F237">
        <v>0.02</v>
      </c>
      <c r="G237">
        <v>0.02</v>
      </c>
      <c r="H237">
        <v>0.11</v>
      </c>
      <c r="I237">
        <v>0.11</v>
      </c>
      <c r="J237">
        <v>0.12</v>
      </c>
      <c r="K237">
        <v>0.12</v>
      </c>
      <c r="L237">
        <v>0.12</v>
      </c>
      <c r="M237">
        <v>0.12</v>
      </c>
      <c r="N237">
        <v>0.13</v>
      </c>
      <c r="O237">
        <v>0.48</v>
      </c>
      <c r="P237">
        <v>0.48</v>
      </c>
      <c r="Q237">
        <v>0.44</v>
      </c>
      <c r="R237">
        <v>0.51</v>
      </c>
      <c r="S237">
        <v>0.51</v>
      </c>
      <c r="T237">
        <v>0.51</v>
      </c>
      <c r="U237">
        <v>0.51</v>
      </c>
    </row>
    <row r="238" spans="1:21" x14ac:dyDescent="0.25">
      <c r="A238" t="s">
        <v>172</v>
      </c>
      <c r="F238">
        <v>8.48</v>
      </c>
      <c r="G238">
        <v>31.21</v>
      </c>
      <c r="H238" s="2">
        <v>1378.48</v>
      </c>
      <c r="I238" s="2">
        <v>1598.26</v>
      </c>
      <c r="J238" s="2">
        <v>1991.81</v>
      </c>
      <c r="K238" s="2">
        <v>2612.71</v>
      </c>
      <c r="L238" s="2">
        <v>3364.33</v>
      </c>
      <c r="M238" s="2">
        <v>4367.07</v>
      </c>
      <c r="N238" s="2">
        <v>5694.55</v>
      </c>
      <c r="O238" s="2">
        <v>6962.42</v>
      </c>
      <c r="P238" s="2">
        <v>8381.5</v>
      </c>
      <c r="Q238" s="2">
        <v>10530.35</v>
      </c>
      <c r="R238" s="2">
        <v>13773.82</v>
      </c>
      <c r="S238" s="2">
        <v>16515.169999999998</v>
      </c>
      <c r="T238" s="2">
        <v>23604.28</v>
      </c>
      <c r="U238" s="2">
        <v>28344.45</v>
      </c>
    </row>
    <row r="239" spans="1:21" x14ac:dyDescent="0.25">
      <c r="A239" t="s">
        <v>173</v>
      </c>
      <c r="F239">
        <v>-378.95</v>
      </c>
      <c r="G239">
        <v>-519.13</v>
      </c>
      <c r="H239">
        <v>-637.49</v>
      </c>
      <c r="I239">
        <v>-730.12</v>
      </c>
      <c r="J239">
        <v>-964.92</v>
      </c>
      <c r="K239" s="2">
        <v>-1148.1600000000001</v>
      </c>
      <c r="L239" s="2">
        <v>-1058.8399999999999</v>
      </c>
      <c r="M239" s="2">
        <v>-1078.1099999999999</v>
      </c>
      <c r="N239" s="2">
        <v>-1283.04</v>
      </c>
      <c r="O239" s="2">
        <v>-1114.3399999999999</v>
      </c>
      <c r="P239">
        <v>-657.66</v>
      </c>
      <c r="Q239">
        <v>-21.64</v>
      </c>
      <c r="R239">
        <v>222.6</v>
      </c>
      <c r="S239" s="2">
        <v>1477.26</v>
      </c>
      <c r="T239" s="2">
        <v>3763.44</v>
      </c>
      <c r="U239" s="2">
        <v>6278.72</v>
      </c>
    </row>
    <row r="240" spans="1:21" x14ac:dyDescent="0.25">
      <c r="A240" t="s">
        <v>174</v>
      </c>
      <c r="F240">
        <v>0.97</v>
      </c>
      <c r="G240">
        <v>0.1</v>
      </c>
      <c r="H240">
        <v>1.01</v>
      </c>
      <c r="I240">
        <v>2.3199999999999998</v>
      </c>
      <c r="J240">
        <v>-1.24</v>
      </c>
      <c r="K240">
        <v>-1.02</v>
      </c>
      <c r="L240">
        <v>-1.66</v>
      </c>
      <c r="M240">
        <v>-9.59</v>
      </c>
      <c r="N240">
        <v>16.760000000000002</v>
      </c>
      <c r="O240">
        <v>41.29</v>
      </c>
      <c r="P240">
        <v>89.57</v>
      </c>
      <c r="Q240">
        <v>132.38</v>
      </c>
      <c r="R240">
        <v>15.68</v>
      </c>
      <c r="S240">
        <v>15.68</v>
      </c>
      <c r="T240">
        <v>15.68</v>
      </c>
      <c r="U240">
        <v>15.68</v>
      </c>
    </row>
    <row r="241" spans="1:21" x14ac:dyDescent="0.25">
      <c r="A241" t="s">
        <v>175</v>
      </c>
      <c r="F241">
        <v>217.7</v>
      </c>
      <c r="G241">
        <v>433.22</v>
      </c>
      <c r="H241" s="2">
        <v>1404.91</v>
      </c>
      <c r="I241" s="2">
        <v>2732.53</v>
      </c>
      <c r="J241" s="2">
        <v>3618.38</v>
      </c>
      <c r="K241" s="2">
        <v>5026.54</v>
      </c>
      <c r="L241" s="2">
        <v>6646.52</v>
      </c>
      <c r="M241" s="2">
        <v>8701.58</v>
      </c>
      <c r="N241" s="2">
        <v>11086.68</v>
      </c>
      <c r="O241" s="2">
        <v>13879.23</v>
      </c>
      <c r="P241" s="2">
        <v>17253.18</v>
      </c>
      <c r="Q241" s="2">
        <v>20886.47</v>
      </c>
      <c r="R241" s="2">
        <v>25466.44</v>
      </c>
      <c r="S241" s="2">
        <v>31010.49</v>
      </c>
      <c r="T241" s="2">
        <v>38508.1</v>
      </c>
      <c r="U241" s="2">
        <v>45885.49</v>
      </c>
    </row>
    <row r="242" spans="1:21" x14ac:dyDescent="0.25">
      <c r="A242" t="s">
        <v>17</v>
      </c>
    </row>
    <row r="243" spans="1:21" x14ac:dyDescent="0.25">
      <c r="A243" t="s">
        <v>176</v>
      </c>
    </row>
    <row r="244" spans="1:21" x14ac:dyDescent="0.25">
      <c r="A244" t="s">
        <v>177</v>
      </c>
      <c r="F244">
        <v>-49.8</v>
      </c>
      <c r="G244">
        <v>-191.66</v>
      </c>
      <c r="H244">
        <v>-912.06</v>
      </c>
      <c r="I244" s="2">
        <v>-1180.58</v>
      </c>
      <c r="J244" s="2">
        <v>-1257.1199999999999</v>
      </c>
      <c r="K244" s="2">
        <v>-1964.36</v>
      </c>
      <c r="L244" s="2">
        <v>-2732.17</v>
      </c>
      <c r="M244" s="2">
        <v>-3579.31</v>
      </c>
      <c r="N244" s="2">
        <v>-4484.6499999999996</v>
      </c>
      <c r="O244" s="2">
        <v>-5311.3</v>
      </c>
      <c r="P244" s="2">
        <v>-7668.3</v>
      </c>
      <c r="Q244" s="2">
        <v>-10482.93</v>
      </c>
      <c r="R244" s="2">
        <v>-14039.75</v>
      </c>
      <c r="S244" s="2">
        <v>-18130.330000000002</v>
      </c>
      <c r="T244" s="2">
        <v>-22286.5</v>
      </c>
      <c r="U244" s="2">
        <v>-27982</v>
      </c>
    </row>
    <row r="245" spans="1:21" x14ac:dyDescent="0.25">
      <c r="A245" t="s">
        <v>178</v>
      </c>
    </row>
    <row r="246" spans="1:21" x14ac:dyDescent="0.25">
      <c r="A246" t="s">
        <v>179</v>
      </c>
      <c r="G246">
        <v>-43.04</v>
      </c>
      <c r="H246">
        <v>-15.43</v>
      </c>
      <c r="I246">
        <v>-4.4800000000000004</v>
      </c>
      <c r="J246">
        <v>-7.39</v>
      </c>
      <c r="K246">
        <v>-4.24</v>
      </c>
      <c r="L246">
        <v>1.53</v>
      </c>
      <c r="M246">
        <v>-0.25</v>
      </c>
      <c r="N246">
        <v>-1.64</v>
      </c>
      <c r="O246">
        <v>4.16</v>
      </c>
      <c r="P246">
        <v>5.28</v>
      </c>
      <c r="Q246">
        <v>8.35</v>
      </c>
      <c r="R246">
        <v>9</v>
      </c>
      <c r="S246">
        <v>10.6</v>
      </c>
    </row>
    <row r="247" spans="1:21" x14ac:dyDescent="0.25">
      <c r="A247" t="s">
        <v>180</v>
      </c>
      <c r="I247">
        <v>-11.49</v>
      </c>
      <c r="J247">
        <v>-24.76</v>
      </c>
      <c r="K247">
        <v>-14.72</v>
      </c>
      <c r="L247">
        <v>4.74</v>
      </c>
      <c r="M247">
        <v>-0.69</v>
      </c>
      <c r="N247">
        <v>-4.22</v>
      </c>
      <c r="O247">
        <v>25.17</v>
      </c>
      <c r="P247">
        <v>19.75</v>
      </c>
      <c r="Q247">
        <v>19.41</v>
      </c>
      <c r="R247">
        <v>21.7</v>
      </c>
      <c r="S247">
        <v>24.1</v>
      </c>
    </row>
    <row r="248" spans="1:21" x14ac:dyDescent="0.25">
      <c r="A248" t="s">
        <v>181</v>
      </c>
      <c r="G248">
        <v>290.07</v>
      </c>
      <c r="H248">
        <v>571.16999999999996</v>
      </c>
      <c r="I248">
        <v>911.9</v>
      </c>
      <c r="J248" s="2">
        <v>1529.32</v>
      </c>
      <c r="K248" s="2">
        <v>2355.11</v>
      </c>
      <c r="L248" s="2">
        <v>3054.1</v>
      </c>
      <c r="M248" s="2">
        <v>3728.68</v>
      </c>
      <c r="N248" s="2">
        <v>4753.4399999999996</v>
      </c>
      <c r="O248" s="2">
        <v>5834</v>
      </c>
      <c r="P248" s="2">
        <v>7078.23</v>
      </c>
      <c r="Q248" s="2">
        <v>8635.93</v>
      </c>
      <c r="R248" s="2">
        <v>10379.56</v>
      </c>
      <c r="S248" s="2">
        <v>12394.74</v>
      </c>
      <c r="T248" s="2">
        <v>13485.24</v>
      </c>
      <c r="U248" s="2">
        <v>15456.59</v>
      </c>
    </row>
    <row r="249" spans="1:21" x14ac:dyDescent="0.25">
      <c r="A249" t="s">
        <v>182</v>
      </c>
      <c r="G249">
        <v>-2.5</v>
      </c>
      <c r="H249">
        <v>0.87</v>
      </c>
      <c r="I249">
        <v>0.97</v>
      </c>
      <c r="J249">
        <v>1.1100000000000001</v>
      </c>
      <c r="K249">
        <v>1.55</v>
      </c>
      <c r="L249">
        <v>2.38</v>
      </c>
      <c r="M249">
        <v>3.31</v>
      </c>
      <c r="N249">
        <v>4.37</v>
      </c>
      <c r="O249">
        <v>5.62</v>
      </c>
      <c r="P249">
        <v>9.32</v>
      </c>
      <c r="Q249">
        <v>11.84</v>
      </c>
    </row>
    <row r="250" spans="1:21" x14ac:dyDescent="0.25">
      <c r="A250" t="s">
        <v>183</v>
      </c>
      <c r="G250">
        <v>189.68</v>
      </c>
      <c r="H250">
        <v>851.79</v>
      </c>
      <c r="I250">
        <v>894.9</v>
      </c>
      <c r="J250">
        <v>922.82</v>
      </c>
      <c r="K250">
        <v>943.11</v>
      </c>
      <c r="L250">
        <v>967.46</v>
      </c>
      <c r="M250">
        <v>991.49</v>
      </c>
      <c r="N250" s="2">
        <v>1013.45</v>
      </c>
      <c r="O250" s="2">
        <v>1036.51</v>
      </c>
      <c r="P250" s="2">
        <v>1052.3900000000001</v>
      </c>
      <c r="Q250" s="2">
        <v>1059.02</v>
      </c>
      <c r="R250" s="2">
        <v>1036.3900000000001</v>
      </c>
      <c r="S250" s="2">
        <v>1020.84</v>
      </c>
    </row>
    <row r="251" spans="1:21" x14ac:dyDescent="0.25">
      <c r="A251" t="s">
        <v>184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0.01</v>
      </c>
      <c r="N251">
        <v>0.01</v>
      </c>
    </row>
    <row r="252" spans="1:21" x14ac:dyDescent="0.25">
      <c r="A252" t="s">
        <v>185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21" x14ac:dyDescent="0.25">
      <c r="A253" t="s">
        <v>186</v>
      </c>
      <c r="F253">
        <v>0.93</v>
      </c>
      <c r="G253">
        <v>1.18</v>
      </c>
      <c r="H253">
        <v>2.38</v>
      </c>
      <c r="I253">
        <v>2.65</v>
      </c>
      <c r="J253">
        <v>1.83</v>
      </c>
      <c r="K253">
        <v>1.73</v>
      </c>
      <c r="L253">
        <v>1.76</v>
      </c>
      <c r="M253">
        <v>1.77</v>
      </c>
      <c r="N253">
        <v>1.77</v>
      </c>
      <c r="O253">
        <v>1.62</v>
      </c>
      <c r="P253">
        <v>1.7</v>
      </c>
      <c r="Q253">
        <v>1.83</v>
      </c>
      <c r="R253">
        <v>2.1800000000000002</v>
      </c>
      <c r="S253">
        <v>2.31</v>
      </c>
      <c r="T253">
        <v>2.6</v>
      </c>
      <c r="U253">
        <v>2.77</v>
      </c>
    </row>
    <row r="254" spans="1:21" x14ac:dyDescent="0.25">
      <c r="A254" t="s">
        <v>187</v>
      </c>
      <c r="G254">
        <v>0.98</v>
      </c>
      <c r="H254">
        <v>1.44</v>
      </c>
      <c r="I254">
        <v>3</v>
      </c>
      <c r="J254">
        <v>14.77</v>
      </c>
      <c r="K254">
        <v>31.31</v>
      </c>
      <c r="L254">
        <v>49.7</v>
      </c>
      <c r="M254">
        <v>75.64</v>
      </c>
      <c r="N254">
        <v>107.1</v>
      </c>
      <c r="O254">
        <v>138.16999999999999</v>
      </c>
      <c r="P254">
        <v>153.41999999999999</v>
      </c>
      <c r="Q254">
        <v>166.96</v>
      </c>
    </row>
    <row r="255" spans="1:21" x14ac:dyDescent="0.25">
      <c r="A255" t="s">
        <v>17</v>
      </c>
    </row>
    <row r="256" spans="1:21" x14ac:dyDescent="0.25">
      <c r="A256" t="s">
        <v>188</v>
      </c>
    </row>
    <row r="257" spans="1:21" x14ac:dyDescent="0.25">
      <c r="A257" t="s">
        <v>189</v>
      </c>
    </row>
    <row r="258" spans="1:21" x14ac:dyDescent="0.25">
      <c r="A258" t="s">
        <v>121</v>
      </c>
      <c r="H258">
        <v>-141.78</v>
      </c>
      <c r="I258">
        <v>-92.63</v>
      </c>
      <c r="J258">
        <v>-234.8</v>
      </c>
      <c r="K258">
        <v>-183.25</v>
      </c>
      <c r="L258">
        <v>89.33</v>
      </c>
      <c r="M258">
        <v>-19.27</v>
      </c>
      <c r="N258">
        <v>-162.5</v>
      </c>
      <c r="O258">
        <v>144.76</v>
      </c>
      <c r="P258">
        <v>315.62</v>
      </c>
      <c r="Q258">
        <v>571.04</v>
      </c>
      <c r="R258" s="2">
        <v>1311.29</v>
      </c>
      <c r="S258" s="2">
        <v>1961.33</v>
      </c>
      <c r="T258" s="2">
        <v>2120.67</v>
      </c>
      <c r="U258" s="2">
        <v>2667</v>
      </c>
    </row>
    <row r="259" spans="1:21" x14ac:dyDescent="0.25">
      <c r="A259" t="s">
        <v>190</v>
      </c>
      <c r="E259">
        <v>3.02</v>
      </c>
      <c r="F259">
        <v>7.74</v>
      </c>
      <c r="G259">
        <v>15.4</v>
      </c>
      <c r="H259">
        <v>23.51</v>
      </c>
      <c r="I259">
        <v>40.14</v>
      </c>
      <c r="J259">
        <v>68.81</v>
      </c>
      <c r="K259">
        <v>93.81</v>
      </c>
      <c r="L259">
        <v>145.25</v>
      </c>
      <c r="M259">
        <v>213.96</v>
      </c>
      <c r="N259">
        <v>281.45</v>
      </c>
      <c r="O259">
        <v>366.75</v>
      </c>
      <c r="P259">
        <v>403.72</v>
      </c>
      <c r="Q259">
        <v>369.72</v>
      </c>
      <c r="R259">
        <v>541.46</v>
      </c>
    </row>
    <row r="260" spans="1:21" x14ac:dyDescent="0.25">
      <c r="A260" t="s">
        <v>191</v>
      </c>
      <c r="E260">
        <v>3.02</v>
      </c>
      <c r="F260">
        <v>7.1</v>
      </c>
      <c r="G260">
        <v>14.8</v>
      </c>
      <c r="H260">
        <v>23</v>
      </c>
      <c r="I260">
        <v>38.700000000000003</v>
      </c>
      <c r="J260">
        <v>55.91</v>
      </c>
      <c r="K260">
        <v>77.25</v>
      </c>
      <c r="L260">
        <v>126.84</v>
      </c>
      <c r="M260">
        <v>161.94999999999999</v>
      </c>
      <c r="N260">
        <v>218.99</v>
      </c>
      <c r="O260">
        <v>281.91000000000003</v>
      </c>
      <c r="P260">
        <v>309.05</v>
      </c>
      <c r="Q260">
        <v>340.5</v>
      </c>
      <c r="R260">
        <v>484.46</v>
      </c>
    </row>
    <row r="261" spans="1:21" x14ac:dyDescent="0.25">
      <c r="A261" t="s">
        <v>192</v>
      </c>
      <c r="F261">
        <v>0.1</v>
      </c>
      <c r="G261">
        <v>0.6</v>
      </c>
      <c r="H261">
        <v>0.5</v>
      </c>
      <c r="I261">
        <v>1.45</v>
      </c>
      <c r="J261">
        <v>12.9</v>
      </c>
      <c r="K261">
        <v>16.57</v>
      </c>
      <c r="L261">
        <v>18.420000000000002</v>
      </c>
      <c r="M261">
        <v>26</v>
      </c>
      <c r="N261">
        <v>31.23</v>
      </c>
      <c r="O261">
        <v>44.59</v>
      </c>
      <c r="P261">
        <v>45.85</v>
      </c>
      <c r="Q261">
        <v>43.05</v>
      </c>
      <c r="R261">
        <v>57</v>
      </c>
      <c r="S261">
        <v>64.33</v>
      </c>
      <c r="T261">
        <v>94.31</v>
      </c>
      <c r="U261">
        <v>108.63</v>
      </c>
    </row>
    <row r="262" spans="1:21" x14ac:dyDescent="0.25">
      <c r="A262" t="s">
        <v>193</v>
      </c>
      <c r="E262">
        <v>5.09</v>
      </c>
      <c r="F262">
        <v>12.48</v>
      </c>
      <c r="G262">
        <v>28.64</v>
      </c>
      <c r="H262">
        <v>35.46</v>
      </c>
      <c r="I262">
        <v>66.430000000000007</v>
      </c>
      <c r="J262">
        <v>113.88</v>
      </c>
      <c r="K262">
        <v>170.81</v>
      </c>
      <c r="L262">
        <v>238.9</v>
      </c>
      <c r="M262">
        <v>318.83999999999997</v>
      </c>
      <c r="N262">
        <v>449.41</v>
      </c>
      <c r="O262">
        <v>427.13</v>
      </c>
      <c r="P262">
        <v>588.26</v>
      </c>
      <c r="Q262">
        <v>780.35</v>
      </c>
      <c r="R262">
        <v>816.57</v>
      </c>
      <c r="S262">
        <v>892.67</v>
      </c>
      <c r="T262" s="2">
        <v>1242.99</v>
      </c>
      <c r="U262" s="2">
        <v>1451.37</v>
      </c>
    </row>
    <row r="263" spans="1:21" x14ac:dyDescent="0.25">
      <c r="A263" t="s">
        <v>67</v>
      </c>
      <c r="E263">
        <v>1.99</v>
      </c>
      <c r="F263">
        <v>12.34</v>
      </c>
      <c r="G263">
        <v>20.51</v>
      </c>
      <c r="H263">
        <v>79.94</v>
      </c>
      <c r="I263">
        <v>149.68</v>
      </c>
      <c r="J263">
        <v>309.95</v>
      </c>
      <c r="K263">
        <v>526.5</v>
      </c>
      <c r="L263">
        <v>631.52</v>
      </c>
      <c r="M263">
        <v>865.42</v>
      </c>
      <c r="N263" s="2">
        <v>1096.68</v>
      </c>
      <c r="O263" s="2">
        <v>1473.24</v>
      </c>
      <c r="P263" s="2">
        <v>1725.62</v>
      </c>
      <c r="Q263" s="2">
        <v>1962.76</v>
      </c>
      <c r="R263" s="2">
        <v>2022.74</v>
      </c>
      <c r="S263" s="2">
        <v>2135.62</v>
      </c>
      <c r="T263" s="2">
        <v>2197.48</v>
      </c>
      <c r="U263" s="2">
        <v>2329.15</v>
      </c>
    </row>
    <row r="264" spans="1:21" x14ac:dyDescent="0.25">
      <c r="A264" t="s">
        <v>194</v>
      </c>
      <c r="E264">
        <v>0.01</v>
      </c>
      <c r="F264">
        <v>1.04</v>
      </c>
      <c r="G264">
        <v>0.1</v>
      </c>
      <c r="H264">
        <v>0.44</v>
      </c>
      <c r="I264">
        <v>0.85</v>
      </c>
      <c r="J264">
        <v>2.4700000000000002</v>
      </c>
      <c r="K264">
        <v>2.81</v>
      </c>
      <c r="L264">
        <v>3.17</v>
      </c>
      <c r="M264">
        <v>3.76</v>
      </c>
      <c r="N264">
        <v>5.44</v>
      </c>
      <c r="O264">
        <v>1.06</v>
      </c>
      <c r="P264">
        <v>0.56000000000000005</v>
      </c>
      <c r="Q264">
        <v>-0.21</v>
      </c>
      <c r="R264">
        <v>-1.37</v>
      </c>
      <c r="S264">
        <v>-0.54</v>
      </c>
      <c r="T264">
        <v>0.52</v>
      </c>
      <c r="U264">
        <v>1.88</v>
      </c>
    </row>
    <row r="265" spans="1:21" x14ac:dyDescent="0.25">
      <c r="A265" t="s">
        <v>195</v>
      </c>
      <c r="F265">
        <v>-12.28</v>
      </c>
      <c r="G265">
        <v>49.97</v>
      </c>
      <c r="H265">
        <v>678.54</v>
      </c>
      <c r="I265" s="2">
        <v>1428.72</v>
      </c>
      <c r="J265" s="2">
        <v>1164.1199999999999</v>
      </c>
      <c r="K265" s="2">
        <v>1531.2</v>
      </c>
      <c r="L265" s="2">
        <v>2060.0300000000002</v>
      </c>
      <c r="M265" s="2">
        <v>2652.3</v>
      </c>
      <c r="N265" s="2">
        <v>3234.93</v>
      </c>
      <c r="O265" s="2">
        <v>3847.67</v>
      </c>
      <c r="P265" s="2">
        <v>5809.81</v>
      </c>
      <c r="Q265" s="2">
        <v>8255.27</v>
      </c>
      <c r="R265" s="2">
        <v>10559.63</v>
      </c>
      <c r="S265" s="2">
        <v>14638.21</v>
      </c>
      <c r="T265" s="2">
        <v>19705.61</v>
      </c>
      <c r="U265" s="2">
        <v>25074.95</v>
      </c>
    </row>
    <row r="266" spans="1:21" x14ac:dyDescent="0.25">
      <c r="A266" t="s">
        <v>196</v>
      </c>
      <c r="L266">
        <v>1.46</v>
      </c>
      <c r="M266">
        <v>1</v>
      </c>
      <c r="N266">
        <v>1.58</v>
      </c>
    </row>
    <row r="267" spans="1:21" x14ac:dyDescent="0.25">
      <c r="A267" t="s">
        <v>197</v>
      </c>
      <c r="E267">
        <v>-8.4600000000000009</v>
      </c>
      <c r="F267">
        <v>-35.270000000000003</v>
      </c>
      <c r="G267">
        <v>-33.409999999999997</v>
      </c>
      <c r="H267">
        <v>-73.069999999999993</v>
      </c>
      <c r="I267">
        <v>-72.48</v>
      </c>
      <c r="J267">
        <v>-125.35</v>
      </c>
      <c r="K267">
        <v>-258.11</v>
      </c>
      <c r="L267">
        <v>-217.7</v>
      </c>
      <c r="M267">
        <v>-274.22000000000003</v>
      </c>
      <c r="N267">
        <v>-232.53</v>
      </c>
      <c r="O267">
        <v>-230.77</v>
      </c>
      <c r="P267">
        <v>-307.37</v>
      </c>
      <c r="Q267">
        <v>-420.59</v>
      </c>
      <c r="R267">
        <v>-440.48</v>
      </c>
      <c r="S267">
        <v>-556.78</v>
      </c>
      <c r="T267">
        <v>-471.16</v>
      </c>
      <c r="U267">
        <v>-475.44</v>
      </c>
    </row>
    <row r="268" spans="1:21" x14ac:dyDescent="0.25">
      <c r="A268" t="s">
        <v>198</v>
      </c>
      <c r="O268">
        <v>16.45</v>
      </c>
      <c r="P268">
        <v>19.27</v>
      </c>
      <c r="Q268">
        <v>22.77</v>
      </c>
      <c r="R268">
        <v>29.22</v>
      </c>
      <c r="S268">
        <v>38.18</v>
      </c>
      <c r="T268">
        <v>54.6</v>
      </c>
      <c r="U268">
        <v>69.19</v>
      </c>
    </row>
    <row r="269" spans="1:21" x14ac:dyDescent="0.25">
      <c r="A269" t="s">
        <v>145</v>
      </c>
      <c r="E269">
        <v>37.29</v>
      </c>
      <c r="F269">
        <v>82.17</v>
      </c>
      <c r="G269">
        <v>-45.07</v>
      </c>
      <c r="H269">
        <v>-86.59</v>
      </c>
      <c r="I269">
        <v>-150.97999999999999</v>
      </c>
      <c r="J269">
        <v>-234.31</v>
      </c>
      <c r="K269">
        <v>-298.72000000000003</v>
      </c>
      <c r="L269">
        <v>-371.65</v>
      </c>
      <c r="M269">
        <v>-584.48</v>
      </c>
      <c r="N269">
        <v>-703.71</v>
      </c>
      <c r="O269">
        <v>-622.23</v>
      </c>
      <c r="P269">
        <v>-759.29</v>
      </c>
      <c r="Q269">
        <v>-933.64</v>
      </c>
      <c r="R269" s="2">
        <v>-1020.22</v>
      </c>
      <c r="S269" s="2">
        <v>-1067.5899999999999</v>
      </c>
      <c r="T269" s="2">
        <v>-1365.46</v>
      </c>
      <c r="U269" s="2">
        <v>-1596.57</v>
      </c>
    </row>
    <row r="270" spans="1:21" x14ac:dyDescent="0.25">
      <c r="A270" t="s">
        <v>158</v>
      </c>
      <c r="E270">
        <v>1.89</v>
      </c>
      <c r="F270">
        <v>7.14</v>
      </c>
      <c r="G270">
        <v>-2.4</v>
      </c>
      <c r="H270">
        <v>-6.57</v>
      </c>
      <c r="I270">
        <v>11.33</v>
      </c>
      <c r="J270">
        <v>33.25</v>
      </c>
      <c r="K270">
        <v>-15.46</v>
      </c>
      <c r="L270">
        <v>-18.899999999999999</v>
      </c>
      <c r="M270">
        <v>84.94</v>
      </c>
      <c r="N270">
        <v>-11.27</v>
      </c>
      <c r="O270">
        <v>11.93</v>
      </c>
      <c r="P270">
        <v>40.44</v>
      </c>
      <c r="Q270">
        <v>22.05</v>
      </c>
      <c r="R270">
        <v>31.45</v>
      </c>
      <c r="S270">
        <v>32.549999999999997</v>
      </c>
      <c r="T270">
        <v>33.11</v>
      </c>
      <c r="U270">
        <v>31.64</v>
      </c>
    </row>
    <row r="271" spans="1:21" x14ac:dyDescent="0.25">
      <c r="A271" t="s">
        <v>199</v>
      </c>
      <c r="E271">
        <v>-9.35</v>
      </c>
      <c r="F271">
        <v>-25.34</v>
      </c>
      <c r="G271">
        <v>131.12</v>
      </c>
      <c r="H271">
        <v>280.77</v>
      </c>
      <c r="I271">
        <v>338.8</v>
      </c>
      <c r="J271">
        <v>616.41</v>
      </c>
      <c r="K271">
        <v>825.75</v>
      </c>
      <c r="L271">
        <v>696.64</v>
      </c>
      <c r="M271">
        <v>669.26</v>
      </c>
      <c r="N271" s="2">
        <v>1023.86</v>
      </c>
      <c r="O271" s="2">
        <v>1085.94</v>
      </c>
      <c r="P271" s="2">
        <v>1225.3599999999999</v>
      </c>
      <c r="Q271" s="2">
        <v>1399.42</v>
      </c>
      <c r="R271" s="2">
        <v>1842.99</v>
      </c>
      <c r="S271" s="2">
        <v>2203.41</v>
      </c>
      <c r="T271" s="2">
        <v>1548.22</v>
      </c>
      <c r="U271" s="2">
        <v>1549.73</v>
      </c>
    </row>
    <row r="272" spans="1:21" x14ac:dyDescent="0.25">
      <c r="A272" t="s">
        <v>200</v>
      </c>
      <c r="E272">
        <v>3.37</v>
      </c>
      <c r="F272">
        <v>16.600000000000001</v>
      </c>
      <c r="G272">
        <v>3.56</v>
      </c>
      <c r="H272">
        <v>9.17</v>
      </c>
      <c r="I272">
        <v>23.84</v>
      </c>
      <c r="J272">
        <v>38.479999999999997</v>
      </c>
      <c r="K272">
        <v>58.92</v>
      </c>
      <c r="L272">
        <v>14.59</v>
      </c>
      <c r="M272">
        <v>218.52</v>
      </c>
      <c r="N272">
        <v>22.59</v>
      </c>
      <c r="O272">
        <v>8.33</v>
      </c>
      <c r="P272">
        <v>55.45</v>
      </c>
      <c r="Q272">
        <v>43.99</v>
      </c>
      <c r="R272">
        <v>63.98</v>
      </c>
      <c r="S272">
        <v>73.09</v>
      </c>
      <c r="T272">
        <v>90.16</v>
      </c>
      <c r="U272">
        <v>102.66</v>
      </c>
    </row>
    <row r="273" spans="1:21" x14ac:dyDescent="0.25">
      <c r="A273" t="s">
        <v>201</v>
      </c>
      <c r="E273">
        <v>5.7</v>
      </c>
      <c r="F273">
        <v>9.01</v>
      </c>
      <c r="G273">
        <v>0.97</v>
      </c>
      <c r="H273">
        <v>17.53</v>
      </c>
      <c r="I273">
        <v>33.21</v>
      </c>
      <c r="J273">
        <v>32.68</v>
      </c>
      <c r="K273">
        <v>65.23</v>
      </c>
      <c r="L273">
        <v>65.099999999999994</v>
      </c>
      <c r="M273">
        <v>85.87</v>
      </c>
      <c r="N273">
        <v>61.61</v>
      </c>
      <c r="O273">
        <v>64.41</v>
      </c>
      <c r="P273">
        <v>89.65</v>
      </c>
      <c r="Q273">
        <v>86.32</v>
      </c>
      <c r="R273">
        <v>129.99</v>
      </c>
      <c r="S273">
        <v>128.75</v>
      </c>
      <c r="T273">
        <v>132.41</v>
      </c>
      <c r="U273">
        <v>133.37</v>
      </c>
    </row>
    <row r="274" spans="1:21" x14ac:dyDescent="0.25">
      <c r="A274" t="s">
        <v>202</v>
      </c>
      <c r="I274">
        <v>-8.11</v>
      </c>
      <c r="J274">
        <v>-9.9</v>
      </c>
      <c r="K274">
        <v>-10.36</v>
      </c>
      <c r="L274">
        <v>-14.04</v>
      </c>
      <c r="M274">
        <v>-15.66</v>
      </c>
      <c r="N274">
        <v>-13.69</v>
      </c>
      <c r="O274">
        <v>-13.4</v>
      </c>
      <c r="P274">
        <v>-3.92</v>
      </c>
      <c r="Q274">
        <v>-7.33</v>
      </c>
      <c r="R274">
        <v>-40.53</v>
      </c>
      <c r="S274">
        <v>-25.7</v>
      </c>
      <c r="T274">
        <v>-36.97</v>
      </c>
      <c r="U274">
        <v>-53.11</v>
      </c>
    </row>
    <row r="275" spans="1:21" x14ac:dyDescent="0.25">
      <c r="A275" t="s">
        <v>203</v>
      </c>
      <c r="E275">
        <v>-1.39</v>
      </c>
      <c r="F275">
        <v>-6.85</v>
      </c>
      <c r="G275">
        <v>-5.82</v>
      </c>
      <c r="H275">
        <v>-43.47</v>
      </c>
      <c r="I275">
        <v>1.2</v>
      </c>
      <c r="J275">
        <v>-29.54</v>
      </c>
      <c r="K275">
        <v>-46.81</v>
      </c>
      <c r="L275">
        <v>-102.52</v>
      </c>
      <c r="M275">
        <v>-190.23</v>
      </c>
      <c r="N275">
        <v>-206.16</v>
      </c>
      <c r="O275">
        <v>-130.85</v>
      </c>
      <c r="P275">
        <v>-190.02</v>
      </c>
      <c r="Q275">
        <v>-209.27</v>
      </c>
      <c r="R275">
        <v>-346.69</v>
      </c>
      <c r="S275">
        <v>-439.97</v>
      </c>
      <c r="T275">
        <v>-635.29</v>
      </c>
      <c r="U275">
        <v>-709.25</v>
      </c>
    </row>
    <row r="276" spans="1:21" x14ac:dyDescent="0.25">
      <c r="A276" t="s">
        <v>166</v>
      </c>
      <c r="E276">
        <v>0.5</v>
      </c>
      <c r="F276">
        <v>0.87</v>
      </c>
      <c r="G276">
        <v>0.36</v>
      </c>
      <c r="H276">
        <v>-0.3</v>
      </c>
      <c r="I276">
        <v>8.7899999999999991</v>
      </c>
      <c r="L276">
        <v>-14.04</v>
      </c>
      <c r="M276">
        <v>0</v>
      </c>
      <c r="N276">
        <v>0</v>
      </c>
      <c r="O276">
        <v>-10.94</v>
      </c>
      <c r="P276">
        <v>-7.69</v>
      </c>
      <c r="Q276">
        <v>4.6100000000000003</v>
      </c>
      <c r="R276">
        <v>5.27</v>
      </c>
      <c r="S276">
        <v>5.78</v>
      </c>
      <c r="T276">
        <v>6.39</v>
      </c>
      <c r="U276">
        <v>6.73</v>
      </c>
    </row>
    <row r="277" spans="1:21" x14ac:dyDescent="0.25">
      <c r="A277" t="s">
        <v>204</v>
      </c>
      <c r="E277">
        <v>-52</v>
      </c>
      <c r="F277">
        <v>-58.77</v>
      </c>
      <c r="G277">
        <v>-22.97</v>
      </c>
      <c r="H277">
        <v>99.94</v>
      </c>
      <c r="I277">
        <v>356.57</v>
      </c>
      <c r="J277">
        <v>574.78</v>
      </c>
      <c r="K277">
        <v>941.01</v>
      </c>
      <c r="L277" s="2">
        <v>1166.21</v>
      </c>
      <c r="M277" s="2">
        <v>1381.73</v>
      </c>
      <c r="N277" s="2">
        <v>1612.35</v>
      </c>
      <c r="O277" s="2">
        <v>2359.87</v>
      </c>
      <c r="P277" s="2">
        <v>3061.39</v>
      </c>
      <c r="Q277" s="2">
        <v>3794.28</v>
      </c>
      <c r="R277" s="2">
        <v>4565.2299999999996</v>
      </c>
      <c r="S277" s="2">
        <v>5437.62</v>
      </c>
      <c r="T277" s="2">
        <v>6476.87</v>
      </c>
      <c r="U277" s="2">
        <v>7878.92</v>
      </c>
    </row>
    <row r="278" spans="1:21" x14ac:dyDescent="0.25">
      <c r="A278" t="s">
        <v>17</v>
      </c>
    </row>
    <row r="279" spans="1:21" x14ac:dyDescent="0.25">
      <c r="A279" t="s">
        <v>205</v>
      </c>
    </row>
    <row r="280" spans="1:21" x14ac:dyDescent="0.25">
      <c r="A280" t="s">
        <v>206</v>
      </c>
      <c r="E280">
        <v>-6.59</v>
      </c>
      <c r="F280">
        <v>-22.91</v>
      </c>
      <c r="G280">
        <v>-35.85</v>
      </c>
      <c r="H280">
        <v>-80.2</v>
      </c>
      <c r="I280">
        <v>-52.8</v>
      </c>
      <c r="J280">
        <v>-112.14</v>
      </c>
      <c r="K280">
        <v>-235.02</v>
      </c>
      <c r="L280">
        <v>-176.53</v>
      </c>
      <c r="M280">
        <v>-254.85</v>
      </c>
      <c r="N280">
        <v>-302.11</v>
      </c>
      <c r="O280">
        <v>-442.61</v>
      </c>
      <c r="P280">
        <v>-606.15</v>
      </c>
      <c r="Q280">
        <v>-658.81</v>
      </c>
      <c r="R280">
        <v>-722.25</v>
      </c>
      <c r="S280">
        <v>-808.14</v>
      </c>
      <c r="T280">
        <v>-968.5</v>
      </c>
      <c r="U280" s="2">
        <v>-1110.5</v>
      </c>
    </row>
    <row r="281" spans="1:21" x14ac:dyDescent="0.25">
      <c r="A281" t="s">
        <v>207</v>
      </c>
      <c r="E281">
        <v>-5.56</v>
      </c>
      <c r="F281">
        <v>-6.54</v>
      </c>
      <c r="G281">
        <v>-6.79</v>
      </c>
      <c r="H281">
        <v>-7.29</v>
      </c>
      <c r="I281">
        <v>-10.86</v>
      </c>
      <c r="J281">
        <v>-20.87</v>
      </c>
      <c r="K281">
        <v>-29.1</v>
      </c>
      <c r="L281">
        <v>-49.46</v>
      </c>
      <c r="M281">
        <v>-58.97</v>
      </c>
      <c r="N281">
        <v>-68.75</v>
      </c>
      <c r="O281">
        <v>-94.26</v>
      </c>
      <c r="P281">
        <v>-107.59</v>
      </c>
      <c r="Q281">
        <v>-123.26</v>
      </c>
      <c r="R281">
        <v>-134</v>
      </c>
      <c r="S281">
        <v>-154.32</v>
      </c>
      <c r="T281">
        <v>-225.12</v>
      </c>
      <c r="U281">
        <v>-262</v>
      </c>
    </row>
    <row r="282" spans="1:21" x14ac:dyDescent="0.25">
      <c r="A282" t="s">
        <v>208</v>
      </c>
      <c r="E282">
        <v>-0.5</v>
      </c>
      <c r="F282">
        <v>-0.31</v>
      </c>
      <c r="G282">
        <v>0</v>
      </c>
      <c r="H282">
        <v>0</v>
      </c>
      <c r="I282">
        <v>-0.18</v>
      </c>
      <c r="J282">
        <v>-0.68</v>
      </c>
      <c r="K282">
        <v>-2.3199999999999998</v>
      </c>
      <c r="L282">
        <v>-11.13</v>
      </c>
      <c r="M282">
        <v>0</v>
      </c>
      <c r="N282">
        <v>0</v>
      </c>
      <c r="O282">
        <v>-5.09</v>
      </c>
      <c r="P282">
        <v>-11.61</v>
      </c>
    </row>
    <row r="283" spans="1:21" x14ac:dyDescent="0.25">
      <c r="A283" t="s">
        <v>209</v>
      </c>
      <c r="E283">
        <v>11.65</v>
      </c>
      <c r="G283">
        <v>0</v>
      </c>
      <c r="H283">
        <v>-1</v>
      </c>
      <c r="I283">
        <v>-1.5</v>
      </c>
      <c r="J283">
        <v>-16.309999999999999</v>
      </c>
      <c r="K283">
        <v>-21.81</v>
      </c>
      <c r="L283">
        <v>-2.0299999999999998</v>
      </c>
      <c r="M283">
        <v>0.11</v>
      </c>
      <c r="N283">
        <v>0.21</v>
      </c>
      <c r="O283">
        <v>0.17</v>
      </c>
      <c r="P283">
        <v>0.24</v>
      </c>
    </row>
    <row r="284" spans="1:21" x14ac:dyDescent="0.25">
      <c r="A284" t="s">
        <v>210</v>
      </c>
      <c r="E284">
        <v>-12.07</v>
      </c>
      <c r="F284">
        <v>17.46</v>
      </c>
      <c r="G284">
        <v>99.95</v>
      </c>
      <c r="H284">
        <v>228.98</v>
      </c>
      <c r="I284">
        <v>91.61</v>
      </c>
      <c r="J284">
        <v>0</v>
      </c>
      <c r="K284">
        <v>0</v>
      </c>
      <c r="L284">
        <v>348.28</v>
      </c>
      <c r="M284">
        <v>97.3</v>
      </c>
      <c r="N284">
        <v>-10.77</v>
      </c>
    </row>
    <row r="285" spans="1:21" x14ac:dyDescent="0.25">
      <c r="A285" t="s">
        <v>211</v>
      </c>
      <c r="E285">
        <v>0</v>
      </c>
      <c r="F285">
        <v>-6.47</v>
      </c>
      <c r="G285">
        <v>0</v>
      </c>
      <c r="H285">
        <v>0</v>
      </c>
      <c r="I285">
        <v>-85.52</v>
      </c>
      <c r="J285">
        <v>-414.52</v>
      </c>
      <c r="K285">
        <v>-18.350000000000001</v>
      </c>
      <c r="L285">
        <v>-239.03</v>
      </c>
      <c r="M285">
        <v>-310.26</v>
      </c>
      <c r="N285">
        <v>-382.27</v>
      </c>
      <c r="O285">
        <v>-882.2</v>
      </c>
      <c r="P285">
        <v>-40</v>
      </c>
      <c r="Q285">
        <v>-26.67</v>
      </c>
      <c r="R285">
        <v>-80</v>
      </c>
      <c r="S285">
        <v>-80</v>
      </c>
      <c r="T285">
        <v>-80</v>
      </c>
      <c r="U285">
        <v>-80</v>
      </c>
    </row>
    <row r="286" spans="1:21" x14ac:dyDescent="0.25">
      <c r="A286" t="s">
        <v>212</v>
      </c>
      <c r="E286">
        <v>0.79</v>
      </c>
      <c r="F286">
        <v>7.9</v>
      </c>
      <c r="G286">
        <v>-99.39</v>
      </c>
      <c r="H286">
        <v>-542.14</v>
      </c>
      <c r="I286">
        <v>644.79</v>
      </c>
      <c r="J286">
        <v>-16.309999999999999</v>
      </c>
      <c r="K286">
        <v>-21.87</v>
      </c>
      <c r="L286">
        <v>135.49</v>
      </c>
      <c r="M286">
        <v>87.49</v>
      </c>
      <c r="N286">
        <v>-11.35</v>
      </c>
      <c r="O286">
        <v>11.71</v>
      </c>
      <c r="P286">
        <v>0</v>
      </c>
    </row>
    <row r="287" spans="1:21" x14ac:dyDescent="0.25">
      <c r="A287" t="s">
        <v>213</v>
      </c>
      <c r="E287">
        <v>-11.85</v>
      </c>
      <c r="F287">
        <v>-28.33</v>
      </c>
      <c r="G287">
        <v>-142.03</v>
      </c>
      <c r="H287">
        <v>-629.63</v>
      </c>
      <c r="I287">
        <v>495.43</v>
      </c>
      <c r="J287">
        <v>-564.52</v>
      </c>
      <c r="K287">
        <v>-556.66</v>
      </c>
      <c r="L287">
        <v>-340.65</v>
      </c>
      <c r="M287">
        <v>-536.59</v>
      </c>
      <c r="N287">
        <v>-764.48</v>
      </c>
      <c r="O287" s="2">
        <v>-1311.75</v>
      </c>
      <c r="P287">
        <v>-701.47</v>
      </c>
      <c r="Q287">
        <v>-792.12</v>
      </c>
      <c r="R287">
        <v>-889.51</v>
      </c>
      <c r="S287" s="2">
        <v>-1011.15</v>
      </c>
      <c r="T287" s="2">
        <v>-1216.04</v>
      </c>
      <c r="U287" s="2">
        <v>-1395.09</v>
      </c>
    </row>
    <row r="288" spans="1:21" x14ac:dyDescent="0.25">
      <c r="A288" t="s">
        <v>17</v>
      </c>
    </row>
    <row r="289" spans="1:21" x14ac:dyDescent="0.25">
      <c r="A289" t="s">
        <v>214</v>
      </c>
    </row>
    <row r="290" spans="1:21" x14ac:dyDescent="0.25">
      <c r="A290" t="s">
        <v>215</v>
      </c>
      <c r="E290">
        <v>0.77</v>
      </c>
      <c r="F290">
        <v>3.7</v>
      </c>
      <c r="G290">
        <v>3.91</v>
      </c>
      <c r="H290">
        <v>709.23</v>
      </c>
      <c r="I290">
        <v>28.83</v>
      </c>
      <c r="J290">
        <v>66.180000000000007</v>
      </c>
      <c r="K290">
        <v>68.069999999999993</v>
      </c>
      <c r="L290">
        <v>85.07</v>
      </c>
      <c r="M290">
        <v>103.6</v>
      </c>
      <c r="N290">
        <v>129</v>
      </c>
      <c r="O290">
        <v>88.7</v>
      </c>
      <c r="P290">
        <v>57.24</v>
      </c>
      <c r="Q290">
        <v>75.63</v>
      </c>
      <c r="R290">
        <v>139.37</v>
      </c>
      <c r="S290">
        <v>151.78</v>
      </c>
      <c r="T290">
        <v>252.05</v>
      </c>
      <c r="U290">
        <v>274.82</v>
      </c>
    </row>
    <row r="291" spans="1:21" x14ac:dyDescent="0.25">
      <c r="A291" t="s">
        <v>216</v>
      </c>
      <c r="E291">
        <v>0.77</v>
      </c>
      <c r="F291">
        <v>3.7</v>
      </c>
      <c r="G291">
        <v>3.91</v>
      </c>
      <c r="H291">
        <v>10.26</v>
      </c>
      <c r="I291">
        <v>28.83</v>
      </c>
      <c r="J291">
        <v>15.9</v>
      </c>
      <c r="K291">
        <v>8.66</v>
      </c>
      <c r="L291">
        <v>8.6999999999999993</v>
      </c>
      <c r="M291">
        <v>3.98</v>
      </c>
      <c r="O291">
        <v>2.2799999999999998</v>
      </c>
      <c r="P291">
        <v>2.9</v>
      </c>
      <c r="Q291">
        <v>38.83</v>
      </c>
      <c r="R291">
        <v>111.68</v>
      </c>
      <c r="S291">
        <v>132.1</v>
      </c>
      <c r="T291">
        <v>155.36000000000001</v>
      </c>
      <c r="U291">
        <v>181.82</v>
      </c>
    </row>
    <row r="292" spans="1:21" x14ac:dyDescent="0.25">
      <c r="A292" t="s">
        <v>217</v>
      </c>
      <c r="J292">
        <v>8.16</v>
      </c>
      <c r="K292">
        <v>10.95</v>
      </c>
      <c r="L292">
        <v>8.09</v>
      </c>
      <c r="M292">
        <v>8.5</v>
      </c>
      <c r="N292">
        <v>6</v>
      </c>
      <c r="O292">
        <v>-9.84</v>
      </c>
      <c r="P292">
        <v>0</v>
      </c>
      <c r="Q292">
        <v>0</v>
      </c>
    </row>
    <row r="293" spans="1:21" x14ac:dyDescent="0.25">
      <c r="A293" t="s">
        <v>218</v>
      </c>
      <c r="E293">
        <v>17.46</v>
      </c>
      <c r="F293">
        <v>126.83</v>
      </c>
      <c r="G293">
        <v>190.39</v>
      </c>
      <c r="H293">
        <v>706.14</v>
      </c>
      <c r="I293">
        <v>800.14</v>
      </c>
      <c r="J293">
        <v>72.53</v>
      </c>
      <c r="K293">
        <v>77.44</v>
      </c>
      <c r="L293">
        <v>93.16</v>
      </c>
      <c r="M293">
        <v>107.21</v>
      </c>
      <c r="N293">
        <v>132.44999999999999</v>
      </c>
      <c r="O293">
        <v>-127.72</v>
      </c>
      <c r="P293">
        <v>-4.2300000000000004</v>
      </c>
      <c r="Q293">
        <v>67.55</v>
      </c>
      <c r="R293">
        <v>-280.37</v>
      </c>
      <c r="S293">
        <v>238.57</v>
      </c>
      <c r="T293">
        <v>406.56</v>
      </c>
      <c r="U293">
        <v>456.66</v>
      </c>
    </row>
    <row r="294" spans="1:21" x14ac:dyDescent="0.25">
      <c r="A294" t="s">
        <v>17</v>
      </c>
    </row>
    <row r="295" spans="1:21" x14ac:dyDescent="0.25">
      <c r="A295" t="s">
        <v>176</v>
      </c>
    </row>
    <row r="296" spans="1:21" x14ac:dyDescent="0.25">
      <c r="A296" t="s">
        <v>219</v>
      </c>
      <c r="E296">
        <v>0</v>
      </c>
      <c r="F296">
        <v>0.62</v>
      </c>
      <c r="G296">
        <v>-0.16</v>
      </c>
      <c r="H296">
        <v>-7.0000000000000007E-2</v>
      </c>
      <c r="I296">
        <v>1.68</v>
      </c>
      <c r="J296">
        <v>-4.7699999999999996</v>
      </c>
      <c r="K296">
        <v>-1.5</v>
      </c>
      <c r="L296">
        <v>1.96</v>
      </c>
      <c r="M296">
        <v>-5.28</v>
      </c>
      <c r="N296">
        <v>9.6300000000000008</v>
      </c>
      <c r="O296">
        <v>-1.77</v>
      </c>
      <c r="P296">
        <v>-2.31</v>
      </c>
    </row>
    <row r="297" spans="1:21" x14ac:dyDescent="0.25">
      <c r="A297" t="s">
        <v>220</v>
      </c>
      <c r="E297">
        <v>-46.39</v>
      </c>
      <c r="F297">
        <v>40.35</v>
      </c>
      <c r="G297">
        <v>25.23</v>
      </c>
      <c r="H297">
        <v>176.39</v>
      </c>
      <c r="I297" s="2">
        <v>1653.81</v>
      </c>
      <c r="J297">
        <v>78.03</v>
      </c>
      <c r="K297">
        <v>460.29</v>
      </c>
      <c r="L297">
        <v>920.67</v>
      </c>
      <c r="M297">
        <v>947.07</v>
      </c>
      <c r="N297">
        <v>989.95</v>
      </c>
      <c r="O297">
        <v>942.48</v>
      </c>
      <c r="P297" s="2">
        <v>2349.09</v>
      </c>
      <c r="Q297" s="2">
        <v>3017.14</v>
      </c>
      <c r="R297" s="2">
        <v>3555.57</v>
      </c>
      <c r="S297" s="2">
        <v>4545.76</v>
      </c>
      <c r="T297" s="2">
        <v>5464.11</v>
      </c>
      <c r="U297" s="2">
        <v>6712.16</v>
      </c>
    </row>
    <row r="298" spans="1:21" x14ac:dyDescent="0.25">
      <c r="A298" t="s">
        <v>221</v>
      </c>
      <c r="E298">
        <v>69.22</v>
      </c>
      <c r="F298">
        <v>22.83</v>
      </c>
      <c r="G298">
        <v>63.18</v>
      </c>
      <c r="H298">
        <v>88.41</v>
      </c>
      <c r="I298">
        <v>264.8</v>
      </c>
      <c r="J298" s="2">
        <v>1918.61</v>
      </c>
      <c r="K298" s="2">
        <v>1996.63</v>
      </c>
      <c r="L298" s="2">
        <v>2456.92</v>
      </c>
      <c r="M298" s="2">
        <v>3377.6</v>
      </c>
      <c r="N298" s="2">
        <v>4324.67</v>
      </c>
      <c r="O298" s="2">
        <v>5147.6899999999996</v>
      </c>
      <c r="P298" s="2">
        <v>6036.04</v>
      </c>
      <c r="Q298" s="2">
        <v>8207.0499999999993</v>
      </c>
      <c r="R298" s="2">
        <v>11519.15</v>
      </c>
      <c r="S298" s="2">
        <v>15047.29</v>
      </c>
      <c r="T298" s="2">
        <v>19450.11</v>
      </c>
      <c r="U298" s="2">
        <v>24914.22</v>
      </c>
    </row>
    <row r="299" spans="1:21" x14ac:dyDescent="0.25">
      <c r="A299" t="s">
        <v>222</v>
      </c>
      <c r="E299">
        <v>22.83</v>
      </c>
      <c r="F299">
        <v>63.18</v>
      </c>
      <c r="G299">
        <v>88.41</v>
      </c>
      <c r="H299">
        <v>264.8</v>
      </c>
      <c r="I299" s="2">
        <v>1918.61</v>
      </c>
      <c r="J299" s="2">
        <v>1996.63</v>
      </c>
      <c r="K299" s="2">
        <v>2456.92</v>
      </c>
      <c r="L299" s="2">
        <v>3377.6</v>
      </c>
      <c r="M299" s="2">
        <v>4324.67</v>
      </c>
      <c r="N299" s="2">
        <v>5314.62</v>
      </c>
      <c r="O299" s="2">
        <v>6260.19</v>
      </c>
      <c r="P299" s="2">
        <v>8595.64</v>
      </c>
      <c r="Q299" s="2">
        <v>11615.88</v>
      </c>
      <c r="R299" s="2">
        <v>15094.24</v>
      </c>
      <c r="S299" s="2">
        <v>19634.95</v>
      </c>
      <c r="T299" s="2">
        <v>24873.52</v>
      </c>
      <c r="U299" s="2">
        <v>31585.68</v>
      </c>
    </row>
    <row r="300" spans="1:21" x14ac:dyDescent="0.25">
      <c r="A300" t="s">
        <v>178</v>
      </c>
    </row>
    <row r="301" spans="1:21" x14ac:dyDescent="0.25">
      <c r="A301" t="s">
        <v>223</v>
      </c>
      <c r="E301">
        <v>0.05</v>
      </c>
      <c r="F301">
        <v>0.11</v>
      </c>
      <c r="G301">
        <v>1.39</v>
      </c>
      <c r="H301">
        <v>1.86</v>
      </c>
      <c r="I301">
        <v>1.73</v>
      </c>
      <c r="J301">
        <v>74.680000000000007</v>
      </c>
      <c r="K301">
        <v>11.94</v>
      </c>
      <c r="L301">
        <v>22.61</v>
      </c>
      <c r="M301">
        <v>19.02</v>
      </c>
      <c r="N301">
        <v>51.46</v>
      </c>
      <c r="O301">
        <v>46.23</v>
      </c>
      <c r="P301">
        <v>20</v>
      </c>
      <c r="Q301">
        <v>20</v>
      </c>
    </row>
    <row r="302" spans="1:21" x14ac:dyDescent="0.25">
      <c r="A302" t="s">
        <v>224</v>
      </c>
      <c r="G302">
        <v>-0.13</v>
      </c>
      <c r="H302">
        <v>0.17</v>
      </c>
      <c r="I302">
        <v>0.41</v>
      </c>
      <c r="J302">
        <v>0.63</v>
      </c>
      <c r="K302">
        <v>1.01</v>
      </c>
      <c r="L302">
        <v>1.22</v>
      </c>
      <c r="M302">
        <v>1.41</v>
      </c>
      <c r="N302">
        <v>1.61</v>
      </c>
      <c r="O302">
        <v>2.0699999999999998</v>
      </c>
      <c r="P302">
        <v>2.59</v>
      </c>
      <c r="Q302">
        <v>5.37</v>
      </c>
    </row>
    <row r="303" spans="1:21" x14ac:dyDescent="0.25">
      <c r="A303" t="s">
        <v>225</v>
      </c>
      <c r="E303">
        <v>-64.650000000000006</v>
      </c>
      <c r="F303">
        <v>-94.99</v>
      </c>
      <c r="G303">
        <v>-65.61</v>
      </c>
      <c r="H303">
        <v>12.46</v>
      </c>
      <c r="I303">
        <v>292.89999999999998</v>
      </c>
      <c r="J303">
        <v>441.78</v>
      </c>
      <c r="K303">
        <v>676.83</v>
      </c>
      <c r="L303">
        <v>938.19</v>
      </c>
      <c r="M303" s="2">
        <v>1065.08</v>
      </c>
      <c r="N303" s="2">
        <v>1235.27</v>
      </c>
      <c r="O303" s="2">
        <v>1829.96</v>
      </c>
      <c r="P303" s="2">
        <v>2392.85</v>
      </c>
      <c r="Q303" s="2">
        <v>3045.48</v>
      </c>
      <c r="R303" s="2">
        <v>3928.79</v>
      </c>
      <c r="S303" s="2">
        <v>4876.26</v>
      </c>
      <c r="T303" s="2">
        <v>6230.21</v>
      </c>
      <c r="U303" s="2">
        <v>7778.32</v>
      </c>
    </row>
    <row r="304" spans="1:21" x14ac:dyDescent="0.25">
      <c r="A304" t="s">
        <v>226</v>
      </c>
      <c r="G304">
        <v>-0.37</v>
      </c>
      <c r="H304">
        <v>0.02</v>
      </c>
      <c r="I304">
        <v>0.34</v>
      </c>
      <c r="J304">
        <v>0.49</v>
      </c>
      <c r="K304">
        <v>0.73</v>
      </c>
      <c r="L304">
        <v>0.98</v>
      </c>
      <c r="M304">
        <v>1.0900000000000001</v>
      </c>
      <c r="N304">
        <v>1.24</v>
      </c>
      <c r="O304">
        <v>1.8</v>
      </c>
      <c r="P304">
        <v>2.29</v>
      </c>
      <c r="Q304">
        <v>2.89</v>
      </c>
      <c r="R304">
        <v>3.48</v>
      </c>
      <c r="S304">
        <v>4.05</v>
      </c>
      <c r="T304">
        <v>4.47</v>
      </c>
      <c r="U304">
        <v>4.91</v>
      </c>
    </row>
    <row r="305" spans="1:21" x14ac:dyDescent="0.25">
      <c r="A305" t="s">
        <v>227</v>
      </c>
      <c r="G305">
        <v>-0.37</v>
      </c>
      <c r="H305">
        <v>0.02</v>
      </c>
      <c r="I305">
        <v>0.34</v>
      </c>
      <c r="J305">
        <v>0.49</v>
      </c>
      <c r="K305">
        <v>0.73</v>
      </c>
      <c r="L305">
        <v>0.96</v>
      </c>
      <c r="M305">
        <v>1.0900000000000001</v>
      </c>
      <c r="N305">
        <v>1.24</v>
      </c>
      <c r="O305">
        <v>1.76</v>
      </c>
      <c r="P305">
        <v>2.2599999999999998</v>
      </c>
      <c r="Q305">
        <v>2.84</v>
      </c>
      <c r="R305">
        <v>3.49</v>
      </c>
      <c r="S305">
        <v>4.05</v>
      </c>
      <c r="T305">
        <v>4.75</v>
      </c>
      <c r="U305">
        <v>5.56</v>
      </c>
    </row>
    <row r="306" spans="1:21" x14ac:dyDescent="0.25">
      <c r="A306" t="s">
        <v>228</v>
      </c>
      <c r="E306">
        <v>-121.61</v>
      </c>
      <c r="F306">
        <v>-74.28</v>
      </c>
      <c r="G306">
        <v>-26.26</v>
      </c>
      <c r="H306">
        <v>2.59</v>
      </c>
      <c r="I306">
        <v>33.5</v>
      </c>
      <c r="J306">
        <v>30.43</v>
      </c>
      <c r="K306">
        <v>30.2</v>
      </c>
      <c r="L306">
        <v>30.77</v>
      </c>
      <c r="M306">
        <v>27.01</v>
      </c>
      <c r="N306">
        <v>25.8</v>
      </c>
      <c r="O306">
        <v>30.48</v>
      </c>
      <c r="P306">
        <v>32.56</v>
      </c>
      <c r="Q306">
        <v>34.17</v>
      </c>
      <c r="R306">
        <v>36.18</v>
      </c>
      <c r="S306">
        <v>36.369999999999997</v>
      </c>
      <c r="T306">
        <v>36.29</v>
      </c>
      <c r="U306">
        <v>36.909999999999997</v>
      </c>
    </row>
    <row r="307" spans="1:21" x14ac:dyDescent="0.25">
      <c r="A307" t="s">
        <v>229</v>
      </c>
      <c r="E307">
        <v>-98.58</v>
      </c>
      <c r="F307">
        <v>-49.49</v>
      </c>
      <c r="G307">
        <v>-9.19</v>
      </c>
      <c r="H307">
        <v>20.76</v>
      </c>
      <c r="I307">
        <v>40.78</v>
      </c>
      <c r="J307">
        <v>39.6</v>
      </c>
      <c r="K307">
        <v>41.99</v>
      </c>
      <c r="L307">
        <v>38.17</v>
      </c>
      <c r="M307">
        <v>34.950000000000003</v>
      </c>
      <c r="N307">
        <v>33.51</v>
      </c>
      <c r="O307">
        <v>39.26</v>
      </c>
      <c r="P307">
        <v>42.06</v>
      </c>
      <c r="Q307">
        <v>43.01</v>
      </c>
      <c r="R307">
        <v>42.48</v>
      </c>
      <c r="S307">
        <v>41.28</v>
      </c>
      <c r="T307">
        <v>41.04</v>
      </c>
      <c r="U307">
        <v>40.049999999999997</v>
      </c>
    </row>
    <row r="308" spans="1:21" x14ac:dyDescent="0.25">
      <c r="A308" t="s">
        <v>230</v>
      </c>
      <c r="E308">
        <v>23.03</v>
      </c>
      <c r="F308">
        <v>24.8</v>
      </c>
      <c r="G308">
        <v>17.07</v>
      </c>
      <c r="H308">
        <v>18.170000000000002</v>
      </c>
      <c r="I308">
        <v>7.28</v>
      </c>
      <c r="J308">
        <v>9.16</v>
      </c>
      <c r="K308">
        <v>11.78</v>
      </c>
      <c r="L308">
        <v>7.4</v>
      </c>
      <c r="M308">
        <v>7.94</v>
      </c>
      <c r="N308">
        <v>7.71</v>
      </c>
      <c r="O308">
        <v>8.82</v>
      </c>
      <c r="P308">
        <v>10.050000000000001</v>
      </c>
      <c r="Q308">
        <v>9.2899999999999991</v>
      </c>
      <c r="R308">
        <v>7.65</v>
      </c>
      <c r="S308">
        <v>6.92</v>
      </c>
      <c r="T308">
        <v>6.37</v>
      </c>
      <c r="U308">
        <v>5.82</v>
      </c>
    </row>
    <row r="309" spans="1:21" x14ac:dyDescent="0.25">
      <c r="A309" t="s">
        <v>17</v>
      </c>
    </row>
    <row r="310" spans="1:21" x14ac:dyDescent="0.25">
      <c r="A310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20B4-BC27-4891-A923-360F0D1EF1F8}">
  <sheetPr codeName="Sheet2"/>
  <dimension ref="A1:K248"/>
  <sheetViews>
    <sheetView workbookViewId="0">
      <selection activeCell="I3" sqref="I3"/>
    </sheetView>
  </sheetViews>
  <sheetFormatPr defaultRowHeight="15" x14ac:dyDescent="0.25"/>
  <cols>
    <col min="1" max="13" width="9.28515625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  <c r="B3" t="e" cm="1">
        <f t="array" aca="1" ref="B3" ca="1">BQL("CRWD US Equity", "FISCAL_PERIOD", "FPT=A", "FPO=-2A", "ACT_EST_MAPPING=PRECISE", "FS=MRC", "CURRENCY=USD", "XLFILL=b")</f>
        <v>#NAME?</v>
      </c>
      <c r="C3" t="e" cm="1">
        <f t="array" aca="1" ref="C3" ca="1">BQL("CRWD US Equity", "FISCAL_PERIOD", "FPT=A", "FPO=-1A", "ACT_EST_MAPPING=PRECISE", "FS=MRC", "CURRENCY=USD", "XLFILL=b")</f>
        <v>#NAME?</v>
      </c>
      <c r="D3" t="e" cm="1">
        <f t="array" aca="1" ref="D3" ca="1">BQL("CRWD US Equity", "FISCAL_PERIOD", "FPT=A", "FPO=0A", "ACT_EST_MAPPING=PRECISE", "FS=MRC", "CURRENCY=USD", "XLFILL=b")</f>
        <v>#NAME?</v>
      </c>
      <c r="E3" t="e" cm="1">
        <f t="array" aca="1" ref="E3" ca="1">BQL("CRWD US Equity", "FISCAL_PERIOD", "FPT=A", "FPO=1A", "ACT_EST_MAPPING=PRECISE", "FS=MRC", "CURRENCY=USD", "XLFILL=b")</f>
        <v>#NAME?</v>
      </c>
      <c r="F3" t="e" cm="1">
        <f t="array" aca="1" ref="F3" ca="1">BQL("CRWD US Equity", "FISCAL_PERIOD", "FPT=A", "FPO=2A", "ACT_EST_MAPPING=PRECISE", "FS=MRC", "CURRENCY=USD", "XLFILL=b")</f>
        <v>#NAME?</v>
      </c>
      <c r="G3" t="e" cm="1">
        <f t="array" aca="1" ref="G3" ca="1">BQL("CRWD US Equity", "FISCAL_PERIOD", "FPT=A", "FPO=3A", "ACT_EST_MAPPING=PRECISE", "FS=MRC", "CURRENCY=USD", "XLFILL=b")</f>
        <v>#NAME?</v>
      </c>
      <c r="H3" t="e" cm="1">
        <f t="array" aca="1" ref="H3" ca="1">BQL("CRWD US Equity", "FISCAL_PERIOD", "FPT=A", "FPO=4A", "ACT_EST_MAPPING=PRECISE", "FS=MRC", "CURRENCY=USD", "XLFILL=b")</f>
        <v>#NAME?</v>
      </c>
      <c r="I3" t="e" cm="1">
        <f t="array" aca="1" ref="I3" ca="1">BQL("CRWD US Equity", "FISCAL_PERIOD", "FPT=A", "FPO=5A", "ACT_EST_MAPPING=PRECISE", "FS=MRC", "CURRENCY=USD", "XLFILL=b")</f>
        <v>#NAME?</v>
      </c>
      <c r="J3" t="e" cm="1">
        <f t="array" aca="1" ref="J3" ca="1">BQL("CRWD US Equity", "FISCAL_PERIOD", "FPT=A", "FPO=6A", "ACT_EST_MAPPING=PRECISE", "FS=MRC", "CURRENCY=USD", "XLFILL=b")</f>
        <v>#NAME?</v>
      </c>
      <c r="K3" t="e" cm="1">
        <f t="array" aca="1" ref="K3" ca="1">BQL("CRWD US Equity", "FISCAL_PERIOD", "FPT=A", "FPO=7A", "ACT_EST_MAPPING=PRECISE", "FS=MRC", "CURRENCY=USD", "XLFILL=b")</f>
        <v>#NAME?</v>
      </c>
    </row>
    <row r="4" spans="1:11" x14ac:dyDescent="0.25">
      <c r="A4" t="s">
        <v>13</v>
      </c>
      <c r="B4" t="e" cm="1">
        <f t="array" aca="1" ref="B4" ca="1">BQL("CRWD US Equity", "IS_COMP_SALES().period_end_date", "FPT=A", "FPO=-2A", "ACT_EST_MAPPING=PRECISE", "FS=MRC", "CURRENCY=USD", "XLFILL=b")</f>
        <v>#NAME?</v>
      </c>
      <c r="C4" t="e" cm="1">
        <f t="array" aca="1" ref="C4" ca="1">BQL("CRWD US Equity", "IS_COMP_SALES().period_end_date", "FPT=A", "FPO=-1A", "ACT_EST_MAPPING=PRECISE", "FS=MRC", "CURRENCY=USD", "XLFILL=b")</f>
        <v>#NAME?</v>
      </c>
      <c r="D4" t="e" cm="1">
        <f t="array" aca="1" ref="D4" ca="1">BQL("CRWD US Equity", "IS_COMP_SALES().period_end_date", "FPT=A", "FPO=0A", "ACT_EST_MAPPING=PRECISE", "FS=MRC", "CURRENCY=USD", "XLFILL=b")</f>
        <v>#NAME?</v>
      </c>
      <c r="E4" t="e" cm="1">
        <f t="array" aca="1" ref="E4" ca="1">BQL("CRWD US Equity", "IS_COMP_SALES().period_end_date", "FPT=A", "FPO=1A", "ACT_EST_MAPPING=PRECISE", "FS=MRC", "CURRENCY=USD", "XLFILL=b")</f>
        <v>#NAME?</v>
      </c>
      <c r="F4" t="e" cm="1">
        <f t="array" aca="1" ref="F4" ca="1">BQL("CRWD US Equity", "IS_COMP_SALES().period_end_date", "FPT=A", "FPO=2A", "ACT_EST_MAPPING=PRECISE", "FS=MRC", "CURRENCY=USD", "XLFILL=b")</f>
        <v>#NAME?</v>
      </c>
      <c r="G4" t="e" cm="1">
        <f t="array" aca="1" ref="G4" ca="1">BQL("CRWD US Equity", "IS_COMP_SALES().period_end_date", "FPT=A", "FPO=3A", "ACT_EST_MAPPING=PRECISE", "FS=MRC", "CURRENCY=USD", "XLFILL=b")</f>
        <v>#NAME?</v>
      </c>
      <c r="H4" t="e" cm="1">
        <f t="array" aca="1" ref="H4" ca="1">BQL("CRWD US Equity", "IS_COMP_SALES().period_end_date", "FPT=A", "FPO=4A", "ACT_EST_MAPPING=PRECISE", "FS=MRC", "CURRENCY=USD", "XLFILL=b")</f>
        <v>#NAME?</v>
      </c>
      <c r="I4" t="e" cm="1">
        <f t="array" aca="1" ref="I4" ca="1">BQL("CRWD US Equity", "IS_COMP_SALES().period_end_date", "FPT=A", "FPO=5A", "ACT_EST_MAPPING=PRECISE", "FS=MRC", "CURRENCY=USD", "XLFILL=b")</f>
        <v>#NAME?</v>
      </c>
      <c r="J4" t="e" cm="1">
        <f t="array" aca="1" ref="J4" ca="1">BQL("CRWD US Equity", "IS_COMP_SALES().period_end_date", "FPT=A", "FPO=6A", "ACT_EST_MAPPING=PRECISE", "FS=MRC", "CURRENCY=USD", "XLFILL=b")</f>
        <v>#NAME?</v>
      </c>
      <c r="K4" t="e" cm="1">
        <f t="array" aca="1" ref="K4" ca="1">BQL("CRWD US Equity", "IS_COMP_SALES().period_end_date", "FPT=A", "FPO=7A", "ACT_EST_MAPPING=PRECISE", "FS=MRC", "CURRENCY=USD", "XLFILL=b")</f>
        <v>#NAME?</v>
      </c>
    </row>
    <row r="5" spans="1:11" x14ac:dyDescent="0.25">
      <c r="A5" t="s">
        <v>14</v>
      </c>
    </row>
    <row r="6" spans="1:11" x14ac:dyDescent="0.25">
      <c r="A6" t="s">
        <v>15</v>
      </c>
      <c r="B6" t="e" cm="1">
        <f t="array" aca="1" ref="B6" ca="1">BQL("CRWD US Equity", "IS_COMP_EPS_EXCL_STOCK_COMP", "FPT=A", "FPO=-2A", "ACT_EST_MAPPING=PRECISE", "FS=MRC", "CURRENCY=USD", "XLFILL=b")</f>
        <v>#NAME?</v>
      </c>
      <c r="C6" t="e" cm="1">
        <f t="array" aca="1" ref="C6" ca="1">BQL("CRWD US Equity", "IS_COMP_EPS_EXCL_STOCK_COMP", "FPT=A", "FPO=-1A", "ACT_EST_MAPPING=PRECISE", "FS=MRC", "CURRENCY=USD", "XLFILL=b")</f>
        <v>#NAME?</v>
      </c>
      <c r="D6" t="e" cm="1">
        <f t="array" aca="1" ref="D6" ca="1">BQL("CRWD US Equity", "IS_COMP_EPS_EXCL_STOCK_COMP", "FPT=A", "FPO=0A", "ACT_EST_MAPPING=PRECISE", "FS=MRC", "CURRENCY=USD", "XLFILL=b")</f>
        <v>#NAME?</v>
      </c>
      <c r="E6" t="e" cm="1">
        <f t="array" aca="1" ref="E6" ca="1">BQL("CRWD US Equity", "IS_COMP_EPS_EXCL_STOCK_COMP", "FPT=A", "FPO=1A", "ACT_EST_MAPPING=PRECISE", "FS=MRC", "CURRENCY=USD", "XLFILL=b")</f>
        <v>#NAME?</v>
      </c>
      <c r="F6" t="e" cm="1">
        <f t="array" aca="1" ref="F6" ca="1">BQL("CRWD US Equity", "IS_COMP_EPS_EXCL_STOCK_COMP", "FPT=A", "FPO=2A", "ACT_EST_MAPPING=PRECISE", "FS=MRC", "CURRENCY=USD", "XLFILL=b")</f>
        <v>#NAME?</v>
      </c>
      <c r="G6" t="e" cm="1">
        <f t="array" aca="1" ref="G6" ca="1">BQL("CRWD US Equity", "IS_COMP_EPS_EXCL_STOCK_COMP", "FPT=A", "FPO=3A", "ACT_EST_MAPPING=PRECISE", "FS=MRC", "CURRENCY=USD", "XLFILL=b")</f>
        <v>#NAME?</v>
      </c>
      <c r="H6" t="e" cm="1">
        <f t="array" aca="1" ref="H6" ca="1">BQL("CRWD US Equity", "IS_COMP_EPS_EXCL_STOCK_COMP", "FPT=A", "FPO=4A", "ACT_EST_MAPPING=PRECISE", "FS=MRC", "CURRENCY=USD", "XLFILL=b")</f>
        <v>#NAME?</v>
      </c>
      <c r="I6" t="e" cm="1">
        <f t="array" aca="1" ref="I6" ca="1">BQL("CRWD US Equity", "IS_COMP_EPS_EXCL_STOCK_COMP", "FPT=A", "FPO=5A", "ACT_EST_MAPPING=PRECISE", "FS=MRC", "CURRENCY=USD", "XLFILL=b")</f>
        <v>#NAME?</v>
      </c>
      <c r="J6" t="e" cm="1">
        <f t="array" aca="1" ref="J6" ca="1">BQL("CRWD US Equity", "IS_COMP_EPS_EXCL_STOCK_COMP", "FPT=A", "FPO=6A", "ACT_EST_MAPPING=PRECISE", "FS=MRC", "CURRENCY=USD", "XLFILL=b")</f>
        <v>#NAME?</v>
      </c>
      <c r="K6" t="e" cm="1">
        <f t="array" aca="1" ref="K6" ca="1">BQL("CRWD US Equity", "IS_COMP_EPS_EXCL_STOCK_COMP", "FPT=A", "FPO=7A", "ACT_EST_MAPPING=PRECISE", "FS=MRC", "CURRENCY=USD", "XLFILL=b")</f>
        <v>#NAME?</v>
      </c>
    </row>
    <row r="7" spans="1:11" x14ac:dyDescent="0.25">
      <c r="A7" t="s">
        <v>16</v>
      </c>
      <c r="B7" t="e" cm="1">
        <f t="array" aca="1" ref="B7" ca="1">BQL("CRWD US Equity", "IS_COMP_SALES/1M", "FPT=A", "FPO=-2A", "ACT_EST_MAPPING=PRECISE", "FS=MRC", "CURRENCY=USD", "XLFILL=b")</f>
        <v>#NAME?</v>
      </c>
      <c r="C7" t="e" cm="1">
        <f t="array" aca="1" ref="C7" ca="1">BQL("CRWD US Equity", "IS_COMP_SALES/1M", "FPT=A", "FPO=-1A", "ACT_EST_MAPPING=PRECISE", "FS=MRC", "CURRENCY=USD", "XLFILL=b")</f>
        <v>#NAME?</v>
      </c>
      <c r="D7" t="e" cm="1">
        <f t="array" aca="1" ref="D7" ca="1">BQL("CRWD US Equity", "IS_COMP_SALES/1M", "FPT=A", "FPO=0A", "ACT_EST_MAPPING=PRECISE", "FS=MRC", "CURRENCY=USD", "XLFILL=b")</f>
        <v>#NAME?</v>
      </c>
      <c r="E7" t="e" cm="1">
        <f t="array" aca="1" ref="E7" ca="1">BQL("CRWD US Equity", "IS_COMP_SALES/1M", "FPT=A", "FPO=1A", "ACT_EST_MAPPING=PRECISE", "FS=MRC", "CURRENCY=USD", "XLFILL=b")</f>
        <v>#NAME?</v>
      </c>
      <c r="F7" t="e" cm="1">
        <f t="array" aca="1" ref="F7" ca="1">BQL("CRWD US Equity", "IS_COMP_SALES/1M", "FPT=A", "FPO=2A", "ACT_EST_MAPPING=PRECISE", "FS=MRC", "CURRENCY=USD", "XLFILL=b")</f>
        <v>#NAME?</v>
      </c>
      <c r="G7" t="e" cm="1">
        <f t="array" aca="1" ref="G7" ca="1">BQL("CRWD US Equity", "IS_COMP_SALES/1M", "FPT=A", "FPO=3A", "ACT_EST_MAPPING=PRECISE", "FS=MRC", "CURRENCY=USD", "XLFILL=b")</f>
        <v>#NAME?</v>
      </c>
      <c r="H7" t="e" cm="1">
        <f t="array" aca="1" ref="H7" ca="1">BQL("CRWD US Equity", "IS_COMP_SALES/1M", "FPT=A", "FPO=4A", "ACT_EST_MAPPING=PRECISE", "FS=MRC", "CURRENCY=USD", "XLFILL=b")</f>
        <v>#NAME?</v>
      </c>
      <c r="I7" t="e" cm="1">
        <f t="array" aca="1" ref="I7" ca="1">BQL("CRWD US Equity", "IS_COMP_SALES/1M", "FPT=A", "FPO=5A", "ACT_EST_MAPPING=PRECISE", "FS=MRC", "CURRENCY=USD", "XLFILL=b")</f>
        <v>#NAME?</v>
      </c>
      <c r="J7" t="e" cm="1">
        <f t="array" aca="1" ref="J7" ca="1">BQL("CRWD US Equity", "IS_COMP_SALES/1M", "FPT=A", "FPO=6A", "ACT_EST_MAPPING=PRECISE", "FS=MRC", "CURRENCY=USD", "XLFILL=b")</f>
        <v>#NAME?</v>
      </c>
      <c r="K7" t="e" cm="1">
        <f t="array" aca="1" ref="K7" ca="1">BQL("CRWD US Equity", "IS_COMP_SALES/1M", "FPT=A", "FPO=7A", "ACT_EST_MAPPING=PRECISE", "FS=MRC", "CURRENCY=USD", "XLFILL=b")</f>
        <v>#NAME?</v>
      </c>
    </row>
    <row r="8" spans="1:11" x14ac:dyDescent="0.25">
      <c r="A8" t="s">
        <v>17</v>
      </c>
    </row>
    <row r="9" spans="1:11" x14ac:dyDescent="0.25">
      <c r="A9" t="s">
        <v>18</v>
      </c>
      <c r="B9" t="e" cm="1">
        <f t="array" aca="1" ref="B9" ca="1">BQL("CRWD US Equity", "IS_ANNUALIZED_RECURRING_REV/1M", "FPT=A", "FPO=-2A", "ACT_EST_MAPPING=PRECISE", "FS=MRC", "CURRENCY=USD", "XLFILL=b")</f>
        <v>#NAME?</v>
      </c>
      <c r="C9" t="e" cm="1">
        <f t="array" aca="1" ref="C9" ca="1">BQL("CRWD US Equity", "IS_ANNUALIZED_RECURRING_REV/1M", "FPT=A", "FPO=-1A", "ACT_EST_MAPPING=PRECISE", "FS=MRC", "CURRENCY=USD", "XLFILL=b")</f>
        <v>#NAME?</v>
      </c>
      <c r="D9" t="e" cm="1">
        <f t="array" aca="1" ref="D9" ca="1">BQL("CRWD US Equity", "IS_ANNUALIZED_RECURRING_REV/1M", "FPT=A", "FPO=0A", "ACT_EST_MAPPING=PRECISE", "FS=MRC", "CURRENCY=USD", "XLFILL=b")</f>
        <v>#NAME?</v>
      </c>
      <c r="E9" t="e" cm="1">
        <f t="array" aca="1" ref="E9" ca="1">BQL("CRWD US Equity", "IS_ANNUALIZED_RECURRING_REV/1M", "FPT=A", "FPO=1A", "ACT_EST_MAPPING=PRECISE", "FS=MRC", "CURRENCY=USD", "XLFILL=b")</f>
        <v>#NAME?</v>
      </c>
      <c r="F9" t="e" cm="1">
        <f t="array" aca="1" ref="F9" ca="1">BQL("CRWD US Equity", "IS_ANNUALIZED_RECURRING_REV/1M", "FPT=A", "FPO=2A", "ACT_EST_MAPPING=PRECISE", "FS=MRC", "CURRENCY=USD", "XLFILL=b")</f>
        <v>#NAME?</v>
      </c>
      <c r="G9" t="e" cm="1">
        <f t="array" aca="1" ref="G9" ca="1">BQL("CRWD US Equity", "IS_ANNUALIZED_RECURRING_REV/1M", "FPT=A", "FPO=3A", "ACT_EST_MAPPING=PRECISE", "FS=MRC", "CURRENCY=USD", "XLFILL=b")</f>
        <v>#NAME?</v>
      </c>
      <c r="H9" t="e" cm="1">
        <f t="array" aca="1" ref="H9" ca="1">BQL("CRWD US Equity", "IS_ANNUALIZED_RECURRING_REV/1M", "FPT=A", "FPO=4A", "ACT_EST_MAPPING=PRECISE", "FS=MRC", "CURRENCY=USD", "XLFILL=b")</f>
        <v>#NAME?</v>
      </c>
      <c r="I9" t="e" cm="1">
        <f t="array" aca="1" ref="I9" ca="1">BQL("CRWD US Equity", "IS_ANNUALIZED_RECURRING_REV/1M", "FPT=A", "FPO=5A", "ACT_EST_MAPPING=PRECISE", "FS=MRC", "CURRENCY=USD", "XLFILL=b")</f>
        <v>#NAME?</v>
      </c>
      <c r="J9" t="e" cm="1">
        <f t="array" aca="1" ref="J9" ca="1">BQL("CRWD US Equity", "IS_ANNUALIZED_RECURRING_REV/1M", "FPT=A", "FPO=6A", "ACT_EST_MAPPING=PRECISE", "FS=MRC", "CURRENCY=USD", "XLFILL=b")</f>
        <v>#NAME?</v>
      </c>
      <c r="K9" t="e" cm="1">
        <f t="array" aca="1" ref="K9" ca="1">BQL("CRWD US Equity", "IS_ANNUALIZED_RECURRING_REV/1M", "FPT=A", "FPO=7A", "ACT_EST_MAPPING=PRECISE", "FS=MRC", "CURRENCY=USD", "XLFILL=b")</f>
        <v>#NAME?</v>
      </c>
    </row>
    <row r="10" spans="1:11" x14ac:dyDescent="0.25">
      <c r="A10" t="s">
        <v>19</v>
      </c>
      <c r="B10" t="e" cm="1">
        <f t="array" aca="1" ref="B10" ca="1">BQL("SEG5169706504 Segment", "IS_ANNUALIZED_RECURRING_REV/1M", "FPT=A", "FPO=-2A", "ACT_EST_MAPPING=PRECISE", "FS=MRC", "CURRENCY=USD", "XLFILL=b")</f>
        <v>#NAME?</v>
      </c>
      <c r="C10" t="e" cm="1">
        <f t="array" aca="1" ref="C10" ca="1">BQL("SEG5169706504 Segment", "IS_ANNUALIZED_RECURRING_REV/1M", "FPT=A", "FPO=-1A", "ACT_EST_MAPPING=PRECISE", "FS=MRC", "CURRENCY=USD", "XLFILL=b")</f>
        <v>#NAME?</v>
      </c>
      <c r="D10" t="e" cm="1">
        <f t="array" aca="1" ref="D10" ca="1">BQL("SEG5169706504 Segment", "IS_ANNUALIZED_RECURRING_REV/1M", "FPT=A", "FPO=0A", "ACT_EST_MAPPING=PRECISE", "FS=MRC", "CURRENCY=USD", "XLFILL=b")</f>
        <v>#NAME?</v>
      </c>
      <c r="E10" t="e" cm="1">
        <f t="array" aca="1" ref="E10" ca="1">BQL("SEG5169706504 Segment", "IS_ANNUALIZED_RECURRING_REV/1M", "FPT=A", "FPO=1A", "ACT_EST_MAPPING=PRECISE", "FS=MRC", "CURRENCY=USD", "XLFILL=b")</f>
        <v>#NAME?</v>
      </c>
      <c r="F10" t="e" cm="1">
        <f t="array" aca="1" ref="F10" ca="1">BQL("SEG5169706504 Segment", "IS_ANNUALIZED_RECURRING_REV/1M", "FPT=A", "FPO=2A", "ACT_EST_MAPPING=PRECISE", "FS=MRC", "CURRENCY=USD", "XLFILL=b")</f>
        <v>#NAME?</v>
      </c>
      <c r="G10" t="e" cm="1">
        <f t="array" aca="1" ref="G10" ca="1">BQL("SEG5169706504 Segment", "IS_ANNUALIZED_RECURRING_REV/1M", "FPT=A", "FPO=3A", "ACT_EST_MAPPING=PRECISE", "FS=MRC", "CURRENCY=USD", "XLFILL=b")</f>
        <v>#NAME?</v>
      </c>
      <c r="H10" t="e" cm="1">
        <f t="array" aca="1" ref="H10" ca="1">BQL("SEG5169706504 Segment", "IS_ANNUALIZED_RECURRING_REV/1M", "FPT=A", "FPO=4A", "ACT_EST_MAPPING=PRECISE", "FS=MRC", "CURRENCY=USD", "XLFILL=b")</f>
        <v>#NAME?</v>
      </c>
      <c r="I10" t="e" cm="1">
        <f t="array" aca="1" ref="I10" ca="1">BQL("SEG5169706504 Segment", "IS_ANNUALIZED_RECURRING_REV/1M", "FPT=A", "FPO=5A", "ACT_EST_MAPPING=PRECISE", "FS=MRC", "CURRENCY=USD", "XLFILL=b")</f>
        <v>#NAME?</v>
      </c>
      <c r="J10" t="e" cm="1">
        <f t="array" aca="1" ref="J10" ca="1">BQL("SEG5169706504 Segment", "IS_ANNUALIZED_RECURRING_REV/1M", "FPT=A", "FPO=6A", "ACT_EST_MAPPING=PRECISE", "FS=MRC", "CURRENCY=USD", "XLFILL=b")</f>
        <v>#NAME?</v>
      </c>
      <c r="K10" t="e" cm="1">
        <f t="array" aca="1" ref="K10" ca="1">BQL("SEG5169706504 Segment", "IS_ANNUALIZED_RECURRING_REV/1M", "FPT=A", "FPO=7A", "ACT_EST_MAPPING=PRECISE", "FS=MRC", "CURRENCY=USD", "XLFILL=b")</f>
        <v>#NAME?</v>
      </c>
    </row>
    <row r="11" spans="1:11" x14ac:dyDescent="0.25">
      <c r="A11" t="s">
        <v>20</v>
      </c>
      <c r="B11" t="e" cm="1">
        <f t="array" aca="1" ref="B11" ca="1">BQL("SEG9058609156 Segment", "IS_ANNUALIZED_RECURRING_REV/1M", "FPT=A", "FPO=-2A", "ACT_EST_MAPPING=PRECISE", "FS=MRC", "CURRENCY=USD", "XLFILL=b")</f>
        <v>#NAME?</v>
      </c>
      <c r="C11" t="e" cm="1">
        <f t="array" aca="1" ref="C11" ca="1">BQL("SEG9058609156 Segment", "IS_ANNUALIZED_RECURRING_REV/1M", "FPT=A", "FPO=-1A", "ACT_EST_MAPPING=PRECISE", "FS=MRC", "CURRENCY=USD", "XLFILL=b")</f>
        <v>#NAME?</v>
      </c>
      <c r="D11" t="e" cm="1">
        <f t="array" aca="1" ref="D11" ca="1">BQL("SEG9058609156 Segment", "IS_ANNUALIZED_RECURRING_REV/1M", "FPT=A", "FPO=0A", "ACT_EST_MAPPING=PRECISE", "FS=MRC", "CURRENCY=USD", "XLFILL=b")</f>
        <v>#NAME?</v>
      </c>
      <c r="E11" t="e" cm="1">
        <f t="array" aca="1" ref="E11" ca="1">BQL("SEG9058609156 Segment", "IS_ANNUALIZED_RECURRING_REV/1M", "FPT=A", "FPO=1A", "ACT_EST_MAPPING=PRECISE", "FS=MRC", "CURRENCY=USD", "XLFILL=b")</f>
        <v>#NAME?</v>
      </c>
      <c r="F11" t="e" cm="1">
        <f t="array" aca="1" ref="F11" ca="1">BQL("SEG9058609156 Segment", "IS_ANNUALIZED_RECURRING_REV/1M", "FPT=A", "FPO=2A", "ACT_EST_MAPPING=PRECISE", "FS=MRC", "CURRENCY=USD", "XLFILL=b")</f>
        <v>#NAME?</v>
      </c>
      <c r="G11" t="e" cm="1">
        <f t="array" aca="1" ref="G11" ca="1">BQL("SEG9058609156 Segment", "IS_ANNUALIZED_RECURRING_REV/1M", "FPT=A", "FPO=3A", "ACT_EST_MAPPING=PRECISE", "FS=MRC", "CURRENCY=USD", "XLFILL=b")</f>
        <v>#NAME?</v>
      </c>
      <c r="H11" t="e" cm="1">
        <f t="array" aca="1" ref="H11" ca="1">BQL("SEG9058609156 Segment", "IS_ANNUALIZED_RECURRING_REV/1M", "FPT=A", "FPO=4A", "ACT_EST_MAPPING=PRECISE", "FS=MRC", "CURRENCY=USD", "XLFILL=b")</f>
        <v>#NAME?</v>
      </c>
      <c r="I11" t="e" cm="1">
        <f t="array" aca="1" ref="I11" ca="1">BQL("SEG9058609156 Segment", "IS_ANNUALIZED_RECURRING_REV/1M", "FPT=A", "FPO=5A", "ACT_EST_MAPPING=PRECISE", "FS=MRC", "CURRENCY=USD", "XLFILL=b")</f>
        <v>#NAME?</v>
      </c>
      <c r="J11" t="e" cm="1">
        <f t="array" aca="1" ref="J11" ca="1">BQL("SEG9058609156 Segment", "IS_ANNUALIZED_RECURRING_REV/1M", "FPT=A", "FPO=6A", "ACT_EST_MAPPING=PRECISE", "FS=MRC", "CURRENCY=USD", "XLFILL=b")</f>
        <v>#NAME?</v>
      </c>
      <c r="K11" t="e" cm="1">
        <f t="array" aca="1" ref="K11" ca="1">BQL("SEG9058609156 Segment", "IS_ANNUALIZED_RECURRING_REV/1M", "FPT=A", "FPO=7A", "ACT_EST_MAPPING=PRECISE", "FS=MRC", "CURRENCY=USD", "XLFILL=b")</f>
        <v>#NAME?</v>
      </c>
    </row>
    <row r="12" spans="1:11" x14ac:dyDescent="0.25">
      <c r="A12" t="s">
        <v>21</v>
      </c>
      <c r="B12" t="e" cm="1">
        <f t="array" aca="1" ref="B12" ca="1">BQL("SEG3947511815 Segment", "IS_ANNUALIZED_RECURRING_REV/1M", "FPT=A", "FPO=-2A", "ACT_EST_MAPPING=PRECISE", "FS=MRC", "CURRENCY=USD", "XLFILL=b")</f>
        <v>#NAME?</v>
      </c>
      <c r="C12" t="e" cm="1">
        <f t="array" aca="1" ref="C12" ca="1">BQL("SEG3947511815 Segment", "IS_ANNUALIZED_RECURRING_REV/1M", "FPT=A", "FPO=-1A", "ACT_EST_MAPPING=PRECISE", "FS=MRC", "CURRENCY=USD", "XLFILL=b")</f>
        <v>#NAME?</v>
      </c>
      <c r="D12" t="e" cm="1">
        <f t="array" aca="1" ref="D12" ca="1">BQL("SEG3947511815 Segment", "IS_ANNUALIZED_RECURRING_REV/1M", "FPT=A", "FPO=0A", "ACT_EST_MAPPING=PRECISE", "FS=MRC", "CURRENCY=USD", "XLFILL=b")</f>
        <v>#NAME?</v>
      </c>
      <c r="E12" t="e" cm="1">
        <f t="array" aca="1" ref="E12" ca="1">BQL("SEG3947511815 Segment", "IS_ANNUALIZED_RECURRING_REV/1M", "FPT=A", "FPO=1A", "ACT_EST_MAPPING=PRECISE", "FS=MRC", "CURRENCY=USD", "XLFILL=b")</f>
        <v>#NAME?</v>
      </c>
      <c r="F12" t="e" cm="1">
        <f t="array" aca="1" ref="F12" ca="1">BQL("SEG3947511815 Segment", "IS_ANNUALIZED_RECURRING_REV/1M", "FPT=A", "FPO=2A", "ACT_EST_MAPPING=PRECISE", "FS=MRC", "CURRENCY=USD", "XLFILL=b")</f>
        <v>#NAME?</v>
      </c>
      <c r="G12" t="e" cm="1">
        <f t="array" aca="1" ref="G12" ca="1">BQL("SEG3947511815 Segment", "IS_ANNUALIZED_RECURRING_REV/1M", "FPT=A", "FPO=3A", "ACT_EST_MAPPING=PRECISE", "FS=MRC", "CURRENCY=USD", "XLFILL=b")</f>
        <v>#NAME?</v>
      </c>
      <c r="H12" t="e" cm="1">
        <f t="array" aca="1" ref="H12" ca="1">BQL("SEG3947511815 Segment", "IS_ANNUALIZED_RECURRING_REV/1M", "FPT=A", "FPO=4A", "ACT_EST_MAPPING=PRECISE", "FS=MRC", "CURRENCY=USD", "XLFILL=b")</f>
        <v>#NAME?</v>
      </c>
      <c r="I12" t="e" cm="1">
        <f t="array" aca="1" ref="I12" ca="1">BQL("SEG3947511815 Segment", "IS_ANNUALIZED_RECURRING_REV/1M", "FPT=A", "FPO=5A", "ACT_EST_MAPPING=PRECISE", "FS=MRC", "CURRENCY=USD", "XLFILL=b")</f>
        <v>#NAME?</v>
      </c>
      <c r="J12" t="e" cm="1">
        <f t="array" aca="1" ref="J12" ca="1">BQL("SEG3947511815 Segment", "IS_ANNUALIZED_RECURRING_REV/1M", "FPT=A", "FPO=6A", "ACT_EST_MAPPING=PRECISE", "FS=MRC", "CURRENCY=USD", "XLFILL=b")</f>
        <v>#NAME?</v>
      </c>
      <c r="K12" t="e" cm="1">
        <f t="array" aca="1" ref="K12" ca="1">BQL("SEG3947511815 Segment", "IS_ANNUALIZED_RECURRING_REV/1M", "FPT=A", "FPO=7A", "ACT_EST_MAPPING=PRECISE", "FS=MRC", "CURRENCY=USD", "XLFILL=b")</f>
        <v>#NAME?</v>
      </c>
    </row>
    <row r="13" spans="1:11" x14ac:dyDescent="0.25">
      <c r="A13" t="s">
        <v>22</v>
      </c>
      <c r="B13" t="e" cm="1">
        <f t="array" aca="1" ref="B13" ca="1">BQL("CRWD US Equity", "CB_IS_NET_ANN_RECUR_REV_ADD/1M", "FPT=A", "FPO=-2A", "ACT_EST_MAPPING=PRECISE", "FS=MRC", "CURRENCY=USD", "XLFILL=b")</f>
        <v>#NAME?</v>
      </c>
      <c r="C13" t="e" cm="1">
        <f t="array" aca="1" ref="C13" ca="1">BQL("CRWD US Equity", "CB_IS_NET_ANN_RECUR_REV_ADD/1M", "FPT=A", "FPO=-1A", "ACT_EST_MAPPING=PRECISE", "FS=MRC", "CURRENCY=USD", "XLFILL=b")</f>
        <v>#NAME?</v>
      </c>
      <c r="D13" t="e" cm="1">
        <f t="array" aca="1" ref="D13" ca="1">BQL("CRWD US Equity", "CB_IS_NET_ANN_RECUR_REV_ADD/1M", "FPT=A", "FPO=0A", "ACT_EST_MAPPING=PRECISE", "FS=MRC", "CURRENCY=USD", "XLFILL=b")</f>
        <v>#NAME?</v>
      </c>
      <c r="E13" t="e" cm="1">
        <f t="array" aca="1" ref="E13" ca="1">BQL("CRWD US Equity", "CB_IS_NET_ANN_RECUR_REV_ADD/1M", "FPT=A", "FPO=1A", "ACT_EST_MAPPING=PRECISE", "FS=MRC", "CURRENCY=USD", "XLFILL=b")</f>
        <v>#NAME?</v>
      </c>
      <c r="F13" t="e" cm="1">
        <f t="array" aca="1" ref="F13" ca="1">BQL("CRWD US Equity", "CB_IS_NET_ANN_RECUR_REV_ADD/1M", "FPT=A", "FPO=2A", "ACT_EST_MAPPING=PRECISE", "FS=MRC", "CURRENCY=USD", "XLFILL=b")</f>
        <v>#NAME?</v>
      </c>
      <c r="G13" t="e" cm="1">
        <f t="array" aca="1" ref="G13" ca="1">BQL("CRWD US Equity", "CB_IS_NET_ANN_RECUR_REV_ADD/1M", "FPT=A", "FPO=3A", "ACT_EST_MAPPING=PRECISE", "FS=MRC", "CURRENCY=USD", "XLFILL=b")</f>
        <v>#NAME?</v>
      </c>
      <c r="H13" t="e" cm="1">
        <f t="array" aca="1" ref="H13" ca="1">BQL("CRWD US Equity", "CB_IS_NET_ANN_RECUR_REV_ADD/1M", "FPT=A", "FPO=4A", "ACT_EST_MAPPING=PRECISE", "FS=MRC", "CURRENCY=USD", "XLFILL=b")</f>
        <v>#NAME?</v>
      </c>
      <c r="I13" t="e" cm="1">
        <f t="array" aca="1" ref="I13" ca="1">BQL("CRWD US Equity", "CB_IS_NET_ANN_RECUR_REV_ADD/1M", "FPT=A", "FPO=5A", "ACT_EST_MAPPING=PRECISE", "FS=MRC", "CURRENCY=USD", "XLFILL=b")</f>
        <v>#NAME?</v>
      </c>
      <c r="J13" t="e" cm="1">
        <f t="array" aca="1" ref="J13" ca="1">BQL("CRWD US Equity", "CB_IS_NET_ANN_RECUR_REV_ADD/1M", "FPT=A", "FPO=6A", "ACT_EST_MAPPING=PRECISE", "FS=MRC", "CURRENCY=USD", "XLFILL=b")</f>
        <v>#NAME?</v>
      </c>
      <c r="K13" t="e" cm="1">
        <f t="array" aca="1" ref="K13" ca="1">BQL("CRWD US Equity", "CB_IS_NET_ANN_RECUR_REV_ADD/1M", "FPT=A", "FPO=7A", "ACT_EST_MAPPING=PRECISE", "FS=MRC", "CURRENCY=USD", "XLFILL=b")</f>
        <v>#NAME?</v>
      </c>
    </row>
    <row r="14" spans="1:11" x14ac:dyDescent="0.25">
      <c r="A14" t="s">
        <v>17</v>
      </c>
    </row>
    <row r="15" spans="1:11" x14ac:dyDescent="0.25">
      <c r="A15" t="s">
        <v>23</v>
      </c>
      <c r="B15" t="e" cm="1">
        <f t="array" aca="1" ref="B15" ca="1">BQL("CRWD US Equity", "NET_REV_RETENTION_RATE_PCT", "FPT=A", "FPO=-2A", "ACT_EST_MAPPING=PRECISE", "FS=MRC", "CURRENCY=USD", "XLFILL=b")</f>
        <v>#NAME?</v>
      </c>
      <c r="C15" t="e" cm="1">
        <f t="array" aca="1" ref="C15" ca="1">BQL("CRWD US Equity", "NET_REV_RETENTION_RATE_PCT", "FPT=A", "FPO=-1A", "ACT_EST_MAPPING=PRECISE", "FS=MRC", "CURRENCY=USD", "XLFILL=b")</f>
        <v>#NAME?</v>
      </c>
      <c r="D15" t="e" cm="1">
        <f t="array" aca="1" ref="D15" ca="1">BQL("CRWD US Equity", "NET_REV_RETENTION_RATE_PCT", "FPT=A", "FPO=0A", "ACT_EST_MAPPING=PRECISE", "FS=MRC", "CURRENCY=USD", "XLFILL=b")</f>
        <v>#NAME?</v>
      </c>
      <c r="E15" t="e" cm="1">
        <f t="array" aca="1" ref="E15" ca="1">BQL("CRWD US Equity", "NET_REV_RETENTION_RATE_PCT", "FPT=A", "FPO=1A", "ACT_EST_MAPPING=PRECISE", "FS=MRC", "CURRENCY=USD", "XLFILL=b")</f>
        <v>#NAME?</v>
      </c>
      <c r="F15" t="e" cm="1">
        <f t="array" aca="1" ref="F15" ca="1">BQL("CRWD US Equity", "NET_REV_RETENTION_RATE_PCT", "FPT=A", "FPO=2A", "ACT_EST_MAPPING=PRECISE", "FS=MRC", "CURRENCY=USD", "XLFILL=b")</f>
        <v>#NAME?</v>
      </c>
      <c r="G15" t="e" cm="1">
        <f t="array" aca="1" ref="G15" ca="1">BQL("CRWD US Equity", "NET_REV_RETENTION_RATE_PCT", "FPT=A", "FPO=3A", "ACT_EST_MAPPING=PRECISE", "FS=MRC", "CURRENCY=USD", "XLFILL=b")</f>
        <v>#NAME?</v>
      </c>
      <c r="H15" t="e" cm="1">
        <f t="array" aca="1" ref="H15" ca="1">BQL("CRWD US Equity", "NET_REV_RETENTION_RATE_PCT", "FPT=A", "FPO=4A", "ACT_EST_MAPPING=PRECISE", "FS=MRC", "CURRENCY=USD", "XLFILL=b")</f>
        <v>#NAME?</v>
      </c>
      <c r="I15" t="e" cm="1">
        <f t="array" aca="1" ref="I15" ca="1">BQL("CRWD US Equity", "NET_REV_RETENTION_RATE_PCT", "FPT=A", "FPO=5A", "ACT_EST_MAPPING=PRECISE", "FS=MRC", "CURRENCY=USD", "XLFILL=b")</f>
        <v>#NAME?</v>
      </c>
      <c r="J15" t="e" cm="1">
        <f t="array" aca="1" ref="J15" ca="1">BQL("CRWD US Equity", "NET_REV_RETENTION_RATE_PCT", "FPT=A", "FPO=6A", "ACT_EST_MAPPING=PRECISE", "FS=MRC", "CURRENCY=USD", "XLFILL=b")</f>
        <v>#NAME?</v>
      </c>
      <c r="K15" t="e" cm="1">
        <f t="array" aca="1" ref="K15" ca="1">BQL("CRWD US Equity", "NET_REV_RETENTION_RATE_PCT", "FPT=A", "FPO=7A", "ACT_EST_MAPPING=PRECISE", "FS=MRC", "CURRENCY=USD", "XLFILL=b")</f>
        <v>#NAME?</v>
      </c>
    </row>
    <row r="16" spans="1:11" x14ac:dyDescent="0.25">
      <c r="A16" t="s">
        <v>24</v>
      </c>
      <c r="B16" t="e" cm="1">
        <f t="array" aca="1" ref="B16" ca="1">BQL("CRWD US Equity", "SOFTWARE_BILLINGS_RATIO/1M", "FPT=A", "FPO=-2A", "ACT_EST_MAPPING=PRECISE", "FS=MRC", "CURRENCY=USD", "XLFILL=b")</f>
        <v>#NAME?</v>
      </c>
      <c r="C16" t="e" cm="1">
        <f t="array" aca="1" ref="C16" ca="1">BQL("CRWD US Equity", "SOFTWARE_BILLINGS_RATIO/1M", "FPT=A", "FPO=-1A", "ACT_EST_MAPPING=PRECISE", "FS=MRC", "CURRENCY=USD", "XLFILL=b")</f>
        <v>#NAME?</v>
      </c>
      <c r="D16" t="e" cm="1">
        <f t="array" aca="1" ref="D16" ca="1">BQL("CRWD US Equity", "SOFTWARE_BILLINGS_RATIO/1M", "FPT=A", "FPO=0A", "ACT_EST_MAPPING=PRECISE", "FS=MRC", "CURRENCY=USD", "XLFILL=b")</f>
        <v>#NAME?</v>
      </c>
      <c r="E16" t="e" cm="1">
        <f t="array" aca="1" ref="E16" ca="1">BQL("CRWD US Equity", "SOFTWARE_BILLINGS_RATIO/1M", "FPT=A", "FPO=1A", "ACT_EST_MAPPING=PRECISE", "FS=MRC", "CURRENCY=USD", "XLFILL=b")</f>
        <v>#NAME?</v>
      </c>
      <c r="F16" t="e" cm="1">
        <f t="array" aca="1" ref="F16" ca="1">BQL("CRWD US Equity", "SOFTWARE_BILLINGS_RATIO/1M", "FPT=A", "FPO=2A", "ACT_EST_MAPPING=PRECISE", "FS=MRC", "CURRENCY=USD", "XLFILL=b")</f>
        <v>#NAME?</v>
      </c>
      <c r="G16" t="e" cm="1">
        <f t="array" aca="1" ref="G16" ca="1">BQL("CRWD US Equity", "SOFTWARE_BILLINGS_RATIO/1M", "FPT=A", "FPO=3A", "ACT_EST_MAPPING=PRECISE", "FS=MRC", "CURRENCY=USD", "XLFILL=b")</f>
        <v>#NAME?</v>
      </c>
      <c r="H16" t="e" cm="1">
        <f t="array" aca="1" ref="H16" ca="1">BQL("CRWD US Equity", "SOFTWARE_BILLINGS_RATIO/1M", "FPT=A", "FPO=4A", "ACT_EST_MAPPING=PRECISE", "FS=MRC", "CURRENCY=USD", "XLFILL=b")</f>
        <v>#NAME?</v>
      </c>
      <c r="I16" t="e" cm="1">
        <f t="array" aca="1" ref="I16" ca="1">BQL("CRWD US Equity", "SOFTWARE_BILLINGS_RATIO/1M", "FPT=A", "FPO=5A", "ACT_EST_MAPPING=PRECISE", "FS=MRC", "CURRENCY=USD", "XLFILL=b")</f>
        <v>#NAME?</v>
      </c>
      <c r="J16" t="e" cm="1">
        <f t="array" aca="1" ref="J16" ca="1">BQL("CRWD US Equity", "SOFTWARE_BILLINGS_RATIO/1M", "FPT=A", "FPO=6A", "ACT_EST_MAPPING=PRECISE", "FS=MRC", "CURRENCY=USD", "XLFILL=b")</f>
        <v>#NAME?</v>
      </c>
      <c r="K16" t="e" cm="1">
        <f t="array" aca="1" ref="K16" ca="1">BQL("CRWD US Equity", "SOFTWARE_BILLINGS_RATIO/1M", "FPT=A", "FPO=7A", "ACT_EST_MAPPING=PRECISE", "FS=MRC", "CURRENCY=USD", "XLFILL=b")</f>
        <v>#NAME?</v>
      </c>
    </row>
    <row r="17" spans="1:11" x14ac:dyDescent="0.25">
      <c r="A17" t="s">
        <v>25</v>
      </c>
      <c r="B17" t="e" cm="1">
        <f t="array" aca="1" ref="B17" ca="1">BQL("CRWD US Equity", "BS_REMAINING_PERFORMANCE_OBLIG/1M", "FPT=A", "FPO=-2A", "ACT_EST_MAPPING=PRECISE", "FS=MRC", "CURRENCY=USD", "XLFILL=b")</f>
        <v>#NAME?</v>
      </c>
      <c r="C17" t="e" cm="1">
        <f t="array" aca="1" ref="C17" ca="1">BQL("CRWD US Equity", "BS_REMAINING_PERFORMANCE_OBLIG/1M", "FPT=A", "FPO=-1A", "ACT_EST_MAPPING=PRECISE", "FS=MRC", "CURRENCY=USD", "XLFILL=b")</f>
        <v>#NAME?</v>
      </c>
      <c r="D17" t="e" cm="1">
        <f t="array" aca="1" ref="D17" ca="1">BQL("CRWD US Equity", "BS_REMAINING_PERFORMANCE_OBLIG/1M", "FPT=A", "FPO=0A", "ACT_EST_MAPPING=PRECISE", "FS=MRC", "CURRENCY=USD", "XLFILL=b")</f>
        <v>#NAME?</v>
      </c>
      <c r="E17" t="e" cm="1">
        <f t="array" aca="1" ref="E17" ca="1">BQL("CRWD US Equity", "BS_REMAINING_PERFORMANCE_OBLIG/1M", "FPT=A", "FPO=1A", "ACT_EST_MAPPING=PRECISE", "FS=MRC", "CURRENCY=USD", "XLFILL=b")</f>
        <v>#NAME?</v>
      </c>
      <c r="F17" t="e" cm="1">
        <f t="array" aca="1" ref="F17" ca="1">BQL("CRWD US Equity", "BS_REMAINING_PERFORMANCE_OBLIG/1M", "FPT=A", "FPO=2A", "ACT_EST_MAPPING=PRECISE", "FS=MRC", "CURRENCY=USD", "XLFILL=b")</f>
        <v>#NAME?</v>
      </c>
      <c r="G17" t="e" cm="1">
        <f t="array" aca="1" ref="G17" ca="1">BQL("CRWD US Equity", "BS_REMAINING_PERFORMANCE_OBLIG/1M", "FPT=A", "FPO=3A", "ACT_EST_MAPPING=PRECISE", "FS=MRC", "CURRENCY=USD", "XLFILL=b")</f>
        <v>#NAME?</v>
      </c>
      <c r="H17" t="e" cm="1">
        <f t="array" aca="1" ref="H17" ca="1">BQL("CRWD US Equity", "BS_REMAINING_PERFORMANCE_OBLIG/1M", "FPT=A", "FPO=4A", "ACT_EST_MAPPING=PRECISE", "FS=MRC", "CURRENCY=USD", "XLFILL=b")</f>
        <v>#NAME?</v>
      </c>
      <c r="I17" t="e" cm="1">
        <f t="array" aca="1" ref="I17" ca="1">BQL("CRWD US Equity", "BS_REMAINING_PERFORMANCE_OBLIG/1M", "FPT=A", "FPO=5A", "ACT_EST_MAPPING=PRECISE", "FS=MRC", "CURRENCY=USD", "XLFILL=b")</f>
        <v>#NAME?</v>
      </c>
      <c r="J17" t="e" cm="1">
        <f t="array" aca="1" ref="J17" ca="1">BQL("CRWD US Equity", "BS_REMAINING_PERFORMANCE_OBLIG/1M", "FPT=A", "FPO=6A", "ACT_EST_MAPPING=PRECISE", "FS=MRC", "CURRENCY=USD", "XLFILL=b")</f>
        <v>#NAME?</v>
      </c>
      <c r="K17" t="e" cm="1">
        <f t="array" aca="1" ref="K17" ca="1">BQL("CRWD US Equity", "BS_REMAINING_PERFORMANCE_OBLIG/1M", "FPT=A", "FPO=7A", "ACT_EST_MAPPING=PRECISE", "FS=MRC", "CURRENCY=USD", "XLFILL=b")</f>
        <v>#NAME?</v>
      </c>
    </row>
    <row r="18" spans="1:11" x14ac:dyDescent="0.25">
      <c r="A18" t="s">
        <v>26</v>
      </c>
      <c r="B18" t="e" cm="1">
        <f t="array" aca="1" ref="B18" ca="1">BQL("CRWD US Equity", "IS_ORDER_BACKLOG_VALUE/1M", "FPT=A", "FPO=-2A", "ACT_EST_MAPPING=PRECISE", "FS=MRC", "CURRENCY=USD", "XLFILL=b")</f>
        <v>#NAME?</v>
      </c>
      <c r="C18" t="e" cm="1">
        <f t="array" aca="1" ref="C18" ca="1">BQL("CRWD US Equity", "IS_ORDER_BACKLOG_VALUE/1M", "FPT=A", "FPO=-1A", "ACT_EST_MAPPING=PRECISE", "FS=MRC", "CURRENCY=USD", "XLFILL=b")</f>
        <v>#NAME?</v>
      </c>
      <c r="D18" t="e" cm="1">
        <f t="array" aca="1" ref="D18" ca="1">BQL("CRWD US Equity", "IS_ORDER_BACKLOG_VALUE/1M", "FPT=A", "FPO=0A", "ACT_EST_MAPPING=PRECISE", "FS=MRC", "CURRENCY=USD", "XLFILL=b")</f>
        <v>#NAME?</v>
      </c>
      <c r="E18" t="e" cm="1">
        <f t="array" aca="1" ref="E18" ca="1">BQL("CRWD US Equity", "IS_ORDER_BACKLOG_VALUE/1M", "FPT=A", "FPO=1A", "ACT_EST_MAPPING=PRECISE", "FS=MRC", "CURRENCY=USD", "XLFILL=b")</f>
        <v>#NAME?</v>
      </c>
      <c r="F18" t="e" cm="1">
        <f t="array" aca="1" ref="F18" ca="1">BQL("CRWD US Equity", "IS_ORDER_BACKLOG_VALUE/1M", "FPT=A", "FPO=2A", "ACT_EST_MAPPING=PRECISE", "FS=MRC", "CURRENCY=USD", "XLFILL=b")</f>
        <v>#NAME?</v>
      </c>
      <c r="G18" t="e" cm="1">
        <f t="array" aca="1" ref="G18" ca="1">BQL("CRWD US Equity", "IS_ORDER_BACKLOG_VALUE/1M", "FPT=A", "FPO=3A", "ACT_EST_MAPPING=PRECISE", "FS=MRC", "CURRENCY=USD", "XLFILL=b")</f>
        <v>#NAME?</v>
      </c>
      <c r="H18" t="e" cm="1">
        <f t="array" aca="1" ref="H18" ca="1">BQL("CRWD US Equity", "IS_ORDER_BACKLOG_VALUE/1M", "FPT=A", "FPO=4A", "ACT_EST_MAPPING=PRECISE", "FS=MRC", "CURRENCY=USD", "XLFILL=b")</f>
        <v>#NAME?</v>
      </c>
      <c r="I18" t="e" cm="1">
        <f t="array" aca="1" ref="I18" ca="1">BQL("CRWD US Equity", "IS_ORDER_BACKLOG_VALUE/1M", "FPT=A", "FPO=5A", "ACT_EST_MAPPING=PRECISE", "FS=MRC", "CURRENCY=USD", "XLFILL=b")</f>
        <v>#NAME?</v>
      </c>
      <c r="J18" t="e" cm="1">
        <f t="array" aca="1" ref="J18" ca="1">BQL("CRWD US Equity", "IS_ORDER_BACKLOG_VALUE/1M", "FPT=A", "FPO=6A", "ACT_EST_MAPPING=PRECISE", "FS=MRC", "CURRENCY=USD", "XLFILL=b")</f>
        <v>#NAME?</v>
      </c>
      <c r="K18" t="e" cm="1">
        <f t="array" aca="1" ref="K18" ca="1">BQL("CRWD US Equity", "IS_ORDER_BACKLOG_VALUE/1M", "FPT=A", "FPO=7A", "ACT_EST_MAPPING=PRECISE", "FS=MRC", "CURRENCY=USD", "XLFILL=b")</f>
        <v>#NAME?</v>
      </c>
    </row>
    <row r="19" spans="1:11" x14ac:dyDescent="0.25">
      <c r="A19" t="s">
        <v>17</v>
      </c>
    </row>
    <row r="20" spans="1:11" x14ac:dyDescent="0.25">
      <c r="A20" t="s">
        <v>27</v>
      </c>
      <c r="B20" t="e" cm="1">
        <f t="array" aca="1" ref="B20" ca="1">BQL("CRWD US Equity", "DEFERRED_REV/1M", "FPT=A", "FPO=-2A", "ACT_EST_MAPPING=PRECISE", "FS=MRC", "CURRENCY=USD", "XLFILL=b")</f>
        <v>#NAME?</v>
      </c>
      <c r="C20" t="e" cm="1">
        <f t="array" aca="1" ref="C20" ca="1">BQL("CRWD US Equity", "DEFERRED_REV/1M", "FPT=A", "FPO=-1A", "ACT_EST_MAPPING=PRECISE", "FS=MRC", "CURRENCY=USD", "XLFILL=b")</f>
        <v>#NAME?</v>
      </c>
      <c r="D20" t="e" cm="1">
        <f t="array" aca="1" ref="D20" ca="1">BQL("CRWD US Equity", "DEFERRED_REV/1M", "FPT=A", "FPO=0A", "ACT_EST_MAPPING=PRECISE", "FS=MRC", "CURRENCY=USD", "XLFILL=b")</f>
        <v>#NAME?</v>
      </c>
      <c r="E20" t="e" cm="1">
        <f t="array" aca="1" ref="E20" ca="1">BQL("CRWD US Equity", "DEFERRED_REV/1M", "FPT=A", "FPO=1A", "ACT_EST_MAPPING=PRECISE", "FS=MRC", "CURRENCY=USD", "XLFILL=b")</f>
        <v>#NAME?</v>
      </c>
      <c r="F20" t="e" cm="1">
        <f t="array" aca="1" ref="F20" ca="1">BQL("CRWD US Equity", "DEFERRED_REV/1M", "FPT=A", "FPO=2A", "ACT_EST_MAPPING=PRECISE", "FS=MRC", "CURRENCY=USD", "XLFILL=b")</f>
        <v>#NAME?</v>
      </c>
      <c r="G20" t="e" cm="1">
        <f t="array" aca="1" ref="G20" ca="1">BQL("CRWD US Equity", "DEFERRED_REV/1M", "FPT=A", "FPO=3A", "ACT_EST_MAPPING=PRECISE", "FS=MRC", "CURRENCY=USD", "XLFILL=b")</f>
        <v>#NAME?</v>
      </c>
      <c r="H20" t="e" cm="1">
        <f t="array" aca="1" ref="H20" ca="1">BQL("CRWD US Equity", "DEFERRED_REV/1M", "FPT=A", "FPO=4A", "ACT_EST_MAPPING=PRECISE", "FS=MRC", "CURRENCY=USD", "XLFILL=b")</f>
        <v>#NAME?</v>
      </c>
      <c r="I20" t="e" cm="1">
        <f t="array" aca="1" ref="I20" ca="1">BQL("CRWD US Equity", "DEFERRED_REV/1M", "FPT=A", "FPO=5A", "ACT_EST_MAPPING=PRECISE", "FS=MRC", "CURRENCY=USD", "XLFILL=b")</f>
        <v>#NAME?</v>
      </c>
      <c r="J20" t="e" cm="1">
        <f t="array" aca="1" ref="J20" ca="1">BQL("CRWD US Equity", "DEFERRED_REV/1M", "FPT=A", "FPO=6A", "ACT_EST_MAPPING=PRECISE", "FS=MRC", "CURRENCY=USD", "XLFILL=b")</f>
        <v>#NAME?</v>
      </c>
      <c r="K20" t="e" cm="1">
        <f t="array" aca="1" ref="K20" ca="1">BQL("CRWD US Equity", "DEFERRED_REV/1M", "FPT=A", "FPO=7A", "ACT_EST_MAPPING=PRECISE", "FS=MRC", "CURRENCY=USD", "XLFILL=b")</f>
        <v>#NAME?</v>
      </c>
    </row>
    <row r="21" spans="1:11" x14ac:dyDescent="0.25">
      <c r="A21" t="s">
        <v>28</v>
      </c>
      <c r="B21" t="e" cm="1">
        <f t="array" aca="1" ref="B21" ca="1">BQL("CRWD US Equity", "CF_CHANGE_IN_DEFER_REV_LONG_TERM/1M", "FPT=A", "FPO=-2A", "ACT_EST_MAPPING=PRECISE", "FS=MRC", "CURRENCY=USD", "XLFILL=b")</f>
        <v>#NAME?</v>
      </c>
      <c r="C21" t="e" cm="1">
        <f t="array" aca="1" ref="C21" ca="1">BQL("CRWD US Equity", "CF_CHANGE_IN_DEFER_REV_LONG_TERM/1M", "FPT=A", "FPO=-1A", "ACT_EST_MAPPING=PRECISE", "FS=MRC", "CURRENCY=USD", "XLFILL=b")</f>
        <v>#NAME?</v>
      </c>
      <c r="D21" t="e" cm="1">
        <f t="array" aca="1" ref="D21" ca="1">BQL("CRWD US Equity", "CF_CHANGE_IN_DEFER_REV_LONG_TERM/1M", "FPT=A", "FPO=0A", "ACT_EST_MAPPING=PRECISE", "FS=MRC", "CURRENCY=USD", "XLFILL=b")</f>
        <v>#NAME?</v>
      </c>
      <c r="E21" t="e" cm="1">
        <f t="array" aca="1" ref="E21" ca="1">BQL("CRWD US Equity", "CF_CHANGE_IN_DEFER_REV_LONG_TERM/1M", "FPT=A", "FPO=1A", "ACT_EST_MAPPING=PRECISE", "FS=MRC", "CURRENCY=USD", "XLFILL=b")</f>
        <v>#NAME?</v>
      </c>
      <c r="F21" t="e" cm="1">
        <f t="array" aca="1" ref="F21" ca="1">BQL("CRWD US Equity", "CF_CHANGE_IN_DEFER_REV_LONG_TERM/1M", "FPT=A", "FPO=2A", "ACT_EST_MAPPING=PRECISE", "FS=MRC", "CURRENCY=USD", "XLFILL=b")</f>
        <v>#NAME?</v>
      </c>
      <c r="G21" t="e" cm="1">
        <f t="array" aca="1" ref="G21" ca="1">BQL("CRWD US Equity", "CF_CHANGE_IN_DEFER_REV_LONG_TERM/1M", "FPT=A", "FPO=3A", "ACT_EST_MAPPING=PRECISE", "FS=MRC", "CURRENCY=USD", "XLFILL=b")</f>
        <v>#NAME?</v>
      </c>
      <c r="H21" t="e" cm="1">
        <f t="array" aca="1" ref="H21" ca="1">BQL("CRWD US Equity", "CF_CHANGE_IN_DEFER_REV_LONG_TERM/1M", "FPT=A", "FPO=4A", "ACT_EST_MAPPING=PRECISE", "FS=MRC", "CURRENCY=USD", "XLFILL=b")</f>
        <v>#NAME?</v>
      </c>
      <c r="I21" t="e" cm="1">
        <f t="array" aca="1" ref="I21" ca="1">BQL("CRWD US Equity", "CF_CHANGE_IN_DEFER_REV_LONG_TERM/1M", "FPT=A", "FPO=5A", "ACT_EST_MAPPING=PRECISE", "FS=MRC", "CURRENCY=USD", "XLFILL=b")</f>
        <v>#NAME?</v>
      </c>
      <c r="J21" t="e" cm="1">
        <f t="array" aca="1" ref="J21" ca="1">BQL("CRWD US Equity", "CF_CHANGE_IN_DEFER_REV_LONG_TERM/1M", "FPT=A", "FPO=6A", "ACT_EST_MAPPING=PRECISE", "FS=MRC", "CURRENCY=USD", "XLFILL=b")</f>
        <v>#NAME?</v>
      </c>
      <c r="K21" t="e" cm="1">
        <f t="array" aca="1" ref="K21" ca="1">BQL("CRWD US Equity", "CF_CHANGE_IN_DEFER_REV_LONG_TERM/1M", "FPT=A", "FPO=7A", "ACT_EST_MAPPING=PRECISE", "FS=MRC", "CURRENCY=USD", "XLFILL=b")</f>
        <v>#NAME?</v>
      </c>
    </row>
    <row r="22" spans="1:11" x14ac:dyDescent="0.25">
      <c r="A22" t="s">
        <v>17</v>
      </c>
    </row>
    <row r="23" spans="1:11" x14ac:dyDescent="0.25">
      <c r="A23" t="s">
        <v>29</v>
      </c>
      <c r="B23" t="e" cm="1">
        <f t="array" aca="1" ref="B23" ca="1">BQL("CRWD US Equity", "IS_COMPARABLE_EBIT/1M", "FPT=A", "FPO=-2A", "ACT_EST_MAPPING=PRECISE", "FS=MRC", "CURRENCY=USD", "XLFILL=b")</f>
        <v>#NAME?</v>
      </c>
      <c r="C23" t="e" cm="1">
        <f t="array" aca="1" ref="C23" ca="1">BQL("CRWD US Equity", "IS_COMPARABLE_EBIT/1M", "FPT=A", "FPO=-1A", "ACT_EST_MAPPING=PRECISE", "FS=MRC", "CURRENCY=USD", "XLFILL=b")</f>
        <v>#NAME?</v>
      </c>
      <c r="D23" t="e" cm="1">
        <f t="array" aca="1" ref="D23" ca="1">BQL("CRWD US Equity", "IS_COMPARABLE_EBIT/1M", "FPT=A", "FPO=0A", "ACT_EST_MAPPING=PRECISE", "FS=MRC", "CURRENCY=USD", "XLFILL=b")</f>
        <v>#NAME?</v>
      </c>
      <c r="E23" t="e" cm="1">
        <f t="array" aca="1" ref="E23" ca="1">BQL("CRWD US Equity", "IS_COMPARABLE_EBIT/1M", "FPT=A", "FPO=1A", "ACT_EST_MAPPING=PRECISE", "FS=MRC", "CURRENCY=USD", "XLFILL=b")</f>
        <v>#NAME?</v>
      </c>
      <c r="F23" t="e" cm="1">
        <f t="array" aca="1" ref="F23" ca="1">BQL("CRWD US Equity", "IS_COMPARABLE_EBIT/1M", "FPT=A", "FPO=2A", "ACT_EST_MAPPING=PRECISE", "FS=MRC", "CURRENCY=USD", "XLFILL=b")</f>
        <v>#NAME?</v>
      </c>
      <c r="G23" t="e" cm="1">
        <f t="array" aca="1" ref="G23" ca="1">BQL("CRWD US Equity", "IS_COMPARABLE_EBIT/1M", "FPT=A", "FPO=3A", "ACT_EST_MAPPING=PRECISE", "FS=MRC", "CURRENCY=USD", "XLFILL=b")</f>
        <v>#NAME?</v>
      </c>
      <c r="H23" t="e" cm="1">
        <f t="array" aca="1" ref="H23" ca="1">BQL("CRWD US Equity", "IS_COMPARABLE_EBIT/1M", "FPT=A", "FPO=4A", "ACT_EST_MAPPING=PRECISE", "FS=MRC", "CURRENCY=USD", "XLFILL=b")</f>
        <v>#NAME?</v>
      </c>
      <c r="I23" t="e" cm="1">
        <f t="array" aca="1" ref="I23" ca="1">BQL("CRWD US Equity", "IS_COMPARABLE_EBIT/1M", "FPT=A", "FPO=5A", "ACT_EST_MAPPING=PRECISE", "FS=MRC", "CURRENCY=USD", "XLFILL=b")</f>
        <v>#NAME?</v>
      </c>
      <c r="J23" t="e" cm="1">
        <f t="array" aca="1" ref="J23" ca="1">BQL("CRWD US Equity", "IS_COMPARABLE_EBIT/1M", "FPT=A", "FPO=6A", "ACT_EST_MAPPING=PRECISE", "FS=MRC", "CURRENCY=USD", "XLFILL=b")</f>
        <v>#NAME?</v>
      </c>
      <c r="K23" t="e" cm="1">
        <f t="array" aca="1" ref="K23" ca="1">BQL("CRWD US Equity", "IS_COMPARABLE_EBIT/1M", "FPT=A", "FPO=7A", "ACT_EST_MAPPING=PRECISE", "FS=MRC", "CURRENCY=USD", "XLFILL=b")</f>
        <v>#NAME?</v>
      </c>
    </row>
    <row r="24" spans="1:11" x14ac:dyDescent="0.25">
      <c r="A24" t="s">
        <v>30</v>
      </c>
      <c r="B24" t="e" cm="1">
        <f t="array" aca="1" ref="B24" ca="1">BQL("CRWD US Equity", "IS_COMP_GROSS_MARGIN_PERCENTAGE", "FPT=A", "FPO=-2A", "ACT_EST_MAPPING=PRECISE", "FS=MRC", "CURRENCY=USD", "XLFILL=b")</f>
        <v>#NAME?</v>
      </c>
      <c r="C24" t="e" cm="1">
        <f t="array" aca="1" ref="C24" ca="1">BQL("CRWD US Equity", "IS_COMP_GROSS_MARGIN_PERCENTAGE", "FPT=A", "FPO=-1A", "ACT_EST_MAPPING=PRECISE", "FS=MRC", "CURRENCY=USD", "XLFILL=b")</f>
        <v>#NAME?</v>
      </c>
      <c r="D24" t="e" cm="1">
        <f t="array" aca="1" ref="D24" ca="1">BQL("CRWD US Equity", "IS_COMP_GROSS_MARGIN_PERCENTAGE", "FPT=A", "FPO=0A", "ACT_EST_MAPPING=PRECISE", "FS=MRC", "CURRENCY=USD", "XLFILL=b")</f>
        <v>#NAME?</v>
      </c>
      <c r="E24" t="e" cm="1">
        <f t="array" aca="1" ref="E24" ca="1">BQL("CRWD US Equity", "IS_COMP_GROSS_MARGIN_PERCENTAGE", "FPT=A", "FPO=1A", "ACT_EST_MAPPING=PRECISE", "FS=MRC", "CURRENCY=USD", "XLFILL=b")</f>
        <v>#NAME?</v>
      </c>
      <c r="F24" t="e" cm="1">
        <f t="array" aca="1" ref="F24" ca="1">BQL("CRWD US Equity", "IS_COMP_GROSS_MARGIN_PERCENTAGE", "FPT=A", "FPO=2A", "ACT_EST_MAPPING=PRECISE", "FS=MRC", "CURRENCY=USD", "XLFILL=b")</f>
        <v>#NAME?</v>
      </c>
      <c r="G24" t="e" cm="1">
        <f t="array" aca="1" ref="G24" ca="1">BQL("CRWD US Equity", "IS_COMP_GROSS_MARGIN_PERCENTAGE", "FPT=A", "FPO=3A", "ACT_EST_MAPPING=PRECISE", "FS=MRC", "CURRENCY=USD", "XLFILL=b")</f>
        <v>#NAME?</v>
      </c>
      <c r="H24" t="e" cm="1">
        <f t="array" aca="1" ref="H24" ca="1">BQL("CRWD US Equity", "IS_COMP_GROSS_MARGIN_PERCENTAGE", "FPT=A", "FPO=4A", "ACT_EST_MAPPING=PRECISE", "FS=MRC", "CURRENCY=USD", "XLFILL=b")</f>
        <v>#NAME?</v>
      </c>
      <c r="I24" t="e" cm="1">
        <f t="array" aca="1" ref="I24" ca="1">BQL("CRWD US Equity", "IS_COMP_GROSS_MARGIN_PERCENTAGE", "FPT=A", "FPO=5A", "ACT_EST_MAPPING=PRECISE", "FS=MRC", "CURRENCY=USD", "XLFILL=b")</f>
        <v>#NAME?</v>
      </c>
      <c r="J24" t="e" cm="1">
        <f t="array" aca="1" ref="J24" ca="1">BQL("CRWD US Equity", "IS_COMP_GROSS_MARGIN_PERCENTAGE", "FPT=A", "FPO=6A", "ACT_EST_MAPPING=PRECISE", "FS=MRC", "CURRENCY=USD", "XLFILL=b")</f>
        <v>#NAME?</v>
      </c>
      <c r="K24" t="e" cm="1">
        <f t="array" aca="1" ref="K24" ca="1">BQL("CRWD US Equity", "IS_COMP_GROSS_MARGIN_PERCENTAGE", "FPT=A", "FPO=7A", "ACT_EST_MAPPING=PRECISE", "FS=MRC", "CURRENCY=USD", "XLFILL=b")</f>
        <v>#NAME?</v>
      </c>
    </row>
    <row r="25" spans="1:11" x14ac:dyDescent="0.25">
      <c r="A25" t="s">
        <v>31</v>
      </c>
      <c r="B25" t="e" cm="1">
        <f t="array" aca="1" ref="B25" ca="1">BQL("CRWD US Equity", "ADJ_OPERATING_MARGIN", "FPT=A", "FPO=-2A", "ACT_EST_MAPPING=PRECISE", "FS=MRC", "CURRENCY=USD", "XLFILL=b")</f>
        <v>#NAME?</v>
      </c>
      <c r="C25" t="e" cm="1">
        <f t="array" aca="1" ref="C25" ca="1">BQL("CRWD US Equity", "ADJ_OPERATING_MARGIN", "FPT=A", "FPO=-1A", "ACT_EST_MAPPING=PRECISE", "FS=MRC", "CURRENCY=USD", "XLFILL=b")</f>
        <v>#NAME?</v>
      </c>
      <c r="D25" t="e" cm="1">
        <f t="array" aca="1" ref="D25" ca="1">BQL("CRWD US Equity", "ADJ_OPERATING_MARGIN", "FPT=A", "FPO=0A", "ACT_EST_MAPPING=PRECISE", "FS=MRC", "CURRENCY=USD", "XLFILL=b")</f>
        <v>#NAME?</v>
      </c>
      <c r="E25" t="e" cm="1">
        <f t="array" aca="1" ref="E25" ca="1">BQL("CRWD US Equity", "ADJ_OPERATING_MARGIN", "FPT=A", "FPO=1A", "ACT_EST_MAPPING=PRECISE", "FS=MRC", "CURRENCY=USD", "XLFILL=b")</f>
        <v>#NAME?</v>
      </c>
      <c r="F25" t="e" cm="1">
        <f t="array" aca="1" ref="F25" ca="1">BQL("CRWD US Equity", "ADJ_OPERATING_MARGIN", "FPT=A", "FPO=2A", "ACT_EST_MAPPING=PRECISE", "FS=MRC", "CURRENCY=USD", "XLFILL=b")</f>
        <v>#NAME?</v>
      </c>
      <c r="G25" t="e" cm="1">
        <f t="array" aca="1" ref="G25" ca="1">BQL("CRWD US Equity", "ADJ_OPERATING_MARGIN", "FPT=A", "FPO=3A", "ACT_EST_MAPPING=PRECISE", "FS=MRC", "CURRENCY=USD", "XLFILL=b")</f>
        <v>#NAME?</v>
      </c>
      <c r="H25" t="e" cm="1">
        <f t="array" aca="1" ref="H25" ca="1">BQL("CRWD US Equity", "ADJ_OPERATING_MARGIN", "FPT=A", "FPO=4A", "ACT_EST_MAPPING=PRECISE", "FS=MRC", "CURRENCY=USD", "XLFILL=b")</f>
        <v>#NAME?</v>
      </c>
      <c r="I25" t="e" cm="1">
        <f t="array" aca="1" ref="I25" ca="1">BQL("CRWD US Equity", "ADJ_OPERATING_MARGIN", "FPT=A", "FPO=5A", "ACT_EST_MAPPING=PRECISE", "FS=MRC", "CURRENCY=USD", "XLFILL=b")</f>
        <v>#NAME?</v>
      </c>
      <c r="J25" t="e" cm="1">
        <f t="array" aca="1" ref="J25" ca="1">BQL("CRWD US Equity", "ADJ_OPERATING_MARGIN", "FPT=A", "FPO=6A", "ACT_EST_MAPPING=PRECISE", "FS=MRC", "CURRENCY=USD", "XLFILL=b")</f>
        <v>#NAME?</v>
      </c>
      <c r="K25" t="e" cm="1">
        <f t="array" aca="1" ref="K25" ca="1">BQL("CRWD US Equity", "ADJ_OPERATING_MARGIN", "FPT=A", "FPO=7A", "ACT_EST_MAPPING=PRECISE", "FS=MRC", "CURRENCY=USD", "XLFILL=b")</f>
        <v>#NAME?</v>
      </c>
    </row>
    <row r="26" spans="1:11" x14ac:dyDescent="0.25">
      <c r="A26" t="s">
        <v>17</v>
      </c>
    </row>
    <row r="27" spans="1:11" x14ac:dyDescent="0.25">
      <c r="A27" t="s">
        <v>32</v>
      </c>
    </row>
    <row r="28" spans="1:11" x14ac:dyDescent="0.25">
      <c r="A28" t="s">
        <v>33</v>
      </c>
      <c r="B28" t="e" cm="1">
        <f t="array" aca="1" ref="B28" ca="1">BQL("SEG0000347935 Segment", "SALES_REV_TURN/1M", "FPT=A", "FPO=-2A", "ACT_EST_MAPPING=PRECISE", "FS=MRC", "CURRENCY=USD", "XLFILL=b")</f>
        <v>#NAME?</v>
      </c>
      <c r="C28" t="e" cm="1">
        <f t="array" aca="1" ref="C28" ca="1">BQL("SEG0000347935 Segment", "SALES_REV_TURN/1M", "FPT=A", "FPO=-1A", "ACT_EST_MAPPING=PRECISE", "FS=MRC", "CURRENCY=USD", "XLFILL=b")</f>
        <v>#NAME?</v>
      </c>
      <c r="D28" t="e" cm="1">
        <f t="array" aca="1" ref="D28" ca="1">BQL("SEG0000347935 Segment", "SALES_REV_TURN/1M", "FPT=A", "FPO=0A", "ACT_EST_MAPPING=PRECISE", "FS=MRC", "CURRENCY=USD", "XLFILL=b")</f>
        <v>#NAME?</v>
      </c>
      <c r="E28" t="e" cm="1">
        <f t="array" aca="1" ref="E28" ca="1">BQL("SEG0000347935 Segment", "SALES_REV_TURN/1M", "FPT=A", "FPO=1A", "ACT_EST_MAPPING=PRECISE", "FS=MRC", "CURRENCY=USD", "XLFILL=b")</f>
        <v>#NAME?</v>
      </c>
      <c r="F28" t="e" cm="1">
        <f t="array" aca="1" ref="F28" ca="1">BQL("SEG0000347935 Segment", "SALES_REV_TURN/1M", "FPT=A", "FPO=2A", "ACT_EST_MAPPING=PRECISE", "FS=MRC", "CURRENCY=USD", "XLFILL=b")</f>
        <v>#NAME?</v>
      </c>
      <c r="G28" t="e" cm="1">
        <f t="array" aca="1" ref="G28" ca="1">BQL("SEG0000347935 Segment", "SALES_REV_TURN/1M", "FPT=A", "FPO=3A", "ACT_EST_MAPPING=PRECISE", "FS=MRC", "CURRENCY=USD", "XLFILL=b")</f>
        <v>#NAME?</v>
      </c>
      <c r="H28" t="e" cm="1">
        <f t="array" aca="1" ref="H28" ca="1">BQL("SEG0000347935 Segment", "SALES_REV_TURN/1M", "FPT=A", "FPO=4A", "ACT_EST_MAPPING=PRECISE", "FS=MRC", "CURRENCY=USD", "XLFILL=b")</f>
        <v>#NAME?</v>
      </c>
      <c r="I28" t="e" cm="1">
        <f t="array" aca="1" ref="I28" ca="1">BQL("SEG0000347935 Segment", "SALES_REV_TURN/1M", "FPT=A", "FPO=5A", "ACT_EST_MAPPING=PRECISE", "FS=MRC", "CURRENCY=USD", "XLFILL=b")</f>
        <v>#NAME?</v>
      </c>
      <c r="J28" t="e" cm="1">
        <f t="array" aca="1" ref="J28" ca="1">BQL("SEG0000347935 Segment", "SALES_REV_TURN/1M", "FPT=A", "FPO=6A", "ACT_EST_MAPPING=PRECISE", "FS=MRC", "CURRENCY=USD", "XLFILL=b")</f>
        <v>#NAME?</v>
      </c>
      <c r="K28" t="e" cm="1">
        <f t="array" aca="1" ref="K28" ca="1">BQL("SEG0000347935 Segment", "SALES_REV_TURN/1M", "FPT=A", "FPO=7A", "ACT_EST_MAPPING=PRECISE", "FS=MRC", "CURRENCY=USD", "XLFILL=b")</f>
        <v>#NAME?</v>
      </c>
    </row>
    <row r="29" spans="1:11" x14ac:dyDescent="0.25">
      <c r="A29" t="s">
        <v>34</v>
      </c>
      <c r="B29" t="e" cm="1">
        <f t="array" aca="1" ref="B29" ca="1">BQL("SEG0000347934 Segment", "SALES_REV_TURN/1M", "FPT=A", "FPO=-2A", "ACT_EST_MAPPING=PRECISE", "FS=MRC", "CURRENCY=USD", "XLFILL=b")</f>
        <v>#NAME?</v>
      </c>
      <c r="C29" t="e" cm="1">
        <f t="array" aca="1" ref="C29" ca="1">BQL("SEG0000347934 Segment", "SALES_REV_TURN/1M", "FPT=A", "FPO=-1A", "ACT_EST_MAPPING=PRECISE", "FS=MRC", "CURRENCY=USD", "XLFILL=b")</f>
        <v>#NAME?</v>
      </c>
      <c r="D29" t="e" cm="1">
        <f t="array" aca="1" ref="D29" ca="1">BQL("SEG0000347934 Segment", "SALES_REV_TURN/1M", "FPT=A", "FPO=0A", "ACT_EST_MAPPING=PRECISE", "FS=MRC", "CURRENCY=USD", "XLFILL=b")</f>
        <v>#NAME?</v>
      </c>
      <c r="E29" t="e" cm="1">
        <f t="array" aca="1" ref="E29" ca="1">BQL("SEG0000347934 Segment", "SALES_REV_TURN/1M", "FPT=A", "FPO=1A", "ACT_EST_MAPPING=PRECISE", "FS=MRC", "CURRENCY=USD", "XLFILL=b")</f>
        <v>#NAME?</v>
      </c>
      <c r="F29" t="e" cm="1">
        <f t="array" aca="1" ref="F29" ca="1">BQL("SEG0000347934 Segment", "SALES_REV_TURN/1M", "FPT=A", "FPO=2A", "ACT_EST_MAPPING=PRECISE", "FS=MRC", "CURRENCY=USD", "XLFILL=b")</f>
        <v>#NAME?</v>
      </c>
      <c r="G29" t="e" cm="1">
        <f t="array" aca="1" ref="G29" ca="1">BQL("SEG0000347934 Segment", "SALES_REV_TURN/1M", "FPT=A", "FPO=3A", "ACT_EST_MAPPING=PRECISE", "FS=MRC", "CURRENCY=USD", "XLFILL=b")</f>
        <v>#NAME?</v>
      </c>
      <c r="H29" t="e" cm="1">
        <f t="array" aca="1" ref="H29" ca="1">BQL("SEG0000347934 Segment", "SALES_REV_TURN/1M", "FPT=A", "FPO=4A", "ACT_EST_MAPPING=PRECISE", "FS=MRC", "CURRENCY=USD", "XLFILL=b")</f>
        <v>#NAME?</v>
      </c>
      <c r="I29" t="e" cm="1">
        <f t="array" aca="1" ref="I29" ca="1">BQL("SEG0000347934 Segment", "SALES_REV_TURN/1M", "FPT=A", "FPO=5A", "ACT_EST_MAPPING=PRECISE", "FS=MRC", "CURRENCY=USD", "XLFILL=b")</f>
        <v>#NAME?</v>
      </c>
      <c r="J29" t="e" cm="1">
        <f t="array" aca="1" ref="J29" ca="1">BQL("SEG0000347934 Segment", "SALES_REV_TURN/1M", "FPT=A", "FPO=6A", "ACT_EST_MAPPING=PRECISE", "FS=MRC", "CURRENCY=USD", "XLFILL=b")</f>
        <v>#NAME?</v>
      </c>
      <c r="K29" t="e" cm="1">
        <f t="array" aca="1" ref="K29" ca="1">BQL("SEG0000347934 Segment", "SALES_REV_TURN/1M", "FPT=A", "FPO=7A", "ACT_EST_MAPPING=PRECISE", "FS=MRC", "CURRENCY=USD", "XLFILL=b")</f>
        <v>#NAME?</v>
      </c>
    </row>
    <row r="30" spans="1:11" x14ac:dyDescent="0.25">
      <c r="A30" t="s">
        <v>17</v>
      </c>
    </row>
    <row r="31" spans="1:11" x14ac:dyDescent="0.25">
      <c r="A31" t="s">
        <v>35</v>
      </c>
      <c r="B31" t="e" cm="1">
        <f t="array" aca="1" ref="B31" ca="1">BQL("CRWD US Equity", "CF_STOCK_BASED_COMPENSATION/1M", "FPT=A", "FPO=-2A", "ACT_EST_MAPPING=PRECISE", "FS=MRC", "CURRENCY=USD", "XLFILL=b")</f>
        <v>#NAME?</v>
      </c>
      <c r="C31" t="e" cm="1">
        <f t="array" aca="1" ref="C31" ca="1">BQL("CRWD US Equity", "CF_STOCK_BASED_COMPENSATION/1M", "FPT=A", "FPO=-1A", "ACT_EST_MAPPING=PRECISE", "FS=MRC", "CURRENCY=USD", "XLFILL=b")</f>
        <v>#NAME?</v>
      </c>
      <c r="D31" t="e" cm="1">
        <f t="array" aca="1" ref="D31" ca="1">BQL("CRWD US Equity", "CF_STOCK_BASED_COMPENSATION/1M", "FPT=A", "FPO=0A", "ACT_EST_MAPPING=PRECISE", "FS=MRC", "CURRENCY=USD", "XLFILL=b")</f>
        <v>#NAME?</v>
      </c>
      <c r="E31" t="e" cm="1">
        <f t="array" aca="1" ref="E31" ca="1">BQL("CRWD US Equity", "CF_STOCK_BASED_COMPENSATION/1M", "FPT=A", "FPO=1A", "ACT_EST_MAPPING=PRECISE", "FS=MRC", "CURRENCY=USD", "XLFILL=b")</f>
        <v>#NAME?</v>
      </c>
      <c r="F31" t="e" cm="1">
        <f t="array" aca="1" ref="F31" ca="1">BQL("CRWD US Equity", "CF_STOCK_BASED_COMPENSATION/1M", "FPT=A", "FPO=2A", "ACT_EST_MAPPING=PRECISE", "FS=MRC", "CURRENCY=USD", "XLFILL=b")</f>
        <v>#NAME?</v>
      </c>
      <c r="G31" t="e" cm="1">
        <f t="array" aca="1" ref="G31" ca="1">BQL("CRWD US Equity", "CF_STOCK_BASED_COMPENSATION/1M", "FPT=A", "FPO=3A", "ACT_EST_MAPPING=PRECISE", "FS=MRC", "CURRENCY=USD", "XLFILL=b")</f>
        <v>#NAME?</v>
      </c>
      <c r="H31" t="e" cm="1">
        <f t="array" aca="1" ref="H31" ca="1">BQL("CRWD US Equity", "CF_STOCK_BASED_COMPENSATION/1M", "FPT=A", "FPO=4A", "ACT_EST_MAPPING=PRECISE", "FS=MRC", "CURRENCY=USD", "XLFILL=b")</f>
        <v>#NAME?</v>
      </c>
      <c r="I31" t="e" cm="1">
        <f t="array" aca="1" ref="I31" ca="1">BQL("CRWD US Equity", "CF_STOCK_BASED_COMPENSATION/1M", "FPT=A", "FPO=5A", "ACT_EST_MAPPING=PRECISE", "FS=MRC", "CURRENCY=USD", "XLFILL=b")</f>
        <v>#NAME?</v>
      </c>
      <c r="J31" t="e" cm="1">
        <f t="array" aca="1" ref="J31" ca="1">BQL("CRWD US Equity", "CF_STOCK_BASED_COMPENSATION/1M", "FPT=A", "FPO=6A", "ACT_EST_MAPPING=PRECISE", "FS=MRC", "CURRENCY=USD", "XLFILL=b")</f>
        <v>#NAME?</v>
      </c>
      <c r="K31" t="e" cm="1">
        <f t="array" aca="1" ref="K31" ca="1">BQL("CRWD US Equity", "CF_STOCK_BASED_COMPENSATION/1M", "FPT=A", "FPO=7A", "ACT_EST_MAPPING=PRECISE", "FS=MRC", "CURRENCY=USD", "XLFILL=b")</f>
        <v>#NAME?</v>
      </c>
    </row>
    <row r="32" spans="1:11" x14ac:dyDescent="0.25">
      <c r="A32" t="s">
        <v>17</v>
      </c>
    </row>
    <row r="33" spans="1:11" x14ac:dyDescent="0.25">
      <c r="A33" t="s">
        <v>36</v>
      </c>
      <c r="B33" t="e" cm="1">
        <f t="array" aca="1" ref="B33" ca="1">BQL("CRWD US Equity", "HEADLINE_FCF/1M", "FPT=A", "FPO=-2A", "ACT_EST_MAPPING=PRECISE", "FS=MRC", "CURRENCY=USD", "XLFILL=b")</f>
        <v>#NAME?</v>
      </c>
      <c r="C33" t="e" cm="1">
        <f t="array" aca="1" ref="C33" ca="1">BQL("CRWD US Equity", "HEADLINE_FCF/1M", "FPT=A", "FPO=-1A", "ACT_EST_MAPPING=PRECISE", "FS=MRC", "CURRENCY=USD", "XLFILL=b")</f>
        <v>#NAME?</v>
      </c>
      <c r="D33" t="e" cm="1">
        <f t="array" aca="1" ref="D33" ca="1">BQL("CRWD US Equity", "HEADLINE_FCF/1M", "FPT=A", "FPO=0A", "ACT_EST_MAPPING=PRECISE", "FS=MRC", "CURRENCY=USD", "XLFILL=b")</f>
        <v>#NAME?</v>
      </c>
      <c r="E33" t="e" cm="1">
        <f t="array" aca="1" ref="E33" ca="1">BQL("CRWD US Equity", "HEADLINE_FCF/1M", "FPT=A", "FPO=1A", "ACT_EST_MAPPING=PRECISE", "FS=MRC", "CURRENCY=USD", "XLFILL=b")</f>
        <v>#NAME?</v>
      </c>
      <c r="F33" t="e" cm="1">
        <f t="array" aca="1" ref="F33" ca="1">BQL("CRWD US Equity", "HEADLINE_FCF/1M", "FPT=A", "FPO=2A", "ACT_EST_MAPPING=PRECISE", "FS=MRC", "CURRENCY=USD", "XLFILL=b")</f>
        <v>#NAME?</v>
      </c>
      <c r="G33" t="e" cm="1">
        <f t="array" aca="1" ref="G33" ca="1">BQL("CRWD US Equity", "HEADLINE_FCF/1M", "FPT=A", "FPO=3A", "ACT_EST_MAPPING=PRECISE", "FS=MRC", "CURRENCY=USD", "XLFILL=b")</f>
        <v>#NAME?</v>
      </c>
      <c r="H33" t="e" cm="1">
        <f t="array" aca="1" ref="H33" ca="1">BQL("CRWD US Equity", "HEADLINE_FCF/1M", "FPT=A", "FPO=4A", "ACT_EST_MAPPING=PRECISE", "FS=MRC", "CURRENCY=USD", "XLFILL=b")</f>
        <v>#NAME?</v>
      </c>
      <c r="I33" t="e" cm="1">
        <f t="array" aca="1" ref="I33" ca="1">BQL("CRWD US Equity", "HEADLINE_FCF/1M", "FPT=A", "FPO=5A", "ACT_EST_MAPPING=PRECISE", "FS=MRC", "CURRENCY=USD", "XLFILL=b")</f>
        <v>#NAME?</v>
      </c>
      <c r="J33" t="e" cm="1">
        <f t="array" aca="1" ref="J33" ca="1">BQL("CRWD US Equity", "HEADLINE_FCF/1M", "FPT=A", "FPO=6A", "ACT_EST_MAPPING=PRECISE", "FS=MRC", "CURRENCY=USD", "XLFILL=b")</f>
        <v>#NAME?</v>
      </c>
      <c r="K33" t="e" cm="1">
        <f t="array" aca="1" ref="K33" ca="1">BQL("CRWD US Equity", "HEADLINE_FCF/1M", "FPT=A", "FPO=7A", "ACT_EST_MAPPING=PRECISE", "FS=MRC", "CURRENCY=USD", "XLFILL=b")</f>
        <v>#NAME?</v>
      </c>
    </row>
    <row r="34" spans="1:11" x14ac:dyDescent="0.25">
      <c r="A34" t="s">
        <v>17</v>
      </c>
    </row>
    <row r="35" spans="1:11" x14ac:dyDescent="0.25">
      <c r="A35" t="s">
        <v>37</v>
      </c>
    </row>
    <row r="36" spans="1:11" x14ac:dyDescent="0.25">
      <c r="A36" t="s">
        <v>17</v>
      </c>
    </row>
    <row r="37" spans="1:11" x14ac:dyDescent="0.25">
      <c r="A37" t="s">
        <v>38</v>
      </c>
    </row>
    <row r="38" spans="1:11" x14ac:dyDescent="0.25">
      <c r="A38" t="s">
        <v>39</v>
      </c>
    </row>
    <row r="39" spans="1:11" x14ac:dyDescent="0.25">
      <c r="A39" t="s">
        <v>40</v>
      </c>
      <c r="B39" t="e" cm="1">
        <f t="array" aca="1" ref="B39" ca="1">BQL("CRWD US Equity", "IS_ANNUALIZED_RECURRING_REV/1M", "FPT=A", "FPO=-2A", "ACT_EST_MAPPING=PRECISE", "FS=MRC", "CURRENCY=USD", "XLFILL=b")</f>
        <v>#NAME?</v>
      </c>
      <c r="C39" t="e" cm="1">
        <f t="array" aca="1" ref="C39" ca="1">BQL("CRWD US Equity", "IS_ANNUALIZED_RECURRING_REV/1M", "FPT=A", "FPO=-1A", "ACT_EST_MAPPING=PRECISE", "FS=MRC", "CURRENCY=USD", "XLFILL=b")</f>
        <v>#NAME?</v>
      </c>
      <c r="D39" t="e" cm="1">
        <f t="array" aca="1" ref="D39" ca="1">BQL("CRWD US Equity", "IS_ANNUALIZED_RECURRING_REV/1M", "FPT=A", "FPO=0A", "ACT_EST_MAPPING=PRECISE", "FS=MRC", "CURRENCY=USD", "XLFILL=b")</f>
        <v>#NAME?</v>
      </c>
      <c r="E39" t="e" cm="1">
        <f t="array" aca="1" ref="E39" ca="1">BQL("CRWD US Equity", "IS_ANNUALIZED_RECURRING_REV/1M", "FPT=A", "FPO=1A", "ACT_EST_MAPPING=PRECISE", "FS=MRC", "CURRENCY=USD", "XLFILL=b")</f>
        <v>#NAME?</v>
      </c>
      <c r="F39" t="e" cm="1">
        <f t="array" aca="1" ref="F39" ca="1">BQL("CRWD US Equity", "IS_ANNUALIZED_RECURRING_REV/1M", "FPT=A", "FPO=2A", "ACT_EST_MAPPING=PRECISE", "FS=MRC", "CURRENCY=USD", "XLFILL=b")</f>
        <v>#NAME?</v>
      </c>
      <c r="G39" t="e" cm="1">
        <f t="array" aca="1" ref="G39" ca="1">BQL("CRWD US Equity", "IS_ANNUALIZED_RECURRING_REV/1M", "FPT=A", "FPO=3A", "ACT_EST_MAPPING=PRECISE", "FS=MRC", "CURRENCY=USD", "XLFILL=b")</f>
        <v>#NAME?</v>
      </c>
      <c r="H39" t="e" cm="1">
        <f t="array" aca="1" ref="H39" ca="1">BQL("CRWD US Equity", "IS_ANNUALIZED_RECURRING_REV/1M", "FPT=A", "FPO=4A", "ACT_EST_MAPPING=PRECISE", "FS=MRC", "CURRENCY=USD", "XLFILL=b")</f>
        <v>#NAME?</v>
      </c>
      <c r="I39" t="e" cm="1">
        <f t="array" aca="1" ref="I39" ca="1">BQL("CRWD US Equity", "IS_ANNUALIZED_RECURRING_REV/1M", "FPT=A", "FPO=5A", "ACT_EST_MAPPING=PRECISE", "FS=MRC", "CURRENCY=USD", "XLFILL=b")</f>
        <v>#NAME?</v>
      </c>
      <c r="J39" t="e" cm="1">
        <f t="array" aca="1" ref="J39" ca="1">BQL("CRWD US Equity", "IS_ANNUALIZED_RECURRING_REV/1M", "FPT=A", "FPO=6A", "ACT_EST_MAPPING=PRECISE", "FS=MRC", "CURRENCY=USD", "XLFILL=b")</f>
        <v>#NAME?</v>
      </c>
      <c r="K39" t="e" cm="1">
        <f t="array" aca="1" ref="K39" ca="1">BQL("CRWD US Equity", "IS_ANNUALIZED_RECURRING_REV/1M", "FPT=A", "FPO=7A", "ACT_EST_MAPPING=PRECISE", "FS=MRC", "CURRENCY=USD", "XLFILL=b")</f>
        <v>#NAME?</v>
      </c>
    </row>
    <row r="40" spans="1:11" x14ac:dyDescent="0.25">
      <c r="A40" t="s">
        <v>41</v>
      </c>
      <c r="B40" t="e" cm="1">
        <f t="array" aca="1" ref="B40" ca="1">BQL("CRWD US Equity", "AVERAGE_REVENUE_PER_USER", "FPT=A", "FPO=-2A", "ACT_EST_MAPPING=PRECISE", "FS=MRC", "CURRENCY=USD", "XLFILL=b")</f>
        <v>#NAME?</v>
      </c>
      <c r="C40" t="e" cm="1">
        <f t="array" aca="1" ref="C40" ca="1">BQL("CRWD US Equity", "AVERAGE_REVENUE_PER_USER", "FPT=A", "FPO=-1A", "ACT_EST_MAPPING=PRECISE", "FS=MRC", "CURRENCY=USD", "XLFILL=b")</f>
        <v>#NAME?</v>
      </c>
      <c r="D40" t="e" cm="1">
        <f t="array" aca="1" ref="D40" ca="1">BQL("CRWD US Equity", "AVERAGE_REVENUE_PER_USER", "FPT=A", "FPO=0A", "ACT_EST_MAPPING=PRECISE", "FS=MRC", "CURRENCY=USD", "XLFILL=b")</f>
        <v>#NAME?</v>
      </c>
      <c r="E40" t="e" cm="1">
        <f t="array" aca="1" ref="E40" ca="1">BQL("CRWD US Equity", "AVERAGE_REVENUE_PER_USER", "FPT=A", "FPO=1A", "ACT_EST_MAPPING=PRECISE", "FS=MRC", "CURRENCY=USD", "XLFILL=b")</f>
        <v>#NAME?</v>
      </c>
      <c r="F40" t="e" cm="1">
        <f t="array" aca="1" ref="F40" ca="1">BQL("CRWD US Equity", "AVERAGE_REVENUE_PER_USER", "FPT=A", "FPO=2A", "ACT_EST_MAPPING=PRECISE", "FS=MRC", "CURRENCY=USD", "XLFILL=b")</f>
        <v>#NAME?</v>
      </c>
      <c r="G40" t="e" cm="1">
        <f t="array" aca="1" ref="G40" ca="1">BQL("CRWD US Equity", "AVERAGE_REVENUE_PER_USER", "FPT=A", "FPO=3A", "ACT_EST_MAPPING=PRECISE", "FS=MRC", "CURRENCY=USD", "XLFILL=b")</f>
        <v>#NAME?</v>
      </c>
      <c r="H40" t="e" cm="1">
        <f t="array" aca="1" ref="H40" ca="1">BQL("CRWD US Equity", "AVERAGE_REVENUE_PER_USER", "FPT=A", "FPO=4A", "ACT_EST_MAPPING=PRECISE", "FS=MRC", "CURRENCY=USD", "XLFILL=b")</f>
        <v>#NAME?</v>
      </c>
      <c r="I40" t="e" cm="1">
        <f t="array" aca="1" ref="I40" ca="1">BQL("CRWD US Equity", "AVERAGE_REVENUE_PER_USER", "FPT=A", "FPO=5A", "ACT_EST_MAPPING=PRECISE", "FS=MRC", "CURRENCY=USD", "XLFILL=b")</f>
        <v>#NAME?</v>
      </c>
      <c r="J40" t="e" cm="1">
        <f t="array" aca="1" ref="J40" ca="1">BQL("CRWD US Equity", "AVERAGE_REVENUE_PER_USER", "FPT=A", "FPO=6A", "ACT_EST_MAPPING=PRECISE", "FS=MRC", "CURRENCY=USD", "XLFILL=b")</f>
        <v>#NAME?</v>
      </c>
      <c r="K40" t="e" cm="1">
        <f t="array" aca="1" ref="K40" ca="1">BQL("CRWD US Equity", "AVERAGE_REVENUE_PER_USER", "FPT=A", "FPO=7A", "ACT_EST_MAPPING=PRECISE", "FS=MRC", "CURRENCY=USD", "XLFILL=b")</f>
        <v>#NAME?</v>
      </c>
    </row>
    <row r="41" spans="1:11" x14ac:dyDescent="0.25">
      <c r="A41" t="s">
        <v>22</v>
      </c>
      <c r="B41" t="e" cm="1">
        <f t="array" aca="1" ref="B41" ca="1">BQL("CRWD US Equity", "CB_IS_NET_ANN_RECUR_REV_ADD/1M", "FPT=A", "FPO=-2A", "ACT_EST_MAPPING=PRECISE", "FS=MRC", "CURRENCY=USD", "XLFILL=b")</f>
        <v>#NAME?</v>
      </c>
      <c r="C41" t="e" cm="1">
        <f t="array" aca="1" ref="C41" ca="1">BQL("CRWD US Equity", "CB_IS_NET_ANN_RECUR_REV_ADD/1M", "FPT=A", "FPO=-1A", "ACT_EST_MAPPING=PRECISE", "FS=MRC", "CURRENCY=USD", "XLFILL=b")</f>
        <v>#NAME?</v>
      </c>
      <c r="D41" t="e" cm="1">
        <f t="array" aca="1" ref="D41" ca="1">BQL("CRWD US Equity", "CB_IS_NET_ANN_RECUR_REV_ADD/1M", "FPT=A", "FPO=0A", "ACT_EST_MAPPING=PRECISE", "FS=MRC", "CURRENCY=USD", "XLFILL=b")</f>
        <v>#NAME?</v>
      </c>
      <c r="E41" t="e" cm="1">
        <f t="array" aca="1" ref="E41" ca="1">BQL("CRWD US Equity", "CB_IS_NET_ANN_RECUR_REV_ADD/1M", "FPT=A", "FPO=1A", "ACT_EST_MAPPING=PRECISE", "FS=MRC", "CURRENCY=USD", "XLFILL=b")</f>
        <v>#NAME?</v>
      </c>
      <c r="F41" t="e" cm="1">
        <f t="array" aca="1" ref="F41" ca="1">BQL("CRWD US Equity", "CB_IS_NET_ANN_RECUR_REV_ADD/1M", "FPT=A", "FPO=2A", "ACT_EST_MAPPING=PRECISE", "FS=MRC", "CURRENCY=USD", "XLFILL=b")</f>
        <v>#NAME?</v>
      </c>
      <c r="G41" t="e" cm="1">
        <f t="array" aca="1" ref="G41" ca="1">BQL("CRWD US Equity", "CB_IS_NET_ANN_RECUR_REV_ADD/1M", "FPT=A", "FPO=3A", "ACT_EST_MAPPING=PRECISE", "FS=MRC", "CURRENCY=USD", "XLFILL=b")</f>
        <v>#NAME?</v>
      </c>
      <c r="H41" t="e" cm="1">
        <f t="array" aca="1" ref="H41" ca="1">BQL("CRWD US Equity", "CB_IS_NET_ANN_RECUR_REV_ADD/1M", "FPT=A", "FPO=4A", "ACT_EST_MAPPING=PRECISE", "FS=MRC", "CURRENCY=USD", "XLFILL=b")</f>
        <v>#NAME?</v>
      </c>
      <c r="I41" t="e" cm="1">
        <f t="array" aca="1" ref="I41" ca="1">BQL("CRWD US Equity", "CB_IS_NET_ANN_RECUR_REV_ADD/1M", "FPT=A", "FPO=5A", "ACT_EST_MAPPING=PRECISE", "FS=MRC", "CURRENCY=USD", "XLFILL=b")</f>
        <v>#NAME?</v>
      </c>
      <c r="J41" t="e" cm="1">
        <f t="array" aca="1" ref="J41" ca="1">BQL("CRWD US Equity", "CB_IS_NET_ANN_RECUR_REV_ADD/1M", "FPT=A", "FPO=6A", "ACT_EST_MAPPING=PRECISE", "FS=MRC", "CURRENCY=USD", "XLFILL=b")</f>
        <v>#NAME?</v>
      </c>
      <c r="K41" t="e" cm="1">
        <f t="array" aca="1" ref="K41" ca="1">BQL("CRWD US Equity", "CB_IS_NET_ANN_RECUR_REV_ADD/1M", "FPT=A", "FPO=7A", "ACT_EST_MAPPING=PRECISE", "FS=MRC", "CURRENCY=USD", "XLFILL=b")</f>
        <v>#NAME?</v>
      </c>
    </row>
    <row r="42" spans="1:11" x14ac:dyDescent="0.25">
      <c r="A42" t="s">
        <v>17</v>
      </c>
    </row>
    <row r="43" spans="1:11" x14ac:dyDescent="0.25">
      <c r="A43" t="s">
        <v>42</v>
      </c>
      <c r="B43" t="e" cm="1">
        <f t="array" aca="1" ref="B43" ca="1">BQL("CRWD US Equity", "IS_LEGAL_LITIGATION_SETTLEMENT/1M", "FPT=A", "FPO=-2A", "ACT_EST_MAPPING=PRECISE", "FS=MRC", "CURRENCY=USD", "XLFILL=b")</f>
        <v>#NAME?</v>
      </c>
      <c r="C43" t="e" cm="1">
        <f t="array" aca="1" ref="C43" ca="1">BQL("CRWD US Equity", "IS_LEGAL_LITIGATION_SETTLEMENT/1M", "FPT=A", "FPO=-1A", "ACT_EST_MAPPING=PRECISE", "FS=MRC", "CURRENCY=USD", "XLFILL=b")</f>
        <v>#NAME?</v>
      </c>
      <c r="D43" t="e" cm="1">
        <f t="array" aca="1" ref="D43" ca="1">BQL("CRWD US Equity", "IS_LEGAL_LITIGATION_SETTLEMENT/1M", "FPT=A", "FPO=0A", "ACT_EST_MAPPING=PRECISE", "FS=MRC", "CURRENCY=USD", "XLFILL=b")</f>
        <v>#NAME?</v>
      </c>
      <c r="E43" t="e" cm="1">
        <f t="array" aca="1" ref="E43" ca="1">BQL("CRWD US Equity", "IS_LEGAL_LITIGATION_SETTLEMENT/1M", "FPT=A", "FPO=1A", "ACT_EST_MAPPING=PRECISE", "FS=MRC", "CURRENCY=USD", "XLFILL=b")</f>
        <v>#NAME?</v>
      </c>
      <c r="F43" t="e" cm="1">
        <f t="array" aca="1" ref="F43" ca="1">BQL("CRWD US Equity", "IS_LEGAL_LITIGATION_SETTLEMENT/1M", "FPT=A", "FPO=2A", "ACT_EST_MAPPING=PRECISE", "FS=MRC", "CURRENCY=USD", "XLFILL=b")</f>
        <v>#NAME?</v>
      </c>
      <c r="G43" t="e" cm="1">
        <f t="array" aca="1" ref="G43" ca="1">BQL("CRWD US Equity", "IS_LEGAL_LITIGATION_SETTLEMENT/1M", "FPT=A", "FPO=3A", "ACT_EST_MAPPING=PRECISE", "FS=MRC", "CURRENCY=USD", "XLFILL=b")</f>
        <v>#NAME?</v>
      </c>
      <c r="H43" t="e" cm="1">
        <f t="array" aca="1" ref="H43" ca="1">BQL("CRWD US Equity", "IS_LEGAL_LITIGATION_SETTLEMENT/1M", "FPT=A", "FPO=4A", "ACT_EST_MAPPING=PRECISE", "FS=MRC", "CURRENCY=USD", "XLFILL=b")</f>
        <v>#NAME?</v>
      </c>
      <c r="I43" t="e" cm="1">
        <f t="array" aca="1" ref="I43" ca="1">BQL("CRWD US Equity", "IS_LEGAL_LITIGATION_SETTLEMENT/1M", "FPT=A", "FPO=5A", "ACT_EST_MAPPING=PRECISE", "FS=MRC", "CURRENCY=USD", "XLFILL=b")</f>
        <v>#NAME?</v>
      </c>
      <c r="J43" t="e" cm="1">
        <f t="array" aca="1" ref="J43" ca="1">BQL("CRWD US Equity", "IS_LEGAL_LITIGATION_SETTLEMENT/1M", "FPT=A", "FPO=6A", "ACT_EST_MAPPING=PRECISE", "FS=MRC", "CURRENCY=USD", "XLFILL=b")</f>
        <v>#NAME?</v>
      </c>
      <c r="K43" t="e" cm="1">
        <f t="array" aca="1" ref="K43" ca="1">BQL("CRWD US Equity", "IS_LEGAL_LITIGATION_SETTLEMENT/1M", "FPT=A", "FPO=7A", "ACT_EST_MAPPING=PRECISE", "FS=MRC", "CURRENCY=USD", "XLFILL=b")</f>
        <v>#NAME?</v>
      </c>
    </row>
    <row r="44" spans="1:11" x14ac:dyDescent="0.25">
      <c r="A44" t="s">
        <v>17</v>
      </c>
    </row>
    <row r="45" spans="1:11" x14ac:dyDescent="0.25">
      <c r="A45" t="s">
        <v>43</v>
      </c>
      <c r="B45" t="e" cm="1">
        <f t="array" aca="1" ref="B45" ca="1">BQL("CRWD US Equity", "BS_NUMBER_EMPLOYEES", "FPT=A", "FPO=-2A", "ACT_EST_MAPPING=PRECISE", "FS=MRC", "CURRENCY=USD", "XLFILL=b")</f>
        <v>#NAME?</v>
      </c>
      <c r="C45" t="e" cm="1">
        <f t="array" aca="1" ref="C45" ca="1">BQL("CRWD US Equity", "BS_NUMBER_EMPLOYEES", "FPT=A", "FPO=-1A", "ACT_EST_MAPPING=PRECISE", "FS=MRC", "CURRENCY=USD", "XLFILL=b")</f>
        <v>#NAME?</v>
      </c>
      <c r="D45" t="e" cm="1">
        <f t="array" aca="1" ref="D45" ca="1">BQL("CRWD US Equity", "BS_NUMBER_EMPLOYEES", "FPT=A", "FPO=0A", "ACT_EST_MAPPING=PRECISE", "FS=MRC", "CURRENCY=USD", "XLFILL=b")</f>
        <v>#NAME?</v>
      </c>
      <c r="E45" t="e" cm="1">
        <f t="array" aca="1" ref="E45" ca="1">BQL("CRWD US Equity", "BS_NUMBER_EMPLOYEES", "FPT=A", "FPO=1A", "ACT_EST_MAPPING=PRECISE", "FS=MRC", "CURRENCY=USD", "XLFILL=b")</f>
        <v>#NAME?</v>
      </c>
      <c r="F45" t="e" cm="1">
        <f t="array" aca="1" ref="F45" ca="1">BQL("CRWD US Equity", "BS_NUMBER_EMPLOYEES", "FPT=A", "FPO=2A", "ACT_EST_MAPPING=PRECISE", "FS=MRC", "CURRENCY=USD", "XLFILL=b")</f>
        <v>#NAME?</v>
      </c>
      <c r="G45" t="e" cm="1">
        <f t="array" aca="1" ref="G45" ca="1">BQL("CRWD US Equity", "BS_NUMBER_EMPLOYEES", "FPT=A", "FPO=3A", "ACT_EST_MAPPING=PRECISE", "FS=MRC", "CURRENCY=USD", "XLFILL=b")</f>
        <v>#NAME?</v>
      </c>
      <c r="H45" t="e" cm="1">
        <f t="array" aca="1" ref="H45" ca="1">BQL("CRWD US Equity", "BS_NUMBER_EMPLOYEES", "FPT=A", "FPO=4A", "ACT_EST_MAPPING=PRECISE", "FS=MRC", "CURRENCY=USD", "XLFILL=b")</f>
        <v>#NAME?</v>
      </c>
      <c r="I45" t="e" cm="1">
        <f t="array" aca="1" ref="I45" ca="1">BQL("CRWD US Equity", "BS_NUMBER_EMPLOYEES", "FPT=A", "FPO=5A", "ACT_EST_MAPPING=PRECISE", "FS=MRC", "CURRENCY=USD", "XLFILL=b")</f>
        <v>#NAME?</v>
      </c>
      <c r="J45" t="e" cm="1">
        <f t="array" aca="1" ref="J45" ca="1">BQL("CRWD US Equity", "BS_NUMBER_EMPLOYEES", "FPT=A", "FPO=6A", "ACT_EST_MAPPING=PRECISE", "FS=MRC", "CURRENCY=USD", "XLFILL=b")</f>
        <v>#NAME?</v>
      </c>
      <c r="K45" t="e" cm="1">
        <f t="array" aca="1" ref="K45" ca="1">BQL("CRWD US Equity", "BS_NUMBER_EMPLOYEES", "FPT=A", "FPO=7A", "ACT_EST_MAPPING=PRECISE", "FS=MRC", "CURRENCY=USD", "XLFILL=b")</f>
        <v>#NAME?</v>
      </c>
    </row>
    <row r="46" spans="1:11" x14ac:dyDescent="0.25">
      <c r="A46" t="s">
        <v>23</v>
      </c>
      <c r="B46" t="e" cm="1">
        <f t="array" aca="1" ref="B46" ca="1">BQL("CRWD US Equity", "NET_REV_RETENTION_RATE_PCT", "FPT=A", "FPO=-2A", "ACT_EST_MAPPING=PRECISE", "FS=MRC", "CURRENCY=USD", "XLFILL=b")</f>
        <v>#NAME?</v>
      </c>
      <c r="C46" t="e" cm="1">
        <f t="array" aca="1" ref="C46" ca="1">BQL("CRWD US Equity", "NET_REV_RETENTION_RATE_PCT", "FPT=A", "FPO=-1A", "ACT_EST_MAPPING=PRECISE", "FS=MRC", "CURRENCY=USD", "XLFILL=b")</f>
        <v>#NAME?</v>
      </c>
      <c r="D46" t="e" cm="1">
        <f t="array" aca="1" ref="D46" ca="1">BQL("CRWD US Equity", "NET_REV_RETENTION_RATE_PCT", "FPT=A", "FPO=0A", "ACT_EST_MAPPING=PRECISE", "FS=MRC", "CURRENCY=USD", "XLFILL=b")</f>
        <v>#NAME?</v>
      </c>
      <c r="E46" t="e" cm="1">
        <f t="array" aca="1" ref="E46" ca="1">BQL("CRWD US Equity", "NET_REV_RETENTION_RATE_PCT", "FPT=A", "FPO=1A", "ACT_EST_MAPPING=PRECISE", "FS=MRC", "CURRENCY=USD", "XLFILL=b")</f>
        <v>#NAME?</v>
      </c>
      <c r="F46" t="e" cm="1">
        <f t="array" aca="1" ref="F46" ca="1">BQL("CRWD US Equity", "NET_REV_RETENTION_RATE_PCT", "FPT=A", "FPO=2A", "ACT_EST_MAPPING=PRECISE", "FS=MRC", "CURRENCY=USD", "XLFILL=b")</f>
        <v>#NAME?</v>
      </c>
      <c r="G46" t="e" cm="1">
        <f t="array" aca="1" ref="G46" ca="1">BQL("CRWD US Equity", "NET_REV_RETENTION_RATE_PCT", "FPT=A", "FPO=3A", "ACT_EST_MAPPING=PRECISE", "FS=MRC", "CURRENCY=USD", "XLFILL=b")</f>
        <v>#NAME?</v>
      </c>
      <c r="H46" t="e" cm="1">
        <f t="array" aca="1" ref="H46" ca="1">BQL("CRWD US Equity", "NET_REV_RETENTION_RATE_PCT", "FPT=A", "FPO=4A", "ACT_EST_MAPPING=PRECISE", "FS=MRC", "CURRENCY=USD", "XLFILL=b")</f>
        <v>#NAME?</v>
      </c>
      <c r="I46" t="e" cm="1">
        <f t="array" aca="1" ref="I46" ca="1">BQL("CRWD US Equity", "NET_REV_RETENTION_RATE_PCT", "FPT=A", "FPO=5A", "ACT_EST_MAPPING=PRECISE", "FS=MRC", "CURRENCY=USD", "XLFILL=b")</f>
        <v>#NAME?</v>
      </c>
      <c r="J46" t="e" cm="1">
        <f t="array" aca="1" ref="J46" ca="1">BQL("CRWD US Equity", "NET_REV_RETENTION_RATE_PCT", "FPT=A", "FPO=6A", "ACT_EST_MAPPING=PRECISE", "FS=MRC", "CURRENCY=USD", "XLFILL=b")</f>
        <v>#NAME?</v>
      </c>
      <c r="K46" t="e" cm="1">
        <f t="array" aca="1" ref="K46" ca="1">BQL("CRWD US Equity", "NET_REV_RETENTION_RATE_PCT", "FPT=A", "FPO=7A", "ACT_EST_MAPPING=PRECISE", "FS=MRC", "CURRENCY=USD", "XLFILL=b")</f>
        <v>#NAME?</v>
      </c>
    </row>
    <row r="47" spans="1:11" x14ac:dyDescent="0.25">
      <c r="A47" t="s">
        <v>44</v>
      </c>
      <c r="B47" t="e" cm="1">
        <f t="array" aca="1" ref="B47" ca="1">BQL("CRWD US Equity", "CB_GROSS_REV_RETENTION_RATE_PCT", "FPT=A", "FPO=-2A", "ACT_EST_MAPPING=PRECISE", "FS=MRC", "CURRENCY=USD", "XLFILL=b")</f>
        <v>#NAME?</v>
      </c>
      <c r="C47" t="e" cm="1">
        <f t="array" aca="1" ref="C47" ca="1">BQL("CRWD US Equity", "CB_GROSS_REV_RETENTION_RATE_PCT", "FPT=A", "FPO=-1A", "ACT_EST_MAPPING=PRECISE", "FS=MRC", "CURRENCY=USD", "XLFILL=b")</f>
        <v>#NAME?</v>
      </c>
      <c r="D47" t="e" cm="1">
        <f t="array" aca="1" ref="D47" ca="1">BQL("CRWD US Equity", "CB_GROSS_REV_RETENTION_RATE_PCT", "FPT=A", "FPO=0A", "ACT_EST_MAPPING=PRECISE", "FS=MRC", "CURRENCY=USD", "XLFILL=b")</f>
        <v>#NAME?</v>
      </c>
      <c r="E47" t="e" cm="1">
        <f t="array" aca="1" ref="E47" ca="1">BQL("CRWD US Equity", "CB_GROSS_REV_RETENTION_RATE_PCT", "FPT=A", "FPO=1A", "ACT_EST_MAPPING=PRECISE", "FS=MRC", "CURRENCY=USD", "XLFILL=b")</f>
        <v>#NAME?</v>
      </c>
      <c r="F47" t="e" cm="1">
        <f t="array" aca="1" ref="F47" ca="1">BQL("CRWD US Equity", "CB_GROSS_REV_RETENTION_RATE_PCT", "FPT=A", "FPO=2A", "ACT_EST_MAPPING=PRECISE", "FS=MRC", "CURRENCY=USD", "XLFILL=b")</f>
        <v>#NAME?</v>
      </c>
      <c r="G47" t="e" cm="1">
        <f t="array" aca="1" ref="G47" ca="1">BQL("CRWD US Equity", "CB_GROSS_REV_RETENTION_RATE_PCT", "FPT=A", "FPO=3A", "ACT_EST_MAPPING=PRECISE", "FS=MRC", "CURRENCY=USD", "XLFILL=b")</f>
        <v>#NAME?</v>
      </c>
      <c r="H47" t="e" cm="1">
        <f t="array" aca="1" ref="H47" ca="1">BQL("CRWD US Equity", "CB_GROSS_REV_RETENTION_RATE_PCT", "FPT=A", "FPO=4A", "ACT_EST_MAPPING=PRECISE", "FS=MRC", "CURRENCY=USD", "XLFILL=b")</f>
        <v>#NAME?</v>
      </c>
      <c r="I47" t="e" cm="1">
        <f t="array" aca="1" ref="I47" ca="1">BQL("CRWD US Equity", "CB_GROSS_REV_RETENTION_RATE_PCT", "FPT=A", "FPO=5A", "ACT_EST_MAPPING=PRECISE", "FS=MRC", "CURRENCY=USD", "XLFILL=b")</f>
        <v>#NAME?</v>
      </c>
      <c r="J47" t="e" cm="1">
        <f t="array" aca="1" ref="J47" ca="1">BQL("CRWD US Equity", "CB_GROSS_REV_RETENTION_RATE_PCT", "FPT=A", "FPO=6A", "ACT_EST_MAPPING=PRECISE", "FS=MRC", "CURRENCY=USD", "XLFILL=b")</f>
        <v>#NAME?</v>
      </c>
      <c r="K47" t="e" cm="1">
        <f t="array" aca="1" ref="K47" ca="1">BQL("CRWD US Equity", "CB_GROSS_REV_RETENTION_RATE_PCT", "FPT=A", "FPO=7A", "ACT_EST_MAPPING=PRECISE", "FS=MRC", "CURRENCY=USD", "XLFILL=b")</f>
        <v>#NAME?</v>
      </c>
    </row>
    <row r="48" spans="1:11" x14ac:dyDescent="0.25">
      <c r="A48" t="s">
        <v>17</v>
      </c>
    </row>
    <row r="49" spans="1:11" x14ac:dyDescent="0.25">
      <c r="A49" t="s">
        <v>45</v>
      </c>
    </row>
    <row r="50" spans="1:11" x14ac:dyDescent="0.25">
      <c r="A50" t="s">
        <v>46</v>
      </c>
      <c r="B50" t="e" cm="1">
        <f t="array" aca="1" ref="B50" ca="1">BQL("SEG1729815111 Segment", "NUMBER_CUSTOMERS_SEG_SHARE_PCT", "FPT=A", "FPO=-2A", "ACT_EST_MAPPING=PRECISE", "FS=MRC", "CURRENCY=USD", "XLFILL=b")</f>
        <v>#NAME?</v>
      </c>
      <c r="C50" t="e" cm="1">
        <f t="array" aca="1" ref="C50" ca="1">BQL("SEG1729815111 Segment", "NUMBER_CUSTOMERS_SEG_SHARE_PCT", "FPT=A", "FPO=-1A", "ACT_EST_MAPPING=PRECISE", "FS=MRC", "CURRENCY=USD", "XLFILL=b")</f>
        <v>#NAME?</v>
      </c>
      <c r="D50" t="e" cm="1">
        <f t="array" aca="1" ref="D50" ca="1">BQL("SEG1729815111 Segment", "NUMBER_CUSTOMERS_SEG_SHARE_PCT", "FPT=A", "FPO=0A", "ACT_EST_MAPPING=PRECISE", "FS=MRC", "CURRENCY=USD", "XLFILL=b")</f>
        <v>#NAME?</v>
      </c>
      <c r="E50" t="e" cm="1">
        <f t="array" aca="1" ref="E50" ca="1">BQL("SEG1729815111 Segment", "NUMBER_CUSTOMERS_SEG_SHARE_PCT", "FPT=A", "FPO=1A", "ACT_EST_MAPPING=PRECISE", "FS=MRC", "CURRENCY=USD", "XLFILL=b")</f>
        <v>#NAME?</v>
      </c>
      <c r="F50" t="e" cm="1">
        <f t="array" aca="1" ref="F50" ca="1">BQL("SEG1729815111 Segment", "NUMBER_CUSTOMERS_SEG_SHARE_PCT", "FPT=A", "FPO=2A", "ACT_EST_MAPPING=PRECISE", "FS=MRC", "CURRENCY=USD", "XLFILL=b")</f>
        <v>#NAME?</v>
      </c>
      <c r="G50" t="e" cm="1">
        <f t="array" aca="1" ref="G50" ca="1">BQL("SEG1729815111 Segment", "NUMBER_CUSTOMERS_SEG_SHARE_PCT", "FPT=A", "FPO=3A", "ACT_EST_MAPPING=PRECISE", "FS=MRC", "CURRENCY=USD", "XLFILL=b")</f>
        <v>#NAME?</v>
      </c>
      <c r="H50" t="e" cm="1">
        <f t="array" aca="1" ref="H50" ca="1">BQL("SEG1729815111 Segment", "NUMBER_CUSTOMERS_SEG_SHARE_PCT", "FPT=A", "FPO=4A", "ACT_EST_MAPPING=PRECISE", "FS=MRC", "CURRENCY=USD", "XLFILL=b")</f>
        <v>#NAME?</v>
      </c>
      <c r="I50" t="e" cm="1">
        <f t="array" aca="1" ref="I50" ca="1">BQL("SEG1729815111 Segment", "NUMBER_CUSTOMERS_SEG_SHARE_PCT", "FPT=A", "FPO=5A", "ACT_EST_MAPPING=PRECISE", "FS=MRC", "CURRENCY=USD", "XLFILL=b")</f>
        <v>#NAME?</v>
      </c>
      <c r="J50" t="e" cm="1">
        <f t="array" aca="1" ref="J50" ca="1">BQL("SEG1729815111 Segment", "NUMBER_CUSTOMERS_SEG_SHARE_PCT", "FPT=A", "FPO=6A", "ACT_EST_MAPPING=PRECISE", "FS=MRC", "CURRENCY=USD", "XLFILL=b")</f>
        <v>#NAME?</v>
      </c>
      <c r="K50" t="e" cm="1">
        <f t="array" aca="1" ref="K50" ca="1">BQL("SEG1729815111 Segment", "NUMBER_CUSTOMERS_SEG_SHARE_PCT", "FPT=A", "FPO=7A", "ACT_EST_MAPPING=PRECISE", "FS=MRC", "CURRENCY=USD", "XLFILL=b")</f>
        <v>#NAME?</v>
      </c>
    </row>
    <row r="51" spans="1:11" x14ac:dyDescent="0.25">
      <c r="A51" t="s">
        <v>47</v>
      </c>
      <c r="B51" t="e" cm="1">
        <f t="array" aca="1" ref="B51" ca="1">BQL("SEG5618717763 Segment", "NUMBER_CUSTOMERS_SEG_SHARE_PCT", "FPT=A", "FPO=-2A", "ACT_EST_MAPPING=PRECISE", "FS=MRC", "CURRENCY=USD", "XLFILL=b")</f>
        <v>#NAME?</v>
      </c>
      <c r="C51" t="e" cm="1">
        <f t="array" aca="1" ref="C51" ca="1">BQL("SEG5618717763 Segment", "NUMBER_CUSTOMERS_SEG_SHARE_PCT", "FPT=A", "FPO=-1A", "ACT_EST_MAPPING=PRECISE", "FS=MRC", "CURRENCY=USD", "XLFILL=b")</f>
        <v>#NAME?</v>
      </c>
      <c r="D51" t="e" cm="1">
        <f t="array" aca="1" ref="D51" ca="1">BQL("SEG5618717763 Segment", "NUMBER_CUSTOMERS_SEG_SHARE_PCT", "FPT=A", "FPO=0A", "ACT_EST_MAPPING=PRECISE", "FS=MRC", "CURRENCY=USD", "XLFILL=b")</f>
        <v>#NAME?</v>
      </c>
      <c r="E51" t="e" cm="1">
        <f t="array" aca="1" ref="E51" ca="1">BQL("SEG5618717763 Segment", "NUMBER_CUSTOMERS_SEG_SHARE_PCT", "FPT=A", "FPO=1A", "ACT_EST_MAPPING=PRECISE", "FS=MRC", "CURRENCY=USD", "XLFILL=b")</f>
        <v>#NAME?</v>
      </c>
      <c r="F51" t="e" cm="1">
        <f t="array" aca="1" ref="F51" ca="1">BQL("SEG5618717763 Segment", "NUMBER_CUSTOMERS_SEG_SHARE_PCT", "FPT=A", "FPO=2A", "ACT_EST_MAPPING=PRECISE", "FS=MRC", "CURRENCY=USD", "XLFILL=b")</f>
        <v>#NAME?</v>
      </c>
      <c r="G51" t="e" cm="1">
        <f t="array" aca="1" ref="G51" ca="1">BQL("SEG5618717763 Segment", "NUMBER_CUSTOMERS_SEG_SHARE_PCT", "FPT=A", "FPO=3A", "ACT_EST_MAPPING=PRECISE", "FS=MRC", "CURRENCY=USD", "XLFILL=b")</f>
        <v>#NAME?</v>
      </c>
      <c r="H51" t="e" cm="1">
        <f t="array" aca="1" ref="H51" ca="1">BQL("SEG5618717763 Segment", "NUMBER_CUSTOMERS_SEG_SHARE_PCT", "FPT=A", "FPO=4A", "ACT_EST_MAPPING=PRECISE", "FS=MRC", "CURRENCY=USD", "XLFILL=b")</f>
        <v>#NAME?</v>
      </c>
      <c r="I51" t="e" cm="1">
        <f t="array" aca="1" ref="I51" ca="1">BQL("SEG5618717763 Segment", "NUMBER_CUSTOMERS_SEG_SHARE_PCT", "FPT=A", "FPO=5A", "ACT_EST_MAPPING=PRECISE", "FS=MRC", "CURRENCY=USD", "XLFILL=b")</f>
        <v>#NAME?</v>
      </c>
      <c r="J51" t="e" cm="1">
        <f t="array" aca="1" ref="J51" ca="1">BQL("SEG5618717763 Segment", "NUMBER_CUSTOMERS_SEG_SHARE_PCT", "FPT=A", "FPO=6A", "ACT_EST_MAPPING=PRECISE", "FS=MRC", "CURRENCY=USD", "XLFILL=b")</f>
        <v>#NAME?</v>
      </c>
      <c r="K51" t="e" cm="1">
        <f t="array" aca="1" ref="K51" ca="1">BQL("SEG5618717763 Segment", "NUMBER_CUSTOMERS_SEG_SHARE_PCT", "FPT=A", "FPO=7A", "ACT_EST_MAPPING=PRECISE", "FS=MRC", "CURRENCY=USD", "XLFILL=b")</f>
        <v>#NAME?</v>
      </c>
    </row>
    <row r="52" spans="1:11" x14ac:dyDescent="0.25">
      <c r="A52" t="s">
        <v>48</v>
      </c>
      <c r="B52" t="e" cm="1">
        <f t="array" aca="1" ref="B52" ca="1">BQL("SEG9557191304 Segment", "NUMBER_CUSTOMERS_SEG_SHARE_PCT", "FPT=A", "FPO=-2A", "ACT_EST_MAPPING=PRECISE", "FS=MRC", "CURRENCY=USD", "XLFILL=b")</f>
        <v>#NAME?</v>
      </c>
      <c r="C52" t="e" cm="1">
        <f t="array" aca="1" ref="C52" ca="1">BQL("SEG9557191304 Segment", "NUMBER_CUSTOMERS_SEG_SHARE_PCT", "FPT=A", "FPO=-1A", "ACT_EST_MAPPING=PRECISE", "FS=MRC", "CURRENCY=USD", "XLFILL=b")</f>
        <v>#NAME?</v>
      </c>
      <c r="D52" t="e" cm="1">
        <f t="array" aca="1" ref="D52" ca="1">BQL("SEG9557191304 Segment", "NUMBER_CUSTOMERS_SEG_SHARE_PCT", "FPT=A", "FPO=0A", "ACT_EST_MAPPING=PRECISE", "FS=MRC", "CURRENCY=USD", "XLFILL=b")</f>
        <v>#NAME?</v>
      </c>
      <c r="E52" t="e" cm="1">
        <f t="array" aca="1" ref="E52" ca="1">BQL("SEG9557191304 Segment", "NUMBER_CUSTOMERS_SEG_SHARE_PCT", "FPT=A", "FPO=1A", "ACT_EST_MAPPING=PRECISE", "FS=MRC", "CURRENCY=USD", "XLFILL=b")</f>
        <v>#NAME?</v>
      </c>
      <c r="F52" t="e" cm="1">
        <f t="array" aca="1" ref="F52" ca="1">BQL("SEG9557191304 Segment", "NUMBER_CUSTOMERS_SEG_SHARE_PCT", "FPT=A", "FPO=2A", "ACT_EST_MAPPING=PRECISE", "FS=MRC", "CURRENCY=USD", "XLFILL=b")</f>
        <v>#NAME?</v>
      </c>
      <c r="G52" t="e" cm="1">
        <f t="array" aca="1" ref="G52" ca="1">BQL("SEG9557191304 Segment", "NUMBER_CUSTOMERS_SEG_SHARE_PCT", "FPT=A", "FPO=3A", "ACT_EST_MAPPING=PRECISE", "FS=MRC", "CURRENCY=USD", "XLFILL=b")</f>
        <v>#NAME?</v>
      </c>
      <c r="H52" t="e" cm="1">
        <f t="array" aca="1" ref="H52" ca="1">BQL("SEG9557191304 Segment", "NUMBER_CUSTOMERS_SEG_SHARE_PCT", "FPT=A", "FPO=4A", "ACT_EST_MAPPING=PRECISE", "FS=MRC", "CURRENCY=USD", "XLFILL=b")</f>
        <v>#NAME?</v>
      </c>
      <c r="I52" t="e" cm="1">
        <f t="array" aca="1" ref="I52" ca="1">BQL("SEG9557191304 Segment", "NUMBER_CUSTOMERS_SEG_SHARE_PCT", "FPT=A", "FPO=5A", "ACT_EST_MAPPING=PRECISE", "FS=MRC", "CURRENCY=USD", "XLFILL=b")</f>
        <v>#NAME?</v>
      </c>
      <c r="J52" t="e" cm="1">
        <f t="array" aca="1" ref="J52" ca="1">BQL("SEG9557191304 Segment", "NUMBER_CUSTOMERS_SEG_SHARE_PCT", "FPT=A", "FPO=6A", "ACT_EST_MAPPING=PRECISE", "FS=MRC", "CURRENCY=USD", "XLFILL=b")</f>
        <v>#NAME?</v>
      </c>
      <c r="K52" t="e" cm="1">
        <f t="array" aca="1" ref="K52" ca="1">BQL("SEG9557191304 Segment", "NUMBER_CUSTOMERS_SEG_SHARE_PCT", "FPT=A", "FPO=7A", "ACT_EST_MAPPING=PRECISE", "FS=MRC", "CURRENCY=USD", "XLFILL=b")</f>
        <v>#NAME?</v>
      </c>
    </row>
    <row r="53" spans="1:11" x14ac:dyDescent="0.25">
      <c r="A53" t="s">
        <v>17</v>
      </c>
    </row>
    <row r="54" spans="1:11" x14ac:dyDescent="0.25">
      <c r="A54" t="s">
        <v>24</v>
      </c>
      <c r="B54" t="e" cm="1">
        <f t="array" aca="1" ref="B54" ca="1">BQL("CRWD US Equity", "SOFTWARE_BILLINGS_RATIO/1M", "FPT=A", "FPO=-2A", "ACT_EST_MAPPING=PRECISE", "FS=MRC", "CURRENCY=USD", "XLFILL=b")</f>
        <v>#NAME?</v>
      </c>
      <c r="C54" t="e" cm="1">
        <f t="array" aca="1" ref="C54" ca="1">BQL("CRWD US Equity", "SOFTWARE_BILLINGS_RATIO/1M", "FPT=A", "FPO=-1A", "ACT_EST_MAPPING=PRECISE", "FS=MRC", "CURRENCY=USD", "XLFILL=b")</f>
        <v>#NAME?</v>
      </c>
      <c r="D54" t="e" cm="1">
        <f t="array" aca="1" ref="D54" ca="1">BQL("CRWD US Equity", "SOFTWARE_BILLINGS_RATIO/1M", "FPT=A", "FPO=0A", "ACT_EST_MAPPING=PRECISE", "FS=MRC", "CURRENCY=USD", "XLFILL=b")</f>
        <v>#NAME?</v>
      </c>
      <c r="E54" t="e" cm="1">
        <f t="array" aca="1" ref="E54" ca="1">BQL("CRWD US Equity", "SOFTWARE_BILLINGS_RATIO/1M", "FPT=A", "FPO=1A", "ACT_EST_MAPPING=PRECISE", "FS=MRC", "CURRENCY=USD", "XLFILL=b")</f>
        <v>#NAME?</v>
      </c>
      <c r="F54" t="e" cm="1">
        <f t="array" aca="1" ref="F54" ca="1">BQL("CRWD US Equity", "SOFTWARE_BILLINGS_RATIO/1M", "FPT=A", "FPO=2A", "ACT_EST_MAPPING=PRECISE", "FS=MRC", "CURRENCY=USD", "XLFILL=b")</f>
        <v>#NAME?</v>
      </c>
      <c r="G54" t="e" cm="1">
        <f t="array" aca="1" ref="G54" ca="1">BQL("CRWD US Equity", "SOFTWARE_BILLINGS_RATIO/1M", "FPT=A", "FPO=3A", "ACT_EST_MAPPING=PRECISE", "FS=MRC", "CURRENCY=USD", "XLFILL=b")</f>
        <v>#NAME?</v>
      </c>
      <c r="H54" t="e" cm="1">
        <f t="array" aca="1" ref="H54" ca="1">BQL("CRWD US Equity", "SOFTWARE_BILLINGS_RATIO/1M", "FPT=A", "FPO=4A", "ACT_EST_MAPPING=PRECISE", "FS=MRC", "CURRENCY=USD", "XLFILL=b")</f>
        <v>#NAME?</v>
      </c>
      <c r="I54" t="e" cm="1">
        <f t="array" aca="1" ref="I54" ca="1">BQL("CRWD US Equity", "SOFTWARE_BILLINGS_RATIO/1M", "FPT=A", "FPO=5A", "ACT_EST_MAPPING=PRECISE", "FS=MRC", "CURRENCY=USD", "XLFILL=b")</f>
        <v>#NAME?</v>
      </c>
      <c r="J54" t="e" cm="1">
        <f t="array" aca="1" ref="J54" ca="1">BQL("CRWD US Equity", "SOFTWARE_BILLINGS_RATIO/1M", "FPT=A", "FPO=6A", "ACT_EST_MAPPING=PRECISE", "FS=MRC", "CURRENCY=USD", "XLFILL=b")</f>
        <v>#NAME?</v>
      </c>
      <c r="K54" t="e" cm="1">
        <f t="array" aca="1" ref="K54" ca="1">BQL("CRWD US Equity", "SOFTWARE_BILLINGS_RATIO/1M", "FPT=A", "FPO=7A", "ACT_EST_MAPPING=PRECISE", "FS=MRC", "CURRENCY=USD", "XLFILL=b")</f>
        <v>#NAME?</v>
      </c>
    </row>
    <row r="55" spans="1:11" x14ac:dyDescent="0.25">
      <c r="A55" t="s">
        <v>27</v>
      </c>
      <c r="B55" t="e" cm="1">
        <f t="array" aca="1" ref="B55" ca="1">BQL("CRWD US Equity", "DEFERRED_REV/1M", "FPT=A", "FPO=-2A", "ACT_EST_MAPPING=PRECISE", "FS=MRC", "CURRENCY=USD", "XLFILL=b")</f>
        <v>#NAME?</v>
      </c>
      <c r="C55" t="e" cm="1">
        <f t="array" aca="1" ref="C55" ca="1">BQL("CRWD US Equity", "DEFERRED_REV/1M", "FPT=A", "FPO=-1A", "ACT_EST_MAPPING=PRECISE", "FS=MRC", "CURRENCY=USD", "XLFILL=b")</f>
        <v>#NAME?</v>
      </c>
      <c r="D55" t="e" cm="1">
        <f t="array" aca="1" ref="D55" ca="1">BQL("CRWD US Equity", "DEFERRED_REV/1M", "FPT=A", "FPO=0A", "ACT_EST_MAPPING=PRECISE", "FS=MRC", "CURRENCY=USD", "XLFILL=b")</f>
        <v>#NAME?</v>
      </c>
      <c r="E55" t="e" cm="1">
        <f t="array" aca="1" ref="E55" ca="1">BQL("CRWD US Equity", "DEFERRED_REV/1M", "FPT=A", "FPO=1A", "ACT_EST_MAPPING=PRECISE", "FS=MRC", "CURRENCY=USD", "XLFILL=b")</f>
        <v>#NAME?</v>
      </c>
      <c r="F55" t="e" cm="1">
        <f t="array" aca="1" ref="F55" ca="1">BQL("CRWD US Equity", "DEFERRED_REV/1M", "FPT=A", "FPO=2A", "ACT_EST_MAPPING=PRECISE", "FS=MRC", "CURRENCY=USD", "XLFILL=b")</f>
        <v>#NAME?</v>
      </c>
      <c r="G55" t="e" cm="1">
        <f t="array" aca="1" ref="G55" ca="1">BQL("CRWD US Equity", "DEFERRED_REV/1M", "FPT=A", "FPO=3A", "ACT_EST_MAPPING=PRECISE", "FS=MRC", "CURRENCY=USD", "XLFILL=b")</f>
        <v>#NAME?</v>
      </c>
      <c r="H55" t="e" cm="1">
        <f t="array" aca="1" ref="H55" ca="1">BQL("CRWD US Equity", "DEFERRED_REV/1M", "FPT=A", "FPO=4A", "ACT_EST_MAPPING=PRECISE", "FS=MRC", "CURRENCY=USD", "XLFILL=b")</f>
        <v>#NAME?</v>
      </c>
      <c r="I55" t="e" cm="1">
        <f t="array" aca="1" ref="I55" ca="1">BQL("CRWD US Equity", "DEFERRED_REV/1M", "FPT=A", "FPO=5A", "ACT_EST_MAPPING=PRECISE", "FS=MRC", "CURRENCY=USD", "XLFILL=b")</f>
        <v>#NAME?</v>
      </c>
      <c r="J55" t="e" cm="1">
        <f t="array" aca="1" ref="J55" ca="1">BQL("CRWD US Equity", "DEFERRED_REV/1M", "FPT=A", "FPO=6A", "ACT_EST_MAPPING=PRECISE", "FS=MRC", "CURRENCY=USD", "XLFILL=b")</f>
        <v>#NAME?</v>
      </c>
      <c r="K55" t="e" cm="1">
        <f t="array" aca="1" ref="K55" ca="1">BQL("CRWD US Equity", "DEFERRED_REV/1M", "FPT=A", "FPO=7A", "ACT_EST_MAPPING=PRECISE", "FS=MRC", "CURRENCY=USD", "XLFILL=b")</f>
        <v>#NAME?</v>
      </c>
    </row>
    <row r="56" spans="1:11" x14ac:dyDescent="0.25">
      <c r="A56" t="s">
        <v>28</v>
      </c>
      <c r="B56" t="e" cm="1">
        <f t="array" aca="1" ref="B56" ca="1">BQL("CRWD US Equity", "CF_CHANGE_IN_DEFER_REV_LONG_TERM/1M", "FPT=A", "FPO=-2A", "ACT_EST_MAPPING=PRECISE", "FS=MRC", "CURRENCY=USD", "XLFILL=b")</f>
        <v>#NAME?</v>
      </c>
      <c r="C56" t="e" cm="1">
        <f t="array" aca="1" ref="C56" ca="1">BQL("CRWD US Equity", "CF_CHANGE_IN_DEFER_REV_LONG_TERM/1M", "FPT=A", "FPO=-1A", "ACT_EST_MAPPING=PRECISE", "FS=MRC", "CURRENCY=USD", "XLFILL=b")</f>
        <v>#NAME?</v>
      </c>
      <c r="D56" t="e" cm="1">
        <f t="array" aca="1" ref="D56" ca="1">BQL("CRWD US Equity", "CF_CHANGE_IN_DEFER_REV_LONG_TERM/1M", "FPT=A", "FPO=0A", "ACT_EST_MAPPING=PRECISE", "FS=MRC", "CURRENCY=USD", "XLFILL=b")</f>
        <v>#NAME?</v>
      </c>
      <c r="E56" t="e" cm="1">
        <f t="array" aca="1" ref="E56" ca="1">BQL("CRWD US Equity", "CF_CHANGE_IN_DEFER_REV_LONG_TERM/1M", "FPT=A", "FPO=1A", "ACT_EST_MAPPING=PRECISE", "FS=MRC", "CURRENCY=USD", "XLFILL=b")</f>
        <v>#NAME?</v>
      </c>
      <c r="F56" t="e" cm="1">
        <f t="array" aca="1" ref="F56" ca="1">BQL("CRWD US Equity", "CF_CHANGE_IN_DEFER_REV_LONG_TERM/1M", "FPT=A", "FPO=2A", "ACT_EST_MAPPING=PRECISE", "FS=MRC", "CURRENCY=USD", "XLFILL=b")</f>
        <v>#NAME?</v>
      </c>
      <c r="G56" t="e" cm="1">
        <f t="array" aca="1" ref="G56" ca="1">BQL("CRWD US Equity", "CF_CHANGE_IN_DEFER_REV_LONG_TERM/1M", "FPT=A", "FPO=3A", "ACT_EST_MAPPING=PRECISE", "FS=MRC", "CURRENCY=USD", "XLFILL=b")</f>
        <v>#NAME?</v>
      </c>
      <c r="H56" t="e" cm="1">
        <f t="array" aca="1" ref="H56" ca="1">BQL("CRWD US Equity", "CF_CHANGE_IN_DEFER_REV_LONG_TERM/1M", "FPT=A", "FPO=4A", "ACT_EST_MAPPING=PRECISE", "FS=MRC", "CURRENCY=USD", "XLFILL=b")</f>
        <v>#NAME?</v>
      </c>
      <c r="I56" t="e" cm="1">
        <f t="array" aca="1" ref="I56" ca="1">BQL("CRWD US Equity", "CF_CHANGE_IN_DEFER_REV_LONG_TERM/1M", "FPT=A", "FPO=5A", "ACT_EST_MAPPING=PRECISE", "FS=MRC", "CURRENCY=USD", "XLFILL=b")</f>
        <v>#NAME?</v>
      </c>
      <c r="J56" t="e" cm="1">
        <f t="array" aca="1" ref="J56" ca="1">BQL("CRWD US Equity", "CF_CHANGE_IN_DEFER_REV_LONG_TERM/1M", "FPT=A", "FPO=6A", "ACT_EST_MAPPING=PRECISE", "FS=MRC", "CURRENCY=USD", "XLFILL=b")</f>
        <v>#NAME?</v>
      </c>
      <c r="K56" t="e" cm="1">
        <f t="array" aca="1" ref="K56" ca="1">BQL("CRWD US Equity", "CF_CHANGE_IN_DEFER_REV_LONG_TERM/1M", "FPT=A", "FPO=7A", "ACT_EST_MAPPING=PRECISE", "FS=MRC", "CURRENCY=USD", "XLFILL=b")</f>
        <v>#NAME?</v>
      </c>
    </row>
    <row r="57" spans="1:11" x14ac:dyDescent="0.25">
      <c r="A57" t="s">
        <v>49</v>
      </c>
      <c r="B57" t="e" cm="1">
        <f t="array" aca="1" ref="B57" ca="1">BQL("CRWD US Equity", "ANNUALIZED_DAYS_SALES_OUTSTDG", "FPT=A", "FPO=-2A", "ACT_EST_MAPPING=PRECISE", "FS=MRC", "CURRENCY=USD", "XLFILL=b")</f>
        <v>#NAME?</v>
      </c>
      <c r="C57" t="e" cm="1">
        <f t="array" aca="1" ref="C57" ca="1">BQL("CRWD US Equity", "ANNUALIZED_DAYS_SALES_OUTSTDG", "FPT=A", "FPO=-1A", "ACT_EST_MAPPING=PRECISE", "FS=MRC", "CURRENCY=USD", "XLFILL=b")</f>
        <v>#NAME?</v>
      </c>
      <c r="D57" t="e" cm="1">
        <f t="array" aca="1" ref="D57" ca="1">BQL("CRWD US Equity", "ANNUALIZED_DAYS_SALES_OUTSTDG", "FPT=A", "FPO=0A", "ACT_EST_MAPPING=PRECISE", "FS=MRC", "CURRENCY=USD", "XLFILL=b")</f>
        <v>#NAME?</v>
      </c>
      <c r="E57" t="e" cm="1">
        <f t="array" aca="1" ref="E57" ca="1">BQL("CRWD US Equity", "ANNUALIZED_DAYS_SALES_OUTSTDG", "FPT=A", "FPO=1A", "ACT_EST_MAPPING=PRECISE", "FS=MRC", "CURRENCY=USD", "XLFILL=b")</f>
        <v>#NAME?</v>
      </c>
      <c r="F57" t="e" cm="1">
        <f t="array" aca="1" ref="F57" ca="1">BQL("CRWD US Equity", "ANNUALIZED_DAYS_SALES_OUTSTDG", "FPT=A", "FPO=2A", "ACT_EST_MAPPING=PRECISE", "FS=MRC", "CURRENCY=USD", "XLFILL=b")</f>
        <v>#NAME?</v>
      </c>
      <c r="G57" t="e" cm="1">
        <f t="array" aca="1" ref="G57" ca="1">BQL("CRWD US Equity", "ANNUALIZED_DAYS_SALES_OUTSTDG", "FPT=A", "FPO=3A", "ACT_EST_MAPPING=PRECISE", "FS=MRC", "CURRENCY=USD", "XLFILL=b")</f>
        <v>#NAME?</v>
      </c>
      <c r="H57" t="e" cm="1">
        <f t="array" aca="1" ref="H57" ca="1">BQL("CRWD US Equity", "ANNUALIZED_DAYS_SALES_OUTSTDG", "FPT=A", "FPO=4A", "ACT_EST_MAPPING=PRECISE", "FS=MRC", "CURRENCY=USD", "XLFILL=b")</f>
        <v>#NAME?</v>
      </c>
      <c r="I57" t="e" cm="1">
        <f t="array" aca="1" ref="I57" ca="1">BQL("CRWD US Equity", "ANNUALIZED_DAYS_SALES_OUTSTDG", "FPT=A", "FPO=5A", "ACT_EST_MAPPING=PRECISE", "FS=MRC", "CURRENCY=USD", "XLFILL=b")</f>
        <v>#NAME?</v>
      </c>
      <c r="J57" t="e" cm="1">
        <f t="array" aca="1" ref="J57" ca="1">BQL("CRWD US Equity", "ANNUALIZED_DAYS_SALES_OUTSTDG", "FPT=A", "FPO=6A", "ACT_EST_MAPPING=PRECISE", "FS=MRC", "CURRENCY=USD", "XLFILL=b")</f>
        <v>#NAME?</v>
      </c>
      <c r="K57" t="e" cm="1">
        <f t="array" aca="1" ref="K57" ca="1">BQL("CRWD US Equity", "ANNUALIZED_DAYS_SALES_OUTSTDG", "FPT=A", "FPO=7A", "ACT_EST_MAPPING=PRECISE", "FS=MRC", "CURRENCY=USD", "XLFILL=b")</f>
        <v>#NAME?</v>
      </c>
    </row>
    <row r="58" spans="1:11" x14ac:dyDescent="0.25">
      <c r="A58" t="s">
        <v>25</v>
      </c>
      <c r="B58" t="e" cm="1">
        <f t="array" aca="1" ref="B58" ca="1">BQL("CRWD US Equity", "BS_REMAINING_PERFORMANCE_OBLIG/1M", "FPT=A", "FPO=-2A", "ACT_EST_MAPPING=PRECISE", "FS=MRC", "CURRENCY=USD", "XLFILL=b")</f>
        <v>#NAME?</v>
      </c>
      <c r="C58" t="e" cm="1">
        <f t="array" aca="1" ref="C58" ca="1">BQL("CRWD US Equity", "BS_REMAINING_PERFORMANCE_OBLIG/1M", "FPT=A", "FPO=-1A", "ACT_EST_MAPPING=PRECISE", "FS=MRC", "CURRENCY=USD", "XLFILL=b")</f>
        <v>#NAME?</v>
      </c>
      <c r="D58" t="e" cm="1">
        <f t="array" aca="1" ref="D58" ca="1">BQL("CRWD US Equity", "BS_REMAINING_PERFORMANCE_OBLIG/1M", "FPT=A", "FPO=0A", "ACT_EST_MAPPING=PRECISE", "FS=MRC", "CURRENCY=USD", "XLFILL=b")</f>
        <v>#NAME?</v>
      </c>
      <c r="E58" t="e" cm="1">
        <f t="array" aca="1" ref="E58" ca="1">BQL("CRWD US Equity", "BS_REMAINING_PERFORMANCE_OBLIG/1M", "FPT=A", "FPO=1A", "ACT_EST_MAPPING=PRECISE", "FS=MRC", "CURRENCY=USD", "XLFILL=b")</f>
        <v>#NAME?</v>
      </c>
      <c r="F58" t="e" cm="1">
        <f t="array" aca="1" ref="F58" ca="1">BQL("CRWD US Equity", "BS_REMAINING_PERFORMANCE_OBLIG/1M", "FPT=A", "FPO=2A", "ACT_EST_MAPPING=PRECISE", "FS=MRC", "CURRENCY=USD", "XLFILL=b")</f>
        <v>#NAME?</v>
      </c>
      <c r="G58" t="e" cm="1">
        <f t="array" aca="1" ref="G58" ca="1">BQL("CRWD US Equity", "BS_REMAINING_PERFORMANCE_OBLIG/1M", "FPT=A", "FPO=3A", "ACT_EST_MAPPING=PRECISE", "FS=MRC", "CURRENCY=USD", "XLFILL=b")</f>
        <v>#NAME?</v>
      </c>
      <c r="H58" t="e" cm="1">
        <f t="array" aca="1" ref="H58" ca="1">BQL("CRWD US Equity", "BS_REMAINING_PERFORMANCE_OBLIG/1M", "FPT=A", "FPO=4A", "ACT_EST_MAPPING=PRECISE", "FS=MRC", "CURRENCY=USD", "XLFILL=b")</f>
        <v>#NAME?</v>
      </c>
      <c r="I58" t="e" cm="1">
        <f t="array" aca="1" ref="I58" ca="1">BQL("CRWD US Equity", "BS_REMAINING_PERFORMANCE_OBLIG/1M", "FPT=A", "FPO=5A", "ACT_EST_MAPPING=PRECISE", "FS=MRC", "CURRENCY=USD", "XLFILL=b")</f>
        <v>#NAME?</v>
      </c>
      <c r="J58" t="e" cm="1">
        <f t="array" aca="1" ref="J58" ca="1">BQL("CRWD US Equity", "BS_REMAINING_PERFORMANCE_OBLIG/1M", "FPT=A", "FPO=6A", "ACT_EST_MAPPING=PRECISE", "FS=MRC", "CURRENCY=USD", "XLFILL=b")</f>
        <v>#NAME?</v>
      </c>
      <c r="K58" t="e" cm="1">
        <f t="array" aca="1" ref="K58" ca="1">BQL("CRWD US Equity", "BS_REMAINING_PERFORMANCE_OBLIG/1M", "FPT=A", "FPO=7A", "ACT_EST_MAPPING=PRECISE", "FS=MRC", "CURRENCY=USD", "XLFILL=b")</f>
        <v>#NAME?</v>
      </c>
    </row>
    <row r="59" spans="1:11" x14ac:dyDescent="0.25">
      <c r="A59" t="s">
        <v>50</v>
      </c>
      <c r="B59" t="e" cm="1">
        <f t="array" aca="1" ref="B59" ca="1">BQL("CRWD US Equity", "CB_BS_REMAIN_PERFORM_OBLIG_DUE_IN_1_YR/1M", "FPT=A", "FPO=-2A", "ACT_EST_MAPPING=PRECISE", "FS=MRC", "CURRENCY=USD", "XLFILL=b")</f>
        <v>#NAME?</v>
      </c>
      <c r="C59" t="e" cm="1">
        <f t="array" aca="1" ref="C59" ca="1">BQL("CRWD US Equity", "CB_BS_REMAIN_PERFORM_OBLIG_DUE_IN_1_YR/1M", "FPT=A", "FPO=-1A", "ACT_EST_MAPPING=PRECISE", "FS=MRC", "CURRENCY=USD", "XLFILL=b")</f>
        <v>#NAME?</v>
      </c>
      <c r="D59" t="e" cm="1">
        <f t="array" aca="1" ref="D59" ca="1">BQL("CRWD US Equity", "CB_BS_REMAIN_PERFORM_OBLIG_DUE_IN_1_YR/1M", "FPT=A", "FPO=0A", "ACT_EST_MAPPING=PRECISE", "FS=MRC", "CURRENCY=USD", "XLFILL=b")</f>
        <v>#NAME?</v>
      </c>
      <c r="E59" t="e" cm="1">
        <f t="array" aca="1" ref="E59" ca="1">BQL("CRWD US Equity", "CB_BS_REMAIN_PERFORM_OBLIG_DUE_IN_1_YR/1M", "FPT=A", "FPO=1A", "ACT_EST_MAPPING=PRECISE", "FS=MRC", "CURRENCY=USD", "XLFILL=b")</f>
        <v>#NAME?</v>
      </c>
      <c r="F59" t="e" cm="1">
        <f t="array" aca="1" ref="F59" ca="1">BQL("CRWD US Equity", "CB_BS_REMAIN_PERFORM_OBLIG_DUE_IN_1_YR/1M", "FPT=A", "FPO=2A", "ACT_EST_MAPPING=PRECISE", "FS=MRC", "CURRENCY=USD", "XLFILL=b")</f>
        <v>#NAME?</v>
      </c>
      <c r="G59" t="e" cm="1">
        <f t="array" aca="1" ref="G59" ca="1">BQL("CRWD US Equity", "CB_BS_REMAIN_PERFORM_OBLIG_DUE_IN_1_YR/1M", "FPT=A", "FPO=3A", "ACT_EST_MAPPING=PRECISE", "FS=MRC", "CURRENCY=USD", "XLFILL=b")</f>
        <v>#NAME?</v>
      </c>
      <c r="H59" t="e" cm="1">
        <f t="array" aca="1" ref="H59" ca="1">BQL("CRWD US Equity", "CB_BS_REMAIN_PERFORM_OBLIG_DUE_IN_1_YR/1M", "FPT=A", "FPO=4A", "ACT_EST_MAPPING=PRECISE", "FS=MRC", "CURRENCY=USD", "XLFILL=b")</f>
        <v>#NAME?</v>
      </c>
      <c r="I59" t="e" cm="1">
        <f t="array" aca="1" ref="I59" ca="1">BQL("CRWD US Equity", "CB_BS_REMAIN_PERFORM_OBLIG_DUE_IN_1_YR/1M", "FPT=A", "FPO=5A", "ACT_EST_MAPPING=PRECISE", "FS=MRC", "CURRENCY=USD", "XLFILL=b")</f>
        <v>#NAME?</v>
      </c>
      <c r="J59" t="e" cm="1">
        <f t="array" aca="1" ref="J59" ca="1">BQL("CRWD US Equity", "CB_BS_REMAIN_PERFORM_OBLIG_DUE_IN_1_YR/1M", "FPT=A", "FPO=6A", "ACT_EST_MAPPING=PRECISE", "FS=MRC", "CURRENCY=USD", "XLFILL=b")</f>
        <v>#NAME?</v>
      </c>
      <c r="K59" t="e" cm="1">
        <f t="array" aca="1" ref="K59" ca="1">BQL("CRWD US Equity", "CB_BS_REMAIN_PERFORM_OBLIG_DUE_IN_1_YR/1M", "FPT=A", "FPO=7A", "ACT_EST_MAPPING=PRECISE", "FS=MRC", "CURRENCY=USD", "XLFILL=b")</f>
        <v>#NAME?</v>
      </c>
    </row>
    <row r="60" spans="1:11" x14ac:dyDescent="0.25">
      <c r="A60" t="s">
        <v>26</v>
      </c>
      <c r="B60" t="e" cm="1">
        <f t="array" aca="1" ref="B60" ca="1">BQL("CRWD US Equity", "IS_ORDER_BACKLOG_VALUE/1M", "FPT=A", "FPO=-2A", "ACT_EST_MAPPING=PRECISE", "FS=MRC", "CURRENCY=USD", "XLFILL=b")</f>
        <v>#NAME?</v>
      </c>
      <c r="C60" t="e" cm="1">
        <f t="array" aca="1" ref="C60" ca="1">BQL("CRWD US Equity", "IS_ORDER_BACKLOG_VALUE/1M", "FPT=A", "FPO=-1A", "ACT_EST_MAPPING=PRECISE", "FS=MRC", "CURRENCY=USD", "XLFILL=b")</f>
        <v>#NAME?</v>
      </c>
      <c r="D60" t="e" cm="1">
        <f t="array" aca="1" ref="D60" ca="1">BQL("CRWD US Equity", "IS_ORDER_BACKLOG_VALUE/1M", "FPT=A", "FPO=0A", "ACT_EST_MAPPING=PRECISE", "FS=MRC", "CURRENCY=USD", "XLFILL=b")</f>
        <v>#NAME?</v>
      </c>
      <c r="E60" t="e" cm="1">
        <f t="array" aca="1" ref="E60" ca="1">BQL("CRWD US Equity", "IS_ORDER_BACKLOG_VALUE/1M", "FPT=A", "FPO=1A", "ACT_EST_MAPPING=PRECISE", "FS=MRC", "CURRENCY=USD", "XLFILL=b")</f>
        <v>#NAME?</v>
      </c>
      <c r="F60" t="e" cm="1">
        <f t="array" aca="1" ref="F60" ca="1">BQL("CRWD US Equity", "IS_ORDER_BACKLOG_VALUE/1M", "FPT=A", "FPO=2A", "ACT_EST_MAPPING=PRECISE", "FS=MRC", "CURRENCY=USD", "XLFILL=b")</f>
        <v>#NAME?</v>
      </c>
      <c r="G60" t="e" cm="1">
        <f t="array" aca="1" ref="G60" ca="1">BQL("CRWD US Equity", "IS_ORDER_BACKLOG_VALUE/1M", "FPT=A", "FPO=3A", "ACT_EST_MAPPING=PRECISE", "FS=MRC", "CURRENCY=USD", "XLFILL=b")</f>
        <v>#NAME?</v>
      </c>
      <c r="H60" t="e" cm="1">
        <f t="array" aca="1" ref="H60" ca="1">BQL("CRWD US Equity", "IS_ORDER_BACKLOG_VALUE/1M", "FPT=A", "FPO=4A", "ACT_EST_MAPPING=PRECISE", "FS=MRC", "CURRENCY=USD", "XLFILL=b")</f>
        <v>#NAME?</v>
      </c>
      <c r="I60" t="e" cm="1">
        <f t="array" aca="1" ref="I60" ca="1">BQL("CRWD US Equity", "IS_ORDER_BACKLOG_VALUE/1M", "FPT=A", "FPO=5A", "ACT_EST_MAPPING=PRECISE", "FS=MRC", "CURRENCY=USD", "XLFILL=b")</f>
        <v>#NAME?</v>
      </c>
      <c r="J60" t="e" cm="1">
        <f t="array" aca="1" ref="J60" ca="1">BQL("CRWD US Equity", "IS_ORDER_BACKLOG_VALUE/1M", "FPT=A", "FPO=6A", "ACT_EST_MAPPING=PRECISE", "FS=MRC", "CURRENCY=USD", "XLFILL=b")</f>
        <v>#NAME?</v>
      </c>
      <c r="K60" t="e" cm="1">
        <f t="array" aca="1" ref="K60" ca="1">BQL("CRWD US Equity", "IS_ORDER_BACKLOG_VALUE/1M", "FPT=A", "FPO=7A", "ACT_EST_MAPPING=PRECISE", "FS=MRC", "CURRENCY=USD", "XLFILL=b")</f>
        <v>#NAME?</v>
      </c>
    </row>
    <row r="61" spans="1:11" x14ac:dyDescent="0.25">
      <c r="A61" t="s">
        <v>17</v>
      </c>
    </row>
    <row r="62" spans="1:11" x14ac:dyDescent="0.25">
      <c r="A62" t="s">
        <v>51</v>
      </c>
    </row>
    <row r="63" spans="1:11" x14ac:dyDescent="0.25">
      <c r="A63" t="s">
        <v>52</v>
      </c>
      <c r="B63" t="e" cm="1">
        <f t="array" aca="1" ref="B63" ca="1">BQL("CRWD US Equity", "NUMBER_OF_CUSTOMERS/1K", "FPT=A", "FPO=-2A", "ACT_EST_MAPPING=PRECISE", "FS=MRC", "CURRENCY=USD", "XLFILL=b")</f>
        <v>#NAME?</v>
      </c>
      <c r="C63" t="e" cm="1">
        <f t="array" aca="1" ref="C63" ca="1">BQL("CRWD US Equity", "NUMBER_OF_CUSTOMERS/1K", "FPT=A", "FPO=-1A", "ACT_EST_MAPPING=PRECISE", "FS=MRC", "CURRENCY=USD", "XLFILL=b")</f>
        <v>#NAME?</v>
      </c>
      <c r="D63" t="e" cm="1">
        <f t="array" aca="1" ref="D63" ca="1">BQL("CRWD US Equity", "NUMBER_OF_CUSTOMERS/1K", "FPT=A", "FPO=0A", "ACT_EST_MAPPING=PRECISE", "FS=MRC", "CURRENCY=USD", "XLFILL=b")</f>
        <v>#NAME?</v>
      </c>
      <c r="E63" t="e" cm="1">
        <f t="array" aca="1" ref="E63" ca="1">BQL("CRWD US Equity", "NUMBER_OF_CUSTOMERS/1K", "FPT=A", "FPO=1A", "ACT_EST_MAPPING=PRECISE", "FS=MRC", "CURRENCY=USD", "XLFILL=b")</f>
        <v>#NAME?</v>
      </c>
      <c r="F63" t="e" cm="1">
        <f t="array" aca="1" ref="F63" ca="1">BQL("CRWD US Equity", "NUMBER_OF_CUSTOMERS/1K", "FPT=A", "FPO=2A", "ACT_EST_MAPPING=PRECISE", "FS=MRC", "CURRENCY=USD", "XLFILL=b")</f>
        <v>#NAME?</v>
      </c>
      <c r="G63" t="e" cm="1">
        <f t="array" aca="1" ref="G63" ca="1">BQL("CRWD US Equity", "NUMBER_OF_CUSTOMERS/1K", "FPT=A", "FPO=3A", "ACT_EST_MAPPING=PRECISE", "FS=MRC", "CURRENCY=USD", "XLFILL=b")</f>
        <v>#NAME?</v>
      </c>
      <c r="H63" t="e" cm="1">
        <f t="array" aca="1" ref="H63" ca="1">BQL("CRWD US Equity", "NUMBER_OF_CUSTOMERS/1K", "FPT=A", "FPO=4A", "ACT_EST_MAPPING=PRECISE", "FS=MRC", "CURRENCY=USD", "XLFILL=b")</f>
        <v>#NAME?</v>
      </c>
      <c r="I63" t="e" cm="1">
        <f t="array" aca="1" ref="I63" ca="1">BQL("CRWD US Equity", "NUMBER_OF_CUSTOMERS/1K", "FPT=A", "FPO=5A", "ACT_EST_MAPPING=PRECISE", "FS=MRC", "CURRENCY=USD", "XLFILL=b")</f>
        <v>#NAME?</v>
      </c>
      <c r="J63" t="e" cm="1">
        <f t="array" aca="1" ref="J63" ca="1">BQL("CRWD US Equity", "NUMBER_OF_CUSTOMERS/1K", "FPT=A", "FPO=6A", "ACT_EST_MAPPING=PRECISE", "FS=MRC", "CURRENCY=USD", "XLFILL=b")</f>
        <v>#NAME?</v>
      </c>
      <c r="K63" t="e" cm="1">
        <f t="array" aca="1" ref="K63" ca="1">BQL("CRWD US Equity", "NUMBER_OF_CUSTOMERS/1K", "FPT=A", "FPO=7A", "ACT_EST_MAPPING=PRECISE", "FS=MRC", "CURRENCY=USD", "XLFILL=b")</f>
        <v>#NAME?</v>
      </c>
    </row>
    <row r="64" spans="1:11" x14ac:dyDescent="0.25">
      <c r="A64" t="s">
        <v>53</v>
      </c>
      <c r="B64" t="e" cm="1">
        <f t="array" aca="1" ref="B64" ca="1">BQL("CRWD US Equity", "NEW_CUSTOMERS", "FPT=A", "FPO=-2A", "ACT_EST_MAPPING=PRECISE", "FS=MRC", "CURRENCY=USD", "XLFILL=b")</f>
        <v>#NAME?</v>
      </c>
      <c r="C64" t="e" cm="1">
        <f t="array" aca="1" ref="C64" ca="1">BQL("CRWD US Equity", "NEW_CUSTOMERS", "FPT=A", "FPO=-1A", "ACT_EST_MAPPING=PRECISE", "FS=MRC", "CURRENCY=USD", "XLFILL=b")</f>
        <v>#NAME?</v>
      </c>
      <c r="D64" t="e" cm="1">
        <f t="array" aca="1" ref="D64" ca="1">BQL("CRWD US Equity", "NEW_CUSTOMERS", "FPT=A", "FPO=0A", "ACT_EST_MAPPING=PRECISE", "FS=MRC", "CURRENCY=USD", "XLFILL=b")</f>
        <v>#NAME?</v>
      </c>
      <c r="E64" t="e" cm="1">
        <f t="array" aca="1" ref="E64" ca="1">BQL("CRWD US Equity", "NEW_CUSTOMERS", "FPT=A", "FPO=1A", "ACT_EST_MAPPING=PRECISE", "FS=MRC", "CURRENCY=USD", "XLFILL=b")</f>
        <v>#NAME?</v>
      </c>
      <c r="F64" t="e" cm="1">
        <f t="array" aca="1" ref="F64" ca="1">BQL("CRWD US Equity", "NEW_CUSTOMERS", "FPT=A", "FPO=2A", "ACT_EST_MAPPING=PRECISE", "FS=MRC", "CURRENCY=USD", "XLFILL=b")</f>
        <v>#NAME?</v>
      </c>
      <c r="G64" t="e" cm="1">
        <f t="array" aca="1" ref="G64" ca="1">BQL("CRWD US Equity", "NEW_CUSTOMERS", "FPT=A", "FPO=3A", "ACT_EST_MAPPING=PRECISE", "FS=MRC", "CURRENCY=USD", "XLFILL=b")</f>
        <v>#NAME?</v>
      </c>
      <c r="H64" t="e" cm="1">
        <f t="array" aca="1" ref="H64" ca="1">BQL("CRWD US Equity", "NEW_CUSTOMERS", "FPT=A", "FPO=4A", "ACT_EST_MAPPING=PRECISE", "FS=MRC", "CURRENCY=USD", "XLFILL=b")</f>
        <v>#NAME?</v>
      </c>
      <c r="I64" t="e" cm="1">
        <f t="array" aca="1" ref="I64" ca="1">BQL("CRWD US Equity", "NEW_CUSTOMERS", "FPT=A", "FPO=5A", "ACT_EST_MAPPING=PRECISE", "FS=MRC", "CURRENCY=USD", "XLFILL=b")</f>
        <v>#NAME?</v>
      </c>
      <c r="J64" t="e" cm="1">
        <f t="array" aca="1" ref="J64" ca="1">BQL("CRWD US Equity", "NEW_CUSTOMERS", "FPT=A", "FPO=6A", "ACT_EST_MAPPING=PRECISE", "FS=MRC", "CURRENCY=USD", "XLFILL=b")</f>
        <v>#NAME?</v>
      </c>
      <c r="K64" t="e" cm="1">
        <f t="array" aca="1" ref="K64" ca="1">BQL("CRWD US Equity", "NEW_CUSTOMERS", "FPT=A", "FPO=7A", "ACT_EST_MAPPING=PRECISE", "FS=MRC", "CURRENCY=USD", "XLFILL=b")</f>
        <v>#NAME?</v>
      </c>
    </row>
    <row r="65" spans="1:11" x14ac:dyDescent="0.25">
      <c r="A65" t="s">
        <v>54</v>
      </c>
      <c r="B65" t="e" cm="1">
        <f t="array" aca="1" ref="B65" ca="1">BQL("CRWD US Equity", "NUMBER_OF_CUSTOMERS_GROWTH_PCT", "FPT=A", "FPO=-2A", "ACT_EST_MAPPING=PRECISE", "FS=MRC", "CURRENCY=USD", "XLFILL=b")</f>
        <v>#NAME?</v>
      </c>
      <c r="C65" t="e" cm="1">
        <f t="array" aca="1" ref="C65" ca="1">BQL("CRWD US Equity", "NUMBER_OF_CUSTOMERS_GROWTH_PCT", "FPT=A", "FPO=-1A", "ACT_EST_MAPPING=PRECISE", "FS=MRC", "CURRENCY=USD", "XLFILL=b")</f>
        <v>#NAME?</v>
      </c>
      <c r="D65" t="e" cm="1">
        <f t="array" aca="1" ref="D65" ca="1">BQL("CRWD US Equity", "NUMBER_OF_CUSTOMERS_GROWTH_PCT", "FPT=A", "FPO=0A", "ACT_EST_MAPPING=PRECISE", "FS=MRC", "CURRENCY=USD", "XLFILL=b")</f>
        <v>#NAME?</v>
      </c>
      <c r="E65" t="e" cm="1">
        <f t="array" aca="1" ref="E65" ca="1">BQL("CRWD US Equity", "NUMBER_OF_CUSTOMERS_GROWTH_PCT", "FPT=A", "FPO=1A", "ACT_EST_MAPPING=PRECISE", "FS=MRC", "CURRENCY=USD", "XLFILL=b")</f>
        <v>#NAME?</v>
      </c>
      <c r="F65" t="e" cm="1">
        <f t="array" aca="1" ref="F65" ca="1">BQL("CRWD US Equity", "NUMBER_OF_CUSTOMERS_GROWTH_PCT", "FPT=A", "FPO=2A", "ACT_EST_MAPPING=PRECISE", "FS=MRC", "CURRENCY=USD", "XLFILL=b")</f>
        <v>#NAME?</v>
      </c>
      <c r="G65" t="e" cm="1">
        <f t="array" aca="1" ref="G65" ca="1">BQL("CRWD US Equity", "NUMBER_OF_CUSTOMERS_GROWTH_PCT", "FPT=A", "FPO=3A", "ACT_EST_MAPPING=PRECISE", "FS=MRC", "CURRENCY=USD", "XLFILL=b")</f>
        <v>#NAME?</v>
      </c>
      <c r="H65" t="e" cm="1">
        <f t="array" aca="1" ref="H65" ca="1">BQL("CRWD US Equity", "NUMBER_OF_CUSTOMERS_GROWTH_PCT", "FPT=A", "FPO=4A", "ACT_EST_MAPPING=PRECISE", "FS=MRC", "CURRENCY=USD", "XLFILL=b")</f>
        <v>#NAME?</v>
      </c>
      <c r="I65" t="e" cm="1">
        <f t="array" aca="1" ref="I65" ca="1">BQL("CRWD US Equity", "NUMBER_OF_CUSTOMERS_GROWTH_PCT", "FPT=A", "FPO=5A", "ACT_EST_MAPPING=PRECISE", "FS=MRC", "CURRENCY=USD", "XLFILL=b")</f>
        <v>#NAME?</v>
      </c>
      <c r="J65" t="e" cm="1">
        <f t="array" aca="1" ref="J65" ca="1">BQL("CRWD US Equity", "NUMBER_OF_CUSTOMERS_GROWTH_PCT", "FPT=A", "FPO=6A", "ACT_EST_MAPPING=PRECISE", "FS=MRC", "CURRENCY=USD", "XLFILL=b")</f>
        <v>#NAME?</v>
      </c>
      <c r="K65" t="e" cm="1">
        <f t="array" aca="1" ref="K65" ca="1">BQL("CRWD US Equity", "NUMBER_OF_CUSTOMERS_GROWTH_PCT", "FPT=A", "FPO=7A", "ACT_EST_MAPPING=PRECISE", "FS=MRC", "CURRENCY=USD", "XLFILL=b")</f>
        <v>#NAME?</v>
      </c>
    </row>
    <row r="66" spans="1:11" x14ac:dyDescent="0.25">
      <c r="A66" t="s">
        <v>55</v>
      </c>
      <c r="B66" t="e" cm="1">
        <f t="array" aca="1" ref="B66" ca="1">BQL("CRWD US Equity", "NUMBER_OF_ACTIVE_CLIENTS", "FPT=A", "FPO=-2A", "ACT_EST_MAPPING=PRECISE", "FS=MRC", "CURRENCY=USD", "XLFILL=b")</f>
        <v>#NAME?</v>
      </c>
      <c r="C66" t="e" cm="1">
        <f t="array" aca="1" ref="C66" ca="1">BQL("CRWD US Equity", "NUMBER_OF_ACTIVE_CLIENTS", "FPT=A", "FPO=-1A", "ACT_EST_MAPPING=PRECISE", "FS=MRC", "CURRENCY=USD", "XLFILL=b")</f>
        <v>#NAME?</v>
      </c>
      <c r="D66" t="e" cm="1">
        <f t="array" aca="1" ref="D66" ca="1">BQL("CRWD US Equity", "NUMBER_OF_ACTIVE_CLIENTS", "FPT=A", "FPO=0A", "ACT_EST_MAPPING=PRECISE", "FS=MRC", "CURRENCY=USD", "XLFILL=b")</f>
        <v>#NAME?</v>
      </c>
      <c r="E66" t="e" cm="1">
        <f t="array" aca="1" ref="E66" ca="1">BQL("CRWD US Equity", "NUMBER_OF_ACTIVE_CLIENTS", "FPT=A", "FPO=1A", "ACT_EST_MAPPING=PRECISE", "FS=MRC", "CURRENCY=USD", "XLFILL=b")</f>
        <v>#NAME?</v>
      </c>
      <c r="F66" t="e" cm="1">
        <f t="array" aca="1" ref="F66" ca="1">BQL("CRWD US Equity", "NUMBER_OF_ACTIVE_CLIENTS", "FPT=A", "FPO=2A", "ACT_EST_MAPPING=PRECISE", "FS=MRC", "CURRENCY=USD", "XLFILL=b")</f>
        <v>#NAME?</v>
      </c>
      <c r="G66" t="e" cm="1">
        <f t="array" aca="1" ref="G66" ca="1">BQL("CRWD US Equity", "NUMBER_OF_ACTIVE_CLIENTS", "FPT=A", "FPO=3A", "ACT_EST_MAPPING=PRECISE", "FS=MRC", "CURRENCY=USD", "XLFILL=b")</f>
        <v>#NAME?</v>
      </c>
      <c r="H66" t="e" cm="1">
        <f t="array" aca="1" ref="H66" ca="1">BQL("CRWD US Equity", "NUMBER_OF_ACTIVE_CLIENTS", "FPT=A", "FPO=4A", "ACT_EST_MAPPING=PRECISE", "FS=MRC", "CURRENCY=USD", "XLFILL=b")</f>
        <v>#NAME?</v>
      </c>
      <c r="I66" t="e" cm="1">
        <f t="array" aca="1" ref="I66" ca="1">BQL("CRWD US Equity", "NUMBER_OF_ACTIVE_CLIENTS", "FPT=A", "FPO=5A", "ACT_EST_MAPPING=PRECISE", "FS=MRC", "CURRENCY=USD", "XLFILL=b")</f>
        <v>#NAME?</v>
      </c>
      <c r="J66" t="e" cm="1">
        <f t="array" aca="1" ref="J66" ca="1">BQL("CRWD US Equity", "NUMBER_OF_ACTIVE_CLIENTS", "FPT=A", "FPO=6A", "ACT_EST_MAPPING=PRECISE", "FS=MRC", "CURRENCY=USD", "XLFILL=b")</f>
        <v>#NAME?</v>
      </c>
      <c r="K66" t="e" cm="1">
        <f t="array" aca="1" ref="K66" ca="1">BQL("CRWD US Equity", "NUMBER_OF_ACTIVE_CLIENTS", "FPT=A", "FPO=7A", "ACT_EST_MAPPING=PRECISE", "FS=MRC", "CURRENCY=USD", "XLFILL=b")</f>
        <v>#NAME?</v>
      </c>
    </row>
    <row r="67" spans="1:11" x14ac:dyDescent="0.25">
      <c r="A67" t="s">
        <v>45</v>
      </c>
    </row>
    <row r="68" spans="1:11" x14ac:dyDescent="0.25">
      <c r="A68" t="s">
        <v>56</v>
      </c>
      <c r="B68" t="e" cm="1">
        <f t="array" aca="1" ref="B68" ca="1">BQL("SEG2174452281 Segment", "NUMBER_CUSTOMERS_SEG_SHARE_PCT", "FPT=A", "FPO=-2A", "ACT_EST_MAPPING=PRECISE", "FS=MRC", "CURRENCY=USD", "XLFILL=b")</f>
        <v>#NAME?</v>
      </c>
      <c r="C68" t="e" cm="1">
        <f t="array" aca="1" ref="C68" ca="1">BQL("SEG2174452281 Segment", "NUMBER_CUSTOMERS_SEG_SHARE_PCT", "FPT=A", "FPO=-1A", "ACT_EST_MAPPING=PRECISE", "FS=MRC", "CURRENCY=USD", "XLFILL=b")</f>
        <v>#NAME?</v>
      </c>
      <c r="D68" t="e" cm="1">
        <f t="array" aca="1" ref="D68" ca="1">BQL("SEG2174452281 Segment", "NUMBER_CUSTOMERS_SEG_SHARE_PCT", "FPT=A", "FPO=0A", "ACT_EST_MAPPING=PRECISE", "FS=MRC", "CURRENCY=USD", "XLFILL=b")</f>
        <v>#NAME?</v>
      </c>
      <c r="E68" t="e" cm="1">
        <f t="array" aca="1" ref="E68" ca="1">BQL("SEG2174452281 Segment", "NUMBER_CUSTOMERS_SEG_SHARE_PCT", "FPT=A", "FPO=1A", "ACT_EST_MAPPING=PRECISE", "FS=MRC", "CURRENCY=USD", "XLFILL=b")</f>
        <v>#NAME?</v>
      </c>
      <c r="F68" t="e" cm="1">
        <f t="array" aca="1" ref="F68" ca="1">BQL("SEG2174452281 Segment", "NUMBER_CUSTOMERS_SEG_SHARE_PCT", "FPT=A", "FPO=2A", "ACT_EST_MAPPING=PRECISE", "FS=MRC", "CURRENCY=USD", "XLFILL=b")</f>
        <v>#NAME?</v>
      </c>
      <c r="G68" t="e" cm="1">
        <f t="array" aca="1" ref="G68" ca="1">BQL("SEG2174452281 Segment", "NUMBER_CUSTOMERS_SEG_SHARE_PCT", "FPT=A", "FPO=3A", "ACT_EST_MAPPING=PRECISE", "FS=MRC", "CURRENCY=USD", "XLFILL=b")</f>
        <v>#NAME?</v>
      </c>
      <c r="H68" t="e" cm="1">
        <f t="array" aca="1" ref="H68" ca="1">BQL("SEG2174452281 Segment", "NUMBER_CUSTOMERS_SEG_SHARE_PCT", "FPT=A", "FPO=4A", "ACT_EST_MAPPING=PRECISE", "FS=MRC", "CURRENCY=USD", "XLFILL=b")</f>
        <v>#NAME?</v>
      </c>
      <c r="I68" t="e" cm="1">
        <f t="array" aca="1" ref="I68" ca="1">BQL("SEG2174452281 Segment", "NUMBER_CUSTOMERS_SEG_SHARE_PCT", "FPT=A", "FPO=5A", "ACT_EST_MAPPING=PRECISE", "FS=MRC", "CURRENCY=USD", "XLFILL=b")</f>
        <v>#NAME?</v>
      </c>
      <c r="J68" t="e" cm="1">
        <f t="array" aca="1" ref="J68" ca="1">BQL("SEG2174452281 Segment", "NUMBER_CUSTOMERS_SEG_SHARE_PCT", "FPT=A", "FPO=6A", "ACT_EST_MAPPING=PRECISE", "FS=MRC", "CURRENCY=USD", "XLFILL=b")</f>
        <v>#NAME?</v>
      </c>
      <c r="K68" t="e" cm="1">
        <f t="array" aca="1" ref="K68" ca="1">BQL("SEG2174452281 Segment", "NUMBER_CUSTOMERS_SEG_SHARE_PCT", "FPT=A", "FPO=7A", "ACT_EST_MAPPING=PRECISE", "FS=MRC", "CURRENCY=USD", "XLFILL=b")</f>
        <v>#NAME?</v>
      </c>
    </row>
    <row r="69" spans="1:11" x14ac:dyDescent="0.25">
      <c r="A69" t="s">
        <v>57</v>
      </c>
      <c r="B69" t="e" cm="1">
        <f t="array" aca="1" ref="B69" ca="1">BQL("SEG6840912452 Segment", "NUMBER_CUSTOMERS_SEG_SHARE_PCT", "FPT=A", "FPO=-2A", "ACT_EST_MAPPING=PRECISE", "FS=MRC", "CURRENCY=USD", "XLFILL=b")</f>
        <v>#NAME?</v>
      </c>
      <c r="C69" t="e" cm="1">
        <f t="array" aca="1" ref="C69" ca="1">BQL("SEG6840912452 Segment", "NUMBER_CUSTOMERS_SEG_SHARE_PCT", "FPT=A", "FPO=-1A", "ACT_EST_MAPPING=PRECISE", "FS=MRC", "CURRENCY=USD", "XLFILL=b")</f>
        <v>#NAME?</v>
      </c>
      <c r="D69" t="e" cm="1">
        <f t="array" aca="1" ref="D69" ca="1">BQL("SEG6840912452 Segment", "NUMBER_CUSTOMERS_SEG_SHARE_PCT", "FPT=A", "FPO=0A", "ACT_EST_MAPPING=PRECISE", "FS=MRC", "CURRENCY=USD", "XLFILL=b")</f>
        <v>#NAME?</v>
      </c>
      <c r="E69" t="e" cm="1">
        <f t="array" aca="1" ref="E69" ca="1">BQL("SEG6840912452 Segment", "NUMBER_CUSTOMERS_SEG_SHARE_PCT", "FPT=A", "FPO=1A", "ACT_EST_MAPPING=PRECISE", "FS=MRC", "CURRENCY=USD", "XLFILL=b")</f>
        <v>#NAME?</v>
      </c>
      <c r="F69" t="e" cm="1">
        <f t="array" aca="1" ref="F69" ca="1">BQL("SEG6840912452 Segment", "NUMBER_CUSTOMERS_SEG_SHARE_PCT", "FPT=A", "FPO=2A", "ACT_EST_MAPPING=PRECISE", "FS=MRC", "CURRENCY=USD", "XLFILL=b")</f>
        <v>#NAME?</v>
      </c>
      <c r="G69" t="e" cm="1">
        <f t="array" aca="1" ref="G69" ca="1">BQL("SEG6840912452 Segment", "NUMBER_CUSTOMERS_SEG_SHARE_PCT", "FPT=A", "FPO=3A", "ACT_EST_MAPPING=PRECISE", "FS=MRC", "CURRENCY=USD", "XLFILL=b")</f>
        <v>#NAME?</v>
      </c>
      <c r="H69" t="e" cm="1">
        <f t="array" aca="1" ref="H69" ca="1">BQL("SEG6840912452 Segment", "NUMBER_CUSTOMERS_SEG_SHARE_PCT", "FPT=A", "FPO=4A", "ACT_EST_MAPPING=PRECISE", "FS=MRC", "CURRENCY=USD", "XLFILL=b")</f>
        <v>#NAME?</v>
      </c>
      <c r="I69" t="e" cm="1">
        <f t="array" aca="1" ref="I69" ca="1">BQL("SEG6840912452 Segment", "NUMBER_CUSTOMERS_SEG_SHARE_PCT", "FPT=A", "FPO=5A", "ACT_EST_MAPPING=PRECISE", "FS=MRC", "CURRENCY=USD", "XLFILL=b")</f>
        <v>#NAME?</v>
      </c>
      <c r="J69" t="e" cm="1">
        <f t="array" aca="1" ref="J69" ca="1">BQL("SEG6840912452 Segment", "NUMBER_CUSTOMERS_SEG_SHARE_PCT", "FPT=A", "FPO=6A", "ACT_EST_MAPPING=PRECISE", "FS=MRC", "CURRENCY=USD", "XLFILL=b")</f>
        <v>#NAME?</v>
      </c>
      <c r="K69" t="e" cm="1">
        <f t="array" aca="1" ref="K69" ca="1">BQL("SEG6840912452 Segment", "NUMBER_CUSTOMERS_SEG_SHARE_PCT", "FPT=A", "FPO=7A", "ACT_EST_MAPPING=PRECISE", "FS=MRC", "CURRENCY=USD", "XLFILL=b")</f>
        <v>#NAME?</v>
      </c>
    </row>
    <row r="70" spans="1:11" x14ac:dyDescent="0.25">
      <c r="A70" t="s">
        <v>17</v>
      </c>
    </row>
    <row r="71" spans="1:11" x14ac:dyDescent="0.25">
      <c r="A71" t="s">
        <v>58</v>
      </c>
    </row>
    <row r="72" spans="1:11" x14ac:dyDescent="0.25">
      <c r="A72" t="s">
        <v>59</v>
      </c>
    </row>
    <row r="73" spans="1:11" x14ac:dyDescent="0.25">
      <c r="A73" t="s">
        <v>60</v>
      </c>
      <c r="B73" t="e" cm="1">
        <f t="array" aca="1" ref="B73" ca="1">BQL("SEG0000347935 Segment", "SALES_REV_TURN/1M", "FPT=A", "FPO=-2A", "ACT_EST_MAPPING=PRECISE", "FS=MRC", "CURRENCY=USD", "XLFILL=b")</f>
        <v>#NAME?</v>
      </c>
      <c r="C73" t="e" cm="1">
        <f t="array" aca="1" ref="C73" ca="1">BQL("SEG0000347935 Segment", "SALES_REV_TURN/1M", "FPT=A", "FPO=-1A", "ACT_EST_MAPPING=PRECISE", "FS=MRC", "CURRENCY=USD", "XLFILL=b")</f>
        <v>#NAME?</v>
      </c>
      <c r="D73" t="e" cm="1">
        <f t="array" aca="1" ref="D73" ca="1">BQL("SEG0000347935 Segment", "SALES_REV_TURN/1M", "FPT=A", "FPO=0A", "ACT_EST_MAPPING=PRECISE", "FS=MRC", "CURRENCY=USD", "XLFILL=b")</f>
        <v>#NAME?</v>
      </c>
      <c r="E73" t="e" cm="1">
        <f t="array" aca="1" ref="E73" ca="1">BQL("SEG0000347935 Segment", "SALES_REV_TURN/1M", "FPT=A", "FPO=1A", "ACT_EST_MAPPING=PRECISE", "FS=MRC", "CURRENCY=USD", "XLFILL=b")</f>
        <v>#NAME?</v>
      </c>
      <c r="F73" t="e" cm="1">
        <f t="array" aca="1" ref="F73" ca="1">BQL("SEG0000347935 Segment", "SALES_REV_TURN/1M", "FPT=A", "FPO=2A", "ACT_EST_MAPPING=PRECISE", "FS=MRC", "CURRENCY=USD", "XLFILL=b")</f>
        <v>#NAME?</v>
      </c>
      <c r="G73" t="e" cm="1">
        <f t="array" aca="1" ref="G73" ca="1">BQL("SEG0000347935 Segment", "SALES_REV_TURN/1M", "FPT=A", "FPO=3A", "ACT_EST_MAPPING=PRECISE", "FS=MRC", "CURRENCY=USD", "XLFILL=b")</f>
        <v>#NAME?</v>
      </c>
      <c r="H73" t="e" cm="1">
        <f t="array" aca="1" ref="H73" ca="1">BQL("SEG0000347935 Segment", "SALES_REV_TURN/1M", "FPT=A", "FPO=4A", "ACT_EST_MAPPING=PRECISE", "FS=MRC", "CURRENCY=USD", "XLFILL=b")</f>
        <v>#NAME?</v>
      </c>
      <c r="I73" t="e" cm="1">
        <f t="array" aca="1" ref="I73" ca="1">BQL("SEG0000347935 Segment", "SALES_REV_TURN/1M", "FPT=A", "FPO=5A", "ACT_EST_MAPPING=PRECISE", "FS=MRC", "CURRENCY=USD", "XLFILL=b")</f>
        <v>#NAME?</v>
      </c>
      <c r="J73" t="e" cm="1">
        <f t="array" aca="1" ref="J73" ca="1">BQL("SEG0000347935 Segment", "SALES_REV_TURN/1M", "FPT=A", "FPO=6A", "ACT_EST_MAPPING=PRECISE", "FS=MRC", "CURRENCY=USD", "XLFILL=b")</f>
        <v>#NAME?</v>
      </c>
      <c r="K73" t="e" cm="1">
        <f t="array" aca="1" ref="K73" ca="1">BQL("SEG0000347935 Segment", "SALES_REV_TURN/1M", "FPT=A", "FPO=7A", "ACT_EST_MAPPING=PRECISE", "FS=MRC", "CURRENCY=USD", "XLFILL=b")</f>
        <v>#NAME?</v>
      </c>
    </row>
    <row r="74" spans="1:11" x14ac:dyDescent="0.25">
      <c r="A74" t="s">
        <v>61</v>
      </c>
      <c r="B74" t="e" cm="1">
        <f t="array" aca="1" ref="B74" ca="1">BQL("SEG0000347935 Segment", "IS_PERCENTAGE_OF_REVENUE", "FPT=A", "FPO=-2A", "ACT_EST_MAPPING=PRECISE", "FS=MRC", "CURRENCY=USD", "XLFILL=b")</f>
        <v>#NAME?</v>
      </c>
      <c r="C74" t="e" cm="1">
        <f t="array" aca="1" ref="C74" ca="1">BQL("SEG0000347935 Segment", "IS_PERCENTAGE_OF_REVENUE", "FPT=A", "FPO=-1A", "ACT_EST_MAPPING=PRECISE", "FS=MRC", "CURRENCY=USD", "XLFILL=b")</f>
        <v>#NAME?</v>
      </c>
      <c r="D74" t="e" cm="1">
        <f t="array" aca="1" ref="D74" ca="1">BQL("SEG0000347935 Segment", "IS_PERCENTAGE_OF_REVENUE", "FPT=A", "FPO=0A", "ACT_EST_MAPPING=PRECISE", "FS=MRC", "CURRENCY=USD", "XLFILL=b")</f>
        <v>#NAME?</v>
      </c>
      <c r="E74" t="e" cm="1">
        <f t="array" aca="1" ref="E74" ca="1">BQL("SEG0000347935 Segment", "IS_PERCENTAGE_OF_REVENUE", "FPT=A", "FPO=1A", "ACT_EST_MAPPING=PRECISE", "FS=MRC", "CURRENCY=USD", "XLFILL=b")</f>
        <v>#NAME?</v>
      </c>
      <c r="F74" t="e" cm="1">
        <f t="array" aca="1" ref="F74" ca="1">BQL("SEG0000347935 Segment", "IS_PERCENTAGE_OF_REVENUE", "FPT=A", "FPO=2A", "ACT_EST_MAPPING=PRECISE", "FS=MRC", "CURRENCY=USD", "XLFILL=b")</f>
        <v>#NAME?</v>
      </c>
      <c r="G74" t="e" cm="1">
        <f t="array" aca="1" ref="G74" ca="1">BQL("SEG0000347935 Segment", "IS_PERCENTAGE_OF_REVENUE", "FPT=A", "FPO=3A", "ACT_EST_MAPPING=PRECISE", "FS=MRC", "CURRENCY=USD", "XLFILL=b")</f>
        <v>#NAME?</v>
      </c>
      <c r="H74" t="e" cm="1">
        <f t="array" aca="1" ref="H74" ca="1">BQL("SEG0000347935 Segment", "IS_PERCENTAGE_OF_REVENUE", "FPT=A", "FPO=4A", "ACT_EST_MAPPING=PRECISE", "FS=MRC", "CURRENCY=USD", "XLFILL=b")</f>
        <v>#NAME?</v>
      </c>
      <c r="I74" t="e" cm="1">
        <f t="array" aca="1" ref="I74" ca="1">BQL("SEG0000347935 Segment", "IS_PERCENTAGE_OF_REVENUE", "FPT=A", "FPO=5A", "ACT_EST_MAPPING=PRECISE", "FS=MRC", "CURRENCY=USD", "XLFILL=b")</f>
        <v>#NAME?</v>
      </c>
      <c r="J74" t="e" cm="1">
        <f t="array" aca="1" ref="J74" ca="1">BQL("SEG0000347935 Segment", "IS_PERCENTAGE_OF_REVENUE", "FPT=A", "FPO=6A", "ACT_EST_MAPPING=PRECISE", "FS=MRC", "CURRENCY=USD", "XLFILL=b")</f>
        <v>#NAME?</v>
      </c>
      <c r="K74" t="e" cm="1">
        <f t="array" aca="1" ref="K74" ca="1">BQL("SEG0000347935 Segment", "IS_PERCENTAGE_OF_REVENUE", "FPT=A", "FPO=7A", "ACT_EST_MAPPING=PRECISE", "FS=MRC", "CURRENCY=USD", "XLFILL=b")</f>
        <v>#NAME?</v>
      </c>
    </row>
    <row r="75" spans="1:11" x14ac:dyDescent="0.25">
      <c r="A75" t="s">
        <v>62</v>
      </c>
      <c r="B75" t="e" cm="1">
        <f t="array" aca="1" ref="B75" ca="1">BQL("SEG0000347935 Segment", "IS_COGS_TO_FE_AND_PP_AND_G/1M", "FPT=A", "FPO=-2A", "ACT_EST_MAPPING=PRECISE", "FS=MRC", "CURRENCY=USD", "XLFILL=b")</f>
        <v>#NAME?</v>
      </c>
      <c r="C75" t="e" cm="1">
        <f t="array" aca="1" ref="C75" ca="1">BQL("SEG0000347935 Segment", "IS_COGS_TO_FE_AND_PP_AND_G/1M", "FPT=A", "FPO=-1A", "ACT_EST_MAPPING=PRECISE", "FS=MRC", "CURRENCY=USD", "XLFILL=b")</f>
        <v>#NAME?</v>
      </c>
      <c r="D75" t="e" cm="1">
        <f t="array" aca="1" ref="D75" ca="1">BQL("SEG0000347935 Segment", "IS_COGS_TO_FE_AND_PP_AND_G/1M", "FPT=A", "FPO=0A", "ACT_EST_MAPPING=PRECISE", "FS=MRC", "CURRENCY=USD", "XLFILL=b")</f>
        <v>#NAME?</v>
      </c>
      <c r="E75" t="e" cm="1">
        <f t="array" aca="1" ref="E75" ca="1">BQL("SEG0000347935 Segment", "IS_COGS_TO_FE_AND_PP_AND_G/1M", "FPT=A", "FPO=1A", "ACT_EST_MAPPING=PRECISE", "FS=MRC", "CURRENCY=USD", "XLFILL=b")</f>
        <v>#NAME?</v>
      </c>
      <c r="F75" t="e" cm="1">
        <f t="array" aca="1" ref="F75" ca="1">BQL("SEG0000347935 Segment", "IS_COGS_TO_FE_AND_PP_AND_G/1M", "FPT=A", "FPO=2A", "ACT_EST_MAPPING=PRECISE", "FS=MRC", "CURRENCY=USD", "XLFILL=b")</f>
        <v>#NAME?</v>
      </c>
      <c r="G75" t="e" cm="1">
        <f t="array" aca="1" ref="G75" ca="1">BQL("SEG0000347935 Segment", "IS_COGS_TO_FE_AND_PP_AND_G/1M", "FPT=A", "FPO=3A", "ACT_EST_MAPPING=PRECISE", "FS=MRC", "CURRENCY=USD", "XLFILL=b")</f>
        <v>#NAME?</v>
      </c>
      <c r="H75" t="e" cm="1">
        <f t="array" aca="1" ref="H75" ca="1">BQL("SEG0000347935 Segment", "IS_COGS_TO_FE_AND_PP_AND_G/1M", "FPT=A", "FPO=4A", "ACT_EST_MAPPING=PRECISE", "FS=MRC", "CURRENCY=USD", "XLFILL=b")</f>
        <v>#NAME?</v>
      </c>
      <c r="I75" t="e" cm="1">
        <f t="array" aca="1" ref="I75" ca="1">BQL("SEG0000347935 Segment", "IS_COGS_TO_FE_AND_PP_AND_G/1M", "FPT=A", "FPO=5A", "ACT_EST_MAPPING=PRECISE", "FS=MRC", "CURRENCY=USD", "XLFILL=b")</f>
        <v>#NAME?</v>
      </c>
      <c r="J75" t="e" cm="1">
        <f t="array" aca="1" ref="J75" ca="1">BQL("SEG0000347935 Segment", "IS_COGS_TO_FE_AND_PP_AND_G/1M", "FPT=A", "FPO=6A", "ACT_EST_MAPPING=PRECISE", "FS=MRC", "CURRENCY=USD", "XLFILL=b")</f>
        <v>#NAME?</v>
      </c>
      <c r="K75" t="e" cm="1">
        <f t="array" aca="1" ref="K75" ca="1">BQL("SEG0000347935 Segment", "IS_COGS_TO_FE_AND_PP_AND_G/1M", "FPT=A", "FPO=7A", "ACT_EST_MAPPING=PRECISE", "FS=MRC", "CURRENCY=USD", "XLFILL=b")</f>
        <v>#NAME?</v>
      </c>
    </row>
    <row r="76" spans="1:11" x14ac:dyDescent="0.25">
      <c r="A76" t="s">
        <v>63</v>
      </c>
      <c r="B76" t="e" cm="1">
        <f t="array" aca="1" ref="B76" ca="1">BQL("SEG0000347935 Segment", "CB_IS_GROSS_PROFIT/1M", "FPT=A", "FPO=-2A", "ACT_EST_MAPPING=PRECISE", "FS=MRC", "CURRENCY=USD", "XLFILL=b")</f>
        <v>#NAME?</v>
      </c>
      <c r="C76" t="e" cm="1">
        <f t="array" aca="1" ref="C76" ca="1">BQL("SEG0000347935 Segment", "CB_IS_GROSS_PROFIT/1M", "FPT=A", "FPO=-1A", "ACT_EST_MAPPING=PRECISE", "FS=MRC", "CURRENCY=USD", "XLFILL=b")</f>
        <v>#NAME?</v>
      </c>
      <c r="D76" t="e" cm="1">
        <f t="array" aca="1" ref="D76" ca="1">BQL("SEG0000347935 Segment", "CB_IS_GROSS_PROFIT/1M", "FPT=A", "FPO=0A", "ACT_EST_MAPPING=PRECISE", "FS=MRC", "CURRENCY=USD", "XLFILL=b")</f>
        <v>#NAME?</v>
      </c>
      <c r="E76" t="e" cm="1">
        <f t="array" aca="1" ref="E76" ca="1">BQL("SEG0000347935 Segment", "CB_IS_GROSS_PROFIT/1M", "FPT=A", "FPO=1A", "ACT_EST_MAPPING=PRECISE", "FS=MRC", "CURRENCY=USD", "XLFILL=b")</f>
        <v>#NAME?</v>
      </c>
      <c r="F76" t="e" cm="1">
        <f t="array" aca="1" ref="F76" ca="1">BQL("SEG0000347935 Segment", "CB_IS_GROSS_PROFIT/1M", "FPT=A", "FPO=2A", "ACT_EST_MAPPING=PRECISE", "FS=MRC", "CURRENCY=USD", "XLFILL=b")</f>
        <v>#NAME?</v>
      </c>
      <c r="G76" t="e" cm="1">
        <f t="array" aca="1" ref="G76" ca="1">BQL("SEG0000347935 Segment", "CB_IS_GROSS_PROFIT/1M", "FPT=A", "FPO=3A", "ACT_EST_MAPPING=PRECISE", "FS=MRC", "CURRENCY=USD", "XLFILL=b")</f>
        <v>#NAME?</v>
      </c>
      <c r="H76" t="e" cm="1">
        <f t="array" aca="1" ref="H76" ca="1">BQL("SEG0000347935 Segment", "CB_IS_GROSS_PROFIT/1M", "FPT=A", "FPO=4A", "ACT_EST_MAPPING=PRECISE", "FS=MRC", "CURRENCY=USD", "XLFILL=b")</f>
        <v>#NAME?</v>
      </c>
      <c r="I76" t="e" cm="1">
        <f t="array" aca="1" ref="I76" ca="1">BQL("SEG0000347935 Segment", "CB_IS_GROSS_PROFIT/1M", "FPT=A", "FPO=5A", "ACT_EST_MAPPING=PRECISE", "FS=MRC", "CURRENCY=USD", "XLFILL=b")</f>
        <v>#NAME?</v>
      </c>
      <c r="J76" t="e" cm="1">
        <f t="array" aca="1" ref="J76" ca="1">BQL("SEG0000347935 Segment", "CB_IS_GROSS_PROFIT/1M", "FPT=A", "FPO=6A", "ACT_EST_MAPPING=PRECISE", "FS=MRC", "CURRENCY=USD", "XLFILL=b")</f>
        <v>#NAME?</v>
      </c>
      <c r="K76" t="e" cm="1">
        <f t="array" aca="1" ref="K76" ca="1">BQL("SEG0000347935 Segment", "CB_IS_GROSS_PROFIT/1M", "FPT=A", "FPO=7A", "ACT_EST_MAPPING=PRECISE", "FS=MRC", "CURRENCY=USD", "XLFILL=b")</f>
        <v>#NAME?</v>
      </c>
    </row>
    <row r="77" spans="1:11" x14ac:dyDescent="0.25">
      <c r="A77" t="s">
        <v>64</v>
      </c>
      <c r="B77" t="e" cm="1">
        <f t="array" aca="1" ref="B77" ca="1">BQL("SEG0000347935 Segment", "CB_IS_GROSS_MARGIN", "FPT=A", "FPO=-2A", "ACT_EST_MAPPING=PRECISE", "FS=MRC", "CURRENCY=USD", "XLFILL=b")</f>
        <v>#NAME?</v>
      </c>
      <c r="C77" t="e" cm="1">
        <f t="array" aca="1" ref="C77" ca="1">BQL("SEG0000347935 Segment", "CB_IS_GROSS_MARGIN", "FPT=A", "FPO=-1A", "ACT_EST_MAPPING=PRECISE", "FS=MRC", "CURRENCY=USD", "XLFILL=b")</f>
        <v>#NAME?</v>
      </c>
      <c r="D77" t="e" cm="1">
        <f t="array" aca="1" ref="D77" ca="1">BQL("SEG0000347935 Segment", "CB_IS_GROSS_MARGIN", "FPT=A", "FPO=0A", "ACT_EST_MAPPING=PRECISE", "FS=MRC", "CURRENCY=USD", "XLFILL=b")</f>
        <v>#NAME?</v>
      </c>
      <c r="E77" t="e" cm="1">
        <f t="array" aca="1" ref="E77" ca="1">BQL("SEG0000347935 Segment", "CB_IS_GROSS_MARGIN", "FPT=A", "FPO=1A", "ACT_EST_MAPPING=PRECISE", "FS=MRC", "CURRENCY=USD", "XLFILL=b")</f>
        <v>#NAME?</v>
      </c>
      <c r="F77" t="e" cm="1">
        <f t="array" aca="1" ref="F77" ca="1">BQL("SEG0000347935 Segment", "CB_IS_GROSS_MARGIN", "FPT=A", "FPO=2A", "ACT_EST_MAPPING=PRECISE", "FS=MRC", "CURRENCY=USD", "XLFILL=b")</f>
        <v>#NAME?</v>
      </c>
      <c r="G77" t="e" cm="1">
        <f t="array" aca="1" ref="G77" ca="1">BQL("SEG0000347935 Segment", "CB_IS_GROSS_MARGIN", "FPT=A", "FPO=3A", "ACT_EST_MAPPING=PRECISE", "FS=MRC", "CURRENCY=USD", "XLFILL=b")</f>
        <v>#NAME?</v>
      </c>
      <c r="H77" t="e" cm="1">
        <f t="array" aca="1" ref="H77" ca="1">BQL("SEG0000347935 Segment", "CB_IS_GROSS_MARGIN", "FPT=A", "FPO=4A", "ACT_EST_MAPPING=PRECISE", "FS=MRC", "CURRENCY=USD", "XLFILL=b")</f>
        <v>#NAME?</v>
      </c>
      <c r="I77" t="e" cm="1">
        <f t="array" aca="1" ref="I77" ca="1">BQL("SEG0000347935 Segment", "CB_IS_GROSS_MARGIN", "FPT=A", "FPO=5A", "ACT_EST_MAPPING=PRECISE", "FS=MRC", "CURRENCY=USD", "XLFILL=b")</f>
        <v>#NAME?</v>
      </c>
      <c r="J77" t="e" cm="1">
        <f t="array" aca="1" ref="J77" ca="1">BQL("SEG0000347935 Segment", "CB_IS_GROSS_MARGIN", "FPT=A", "FPO=6A", "ACT_EST_MAPPING=PRECISE", "FS=MRC", "CURRENCY=USD", "XLFILL=b")</f>
        <v>#NAME?</v>
      </c>
      <c r="K77" t="e" cm="1">
        <f t="array" aca="1" ref="K77" ca="1">BQL("SEG0000347935 Segment", "CB_IS_GROSS_MARGIN", "FPT=A", "FPO=7A", "ACT_EST_MAPPING=PRECISE", "FS=MRC", "CURRENCY=USD", "XLFILL=b")</f>
        <v>#NAME?</v>
      </c>
    </row>
    <row r="78" spans="1:11" x14ac:dyDescent="0.25">
      <c r="A78" t="s">
        <v>65</v>
      </c>
      <c r="B78" t="e" cm="1">
        <f t="array" aca="1" ref="B78" ca="1">BQL("SEG0000347935 Segment", "IS_ADJ_GROSS_PROFIT_AS_REPORTED/1M", "FPT=A", "FPO=-2A", "ACT_EST_MAPPING=PRECISE", "FS=MRC", "CURRENCY=USD", "XLFILL=b")</f>
        <v>#NAME?</v>
      </c>
      <c r="C78" t="e" cm="1">
        <f t="array" aca="1" ref="C78" ca="1">BQL("SEG0000347935 Segment", "IS_ADJ_GROSS_PROFIT_AS_REPORTED/1M", "FPT=A", "FPO=-1A", "ACT_EST_MAPPING=PRECISE", "FS=MRC", "CURRENCY=USD", "XLFILL=b")</f>
        <v>#NAME?</v>
      </c>
      <c r="D78" t="e" cm="1">
        <f t="array" aca="1" ref="D78" ca="1">BQL("SEG0000347935 Segment", "IS_ADJ_GROSS_PROFIT_AS_REPORTED/1M", "FPT=A", "FPO=0A", "ACT_EST_MAPPING=PRECISE", "FS=MRC", "CURRENCY=USD", "XLFILL=b")</f>
        <v>#NAME?</v>
      </c>
      <c r="E78" t="e" cm="1">
        <f t="array" aca="1" ref="E78" ca="1">BQL("SEG0000347935 Segment", "IS_ADJ_GROSS_PROFIT_AS_REPORTED/1M", "FPT=A", "FPO=1A", "ACT_EST_MAPPING=PRECISE", "FS=MRC", "CURRENCY=USD", "XLFILL=b")</f>
        <v>#NAME?</v>
      </c>
      <c r="F78" t="e" cm="1">
        <f t="array" aca="1" ref="F78" ca="1">BQL("SEG0000347935 Segment", "IS_ADJ_GROSS_PROFIT_AS_REPORTED/1M", "FPT=A", "FPO=2A", "ACT_EST_MAPPING=PRECISE", "FS=MRC", "CURRENCY=USD", "XLFILL=b")</f>
        <v>#NAME?</v>
      </c>
      <c r="G78" t="e" cm="1">
        <f t="array" aca="1" ref="G78" ca="1">BQL("SEG0000347935 Segment", "IS_ADJ_GROSS_PROFIT_AS_REPORTED/1M", "FPT=A", "FPO=3A", "ACT_EST_MAPPING=PRECISE", "FS=MRC", "CURRENCY=USD", "XLFILL=b")</f>
        <v>#NAME?</v>
      </c>
      <c r="H78" t="e" cm="1">
        <f t="array" aca="1" ref="H78" ca="1">BQL("SEG0000347935 Segment", "IS_ADJ_GROSS_PROFIT_AS_REPORTED/1M", "FPT=A", "FPO=4A", "ACT_EST_MAPPING=PRECISE", "FS=MRC", "CURRENCY=USD", "XLFILL=b")</f>
        <v>#NAME?</v>
      </c>
      <c r="I78" t="e" cm="1">
        <f t="array" aca="1" ref="I78" ca="1">BQL("SEG0000347935 Segment", "IS_ADJ_GROSS_PROFIT_AS_REPORTED/1M", "FPT=A", "FPO=5A", "ACT_EST_MAPPING=PRECISE", "FS=MRC", "CURRENCY=USD", "XLFILL=b")</f>
        <v>#NAME?</v>
      </c>
      <c r="J78" t="e" cm="1">
        <f t="array" aca="1" ref="J78" ca="1">BQL("SEG0000347935 Segment", "IS_ADJ_GROSS_PROFIT_AS_REPORTED/1M", "FPT=A", "FPO=6A", "ACT_EST_MAPPING=PRECISE", "FS=MRC", "CURRENCY=USD", "XLFILL=b")</f>
        <v>#NAME?</v>
      </c>
      <c r="K78" t="e" cm="1">
        <f t="array" aca="1" ref="K78" ca="1">BQL("SEG0000347935 Segment", "IS_ADJ_GROSS_PROFIT_AS_REPORTED/1M", "FPT=A", "FPO=7A", "ACT_EST_MAPPING=PRECISE", "FS=MRC", "CURRENCY=USD", "XLFILL=b")</f>
        <v>#NAME?</v>
      </c>
    </row>
    <row r="79" spans="1:11" x14ac:dyDescent="0.25">
      <c r="A79" t="s">
        <v>66</v>
      </c>
      <c r="B79" t="e" cm="1">
        <f t="array" aca="1" ref="B79" ca="1">BQL("SEG0000347935 Segment", "IS_ADJ_GROSS_MARGIN_PCT_AR", "FPT=A", "FPO=-2A", "ACT_EST_MAPPING=PRECISE", "FS=MRC", "CURRENCY=USD", "XLFILL=b")</f>
        <v>#NAME?</v>
      </c>
      <c r="C79" t="e" cm="1">
        <f t="array" aca="1" ref="C79" ca="1">BQL("SEG0000347935 Segment", "IS_ADJ_GROSS_MARGIN_PCT_AR", "FPT=A", "FPO=-1A", "ACT_EST_MAPPING=PRECISE", "FS=MRC", "CURRENCY=USD", "XLFILL=b")</f>
        <v>#NAME?</v>
      </c>
      <c r="D79" t="e" cm="1">
        <f t="array" aca="1" ref="D79" ca="1">BQL("SEG0000347935 Segment", "IS_ADJ_GROSS_MARGIN_PCT_AR", "FPT=A", "FPO=0A", "ACT_EST_MAPPING=PRECISE", "FS=MRC", "CURRENCY=USD", "XLFILL=b")</f>
        <v>#NAME?</v>
      </c>
      <c r="E79" t="e" cm="1">
        <f t="array" aca="1" ref="E79" ca="1">BQL("SEG0000347935 Segment", "IS_ADJ_GROSS_MARGIN_PCT_AR", "FPT=A", "FPO=1A", "ACT_EST_MAPPING=PRECISE", "FS=MRC", "CURRENCY=USD", "XLFILL=b")</f>
        <v>#NAME?</v>
      </c>
      <c r="F79" t="e" cm="1">
        <f t="array" aca="1" ref="F79" ca="1">BQL("SEG0000347935 Segment", "IS_ADJ_GROSS_MARGIN_PCT_AR", "FPT=A", "FPO=2A", "ACT_EST_MAPPING=PRECISE", "FS=MRC", "CURRENCY=USD", "XLFILL=b")</f>
        <v>#NAME?</v>
      </c>
      <c r="G79" t="e" cm="1">
        <f t="array" aca="1" ref="G79" ca="1">BQL("SEG0000347935 Segment", "IS_ADJ_GROSS_MARGIN_PCT_AR", "FPT=A", "FPO=3A", "ACT_EST_MAPPING=PRECISE", "FS=MRC", "CURRENCY=USD", "XLFILL=b")</f>
        <v>#NAME?</v>
      </c>
      <c r="H79" t="e" cm="1">
        <f t="array" aca="1" ref="H79" ca="1">BQL("SEG0000347935 Segment", "IS_ADJ_GROSS_MARGIN_PCT_AR", "FPT=A", "FPO=4A", "ACT_EST_MAPPING=PRECISE", "FS=MRC", "CURRENCY=USD", "XLFILL=b")</f>
        <v>#NAME?</v>
      </c>
      <c r="I79" t="e" cm="1">
        <f t="array" aca="1" ref="I79" ca="1">BQL("SEG0000347935 Segment", "IS_ADJ_GROSS_MARGIN_PCT_AR", "FPT=A", "FPO=5A", "ACT_EST_MAPPING=PRECISE", "FS=MRC", "CURRENCY=USD", "XLFILL=b")</f>
        <v>#NAME?</v>
      </c>
      <c r="J79" t="e" cm="1">
        <f t="array" aca="1" ref="J79" ca="1">BQL("SEG0000347935 Segment", "IS_ADJ_GROSS_MARGIN_PCT_AR", "FPT=A", "FPO=6A", "ACT_EST_MAPPING=PRECISE", "FS=MRC", "CURRENCY=USD", "XLFILL=b")</f>
        <v>#NAME?</v>
      </c>
      <c r="K79" t="e" cm="1">
        <f t="array" aca="1" ref="K79" ca="1">BQL("SEG0000347935 Segment", "IS_ADJ_GROSS_MARGIN_PCT_AR", "FPT=A", "FPO=7A", "ACT_EST_MAPPING=PRECISE", "FS=MRC", "CURRENCY=USD", "XLFILL=b")</f>
        <v>#NAME?</v>
      </c>
    </row>
    <row r="80" spans="1:11" x14ac:dyDescent="0.25">
      <c r="A80" t="s">
        <v>67</v>
      </c>
      <c r="B80" t="e" cm="1">
        <f t="array" aca="1" ref="B80" ca="1">BQL("SEG0000347935 Segment", "IS_EXPENSE_STOCK_BASED_COMP/1M", "FPT=A", "FPO=-2A", "ACT_EST_MAPPING=PRECISE", "FS=MRC", "CURRENCY=USD", "XLFILL=b")</f>
        <v>#NAME?</v>
      </c>
      <c r="C80" t="e" cm="1">
        <f t="array" aca="1" ref="C80" ca="1">BQL("SEG0000347935 Segment", "IS_EXPENSE_STOCK_BASED_COMP/1M", "FPT=A", "FPO=-1A", "ACT_EST_MAPPING=PRECISE", "FS=MRC", "CURRENCY=USD", "XLFILL=b")</f>
        <v>#NAME?</v>
      </c>
      <c r="D80" t="e" cm="1">
        <f t="array" aca="1" ref="D80" ca="1">BQL("SEG0000347935 Segment", "IS_EXPENSE_STOCK_BASED_COMP/1M", "FPT=A", "FPO=0A", "ACT_EST_MAPPING=PRECISE", "FS=MRC", "CURRENCY=USD", "XLFILL=b")</f>
        <v>#NAME?</v>
      </c>
      <c r="E80" t="e" cm="1">
        <f t="array" aca="1" ref="E80" ca="1">BQL("SEG0000347935 Segment", "IS_EXPENSE_STOCK_BASED_COMP/1M", "FPT=A", "FPO=1A", "ACT_EST_MAPPING=PRECISE", "FS=MRC", "CURRENCY=USD", "XLFILL=b")</f>
        <v>#NAME?</v>
      </c>
      <c r="F80" t="e" cm="1">
        <f t="array" aca="1" ref="F80" ca="1">BQL("SEG0000347935 Segment", "IS_EXPENSE_STOCK_BASED_COMP/1M", "FPT=A", "FPO=2A", "ACT_EST_MAPPING=PRECISE", "FS=MRC", "CURRENCY=USD", "XLFILL=b")</f>
        <v>#NAME?</v>
      </c>
      <c r="G80" t="e" cm="1">
        <f t="array" aca="1" ref="G80" ca="1">BQL("SEG0000347935 Segment", "IS_EXPENSE_STOCK_BASED_COMP/1M", "FPT=A", "FPO=3A", "ACT_EST_MAPPING=PRECISE", "FS=MRC", "CURRENCY=USD", "XLFILL=b")</f>
        <v>#NAME?</v>
      </c>
      <c r="H80" t="e" cm="1">
        <f t="array" aca="1" ref="H80" ca="1">BQL("SEG0000347935 Segment", "IS_EXPENSE_STOCK_BASED_COMP/1M", "FPT=A", "FPO=4A", "ACT_EST_MAPPING=PRECISE", "FS=MRC", "CURRENCY=USD", "XLFILL=b")</f>
        <v>#NAME?</v>
      </c>
      <c r="I80" t="e" cm="1">
        <f t="array" aca="1" ref="I80" ca="1">BQL("SEG0000347935 Segment", "IS_EXPENSE_STOCK_BASED_COMP/1M", "FPT=A", "FPO=5A", "ACT_EST_MAPPING=PRECISE", "FS=MRC", "CURRENCY=USD", "XLFILL=b")</f>
        <v>#NAME?</v>
      </c>
      <c r="J80" t="e" cm="1">
        <f t="array" aca="1" ref="J80" ca="1">BQL("SEG0000347935 Segment", "IS_EXPENSE_STOCK_BASED_COMP/1M", "FPT=A", "FPO=6A", "ACT_EST_MAPPING=PRECISE", "FS=MRC", "CURRENCY=USD", "XLFILL=b")</f>
        <v>#NAME?</v>
      </c>
      <c r="K80" t="e" cm="1">
        <f t="array" aca="1" ref="K80" ca="1">BQL("SEG0000347935 Segment", "IS_EXPENSE_STOCK_BASED_COMP/1M", "FPT=A", "FPO=7A", "ACT_EST_MAPPING=PRECISE", "FS=MRC", "CURRENCY=USD", "XLFILL=b")</f>
        <v>#NAME?</v>
      </c>
    </row>
    <row r="81" spans="1:11" x14ac:dyDescent="0.25">
      <c r="A81" t="s">
        <v>17</v>
      </c>
    </row>
    <row r="82" spans="1:11" x14ac:dyDescent="0.25">
      <c r="A82" t="s">
        <v>68</v>
      </c>
    </row>
    <row r="83" spans="1:11" x14ac:dyDescent="0.25">
      <c r="A83" t="s">
        <v>60</v>
      </c>
      <c r="B83" t="e" cm="1">
        <f t="array" aca="1" ref="B83" ca="1">BQL("SEG0000347934 Segment", "SALES_REV_TURN/1M", "FPT=A", "FPO=-2A", "ACT_EST_MAPPING=PRECISE", "FS=MRC", "CURRENCY=USD", "XLFILL=b")</f>
        <v>#NAME?</v>
      </c>
      <c r="C83" t="e" cm="1">
        <f t="array" aca="1" ref="C83" ca="1">BQL("SEG0000347934 Segment", "SALES_REV_TURN/1M", "FPT=A", "FPO=-1A", "ACT_EST_MAPPING=PRECISE", "FS=MRC", "CURRENCY=USD", "XLFILL=b")</f>
        <v>#NAME?</v>
      </c>
      <c r="D83" t="e" cm="1">
        <f t="array" aca="1" ref="D83" ca="1">BQL("SEG0000347934 Segment", "SALES_REV_TURN/1M", "FPT=A", "FPO=0A", "ACT_EST_MAPPING=PRECISE", "FS=MRC", "CURRENCY=USD", "XLFILL=b")</f>
        <v>#NAME?</v>
      </c>
      <c r="E83" t="e" cm="1">
        <f t="array" aca="1" ref="E83" ca="1">BQL("SEG0000347934 Segment", "SALES_REV_TURN/1M", "FPT=A", "FPO=1A", "ACT_EST_MAPPING=PRECISE", "FS=MRC", "CURRENCY=USD", "XLFILL=b")</f>
        <v>#NAME?</v>
      </c>
      <c r="F83" t="e" cm="1">
        <f t="array" aca="1" ref="F83" ca="1">BQL("SEG0000347934 Segment", "SALES_REV_TURN/1M", "FPT=A", "FPO=2A", "ACT_EST_MAPPING=PRECISE", "FS=MRC", "CURRENCY=USD", "XLFILL=b")</f>
        <v>#NAME?</v>
      </c>
      <c r="G83" t="e" cm="1">
        <f t="array" aca="1" ref="G83" ca="1">BQL("SEG0000347934 Segment", "SALES_REV_TURN/1M", "FPT=A", "FPO=3A", "ACT_EST_MAPPING=PRECISE", "FS=MRC", "CURRENCY=USD", "XLFILL=b")</f>
        <v>#NAME?</v>
      </c>
      <c r="H83" t="e" cm="1">
        <f t="array" aca="1" ref="H83" ca="1">BQL("SEG0000347934 Segment", "SALES_REV_TURN/1M", "FPT=A", "FPO=4A", "ACT_EST_MAPPING=PRECISE", "FS=MRC", "CURRENCY=USD", "XLFILL=b")</f>
        <v>#NAME?</v>
      </c>
      <c r="I83" t="e" cm="1">
        <f t="array" aca="1" ref="I83" ca="1">BQL("SEG0000347934 Segment", "SALES_REV_TURN/1M", "FPT=A", "FPO=5A", "ACT_EST_MAPPING=PRECISE", "FS=MRC", "CURRENCY=USD", "XLFILL=b")</f>
        <v>#NAME?</v>
      </c>
      <c r="J83" t="e" cm="1">
        <f t="array" aca="1" ref="J83" ca="1">BQL("SEG0000347934 Segment", "SALES_REV_TURN/1M", "FPT=A", "FPO=6A", "ACT_EST_MAPPING=PRECISE", "FS=MRC", "CURRENCY=USD", "XLFILL=b")</f>
        <v>#NAME?</v>
      </c>
      <c r="K83" t="e" cm="1">
        <f t="array" aca="1" ref="K83" ca="1">BQL("SEG0000347934 Segment", "SALES_REV_TURN/1M", "FPT=A", "FPO=7A", "ACT_EST_MAPPING=PRECISE", "FS=MRC", "CURRENCY=USD", "XLFILL=b")</f>
        <v>#NAME?</v>
      </c>
    </row>
    <row r="84" spans="1:11" x14ac:dyDescent="0.25">
      <c r="A84" t="s">
        <v>69</v>
      </c>
      <c r="B84" t="e" cm="1">
        <f t="array" aca="1" ref="B84" ca="1">BQL("SEG0000347934 Segment", "IS_PERCENTAGE_OF_REVENUE", "FPT=A", "FPO=-2A", "ACT_EST_MAPPING=PRECISE", "FS=MRC", "CURRENCY=USD", "XLFILL=b")</f>
        <v>#NAME?</v>
      </c>
      <c r="C84" t="e" cm="1">
        <f t="array" aca="1" ref="C84" ca="1">BQL("SEG0000347934 Segment", "IS_PERCENTAGE_OF_REVENUE", "FPT=A", "FPO=-1A", "ACT_EST_MAPPING=PRECISE", "FS=MRC", "CURRENCY=USD", "XLFILL=b")</f>
        <v>#NAME?</v>
      </c>
      <c r="D84" t="e" cm="1">
        <f t="array" aca="1" ref="D84" ca="1">BQL("SEG0000347934 Segment", "IS_PERCENTAGE_OF_REVENUE", "FPT=A", "FPO=0A", "ACT_EST_MAPPING=PRECISE", "FS=MRC", "CURRENCY=USD", "XLFILL=b")</f>
        <v>#NAME?</v>
      </c>
      <c r="E84" t="e" cm="1">
        <f t="array" aca="1" ref="E84" ca="1">BQL("SEG0000347934 Segment", "IS_PERCENTAGE_OF_REVENUE", "FPT=A", "FPO=1A", "ACT_EST_MAPPING=PRECISE", "FS=MRC", "CURRENCY=USD", "XLFILL=b")</f>
        <v>#NAME?</v>
      </c>
      <c r="F84" t="e" cm="1">
        <f t="array" aca="1" ref="F84" ca="1">BQL("SEG0000347934 Segment", "IS_PERCENTAGE_OF_REVENUE", "FPT=A", "FPO=2A", "ACT_EST_MAPPING=PRECISE", "FS=MRC", "CURRENCY=USD", "XLFILL=b")</f>
        <v>#NAME?</v>
      </c>
      <c r="G84" t="e" cm="1">
        <f t="array" aca="1" ref="G84" ca="1">BQL("SEG0000347934 Segment", "IS_PERCENTAGE_OF_REVENUE", "FPT=A", "FPO=3A", "ACT_EST_MAPPING=PRECISE", "FS=MRC", "CURRENCY=USD", "XLFILL=b")</f>
        <v>#NAME?</v>
      </c>
      <c r="H84" t="e" cm="1">
        <f t="array" aca="1" ref="H84" ca="1">BQL("SEG0000347934 Segment", "IS_PERCENTAGE_OF_REVENUE", "FPT=A", "FPO=4A", "ACT_EST_MAPPING=PRECISE", "FS=MRC", "CURRENCY=USD", "XLFILL=b")</f>
        <v>#NAME?</v>
      </c>
      <c r="I84" t="e" cm="1">
        <f t="array" aca="1" ref="I84" ca="1">BQL("SEG0000347934 Segment", "IS_PERCENTAGE_OF_REVENUE", "FPT=A", "FPO=5A", "ACT_EST_MAPPING=PRECISE", "FS=MRC", "CURRENCY=USD", "XLFILL=b")</f>
        <v>#NAME?</v>
      </c>
      <c r="J84" t="e" cm="1">
        <f t="array" aca="1" ref="J84" ca="1">BQL("SEG0000347934 Segment", "IS_PERCENTAGE_OF_REVENUE", "FPT=A", "FPO=6A", "ACT_EST_MAPPING=PRECISE", "FS=MRC", "CURRENCY=USD", "XLFILL=b")</f>
        <v>#NAME?</v>
      </c>
      <c r="K84" t="e" cm="1">
        <f t="array" aca="1" ref="K84" ca="1">BQL("SEG0000347934 Segment", "IS_PERCENTAGE_OF_REVENUE", "FPT=A", "FPO=7A", "ACT_EST_MAPPING=PRECISE", "FS=MRC", "CURRENCY=USD", "XLFILL=b")</f>
        <v>#NAME?</v>
      </c>
    </row>
    <row r="85" spans="1:11" x14ac:dyDescent="0.25">
      <c r="A85" t="s">
        <v>62</v>
      </c>
      <c r="B85" t="e" cm="1">
        <f t="array" aca="1" ref="B85" ca="1">BQL("SEG0000347934 Segment", "IS_COGS_TO_FE_AND_PP_AND_G/1M", "FPT=A", "FPO=-2A", "ACT_EST_MAPPING=PRECISE", "FS=MRC", "CURRENCY=USD", "XLFILL=b")</f>
        <v>#NAME?</v>
      </c>
      <c r="C85" t="e" cm="1">
        <f t="array" aca="1" ref="C85" ca="1">BQL("SEG0000347934 Segment", "IS_COGS_TO_FE_AND_PP_AND_G/1M", "FPT=A", "FPO=-1A", "ACT_EST_MAPPING=PRECISE", "FS=MRC", "CURRENCY=USD", "XLFILL=b")</f>
        <v>#NAME?</v>
      </c>
      <c r="D85" t="e" cm="1">
        <f t="array" aca="1" ref="D85" ca="1">BQL("SEG0000347934 Segment", "IS_COGS_TO_FE_AND_PP_AND_G/1M", "FPT=A", "FPO=0A", "ACT_EST_MAPPING=PRECISE", "FS=MRC", "CURRENCY=USD", "XLFILL=b")</f>
        <v>#NAME?</v>
      </c>
      <c r="E85" t="e" cm="1">
        <f t="array" aca="1" ref="E85" ca="1">BQL("SEG0000347934 Segment", "IS_COGS_TO_FE_AND_PP_AND_G/1M", "FPT=A", "FPO=1A", "ACT_EST_MAPPING=PRECISE", "FS=MRC", "CURRENCY=USD", "XLFILL=b")</f>
        <v>#NAME?</v>
      </c>
      <c r="F85" t="e" cm="1">
        <f t="array" aca="1" ref="F85" ca="1">BQL("SEG0000347934 Segment", "IS_COGS_TO_FE_AND_PP_AND_G/1M", "FPT=A", "FPO=2A", "ACT_EST_MAPPING=PRECISE", "FS=MRC", "CURRENCY=USD", "XLFILL=b")</f>
        <v>#NAME?</v>
      </c>
      <c r="G85" t="e" cm="1">
        <f t="array" aca="1" ref="G85" ca="1">BQL("SEG0000347934 Segment", "IS_COGS_TO_FE_AND_PP_AND_G/1M", "FPT=A", "FPO=3A", "ACT_EST_MAPPING=PRECISE", "FS=MRC", "CURRENCY=USD", "XLFILL=b")</f>
        <v>#NAME?</v>
      </c>
      <c r="H85" t="e" cm="1">
        <f t="array" aca="1" ref="H85" ca="1">BQL("SEG0000347934 Segment", "IS_COGS_TO_FE_AND_PP_AND_G/1M", "FPT=A", "FPO=4A", "ACT_EST_MAPPING=PRECISE", "FS=MRC", "CURRENCY=USD", "XLFILL=b")</f>
        <v>#NAME?</v>
      </c>
      <c r="I85" t="e" cm="1">
        <f t="array" aca="1" ref="I85" ca="1">BQL("SEG0000347934 Segment", "IS_COGS_TO_FE_AND_PP_AND_G/1M", "FPT=A", "FPO=5A", "ACT_EST_MAPPING=PRECISE", "FS=MRC", "CURRENCY=USD", "XLFILL=b")</f>
        <v>#NAME?</v>
      </c>
      <c r="J85" t="e" cm="1">
        <f t="array" aca="1" ref="J85" ca="1">BQL("SEG0000347934 Segment", "IS_COGS_TO_FE_AND_PP_AND_G/1M", "FPT=A", "FPO=6A", "ACT_EST_MAPPING=PRECISE", "FS=MRC", "CURRENCY=USD", "XLFILL=b")</f>
        <v>#NAME?</v>
      </c>
      <c r="K85" t="e" cm="1">
        <f t="array" aca="1" ref="K85" ca="1">BQL("SEG0000347934 Segment", "IS_COGS_TO_FE_AND_PP_AND_G/1M", "FPT=A", "FPO=7A", "ACT_EST_MAPPING=PRECISE", "FS=MRC", "CURRENCY=USD", "XLFILL=b")</f>
        <v>#NAME?</v>
      </c>
    </row>
    <row r="86" spans="1:11" x14ac:dyDescent="0.25">
      <c r="A86" t="s">
        <v>63</v>
      </c>
      <c r="B86" t="e" cm="1">
        <f t="array" aca="1" ref="B86" ca="1">BQL("SEG0000347934 Segment", "CB_IS_GROSS_PROFIT/1M", "FPT=A", "FPO=-2A", "ACT_EST_MAPPING=PRECISE", "FS=MRC", "CURRENCY=USD", "XLFILL=b")</f>
        <v>#NAME?</v>
      </c>
      <c r="C86" t="e" cm="1">
        <f t="array" aca="1" ref="C86" ca="1">BQL("SEG0000347934 Segment", "CB_IS_GROSS_PROFIT/1M", "FPT=A", "FPO=-1A", "ACT_EST_MAPPING=PRECISE", "FS=MRC", "CURRENCY=USD", "XLFILL=b")</f>
        <v>#NAME?</v>
      </c>
      <c r="D86" t="e" cm="1">
        <f t="array" aca="1" ref="D86" ca="1">BQL("SEG0000347934 Segment", "CB_IS_GROSS_PROFIT/1M", "FPT=A", "FPO=0A", "ACT_EST_MAPPING=PRECISE", "FS=MRC", "CURRENCY=USD", "XLFILL=b")</f>
        <v>#NAME?</v>
      </c>
      <c r="E86" t="e" cm="1">
        <f t="array" aca="1" ref="E86" ca="1">BQL("SEG0000347934 Segment", "CB_IS_GROSS_PROFIT/1M", "FPT=A", "FPO=1A", "ACT_EST_MAPPING=PRECISE", "FS=MRC", "CURRENCY=USD", "XLFILL=b")</f>
        <v>#NAME?</v>
      </c>
      <c r="F86" t="e" cm="1">
        <f t="array" aca="1" ref="F86" ca="1">BQL("SEG0000347934 Segment", "CB_IS_GROSS_PROFIT/1M", "FPT=A", "FPO=2A", "ACT_EST_MAPPING=PRECISE", "FS=MRC", "CURRENCY=USD", "XLFILL=b")</f>
        <v>#NAME?</v>
      </c>
      <c r="G86" t="e" cm="1">
        <f t="array" aca="1" ref="G86" ca="1">BQL("SEG0000347934 Segment", "CB_IS_GROSS_PROFIT/1M", "FPT=A", "FPO=3A", "ACT_EST_MAPPING=PRECISE", "FS=MRC", "CURRENCY=USD", "XLFILL=b")</f>
        <v>#NAME?</v>
      </c>
      <c r="H86" t="e" cm="1">
        <f t="array" aca="1" ref="H86" ca="1">BQL("SEG0000347934 Segment", "CB_IS_GROSS_PROFIT/1M", "FPT=A", "FPO=4A", "ACT_EST_MAPPING=PRECISE", "FS=MRC", "CURRENCY=USD", "XLFILL=b")</f>
        <v>#NAME?</v>
      </c>
      <c r="I86" t="e" cm="1">
        <f t="array" aca="1" ref="I86" ca="1">BQL("SEG0000347934 Segment", "CB_IS_GROSS_PROFIT/1M", "FPT=A", "FPO=5A", "ACT_EST_MAPPING=PRECISE", "FS=MRC", "CURRENCY=USD", "XLFILL=b")</f>
        <v>#NAME?</v>
      </c>
      <c r="J86" t="e" cm="1">
        <f t="array" aca="1" ref="J86" ca="1">BQL("SEG0000347934 Segment", "CB_IS_GROSS_PROFIT/1M", "FPT=A", "FPO=6A", "ACT_EST_MAPPING=PRECISE", "FS=MRC", "CURRENCY=USD", "XLFILL=b")</f>
        <v>#NAME?</v>
      </c>
      <c r="K86" t="e" cm="1">
        <f t="array" aca="1" ref="K86" ca="1">BQL("SEG0000347934 Segment", "CB_IS_GROSS_PROFIT/1M", "FPT=A", "FPO=7A", "ACT_EST_MAPPING=PRECISE", "FS=MRC", "CURRENCY=USD", "XLFILL=b")</f>
        <v>#NAME?</v>
      </c>
    </row>
    <row r="87" spans="1:11" x14ac:dyDescent="0.25">
      <c r="A87" t="s">
        <v>64</v>
      </c>
      <c r="B87" t="e" cm="1">
        <f t="array" aca="1" ref="B87" ca="1">BQL("SEG0000347934 Segment", "CB_IS_GROSS_MARGIN", "FPT=A", "FPO=-2A", "ACT_EST_MAPPING=PRECISE", "FS=MRC", "CURRENCY=USD", "XLFILL=b")</f>
        <v>#NAME?</v>
      </c>
      <c r="C87" t="e" cm="1">
        <f t="array" aca="1" ref="C87" ca="1">BQL("SEG0000347934 Segment", "CB_IS_GROSS_MARGIN", "FPT=A", "FPO=-1A", "ACT_EST_MAPPING=PRECISE", "FS=MRC", "CURRENCY=USD", "XLFILL=b")</f>
        <v>#NAME?</v>
      </c>
      <c r="D87" t="e" cm="1">
        <f t="array" aca="1" ref="D87" ca="1">BQL("SEG0000347934 Segment", "CB_IS_GROSS_MARGIN", "FPT=A", "FPO=0A", "ACT_EST_MAPPING=PRECISE", "FS=MRC", "CURRENCY=USD", "XLFILL=b")</f>
        <v>#NAME?</v>
      </c>
      <c r="E87" t="e" cm="1">
        <f t="array" aca="1" ref="E87" ca="1">BQL("SEG0000347934 Segment", "CB_IS_GROSS_MARGIN", "FPT=A", "FPO=1A", "ACT_EST_MAPPING=PRECISE", "FS=MRC", "CURRENCY=USD", "XLFILL=b")</f>
        <v>#NAME?</v>
      </c>
      <c r="F87" t="e" cm="1">
        <f t="array" aca="1" ref="F87" ca="1">BQL("SEG0000347934 Segment", "CB_IS_GROSS_MARGIN", "FPT=A", "FPO=2A", "ACT_EST_MAPPING=PRECISE", "FS=MRC", "CURRENCY=USD", "XLFILL=b")</f>
        <v>#NAME?</v>
      </c>
      <c r="G87" t="e" cm="1">
        <f t="array" aca="1" ref="G87" ca="1">BQL("SEG0000347934 Segment", "CB_IS_GROSS_MARGIN", "FPT=A", "FPO=3A", "ACT_EST_MAPPING=PRECISE", "FS=MRC", "CURRENCY=USD", "XLFILL=b")</f>
        <v>#NAME?</v>
      </c>
      <c r="H87" t="e" cm="1">
        <f t="array" aca="1" ref="H87" ca="1">BQL("SEG0000347934 Segment", "CB_IS_GROSS_MARGIN", "FPT=A", "FPO=4A", "ACT_EST_MAPPING=PRECISE", "FS=MRC", "CURRENCY=USD", "XLFILL=b")</f>
        <v>#NAME?</v>
      </c>
      <c r="I87" t="e" cm="1">
        <f t="array" aca="1" ref="I87" ca="1">BQL("SEG0000347934 Segment", "CB_IS_GROSS_MARGIN", "FPT=A", "FPO=5A", "ACT_EST_MAPPING=PRECISE", "FS=MRC", "CURRENCY=USD", "XLFILL=b")</f>
        <v>#NAME?</v>
      </c>
      <c r="J87" t="e" cm="1">
        <f t="array" aca="1" ref="J87" ca="1">BQL("SEG0000347934 Segment", "CB_IS_GROSS_MARGIN", "FPT=A", "FPO=6A", "ACT_EST_MAPPING=PRECISE", "FS=MRC", "CURRENCY=USD", "XLFILL=b")</f>
        <v>#NAME?</v>
      </c>
      <c r="K87" t="e" cm="1">
        <f t="array" aca="1" ref="K87" ca="1">BQL("SEG0000347934 Segment", "CB_IS_GROSS_MARGIN", "FPT=A", "FPO=7A", "ACT_EST_MAPPING=PRECISE", "FS=MRC", "CURRENCY=USD", "XLFILL=b")</f>
        <v>#NAME?</v>
      </c>
    </row>
    <row r="88" spans="1:11" x14ac:dyDescent="0.25">
      <c r="A88" t="s">
        <v>65</v>
      </c>
      <c r="B88" t="e" cm="1">
        <f t="array" aca="1" ref="B88" ca="1">BQL("SEG0000347934 Segment", "IS_ADJ_GROSS_PROFIT_AS_REPORTED/1M", "FPT=A", "FPO=-2A", "ACT_EST_MAPPING=PRECISE", "FS=MRC", "CURRENCY=USD", "XLFILL=b")</f>
        <v>#NAME?</v>
      </c>
      <c r="C88" t="e" cm="1">
        <f t="array" aca="1" ref="C88" ca="1">BQL("SEG0000347934 Segment", "IS_ADJ_GROSS_PROFIT_AS_REPORTED/1M", "FPT=A", "FPO=-1A", "ACT_EST_MAPPING=PRECISE", "FS=MRC", "CURRENCY=USD", "XLFILL=b")</f>
        <v>#NAME?</v>
      </c>
      <c r="D88" t="e" cm="1">
        <f t="array" aca="1" ref="D88" ca="1">BQL("SEG0000347934 Segment", "IS_ADJ_GROSS_PROFIT_AS_REPORTED/1M", "FPT=A", "FPO=0A", "ACT_EST_MAPPING=PRECISE", "FS=MRC", "CURRENCY=USD", "XLFILL=b")</f>
        <v>#NAME?</v>
      </c>
      <c r="E88" t="e" cm="1">
        <f t="array" aca="1" ref="E88" ca="1">BQL("SEG0000347934 Segment", "IS_ADJ_GROSS_PROFIT_AS_REPORTED/1M", "FPT=A", "FPO=1A", "ACT_EST_MAPPING=PRECISE", "FS=MRC", "CURRENCY=USD", "XLFILL=b")</f>
        <v>#NAME?</v>
      </c>
      <c r="F88" t="e" cm="1">
        <f t="array" aca="1" ref="F88" ca="1">BQL("SEG0000347934 Segment", "IS_ADJ_GROSS_PROFIT_AS_REPORTED/1M", "FPT=A", "FPO=2A", "ACT_EST_MAPPING=PRECISE", "FS=MRC", "CURRENCY=USD", "XLFILL=b")</f>
        <v>#NAME?</v>
      </c>
      <c r="G88" t="e" cm="1">
        <f t="array" aca="1" ref="G88" ca="1">BQL("SEG0000347934 Segment", "IS_ADJ_GROSS_PROFIT_AS_REPORTED/1M", "FPT=A", "FPO=3A", "ACT_EST_MAPPING=PRECISE", "FS=MRC", "CURRENCY=USD", "XLFILL=b")</f>
        <v>#NAME?</v>
      </c>
      <c r="H88" t="e" cm="1">
        <f t="array" aca="1" ref="H88" ca="1">BQL("SEG0000347934 Segment", "IS_ADJ_GROSS_PROFIT_AS_REPORTED/1M", "FPT=A", "FPO=4A", "ACT_EST_MAPPING=PRECISE", "FS=MRC", "CURRENCY=USD", "XLFILL=b")</f>
        <v>#NAME?</v>
      </c>
      <c r="I88" t="e" cm="1">
        <f t="array" aca="1" ref="I88" ca="1">BQL("SEG0000347934 Segment", "IS_ADJ_GROSS_PROFIT_AS_REPORTED/1M", "FPT=A", "FPO=5A", "ACT_EST_MAPPING=PRECISE", "FS=MRC", "CURRENCY=USD", "XLFILL=b")</f>
        <v>#NAME?</v>
      </c>
      <c r="J88" t="e" cm="1">
        <f t="array" aca="1" ref="J88" ca="1">BQL("SEG0000347934 Segment", "IS_ADJ_GROSS_PROFIT_AS_REPORTED/1M", "FPT=A", "FPO=6A", "ACT_EST_MAPPING=PRECISE", "FS=MRC", "CURRENCY=USD", "XLFILL=b")</f>
        <v>#NAME?</v>
      </c>
      <c r="K88" t="e" cm="1">
        <f t="array" aca="1" ref="K88" ca="1">BQL("SEG0000347934 Segment", "IS_ADJ_GROSS_PROFIT_AS_REPORTED/1M", "FPT=A", "FPO=7A", "ACT_EST_MAPPING=PRECISE", "FS=MRC", "CURRENCY=USD", "XLFILL=b")</f>
        <v>#NAME?</v>
      </c>
    </row>
    <row r="89" spans="1:11" x14ac:dyDescent="0.25">
      <c r="A89" t="s">
        <v>66</v>
      </c>
      <c r="B89" t="e" cm="1">
        <f t="array" aca="1" ref="B89" ca="1">BQL("SEG0000347934 Segment", "IS_ADJ_GROSS_MARGIN_PCT_AR", "FPT=A", "FPO=-2A", "ACT_EST_MAPPING=PRECISE", "FS=MRC", "CURRENCY=USD", "XLFILL=b")</f>
        <v>#NAME?</v>
      </c>
      <c r="C89" t="e" cm="1">
        <f t="array" aca="1" ref="C89" ca="1">BQL("SEG0000347934 Segment", "IS_ADJ_GROSS_MARGIN_PCT_AR", "FPT=A", "FPO=-1A", "ACT_EST_MAPPING=PRECISE", "FS=MRC", "CURRENCY=USD", "XLFILL=b")</f>
        <v>#NAME?</v>
      </c>
      <c r="D89" t="e" cm="1">
        <f t="array" aca="1" ref="D89" ca="1">BQL("SEG0000347934 Segment", "IS_ADJ_GROSS_MARGIN_PCT_AR", "FPT=A", "FPO=0A", "ACT_EST_MAPPING=PRECISE", "FS=MRC", "CURRENCY=USD", "XLFILL=b")</f>
        <v>#NAME?</v>
      </c>
      <c r="E89" t="e" cm="1">
        <f t="array" aca="1" ref="E89" ca="1">BQL("SEG0000347934 Segment", "IS_ADJ_GROSS_MARGIN_PCT_AR", "FPT=A", "FPO=1A", "ACT_EST_MAPPING=PRECISE", "FS=MRC", "CURRENCY=USD", "XLFILL=b")</f>
        <v>#NAME?</v>
      </c>
      <c r="F89" t="e" cm="1">
        <f t="array" aca="1" ref="F89" ca="1">BQL("SEG0000347934 Segment", "IS_ADJ_GROSS_MARGIN_PCT_AR", "FPT=A", "FPO=2A", "ACT_EST_MAPPING=PRECISE", "FS=MRC", "CURRENCY=USD", "XLFILL=b")</f>
        <v>#NAME?</v>
      </c>
      <c r="G89" t="e" cm="1">
        <f t="array" aca="1" ref="G89" ca="1">BQL("SEG0000347934 Segment", "IS_ADJ_GROSS_MARGIN_PCT_AR", "FPT=A", "FPO=3A", "ACT_EST_MAPPING=PRECISE", "FS=MRC", "CURRENCY=USD", "XLFILL=b")</f>
        <v>#NAME?</v>
      </c>
      <c r="H89" t="e" cm="1">
        <f t="array" aca="1" ref="H89" ca="1">BQL("SEG0000347934 Segment", "IS_ADJ_GROSS_MARGIN_PCT_AR", "FPT=A", "FPO=4A", "ACT_EST_MAPPING=PRECISE", "FS=MRC", "CURRENCY=USD", "XLFILL=b")</f>
        <v>#NAME?</v>
      </c>
      <c r="I89" t="e" cm="1">
        <f t="array" aca="1" ref="I89" ca="1">BQL("SEG0000347934 Segment", "IS_ADJ_GROSS_MARGIN_PCT_AR", "FPT=A", "FPO=5A", "ACT_EST_MAPPING=PRECISE", "FS=MRC", "CURRENCY=USD", "XLFILL=b")</f>
        <v>#NAME?</v>
      </c>
      <c r="J89" t="e" cm="1">
        <f t="array" aca="1" ref="J89" ca="1">BQL("SEG0000347934 Segment", "IS_ADJ_GROSS_MARGIN_PCT_AR", "FPT=A", "FPO=6A", "ACT_EST_MAPPING=PRECISE", "FS=MRC", "CURRENCY=USD", "XLFILL=b")</f>
        <v>#NAME?</v>
      </c>
      <c r="K89" t="e" cm="1">
        <f t="array" aca="1" ref="K89" ca="1">BQL("SEG0000347934 Segment", "IS_ADJ_GROSS_MARGIN_PCT_AR", "FPT=A", "FPO=7A", "ACT_EST_MAPPING=PRECISE", "FS=MRC", "CURRENCY=USD", "XLFILL=b")</f>
        <v>#NAME?</v>
      </c>
    </row>
    <row r="90" spans="1:11" x14ac:dyDescent="0.25">
      <c r="A90" t="s">
        <v>67</v>
      </c>
      <c r="B90" t="e" cm="1">
        <f t="array" aca="1" ref="B90" ca="1">BQL("SEG0000347934 Segment", "IS_EXPENSE_STOCK_BASED_COMP/1M", "FPT=A", "FPO=-2A", "ACT_EST_MAPPING=PRECISE", "FS=MRC", "CURRENCY=USD", "XLFILL=b")</f>
        <v>#NAME?</v>
      </c>
      <c r="C90" t="e" cm="1">
        <f t="array" aca="1" ref="C90" ca="1">BQL("SEG0000347934 Segment", "IS_EXPENSE_STOCK_BASED_COMP/1M", "FPT=A", "FPO=-1A", "ACT_EST_MAPPING=PRECISE", "FS=MRC", "CURRENCY=USD", "XLFILL=b")</f>
        <v>#NAME?</v>
      </c>
      <c r="D90" t="e" cm="1">
        <f t="array" aca="1" ref="D90" ca="1">BQL("SEG0000347934 Segment", "IS_EXPENSE_STOCK_BASED_COMP/1M", "FPT=A", "FPO=0A", "ACT_EST_MAPPING=PRECISE", "FS=MRC", "CURRENCY=USD", "XLFILL=b")</f>
        <v>#NAME?</v>
      </c>
      <c r="E90" t="e" cm="1">
        <f t="array" aca="1" ref="E90" ca="1">BQL("SEG0000347934 Segment", "IS_EXPENSE_STOCK_BASED_COMP/1M", "FPT=A", "FPO=1A", "ACT_EST_MAPPING=PRECISE", "FS=MRC", "CURRENCY=USD", "XLFILL=b")</f>
        <v>#NAME?</v>
      </c>
      <c r="F90" t="e" cm="1">
        <f t="array" aca="1" ref="F90" ca="1">BQL("SEG0000347934 Segment", "IS_EXPENSE_STOCK_BASED_COMP/1M", "FPT=A", "FPO=2A", "ACT_EST_MAPPING=PRECISE", "FS=MRC", "CURRENCY=USD", "XLFILL=b")</f>
        <v>#NAME?</v>
      </c>
      <c r="G90" t="e" cm="1">
        <f t="array" aca="1" ref="G90" ca="1">BQL("SEG0000347934 Segment", "IS_EXPENSE_STOCK_BASED_COMP/1M", "FPT=A", "FPO=3A", "ACT_EST_MAPPING=PRECISE", "FS=MRC", "CURRENCY=USD", "XLFILL=b")</f>
        <v>#NAME?</v>
      </c>
      <c r="H90" t="e" cm="1">
        <f t="array" aca="1" ref="H90" ca="1">BQL("SEG0000347934 Segment", "IS_EXPENSE_STOCK_BASED_COMP/1M", "FPT=A", "FPO=4A", "ACT_EST_MAPPING=PRECISE", "FS=MRC", "CURRENCY=USD", "XLFILL=b")</f>
        <v>#NAME?</v>
      </c>
      <c r="I90" t="e" cm="1">
        <f t="array" aca="1" ref="I90" ca="1">BQL("SEG0000347934 Segment", "IS_EXPENSE_STOCK_BASED_COMP/1M", "FPT=A", "FPO=5A", "ACT_EST_MAPPING=PRECISE", "FS=MRC", "CURRENCY=USD", "XLFILL=b")</f>
        <v>#NAME?</v>
      </c>
      <c r="J90" t="e" cm="1">
        <f t="array" aca="1" ref="J90" ca="1">BQL("SEG0000347934 Segment", "IS_EXPENSE_STOCK_BASED_COMP/1M", "FPT=A", "FPO=6A", "ACT_EST_MAPPING=PRECISE", "FS=MRC", "CURRENCY=USD", "XLFILL=b")</f>
        <v>#NAME?</v>
      </c>
      <c r="K90" t="e" cm="1">
        <f t="array" aca="1" ref="K90" ca="1">BQL("SEG0000347934 Segment", "IS_EXPENSE_STOCK_BASED_COMP/1M", "FPT=A", "FPO=7A", "ACT_EST_MAPPING=PRECISE", "FS=MRC", "CURRENCY=USD", "XLFILL=b")</f>
        <v>#NAME?</v>
      </c>
    </row>
    <row r="91" spans="1:11" x14ac:dyDescent="0.25">
      <c r="A91" t="s">
        <v>17</v>
      </c>
    </row>
    <row r="92" spans="1:11" x14ac:dyDescent="0.25">
      <c r="A92" t="s">
        <v>51</v>
      </c>
    </row>
    <row r="93" spans="1:11" x14ac:dyDescent="0.25">
      <c r="A93" t="s">
        <v>70</v>
      </c>
    </row>
    <row r="94" spans="1:11" x14ac:dyDescent="0.25">
      <c r="A94" t="s">
        <v>60</v>
      </c>
      <c r="B94" t="e" cm="1">
        <f t="array" aca="1" ref="B94" ca="1">BQL("SEG0000566785 Segment", "SALES_REV_TURN/1M", "FPT=A", "FPO=-2A", "ACT_EST_MAPPING=PRECISE", "FS=MRC", "CURRENCY=USD", "XLFILL=b")</f>
        <v>#NAME?</v>
      </c>
      <c r="C94" t="e" cm="1">
        <f t="array" aca="1" ref="C94" ca="1">BQL("SEG0000566785 Segment", "SALES_REV_TURN/1M", "FPT=A", "FPO=-1A", "ACT_EST_MAPPING=PRECISE", "FS=MRC", "CURRENCY=USD", "XLFILL=b")</f>
        <v>#NAME?</v>
      </c>
      <c r="D94" t="e" cm="1">
        <f t="array" aca="1" ref="D94" ca="1">BQL("SEG0000566785 Segment", "SALES_REV_TURN/1M", "FPT=A", "FPO=0A", "ACT_EST_MAPPING=PRECISE", "FS=MRC", "CURRENCY=USD", "XLFILL=b")</f>
        <v>#NAME?</v>
      </c>
      <c r="E94" t="e" cm="1">
        <f t="array" aca="1" ref="E94" ca="1">BQL("SEG0000566785 Segment", "SALES_REV_TURN/1M", "FPT=A", "FPO=1A", "ACT_EST_MAPPING=PRECISE", "FS=MRC", "CURRENCY=USD", "XLFILL=b")</f>
        <v>#NAME?</v>
      </c>
      <c r="F94" t="e" cm="1">
        <f t="array" aca="1" ref="F94" ca="1">BQL("SEG0000566785 Segment", "SALES_REV_TURN/1M", "FPT=A", "FPO=2A", "ACT_EST_MAPPING=PRECISE", "FS=MRC", "CURRENCY=USD", "XLFILL=b")</f>
        <v>#NAME?</v>
      </c>
      <c r="G94" t="e" cm="1">
        <f t="array" aca="1" ref="G94" ca="1">BQL("SEG0000566785 Segment", "SALES_REV_TURN/1M", "FPT=A", "FPO=3A", "ACT_EST_MAPPING=PRECISE", "FS=MRC", "CURRENCY=USD", "XLFILL=b")</f>
        <v>#NAME?</v>
      </c>
      <c r="H94" t="e" cm="1">
        <f t="array" aca="1" ref="H94" ca="1">BQL("SEG0000566785 Segment", "SALES_REV_TURN/1M", "FPT=A", "FPO=4A", "ACT_EST_MAPPING=PRECISE", "FS=MRC", "CURRENCY=USD", "XLFILL=b")</f>
        <v>#NAME?</v>
      </c>
      <c r="I94" t="e" cm="1">
        <f t="array" aca="1" ref="I94" ca="1">BQL("SEG0000566785 Segment", "SALES_REV_TURN/1M", "FPT=A", "FPO=5A", "ACT_EST_MAPPING=PRECISE", "FS=MRC", "CURRENCY=USD", "XLFILL=b")</f>
        <v>#NAME?</v>
      </c>
      <c r="J94" t="e" cm="1">
        <f t="array" aca="1" ref="J94" ca="1">BQL("SEG0000566785 Segment", "SALES_REV_TURN/1M", "FPT=A", "FPO=6A", "ACT_EST_MAPPING=PRECISE", "FS=MRC", "CURRENCY=USD", "XLFILL=b")</f>
        <v>#NAME?</v>
      </c>
      <c r="K94" t="e" cm="1">
        <f t="array" aca="1" ref="K94" ca="1">BQL("SEG0000566785 Segment", "SALES_REV_TURN/1M", "FPT=A", "FPO=7A", "ACT_EST_MAPPING=PRECISE", "FS=MRC", "CURRENCY=USD", "XLFILL=b")</f>
        <v>#NAME?</v>
      </c>
    </row>
    <row r="95" spans="1:11" x14ac:dyDescent="0.25">
      <c r="A95" t="s">
        <v>71</v>
      </c>
    </row>
    <row r="96" spans="1:11" x14ac:dyDescent="0.25">
      <c r="A96" t="s">
        <v>60</v>
      </c>
      <c r="B96" t="e" cm="1">
        <f t="array" aca="1" ref="B96" ca="1">BQL("SEG0000566784 Segment", "SALES_REV_TURN/1M", "FPT=A", "FPO=-2A", "ACT_EST_MAPPING=PRECISE", "FS=MRC", "CURRENCY=USD", "XLFILL=b")</f>
        <v>#NAME?</v>
      </c>
      <c r="C96" t="e" cm="1">
        <f t="array" aca="1" ref="C96" ca="1">BQL("SEG0000566784 Segment", "SALES_REV_TURN/1M", "FPT=A", "FPO=-1A", "ACT_EST_MAPPING=PRECISE", "FS=MRC", "CURRENCY=USD", "XLFILL=b")</f>
        <v>#NAME?</v>
      </c>
      <c r="D96" t="e" cm="1">
        <f t="array" aca="1" ref="D96" ca="1">BQL("SEG0000566784 Segment", "SALES_REV_TURN/1M", "FPT=A", "FPO=0A", "ACT_EST_MAPPING=PRECISE", "FS=MRC", "CURRENCY=USD", "XLFILL=b")</f>
        <v>#NAME?</v>
      </c>
      <c r="E96" t="e" cm="1">
        <f t="array" aca="1" ref="E96" ca="1">BQL("SEG0000566784 Segment", "SALES_REV_TURN/1M", "FPT=A", "FPO=1A", "ACT_EST_MAPPING=PRECISE", "FS=MRC", "CURRENCY=USD", "XLFILL=b")</f>
        <v>#NAME?</v>
      </c>
      <c r="F96" t="e" cm="1">
        <f t="array" aca="1" ref="F96" ca="1">BQL("SEG0000566784 Segment", "SALES_REV_TURN/1M", "FPT=A", "FPO=2A", "ACT_EST_MAPPING=PRECISE", "FS=MRC", "CURRENCY=USD", "XLFILL=b")</f>
        <v>#NAME?</v>
      </c>
      <c r="G96" t="e" cm="1">
        <f t="array" aca="1" ref="G96" ca="1">BQL("SEG0000566784 Segment", "SALES_REV_TURN/1M", "FPT=A", "FPO=3A", "ACT_EST_MAPPING=PRECISE", "FS=MRC", "CURRENCY=USD", "XLFILL=b")</f>
        <v>#NAME?</v>
      </c>
      <c r="H96" t="e" cm="1">
        <f t="array" aca="1" ref="H96" ca="1">BQL("SEG0000566784 Segment", "SALES_REV_TURN/1M", "FPT=A", "FPO=4A", "ACT_EST_MAPPING=PRECISE", "FS=MRC", "CURRENCY=USD", "XLFILL=b")</f>
        <v>#NAME?</v>
      </c>
      <c r="I96" t="e" cm="1">
        <f t="array" aca="1" ref="I96" ca="1">BQL("SEG0000566784 Segment", "SALES_REV_TURN/1M", "FPT=A", "FPO=5A", "ACT_EST_MAPPING=PRECISE", "FS=MRC", "CURRENCY=USD", "XLFILL=b")</f>
        <v>#NAME?</v>
      </c>
      <c r="J96" t="e" cm="1">
        <f t="array" aca="1" ref="J96" ca="1">BQL("SEG0000566784 Segment", "SALES_REV_TURN/1M", "FPT=A", "FPO=6A", "ACT_EST_MAPPING=PRECISE", "FS=MRC", "CURRENCY=USD", "XLFILL=b")</f>
        <v>#NAME?</v>
      </c>
      <c r="K96" t="e" cm="1">
        <f t="array" aca="1" ref="K96" ca="1">BQL("SEG0000566784 Segment", "SALES_REV_TURN/1M", "FPT=A", "FPO=7A", "ACT_EST_MAPPING=PRECISE", "FS=MRC", "CURRENCY=USD", "XLFILL=b")</f>
        <v>#NAME?</v>
      </c>
    </row>
    <row r="97" spans="1:11" x14ac:dyDescent="0.25">
      <c r="A97" t="s">
        <v>17</v>
      </c>
    </row>
    <row r="98" spans="1:11" x14ac:dyDescent="0.25">
      <c r="A98" t="s">
        <v>72</v>
      </c>
    </row>
    <row r="99" spans="1:11" x14ac:dyDescent="0.25">
      <c r="A99" t="s">
        <v>16</v>
      </c>
    </row>
    <row r="100" spans="1:11" x14ac:dyDescent="0.25">
      <c r="A100" t="s">
        <v>73</v>
      </c>
      <c r="B100" t="e" cm="1">
        <f t="array" aca="1" ref="B100" ca="1">BQL("SEG0000347936 Segment", "SALES_REV_TURN/1M", "FPT=A", "FPO=-2A", "ACT_EST_MAPPING=PRECISE", "FS=MRC", "CURRENCY=USD", "XLFILL=b")</f>
        <v>#NAME?</v>
      </c>
      <c r="C100" t="e" cm="1">
        <f t="array" aca="1" ref="C100" ca="1">BQL("SEG0000347936 Segment", "SALES_REV_TURN/1M", "FPT=A", "FPO=-1A", "ACT_EST_MAPPING=PRECISE", "FS=MRC", "CURRENCY=USD", "XLFILL=b")</f>
        <v>#NAME?</v>
      </c>
      <c r="D100" t="e" cm="1">
        <f t="array" aca="1" ref="D100" ca="1">BQL("SEG0000347936 Segment", "SALES_REV_TURN/1M", "FPT=A", "FPO=0A", "ACT_EST_MAPPING=PRECISE", "FS=MRC", "CURRENCY=USD", "XLFILL=b")</f>
        <v>#NAME?</v>
      </c>
      <c r="E100" t="e" cm="1">
        <f t="array" aca="1" ref="E100" ca="1">BQL("SEG0000347936 Segment", "SALES_REV_TURN/1M", "FPT=A", "FPO=1A", "ACT_EST_MAPPING=PRECISE", "FS=MRC", "CURRENCY=USD", "XLFILL=b")</f>
        <v>#NAME?</v>
      </c>
      <c r="F100" t="e" cm="1">
        <f t="array" aca="1" ref="F100" ca="1">BQL("SEG0000347936 Segment", "SALES_REV_TURN/1M", "FPT=A", "FPO=2A", "ACT_EST_MAPPING=PRECISE", "FS=MRC", "CURRENCY=USD", "XLFILL=b")</f>
        <v>#NAME?</v>
      </c>
      <c r="G100" t="e" cm="1">
        <f t="array" aca="1" ref="G100" ca="1">BQL("SEG0000347936 Segment", "SALES_REV_TURN/1M", "FPT=A", "FPO=3A", "ACT_EST_MAPPING=PRECISE", "FS=MRC", "CURRENCY=USD", "XLFILL=b")</f>
        <v>#NAME?</v>
      </c>
      <c r="H100" t="e" cm="1">
        <f t="array" aca="1" ref="H100" ca="1">BQL("SEG0000347936 Segment", "SALES_REV_TURN/1M", "FPT=A", "FPO=4A", "ACT_EST_MAPPING=PRECISE", "FS=MRC", "CURRENCY=USD", "XLFILL=b")</f>
        <v>#NAME?</v>
      </c>
      <c r="I100" t="e" cm="1">
        <f t="array" aca="1" ref="I100" ca="1">BQL("SEG0000347936 Segment", "SALES_REV_TURN/1M", "FPT=A", "FPO=5A", "ACT_EST_MAPPING=PRECISE", "FS=MRC", "CURRENCY=USD", "XLFILL=b")</f>
        <v>#NAME?</v>
      </c>
      <c r="J100" t="e" cm="1">
        <f t="array" aca="1" ref="J100" ca="1">BQL("SEG0000347936 Segment", "SALES_REV_TURN/1M", "FPT=A", "FPO=6A", "ACT_EST_MAPPING=PRECISE", "FS=MRC", "CURRENCY=USD", "XLFILL=b")</f>
        <v>#NAME?</v>
      </c>
      <c r="K100" t="e" cm="1">
        <f t="array" aca="1" ref="K100" ca="1">BQL("SEG0000347936 Segment", "SALES_REV_TURN/1M", "FPT=A", "FPO=7A", "ACT_EST_MAPPING=PRECISE", "FS=MRC", "CURRENCY=USD", "XLFILL=b")</f>
        <v>#NAME?</v>
      </c>
    </row>
    <row r="101" spans="1:11" x14ac:dyDescent="0.25">
      <c r="A101" t="s">
        <v>61</v>
      </c>
      <c r="B101" t="e" cm="1">
        <f t="array" aca="1" ref="B101" ca="1">BQL("SEG0000347936 Segment", "IS_PERCENTAGE_OF_REVENUE", "FPT=A", "FPO=-2A", "ACT_EST_MAPPING=PRECISE", "FS=MRC", "CURRENCY=USD", "XLFILL=b")</f>
        <v>#NAME?</v>
      </c>
      <c r="C101" t="e" cm="1">
        <f t="array" aca="1" ref="C101" ca="1">BQL("SEG0000347936 Segment", "IS_PERCENTAGE_OF_REVENUE", "FPT=A", "FPO=-1A", "ACT_EST_MAPPING=PRECISE", "FS=MRC", "CURRENCY=USD", "XLFILL=b")</f>
        <v>#NAME?</v>
      </c>
      <c r="D101" t="e" cm="1">
        <f t="array" aca="1" ref="D101" ca="1">BQL("SEG0000347936 Segment", "IS_PERCENTAGE_OF_REVENUE", "FPT=A", "FPO=0A", "ACT_EST_MAPPING=PRECISE", "FS=MRC", "CURRENCY=USD", "XLFILL=b")</f>
        <v>#NAME?</v>
      </c>
      <c r="E101" t="e" cm="1">
        <f t="array" aca="1" ref="E101" ca="1">BQL("SEG0000347936 Segment", "IS_PERCENTAGE_OF_REVENUE", "FPT=A", "FPO=1A", "ACT_EST_MAPPING=PRECISE", "FS=MRC", "CURRENCY=USD", "XLFILL=b")</f>
        <v>#NAME?</v>
      </c>
      <c r="F101" t="e" cm="1">
        <f t="array" aca="1" ref="F101" ca="1">BQL("SEG0000347936 Segment", "IS_PERCENTAGE_OF_REVENUE", "FPT=A", "FPO=2A", "ACT_EST_MAPPING=PRECISE", "FS=MRC", "CURRENCY=USD", "XLFILL=b")</f>
        <v>#NAME?</v>
      </c>
      <c r="G101" t="e" cm="1">
        <f t="array" aca="1" ref="G101" ca="1">BQL("SEG0000347936 Segment", "IS_PERCENTAGE_OF_REVENUE", "FPT=A", "FPO=3A", "ACT_EST_MAPPING=PRECISE", "FS=MRC", "CURRENCY=USD", "XLFILL=b")</f>
        <v>#NAME?</v>
      </c>
      <c r="H101" t="e" cm="1">
        <f t="array" aca="1" ref="H101" ca="1">BQL("SEG0000347936 Segment", "IS_PERCENTAGE_OF_REVENUE", "FPT=A", "FPO=4A", "ACT_EST_MAPPING=PRECISE", "FS=MRC", "CURRENCY=USD", "XLFILL=b")</f>
        <v>#NAME?</v>
      </c>
      <c r="I101" t="e" cm="1">
        <f t="array" aca="1" ref="I101" ca="1">BQL("SEG0000347936 Segment", "IS_PERCENTAGE_OF_REVENUE", "FPT=A", "FPO=5A", "ACT_EST_MAPPING=PRECISE", "FS=MRC", "CURRENCY=USD", "XLFILL=b")</f>
        <v>#NAME?</v>
      </c>
      <c r="J101" t="e" cm="1">
        <f t="array" aca="1" ref="J101" ca="1">BQL("SEG0000347936 Segment", "IS_PERCENTAGE_OF_REVENUE", "FPT=A", "FPO=6A", "ACT_EST_MAPPING=PRECISE", "FS=MRC", "CURRENCY=USD", "XLFILL=b")</f>
        <v>#NAME?</v>
      </c>
      <c r="K101" t="e" cm="1">
        <f t="array" aca="1" ref="K101" ca="1">BQL("SEG0000347936 Segment", "IS_PERCENTAGE_OF_REVENUE", "FPT=A", "FPO=7A", "ACT_EST_MAPPING=PRECISE", "FS=MRC", "CURRENCY=USD", "XLFILL=b")</f>
        <v>#NAME?</v>
      </c>
    </row>
    <row r="102" spans="1:11" x14ac:dyDescent="0.25">
      <c r="A102" t="s">
        <v>74</v>
      </c>
      <c r="B102" t="e" cm="1">
        <f t="array" aca="1" ref="B102" ca="1">BQL("SEG0000347933 Segment", "SALES_REV_TURN/1M", "FPT=A", "FPO=-2A", "ACT_EST_MAPPING=PRECISE", "FS=MRC", "CURRENCY=USD", "XLFILL=b")</f>
        <v>#NAME?</v>
      </c>
      <c r="C102" t="e" cm="1">
        <f t="array" aca="1" ref="C102" ca="1">BQL("SEG0000347933 Segment", "SALES_REV_TURN/1M", "FPT=A", "FPO=-1A", "ACT_EST_MAPPING=PRECISE", "FS=MRC", "CURRENCY=USD", "XLFILL=b")</f>
        <v>#NAME?</v>
      </c>
      <c r="D102" t="e" cm="1">
        <f t="array" aca="1" ref="D102" ca="1">BQL("SEG0000347933 Segment", "SALES_REV_TURN/1M", "FPT=A", "FPO=0A", "ACT_EST_MAPPING=PRECISE", "FS=MRC", "CURRENCY=USD", "XLFILL=b")</f>
        <v>#NAME?</v>
      </c>
      <c r="E102" t="e" cm="1">
        <f t="array" aca="1" ref="E102" ca="1">BQL("SEG0000347933 Segment", "SALES_REV_TURN/1M", "FPT=A", "FPO=1A", "ACT_EST_MAPPING=PRECISE", "FS=MRC", "CURRENCY=USD", "XLFILL=b")</f>
        <v>#NAME?</v>
      </c>
      <c r="F102" t="e" cm="1">
        <f t="array" aca="1" ref="F102" ca="1">BQL("SEG0000347933 Segment", "SALES_REV_TURN/1M", "FPT=A", "FPO=2A", "ACT_EST_MAPPING=PRECISE", "FS=MRC", "CURRENCY=USD", "XLFILL=b")</f>
        <v>#NAME?</v>
      </c>
      <c r="G102" t="e" cm="1">
        <f t="array" aca="1" ref="G102" ca="1">BQL("SEG0000347933 Segment", "SALES_REV_TURN/1M", "FPT=A", "FPO=3A", "ACT_EST_MAPPING=PRECISE", "FS=MRC", "CURRENCY=USD", "XLFILL=b")</f>
        <v>#NAME?</v>
      </c>
      <c r="H102" t="e" cm="1">
        <f t="array" aca="1" ref="H102" ca="1">BQL("SEG0000347933 Segment", "SALES_REV_TURN/1M", "FPT=A", "FPO=4A", "ACT_EST_MAPPING=PRECISE", "FS=MRC", "CURRENCY=USD", "XLFILL=b")</f>
        <v>#NAME?</v>
      </c>
      <c r="I102" t="e" cm="1">
        <f t="array" aca="1" ref="I102" ca="1">BQL("SEG0000347933 Segment", "SALES_REV_TURN/1M", "FPT=A", "FPO=5A", "ACT_EST_MAPPING=PRECISE", "FS=MRC", "CURRENCY=USD", "XLFILL=b")</f>
        <v>#NAME?</v>
      </c>
      <c r="J102" t="e" cm="1">
        <f t="array" aca="1" ref="J102" ca="1">BQL("SEG0000347933 Segment", "SALES_REV_TURN/1M", "FPT=A", "FPO=6A", "ACT_EST_MAPPING=PRECISE", "FS=MRC", "CURRENCY=USD", "XLFILL=b")</f>
        <v>#NAME?</v>
      </c>
      <c r="K102" t="e" cm="1">
        <f t="array" aca="1" ref="K102" ca="1">BQL("SEG0000347933 Segment", "SALES_REV_TURN/1M", "FPT=A", "FPO=7A", "ACT_EST_MAPPING=PRECISE", "FS=MRC", "CURRENCY=USD", "XLFILL=b")</f>
        <v>#NAME?</v>
      </c>
    </row>
    <row r="103" spans="1:11" x14ac:dyDescent="0.25">
      <c r="A103" t="s">
        <v>61</v>
      </c>
      <c r="B103" t="e" cm="1">
        <f t="array" aca="1" ref="B103" ca="1">BQL("SEG0000347933 Segment", "IS_PERCENTAGE_OF_REVENUE", "FPT=A", "FPO=-2A", "ACT_EST_MAPPING=PRECISE", "FS=MRC", "CURRENCY=USD", "XLFILL=b")</f>
        <v>#NAME?</v>
      </c>
      <c r="C103" t="e" cm="1">
        <f t="array" aca="1" ref="C103" ca="1">BQL("SEG0000347933 Segment", "IS_PERCENTAGE_OF_REVENUE", "FPT=A", "FPO=-1A", "ACT_EST_MAPPING=PRECISE", "FS=MRC", "CURRENCY=USD", "XLFILL=b")</f>
        <v>#NAME?</v>
      </c>
      <c r="D103" t="e" cm="1">
        <f t="array" aca="1" ref="D103" ca="1">BQL("SEG0000347933 Segment", "IS_PERCENTAGE_OF_REVENUE", "FPT=A", "FPO=0A", "ACT_EST_MAPPING=PRECISE", "FS=MRC", "CURRENCY=USD", "XLFILL=b")</f>
        <v>#NAME?</v>
      </c>
      <c r="E103" t="e" cm="1">
        <f t="array" aca="1" ref="E103" ca="1">BQL("SEG0000347933 Segment", "IS_PERCENTAGE_OF_REVENUE", "FPT=A", "FPO=1A", "ACT_EST_MAPPING=PRECISE", "FS=MRC", "CURRENCY=USD", "XLFILL=b")</f>
        <v>#NAME?</v>
      </c>
      <c r="F103" t="e" cm="1">
        <f t="array" aca="1" ref="F103" ca="1">BQL("SEG0000347933 Segment", "IS_PERCENTAGE_OF_REVENUE", "FPT=A", "FPO=2A", "ACT_EST_MAPPING=PRECISE", "FS=MRC", "CURRENCY=USD", "XLFILL=b")</f>
        <v>#NAME?</v>
      </c>
      <c r="G103" t="e" cm="1">
        <f t="array" aca="1" ref="G103" ca="1">BQL("SEG0000347933 Segment", "IS_PERCENTAGE_OF_REVENUE", "FPT=A", "FPO=3A", "ACT_EST_MAPPING=PRECISE", "FS=MRC", "CURRENCY=USD", "XLFILL=b")</f>
        <v>#NAME?</v>
      </c>
      <c r="H103" t="e" cm="1">
        <f t="array" aca="1" ref="H103" ca="1">BQL("SEG0000347933 Segment", "IS_PERCENTAGE_OF_REVENUE", "FPT=A", "FPO=4A", "ACT_EST_MAPPING=PRECISE", "FS=MRC", "CURRENCY=USD", "XLFILL=b")</f>
        <v>#NAME?</v>
      </c>
      <c r="I103" t="e" cm="1">
        <f t="array" aca="1" ref="I103" ca="1">BQL("SEG0000347933 Segment", "IS_PERCENTAGE_OF_REVENUE", "FPT=A", "FPO=5A", "ACT_EST_MAPPING=PRECISE", "FS=MRC", "CURRENCY=USD", "XLFILL=b")</f>
        <v>#NAME?</v>
      </c>
      <c r="J103" t="e" cm="1">
        <f t="array" aca="1" ref="J103" ca="1">BQL("SEG0000347933 Segment", "IS_PERCENTAGE_OF_REVENUE", "FPT=A", "FPO=6A", "ACT_EST_MAPPING=PRECISE", "FS=MRC", "CURRENCY=USD", "XLFILL=b")</f>
        <v>#NAME?</v>
      </c>
      <c r="K103" t="e" cm="1">
        <f t="array" aca="1" ref="K103" ca="1">BQL("SEG0000347933 Segment", "IS_PERCENTAGE_OF_REVENUE", "FPT=A", "FPO=7A", "ACT_EST_MAPPING=PRECISE", "FS=MRC", "CURRENCY=USD", "XLFILL=b")</f>
        <v>#NAME?</v>
      </c>
    </row>
    <row r="104" spans="1:11" x14ac:dyDescent="0.25">
      <c r="A104" t="s">
        <v>75</v>
      </c>
      <c r="B104" t="e" cm="1">
        <f t="array" aca="1" ref="B104" ca="1">BQL("SEG0000427223 Segment", "SALES_REV_TURN/1M", "FPT=A", "FPO=-2A", "ACT_EST_MAPPING=PRECISE", "FS=MRC", "CURRENCY=USD", "XLFILL=b")</f>
        <v>#NAME?</v>
      </c>
      <c r="C104" t="e" cm="1">
        <f t="array" aca="1" ref="C104" ca="1">BQL("SEG0000427223 Segment", "SALES_REV_TURN/1M", "FPT=A", "FPO=-1A", "ACT_EST_MAPPING=PRECISE", "FS=MRC", "CURRENCY=USD", "XLFILL=b")</f>
        <v>#NAME?</v>
      </c>
      <c r="D104" t="e" cm="1">
        <f t="array" aca="1" ref="D104" ca="1">BQL("SEG0000427223 Segment", "SALES_REV_TURN/1M", "FPT=A", "FPO=0A", "ACT_EST_MAPPING=PRECISE", "FS=MRC", "CURRENCY=USD", "XLFILL=b")</f>
        <v>#NAME?</v>
      </c>
      <c r="E104" t="e" cm="1">
        <f t="array" aca="1" ref="E104" ca="1">BQL("SEG0000427223 Segment", "SALES_REV_TURN/1M", "FPT=A", "FPO=1A", "ACT_EST_MAPPING=PRECISE", "FS=MRC", "CURRENCY=USD", "XLFILL=b")</f>
        <v>#NAME?</v>
      </c>
      <c r="F104" t="e" cm="1">
        <f t="array" aca="1" ref="F104" ca="1">BQL("SEG0000427223 Segment", "SALES_REV_TURN/1M", "FPT=A", "FPO=2A", "ACT_EST_MAPPING=PRECISE", "FS=MRC", "CURRENCY=USD", "XLFILL=b")</f>
        <v>#NAME?</v>
      </c>
      <c r="G104" t="e" cm="1">
        <f t="array" aca="1" ref="G104" ca="1">BQL("SEG0000427223 Segment", "SALES_REV_TURN/1M", "FPT=A", "FPO=3A", "ACT_EST_MAPPING=PRECISE", "FS=MRC", "CURRENCY=USD", "XLFILL=b")</f>
        <v>#NAME?</v>
      </c>
      <c r="H104" t="e" cm="1">
        <f t="array" aca="1" ref="H104" ca="1">BQL("SEG0000427223 Segment", "SALES_REV_TURN/1M", "FPT=A", "FPO=4A", "ACT_EST_MAPPING=PRECISE", "FS=MRC", "CURRENCY=USD", "XLFILL=b")</f>
        <v>#NAME?</v>
      </c>
      <c r="I104" t="e" cm="1">
        <f t="array" aca="1" ref="I104" ca="1">BQL("SEG0000427223 Segment", "SALES_REV_TURN/1M", "FPT=A", "FPO=5A", "ACT_EST_MAPPING=PRECISE", "FS=MRC", "CURRENCY=USD", "XLFILL=b")</f>
        <v>#NAME?</v>
      </c>
      <c r="J104" t="e" cm="1">
        <f t="array" aca="1" ref="J104" ca="1">BQL("SEG0000427223 Segment", "SALES_REV_TURN/1M", "FPT=A", "FPO=6A", "ACT_EST_MAPPING=PRECISE", "FS=MRC", "CURRENCY=USD", "XLFILL=b")</f>
        <v>#NAME?</v>
      </c>
      <c r="K104" t="e" cm="1">
        <f t="array" aca="1" ref="K104" ca="1">BQL("SEG0000427223 Segment", "SALES_REV_TURN/1M", "FPT=A", "FPO=7A", "ACT_EST_MAPPING=PRECISE", "FS=MRC", "CURRENCY=USD", "XLFILL=b")</f>
        <v>#NAME?</v>
      </c>
    </row>
    <row r="105" spans="1:11" x14ac:dyDescent="0.25">
      <c r="A105" t="s">
        <v>76</v>
      </c>
      <c r="B105" t="e" cm="1">
        <f t="array" aca="1" ref="B105" ca="1">BQL("SEG0000427223 Segment", "IS_PERCENTAGE_OF_REVENUE", "FPT=A", "FPO=-2A", "ACT_EST_MAPPING=PRECISE", "FS=MRC", "CURRENCY=USD", "XLFILL=b")</f>
        <v>#NAME?</v>
      </c>
      <c r="C105" t="e" cm="1">
        <f t="array" aca="1" ref="C105" ca="1">BQL("SEG0000427223 Segment", "IS_PERCENTAGE_OF_REVENUE", "FPT=A", "FPO=-1A", "ACT_EST_MAPPING=PRECISE", "FS=MRC", "CURRENCY=USD", "XLFILL=b")</f>
        <v>#NAME?</v>
      </c>
      <c r="D105" t="e" cm="1">
        <f t="array" aca="1" ref="D105" ca="1">BQL("SEG0000427223 Segment", "IS_PERCENTAGE_OF_REVENUE", "FPT=A", "FPO=0A", "ACT_EST_MAPPING=PRECISE", "FS=MRC", "CURRENCY=USD", "XLFILL=b")</f>
        <v>#NAME?</v>
      </c>
      <c r="E105" t="e" cm="1">
        <f t="array" aca="1" ref="E105" ca="1">BQL("SEG0000427223 Segment", "IS_PERCENTAGE_OF_REVENUE", "FPT=A", "FPO=1A", "ACT_EST_MAPPING=PRECISE", "FS=MRC", "CURRENCY=USD", "XLFILL=b")</f>
        <v>#NAME?</v>
      </c>
      <c r="F105" t="e" cm="1">
        <f t="array" aca="1" ref="F105" ca="1">BQL("SEG0000427223 Segment", "IS_PERCENTAGE_OF_REVENUE", "FPT=A", "FPO=2A", "ACT_EST_MAPPING=PRECISE", "FS=MRC", "CURRENCY=USD", "XLFILL=b")</f>
        <v>#NAME?</v>
      </c>
      <c r="G105" t="e" cm="1">
        <f t="array" aca="1" ref="G105" ca="1">BQL("SEG0000427223 Segment", "IS_PERCENTAGE_OF_REVENUE", "FPT=A", "FPO=3A", "ACT_EST_MAPPING=PRECISE", "FS=MRC", "CURRENCY=USD", "XLFILL=b")</f>
        <v>#NAME?</v>
      </c>
      <c r="H105" t="e" cm="1">
        <f t="array" aca="1" ref="H105" ca="1">BQL("SEG0000427223 Segment", "IS_PERCENTAGE_OF_REVENUE", "FPT=A", "FPO=4A", "ACT_EST_MAPPING=PRECISE", "FS=MRC", "CURRENCY=USD", "XLFILL=b")</f>
        <v>#NAME?</v>
      </c>
      <c r="I105" t="e" cm="1">
        <f t="array" aca="1" ref="I105" ca="1">BQL("SEG0000427223 Segment", "IS_PERCENTAGE_OF_REVENUE", "FPT=A", "FPO=5A", "ACT_EST_MAPPING=PRECISE", "FS=MRC", "CURRENCY=USD", "XLFILL=b")</f>
        <v>#NAME?</v>
      </c>
      <c r="J105" t="e" cm="1">
        <f t="array" aca="1" ref="J105" ca="1">BQL("SEG0000427223 Segment", "IS_PERCENTAGE_OF_REVENUE", "FPT=A", "FPO=6A", "ACT_EST_MAPPING=PRECISE", "FS=MRC", "CURRENCY=USD", "XLFILL=b")</f>
        <v>#NAME?</v>
      </c>
      <c r="K105" t="e" cm="1">
        <f t="array" aca="1" ref="K105" ca="1">BQL("SEG0000427223 Segment", "IS_PERCENTAGE_OF_REVENUE", "FPT=A", "FPO=7A", "ACT_EST_MAPPING=PRECISE", "FS=MRC", "CURRENCY=USD", "XLFILL=b")</f>
        <v>#NAME?</v>
      </c>
    </row>
    <row r="106" spans="1:11" x14ac:dyDescent="0.25">
      <c r="A106" t="s">
        <v>77</v>
      </c>
      <c r="B106" t="e" cm="1">
        <f t="array" aca="1" ref="B106" ca="1">BQL("SEG0000427222 Segment", "SALES_REV_TURN/1M", "FPT=A", "FPO=-2A", "ACT_EST_MAPPING=PRECISE", "FS=MRC", "CURRENCY=USD", "XLFILL=b")</f>
        <v>#NAME?</v>
      </c>
      <c r="C106" t="e" cm="1">
        <f t="array" aca="1" ref="C106" ca="1">BQL("SEG0000427222 Segment", "SALES_REV_TURN/1M", "FPT=A", "FPO=-1A", "ACT_EST_MAPPING=PRECISE", "FS=MRC", "CURRENCY=USD", "XLFILL=b")</f>
        <v>#NAME?</v>
      </c>
      <c r="D106" t="e" cm="1">
        <f t="array" aca="1" ref="D106" ca="1">BQL("SEG0000427222 Segment", "SALES_REV_TURN/1M", "FPT=A", "FPO=0A", "ACT_EST_MAPPING=PRECISE", "FS=MRC", "CURRENCY=USD", "XLFILL=b")</f>
        <v>#NAME?</v>
      </c>
      <c r="E106" t="e" cm="1">
        <f t="array" aca="1" ref="E106" ca="1">BQL("SEG0000427222 Segment", "SALES_REV_TURN/1M", "FPT=A", "FPO=1A", "ACT_EST_MAPPING=PRECISE", "FS=MRC", "CURRENCY=USD", "XLFILL=b")</f>
        <v>#NAME?</v>
      </c>
      <c r="F106" t="e" cm="1">
        <f t="array" aca="1" ref="F106" ca="1">BQL("SEG0000427222 Segment", "SALES_REV_TURN/1M", "FPT=A", "FPO=2A", "ACT_EST_MAPPING=PRECISE", "FS=MRC", "CURRENCY=USD", "XLFILL=b")</f>
        <v>#NAME?</v>
      </c>
      <c r="G106" t="e" cm="1">
        <f t="array" aca="1" ref="G106" ca="1">BQL("SEG0000427222 Segment", "SALES_REV_TURN/1M", "FPT=A", "FPO=3A", "ACT_EST_MAPPING=PRECISE", "FS=MRC", "CURRENCY=USD", "XLFILL=b")</f>
        <v>#NAME?</v>
      </c>
      <c r="H106" t="e" cm="1">
        <f t="array" aca="1" ref="H106" ca="1">BQL("SEG0000427222 Segment", "SALES_REV_TURN/1M", "FPT=A", "FPO=4A", "ACT_EST_MAPPING=PRECISE", "FS=MRC", "CURRENCY=USD", "XLFILL=b")</f>
        <v>#NAME?</v>
      </c>
      <c r="I106" t="e" cm="1">
        <f t="array" aca="1" ref="I106" ca="1">BQL("SEG0000427222 Segment", "SALES_REV_TURN/1M", "FPT=A", "FPO=5A", "ACT_EST_MAPPING=PRECISE", "FS=MRC", "CURRENCY=USD", "XLFILL=b")</f>
        <v>#NAME?</v>
      </c>
      <c r="J106" t="e" cm="1">
        <f t="array" aca="1" ref="J106" ca="1">BQL("SEG0000427222 Segment", "SALES_REV_TURN/1M", "FPT=A", "FPO=6A", "ACT_EST_MAPPING=PRECISE", "FS=MRC", "CURRENCY=USD", "XLFILL=b")</f>
        <v>#NAME?</v>
      </c>
      <c r="K106" t="e" cm="1">
        <f t="array" aca="1" ref="K106" ca="1">BQL("SEG0000427222 Segment", "SALES_REV_TURN/1M", "FPT=A", "FPO=7A", "ACT_EST_MAPPING=PRECISE", "FS=MRC", "CURRENCY=USD", "XLFILL=b")</f>
        <v>#NAME?</v>
      </c>
    </row>
    <row r="107" spans="1:11" x14ac:dyDescent="0.25">
      <c r="A107" t="s">
        <v>76</v>
      </c>
      <c r="B107" t="e" cm="1">
        <f t="array" aca="1" ref="B107" ca="1">BQL("SEG0000427222 Segment", "IS_PERCENTAGE_OF_REVENUE", "FPT=A", "FPO=-2A", "ACT_EST_MAPPING=PRECISE", "FS=MRC", "CURRENCY=USD", "XLFILL=b")</f>
        <v>#NAME?</v>
      </c>
      <c r="C107" t="e" cm="1">
        <f t="array" aca="1" ref="C107" ca="1">BQL("SEG0000427222 Segment", "IS_PERCENTAGE_OF_REVENUE", "FPT=A", "FPO=-1A", "ACT_EST_MAPPING=PRECISE", "FS=MRC", "CURRENCY=USD", "XLFILL=b")</f>
        <v>#NAME?</v>
      </c>
      <c r="D107" t="e" cm="1">
        <f t="array" aca="1" ref="D107" ca="1">BQL("SEG0000427222 Segment", "IS_PERCENTAGE_OF_REVENUE", "FPT=A", "FPO=0A", "ACT_EST_MAPPING=PRECISE", "FS=MRC", "CURRENCY=USD", "XLFILL=b")</f>
        <v>#NAME?</v>
      </c>
      <c r="E107" t="e" cm="1">
        <f t="array" aca="1" ref="E107" ca="1">BQL("SEG0000427222 Segment", "IS_PERCENTAGE_OF_REVENUE", "FPT=A", "FPO=1A", "ACT_EST_MAPPING=PRECISE", "FS=MRC", "CURRENCY=USD", "XLFILL=b")</f>
        <v>#NAME?</v>
      </c>
      <c r="F107" t="e" cm="1">
        <f t="array" aca="1" ref="F107" ca="1">BQL("SEG0000427222 Segment", "IS_PERCENTAGE_OF_REVENUE", "FPT=A", "FPO=2A", "ACT_EST_MAPPING=PRECISE", "FS=MRC", "CURRENCY=USD", "XLFILL=b")</f>
        <v>#NAME?</v>
      </c>
      <c r="G107" t="e" cm="1">
        <f t="array" aca="1" ref="G107" ca="1">BQL("SEG0000427222 Segment", "IS_PERCENTAGE_OF_REVENUE", "FPT=A", "FPO=3A", "ACT_EST_MAPPING=PRECISE", "FS=MRC", "CURRENCY=USD", "XLFILL=b")</f>
        <v>#NAME?</v>
      </c>
      <c r="H107" t="e" cm="1">
        <f t="array" aca="1" ref="H107" ca="1">BQL("SEG0000427222 Segment", "IS_PERCENTAGE_OF_REVENUE", "FPT=A", "FPO=4A", "ACT_EST_MAPPING=PRECISE", "FS=MRC", "CURRENCY=USD", "XLFILL=b")</f>
        <v>#NAME?</v>
      </c>
      <c r="I107" t="e" cm="1">
        <f t="array" aca="1" ref="I107" ca="1">BQL("SEG0000427222 Segment", "IS_PERCENTAGE_OF_REVENUE", "FPT=A", "FPO=5A", "ACT_EST_MAPPING=PRECISE", "FS=MRC", "CURRENCY=USD", "XLFILL=b")</f>
        <v>#NAME?</v>
      </c>
      <c r="J107" t="e" cm="1">
        <f t="array" aca="1" ref="J107" ca="1">BQL("SEG0000427222 Segment", "IS_PERCENTAGE_OF_REVENUE", "FPT=A", "FPO=6A", "ACT_EST_MAPPING=PRECISE", "FS=MRC", "CURRENCY=USD", "XLFILL=b")</f>
        <v>#NAME?</v>
      </c>
      <c r="K107" t="e" cm="1">
        <f t="array" aca="1" ref="K107" ca="1">BQL("SEG0000427222 Segment", "IS_PERCENTAGE_OF_REVENUE", "FPT=A", "FPO=7A", "ACT_EST_MAPPING=PRECISE", "FS=MRC", "CURRENCY=USD", "XLFILL=b")</f>
        <v>#NAME?</v>
      </c>
    </row>
    <row r="108" spans="1:11" x14ac:dyDescent="0.25">
      <c r="A108" t="s">
        <v>78</v>
      </c>
      <c r="B108" t="e" cm="1">
        <f t="array" aca="1" ref="B108" ca="1">BQL("SEG0000427224 Segment", "SALES_REV_TURN/1M", "FPT=A", "FPO=-2A", "ACT_EST_MAPPING=PRECISE", "FS=MRC", "CURRENCY=USD", "XLFILL=b")</f>
        <v>#NAME?</v>
      </c>
      <c r="C108" t="e" cm="1">
        <f t="array" aca="1" ref="C108" ca="1">BQL("SEG0000427224 Segment", "SALES_REV_TURN/1M", "FPT=A", "FPO=-1A", "ACT_EST_MAPPING=PRECISE", "FS=MRC", "CURRENCY=USD", "XLFILL=b")</f>
        <v>#NAME?</v>
      </c>
      <c r="D108" t="e" cm="1">
        <f t="array" aca="1" ref="D108" ca="1">BQL("SEG0000427224 Segment", "SALES_REV_TURN/1M", "FPT=A", "FPO=0A", "ACT_EST_MAPPING=PRECISE", "FS=MRC", "CURRENCY=USD", "XLFILL=b")</f>
        <v>#NAME?</v>
      </c>
      <c r="E108" t="e" cm="1">
        <f t="array" aca="1" ref="E108" ca="1">BQL("SEG0000427224 Segment", "SALES_REV_TURN/1M", "FPT=A", "FPO=1A", "ACT_EST_MAPPING=PRECISE", "FS=MRC", "CURRENCY=USD", "XLFILL=b")</f>
        <v>#NAME?</v>
      </c>
      <c r="F108" t="e" cm="1">
        <f t="array" aca="1" ref="F108" ca="1">BQL("SEG0000427224 Segment", "SALES_REV_TURN/1M", "FPT=A", "FPO=2A", "ACT_EST_MAPPING=PRECISE", "FS=MRC", "CURRENCY=USD", "XLFILL=b")</f>
        <v>#NAME?</v>
      </c>
      <c r="G108" t="e" cm="1">
        <f t="array" aca="1" ref="G108" ca="1">BQL("SEG0000427224 Segment", "SALES_REV_TURN/1M", "FPT=A", "FPO=3A", "ACT_EST_MAPPING=PRECISE", "FS=MRC", "CURRENCY=USD", "XLFILL=b")</f>
        <v>#NAME?</v>
      </c>
      <c r="H108" t="e" cm="1">
        <f t="array" aca="1" ref="H108" ca="1">BQL("SEG0000427224 Segment", "SALES_REV_TURN/1M", "FPT=A", "FPO=4A", "ACT_EST_MAPPING=PRECISE", "FS=MRC", "CURRENCY=USD", "XLFILL=b")</f>
        <v>#NAME?</v>
      </c>
      <c r="I108" t="e" cm="1">
        <f t="array" aca="1" ref="I108" ca="1">BQL("SEG0000427224 Segment", "SALES_REV_TURN/1M", "FPT=A", "FPO=5A", "ACT_EST_MAPPING=PRECISE", "FS=MRC", "CURRENCY=USD", "XLFILL=b")</f>
        <v>#NAME?</v>
      </c>
      <c r="J108" t="e" cm="1">
        <f t="array" aca="1" ref="J108" ca="1">BQL("SEG0000427224 Segment", "SALES_REV_TURN/1M", "FPT=A", "FPO=6A", "ACT_EST_MAPPING=PRECISE", "FS=MRC", "CURRENCY=USD", "XLFILL=b")</f>
        <v>#NAME?</v>
      </c>
      <c r="K108" t="e" cm="1">
        <f t="array" aca="1" ref="K108" ca="1">BQL("SEG0000427224 Segment", "SALES_REV_TURN/1M", "FPT=A", "FPO=7A", "ACT_EST_MAPPING=PRECISE", "FS=MRC", "CURRENCY=USD", "XLFILL=b")</f>
        <v>#NAME?</v>
      </c>
    </row>
    <row r="109" spans="1:11" x14ac:dyDescent="0.25">
      <c r="A109" t="s">
        <v>76</v>
      </c>
      <c r="B109" t="e" cm="1">
        <f t="array" aca="1" ref="B109" ca="1">BQL("SEG0000427224 Segment", "IS_PERCENTAGE_OF_REVENUE", "FPT=A", "FPO=-2A", "ACT_EST_MAPPING=PRECISE", "FS=MRC", "CURRENCY=USD", "XLFILL=b")</f>
        <v>#NAME?</v>
      </c>
      <c r="C109" t="e" cm="1">
        <f t="array" aca="1" ref="C109" ca="1">BQL("SEG0000427224 Segment", "IS_PERCENTAGE_OF_REVENUE", "FPT=A", "FPO=-1A", "ACT_EST_MAPPING=PRECISE", "FS=MRC", "CURRENCY=USD", "XLFILL=b")</f>
        <v>#NAME?</v>
      </c>
      <c r="D109" t="e" cm="1">
        <f t="array" aca="1" ref="D109" ca="1">BQL("SEG0000427224 Segment", "IS_PERCENTAGE_OF_REVENUE", "FPT=A", "FPO=0A", "ACT_EST_MAPPING=PRECISE", "FS=MRC", "CURRENCY=USD", "XLFILL=b")</f>
        <v>#NAME?</v>
      </c>
      <c r="E109" t="e" cm="1">
        <f t="array" aca="1" ref="E109" ca="1">BQL("SEG0000427224 Segment", "IS_PERCENTAGE_OF_REVENUE", "FPT=A", "FPO=1A", "ACT_EST_MAPPING=PRECISE", "FS=MRC", "CURRENCY=USD", "XLFILL=b")</f>
        <v>#NAME?</v>
      </c>
      <c r="F109" t="e" cm="1">
        <f t="array" aca="1" ref="F109" ca="1">BQL("SEG0000427224 Segment", "IS_PERCENTAGE_OF_REVENUE", "FPT=A", "FPO=2A", "ACT_EST_MAPPING=PRECISE", "FS=MRC", "CURRENCY=USD", "XLFILL=b")</f>
        <v>#NAME?</v>
      </c>
      <c r="G109" t="e" cm="1">
        <f t="array" aca="1" ref="G109" ca="1">BQL("SEG0000427224 Segment", "IS_PERCENTAGE_OF_REVENUE", "FPT=A", "FPO=3A", "ACT_EST_MAPPING=PRECISE", "FS=MRC", "CURRENCY=USD", "XLFILL=b")</f>
        <v>#NAME?</v>
      </c>
      <c r="H109" t="e" cm="1">
        <f t="array" aca="1" ref="H109" ca="1">BQL("SEG0000427224 Segment", "IS_PERCENTAGE_OF_REVENUE", "FPT=A", "FPO=4A", "ACT_EST_MAPPING=PRECISE", "FS=MRC", "CURRENCY=USD", "XLFILL=b")</f>
        <v>#NAME?</v>
      </c>
      <c r="I109" t="e" cm="1">
        <f t="array" aca="1" ref="I109" ca="1">BQL("SEG0000427224 Segment", "IS_PERCENTAGE_OF_REVENUE", "FPT=A", "FPO=5A", "ACT_EST_MAPPING=PRECISE", "FS=MRC", "CURRENCY=USD", "XLFILL=b")</f>
        <v>#NAME?</v>
      </c>
      <c r="J109" t="e" cm="1">
        <f t="array" aca="1" ref="J109" ca="1">BQL("SEG0000427224 Segment", "IS_PERCENTAGE_OF_REVENUE", "FPT=A", "FPO=6A", "ACT_EST_MAPPING=PRECISE", "FS=MRC", "CURRENCY=USD", "XLFILL=b")</f>
        <v>#NAME?</v>
      </c>
      <c r="K109" t="e" cm="1">
        <f t="array" aca="1" ref="K109" ca="1">BQL("SEG0000427224 Segment", "IS_PERCENTAGE_OF_REVENUE", "FPT=A", "FPO=7A", "ACT_EST_MAPPING=PRECISE", "FS=MRC", "CURRENCY=USD", "XLFILL=b")</f>
        <v>#NAME?</v>
      </c>
    </row>
    <row r="110" spans="1:11" x14ac:dyDescent="0.25">
      <c r="A110" t="s">
        <v>17</v>
      </c>
    </row>
    <row r="111" spans="1:11" x14ac:dyDescent="0.25">
      <c r="A111" t="s">
        <v>79</v>
      </c>
    </row>
    <row r="112" spans="1:11" x14ac:dyDescent="0.25">
      <c r="A112" t="s">
        <v>80</v>
      </c>
      <c r="B112" t="e" cm="1">
        <f t="array" aca="1" ref="B112" ca="1">BQL("CRWD US Equity", "IS_COMP_SALES/1M", "FPT=A", "FPO=-2A", "ACT_EST_MAPPING=PRECISE", "FS=MRC", "CURRENCY=USD", "XLFILL=b")</f>
        <v>#NAME?</v>
      </c>
      <c r="C112" t="e" cm="1">
        <f t="array" aca="1" ref="C112" ca="1">BQL("CRWD US Equity", "IS_COMP_SALES/1M", "FPT=A", "FPO=-1A", "ACT_EST_MAPPING=PRECISE", "FS=MRC", "CURRENCY=USD", "XLFILL=b")</f>
        <v>#NAME?</v>
      </c>
      <c r="D112" t="e" cm="1">
        <f t="array" aca="1" ref="D112" ca="1">BQL("CRWD US Equity", "IS_COMP_SALES/1M", "FPT=A", "FPO=0A", "ACT_EST_MAPPING=PRECISE", "FS=MRC", "CURRENCY=USD", "XLFILL=b")</f>
        <v>#NAME?</v>
      </c>
      <c r="E112" t="e" cm="1">
        <f t="array" aca="1" ref="E112" ca="1">BQL("CRWD US Equity", "IS_COMP_SALES/1M", "FPT=A", "FPO=1A", "ACT_EST_MAPPING=PRECISE", "FS=MRC", "CURRENCY=USD", "XLFILL=b")</f>
        <v>#NAME?</v>
      </c>
      <c r="F112" t="e" cm="1">
        <f t="array" aca="1" ref="F112" ca="1">BQL("CRWD US Equity", "IS_COMP_SALES/1M", "FPT=A", "FPO=2A", "ACT_EST_MAPPING=PRECISE", "FS=MRC", "CURRENCY=USD", "XLFILL=b")</f>
        <v>#NAME?</v>
      </c>
      <c r="G112" t="e" cm="1">
        <f t="array" aca="1" ref="G112" ca="1">BQL("CRWD US Equity", "IS_COMP_SALES/1M", "FPT=A", "FPO=3A", "ACT_EST_MAPPING=PRECISE", "FS=MRC", "CURRENCY=USD", "XLFILL=b")</f>
        <v>#NAME?</v>
      </c>
      <c r="H112" t="e" cm="1">
        <f t="array" aca="1" ref="H112" ca="1">BQL("CRWD US Equity", "IS_COMP_SALES/1M", "FPT=A", "FPO=4A", "ACT_EST_MAPPING=PRECISE", "FS=MRC", "CURRENCY=USD", "XLFILL=b")</f>
        <v>#NAME?</v>
      </c>
      <c r="I112" t="e" cm="1">
        <f t="array" aca="1" ref="I112" ca="1">BQL("CRWD US Equity", "IS_COMP_SALES/1M", "FPT=A", "FPO=5A", "ACT_EST_MAPPING=PRECISE", "FS=MRC", "CURRENCY=USD", "XLFILL=b")</f>
        <v>#NAME?</v>
      </c>
      <c r="J112" t="e" cm="1">
        <f t="array" aca="1" ref="J112" ca="1">BQL("CRWD US Equity", "IS_COMP_SALES/1M", "FPT=A", "FPO=6A", "ACT_EST_MAPPING=PRECISE", "FS=MRC", "CURRENCY=USD", "XLFILL=b")</f>
        <v>#NAME?</v>
      </c>
      <c r="K112" t="e" cm="1">
        <f t="array" aca="1" ref="K112" ca="1">BQL("CRWD US Equity", "IS_COMP_SALES/1M", "FPT=A", "FPO=7A", "ACT_EST_MAPPING=PRECISE", "FS=MRC", "CURRENCY=USD", "XLFILL=b")</f>
        <v>#NAME?</v>
      </c>
    </row>
    <row r="113" spans="1:11" x14ac:dyDescent="0.25">
      <c r="A113" t="s">
        <v>81</v>
      </c>
      <c r="B113" t="e" cm="1">
        <f t="array" aca="1" ref="B113" ca="1">BQL("CRWD US Equity", "IS_S_AND_SR_GAAP/1M", "FPT=A", "FPO=-2A", "ACT_EST_MAPPING=PRECISE", "FS=MRC", "CURRENCY=USD", "XLFILL=b")</f>
        <v>#NAME?</v>
      </c>
      <c r="C113" t="e" cm="1">
        <f t="array" aca="1" ref="C113" ca="1">BQL("CRWD US Equity", "IS_S_AND_SR_GAAP/1M", "FPT=A", "FPO=-1A", "ACT_EST_MAPPING=PRECISE", "FS=MRC", "CURRENCY=USD", "XLFILL=b")</f>
        <v>#NAME?</v>
      </c>
      <c r="D113" t="e" cm="1">
        <f t="array" aca="1" ref="D113" ca="1">BQL("CRWD US Equity", "IS_S_AND_SR_GAAP/1M", "FPT=A", "FPO=0A", "ACT_EST_MAPPING=PRECISE", "FS=MRC", "CURRENCY=USD", "XLFILL=b")</f>
        <v>#NAME?</v>
      </c>
      <c r="E113" t="e" cm="1">
        <f t="array" aca="1" ref="E113" ca="1">BQL("CRWD US Equity", "IS_S_AND_SR_GAAP/1M", "FPT=A", "FPO=1A", "ACT_EST_MAPPING=PRECISE", "FS=MRC", "CURRENCY=USD", "XLFILL=b")</f>
        <v>#NAME?</v>
      </c>
      <c r="F113" t="e" cm="1">
        <f t="array" aca="1" ref="F113" ca="1">BQL("CRWD US Equity", "IS_S_AND_SR_GAAP/1M", "FPT=A", "FPO=2A", "ACT_EST_MAPPING=PRECISE", "FS=MRC", "CURRENCY=USD", "XLFILL=b")</f>
        <v>#NAME?</v>
      </c>
      <c r="G113" t="e" cm="1">
        <f t="array" aca="1" ref="G113" ca="1">BQL("CRWD US Equity", "IS_S_AND_SR_GAAP/1M", "FPT=A", "FPO=3A", "ACT_EST_MAPPING=PRECISE", "FS=MRC", "CURRENCY=USD", "XLFILL=b")</f>
        <v>#NAME?</v>
      </c>
      <c r="H113" t="e" cm="1">
        <f t="array" aca="1" ref="H113" ca="1">BQL("CRWD US Equity", "IS_S_AND_SR_GAAP/1M", "FPT=A", "FPO=4A", "ACT_EST_MAPPING=PRECISE", "FS=MRC", "CURRENCY=USD", "XLFILL=b")</f>
        <v>#NAME?</v>
      </c>
      <c r="I113" t="e" cm="1">
        <f t="array" aca="1" ref="I113" ca="1">BQL("CRWD US Equity", "IS_S_AND_SR_GAAP/1M", "FPT=A", "FPO=5A", "ACT_EST_MAPPING=PRECISE", "FS=MRC", "CURRENCY=USD", "XLFILL=b")</f>
        <v>#NAME?</v>
      </c>
      <c r="J113" t="e" cm="1">
        <f t="array" aca="1" ref="J113" ca="1">BQL("CRWD US Equity", "IS_S_AND_SR_GAAP/1M", "FPT=A", "FPO=6A", "ACT_EST_MAPPING=PRECISE", "FS=MRC", "CURRENCY=USD", "XLFILL=b")</f>
        <v>#NAME?</v>
      </c>
      <c r="K113" t="e" cm="1">
        <f t="array" aca="1" ref="K113" ca="1">BQL("CRWD US Equity", "IS_S_AND_SR_GAAP/1M", "FPT=A", "FPO=7A", "ACT_EST_MAPPING=PRECISE", "FS=MRC", "CURRENCY=USD", "XLFILL=b")</f>
        <v>#NAME?</v>
      </c>
    </row>
    <row r="114" spans="1:11" x14ac:dyDescent="0.25">
      <c r="A114" t="s">
        <v>17</v>
      </c>
    </row>
    <row r="115" spans="1:11" x14ac:dyDescent="0.25">
      <c r="A115" t="s">
        <v>82</v>
      </c>
      <c r="B115" t="e" cm="1">
        <f t="array" aca="1" ref="B115" ca="1">BQL("CRWD US Equity", "IS_COGS_TO_FE_AND_PP_AND_G/1M", "FPT=A", "FPO=-2A", "ACT_EST_MAPPING=PRECISE", "FS=MRC", "CURRENCY=USD", "XLFILL=b")</f>
        <v>#NAME?</v>
      </c>
      <c r="C115" t="e" cm="1">
        <f t="array" aca="1" ref="C115" ca="1">BQL("CRWD US Equity", "IS_COGS_TO_FE_AND_PP_AND_G/1M", "FPT=A", "FPO=-1A", "ACT_EST_MAPPING=PRECISE", "FS=MRC", "CURRENCY=USD", "XLFILL=b")</f>
        <v>#NAME?</v>
      </c>
      <c r="D115" t="e" cm="1">
        <f t="array" aca="1" ref="D115" ca="1">BQL("CRWD US Equity", "IS_COGS_TO_FE_AND_PP_AND_G/1M", "FPT=A", "FPO=0A", "ACT_EST_MAPPING=PRECISE", "FS=MRC", "CURRENCY=USD", "XLFILL=b")</f>
        <v>#NAME?</v>
      </c>
      <c r="E115" t="e" cm="1">
        <f t="array" aca="1" ref="E115" ca="1">BQL("CRWD US Equity", "IS_COGS_TO_FE_AND_PP_AND_G/1M", "FPT=A", "FPO=1A", "ACT_EST_MAPPING=PRECISE", "FS=MRC", "CURRENCY=USD", "XLFILL=b")</f>
        <v>#NAME?</v>
      </c>
      <c r="F115" t="e" cm="1">
        <f t="array" aca="1" ref="F115" ca="1">BQL("CRWD US Equity", "IS_COGS_TO_FE_AND_PP_AND_G/1M", "FPT=A", "FPO=2A", "ACT_EST_MAPPING=PRECISE", "FS=MRC", "CURRENCY=USD", "XLFILL=b")</f>
        <v>#NAME?</v>
      </c>
      <c r="G115" t="e" cm="1">
        <f t="array" aca="1" ref="G115" ca="1">BQL("CRWD US Equity", "IS_COGS_TO_FE_AND_PP_AND_G/1M", "FPT=A", "FPO=3A", "ACT_EST_MAPPING=PRECISE", "FS=MRC", "CURRENCY=USD", "XLFILL=b")</f>
        <v>#NAME?</v>
      </c>
      <c r="H115" t="e" cm="1">
        <f t="array" aca="1" ref="H115" ca="1">BQL("CRWD US Equity", "IS_COGS_TO_FE_AND_PP_AND_G/1M", "FPT=A", "FPO=4A", "ACT_EST_MAPPING=PRECISE", "FS=MRC", "CURRENCY=USD", "XLFILL=b")</f>
        <v>#NAME?</v>
      </c>
      <c r="I115" t="e" cm="1">
        <f t="array" aca="1" ref="I115" ca="1">BQL("CRWD US Equity", "IS_COGS_TO_FE_AND_PP_AND_G/1M", "FPT=A", "FPO=5A", "ACT_EST_MAPPING=PRECISE", "FS=MRC", "CURRENCY=USD", "XLFILL=b")</f>
        <v>#NAME?</v>
      </c>
      <c r="J115" t="e" cm="1">
        <f t="array" aca="1" ref="J115" ca="1">BQL("CRWD US Equity", "IS_COGS_TO_FE_AND_PP_AND_G/1M", "FPT=A", "FPO=6A", "ACT_EST_MAPPING=PRECISE", "FS=MRC", "CURRENCY=USD", "XLFILL=b")</f>
        <v>#NAME?</v>
      </c>
      <c r="K115" t="e" cm="1">
        <f t="array" aca="1" ref="K115" ca="1">BQL("CRWD US Equity", "IS_COGS_TO_FE_AND_PP_AND_G/1M", "FPT=A", "FPO=7A", "ACT_EST_MAPPING=PRECISE", "FS=MRC", "CURRENCY=USD", "XLFILL=b")</f>
        <v>#NAME?</v>
      </c>
    </row>
    <row r="116" spans="1:11" x14ac:dyDescent="0.25">
      <c r="A116" t="s">
        <v>83</v>
      </c>
      <c r="B116" t="e" cm="1">
        <f t="array" aca="1" ref="B116" ca="1">BQL("CRWD US Equity", "COGS_TO_NET_SALES", "FPT=A", "FPO=-2A", "ACT_EST_MAPPING=PRECISE", "FS=MRC", "CURRENCY=USD", "XLFILL=b")</f>
        <v>#NAME?</v>
      </c>
      <c r="C116" t="e" cm="1">
        <f t="array" aca="1" ref="C116" ca="1">BQL("CRWD US Equity", "COGS_TO_NET_SALES", "FPT=A", "FPO=-1A", "ACT_EST_MAPPING=PRECISE", "FS=MRC", "CURRENCY=USD", "XLFILL=b")</f>
        <v>#NAME?</v>
      </c>
      <c r="D116" t="e" cm="1">
        <f t="array" aca="1" ref="D116" ca="1">BQL("CRWD US Equity", "COGS_TO_NET_SALES", "FPT=A", "FPO=0A", "ACT_EST_MAPPING=PRECISE", "FS=MRC", "CURRENCY=USD", "XLFILL=b")</f>
        <v>#NAME?</v>
      </c>
      <c r="E116" t="e" cm="1">
        <f t="array" aca="1" ref="E116" ca="1">BQL("CRWD US Equity", "COGS_TO_NET_SALES", "FPT=A", "FPO=1A", "ACT_EST_MAPPING=PRECISE", "FS=MRC", "CURRENCY=USD", "XLFILL=b")</f>
        <v>#NAME?</v>
      </c>
      <c r="F116" t="e" cm="1">
        <f t="array" aca="1" ref="F116" ca="1">BQL("CRWD US Equity", "COGS_TO_NET_SALES", "FPT=A", "FPO=2A", "ACT_EST_MAPPING=PRECISE", "FS=MRC", "CURRENCY=USD", "XLFILL=b")</f>
        <v>#NAME?</v>
      </c>
      <c r="G116" t="e" cm="1">
        <f t="array" aca="1" ref="G116" ca="1">BQL("CRWD US Equity", "COGS_TO_NET_SALES", "FPT=A", "FPO=3A", "ACT_EST_MAPPING=PRECISE", "FS=MRC", "CURRENCY=USD", "XLFILL=b")</f>
        <v>#NAME?</v>
      </c>
      <c r="H116" t="e" cm="1">
        <f t="array" aca="1" ref="H116" ca="1">BQL("CRWD US Equity", "COGS_TO_NET_SALES", "FPT=A", "FPO=4A", "ACT_EST_MAPPING=PRECISE", "FS=MRC", "CURRENCY=USD", "XLFILL=b")</f>
        <v>#NAME?</v>
      </c>
      <c r="I116" t="e" cm="1">
        <f t="array" aca="1" ref="I116" ca="1">BQL("CRWD US Equity", "COGS_TO_NET_SALES", "FPT=A", "FPO=5A", "ACT_EST_MAPPING=PRECISE", "FS=MRC", "CURRENCY=USD", "XLFILL=b")</f>
        <v>#NAME?</v>
      </c>
      <c r="J116" t="e" cm="1">
        <f t="array" aca="1" ref="J116" ca="1">BQL("CRWD US Equity", "COGS_TO_NET_SALES", "FPT=A", "FPO=6A", "ACT_EST_MAPPING=PRECISE", "FS=MRC", "CURRENCY=USD", "XLFILL=b")</f>
        <v>#NAME?</v>
      </c>
      <c r="K116" t="e" cm="1">
        <f t="array" aca="1" ref="K116" ca="1">BQL("CRWD US Equity", "COGS_TO_NET_SALES", "FPT=A", "FPO=7A", "ACT_EST_MAPPING=PRECISE", "FS=MRC", "CURRENCY=USD", "XLFILL=b")</f>
        <v>#NAME?</v>
      </c>
    </row>
    <row r="117" spans="1:11" x14ac:dyDescent="0.25">
      <c r="A117" t="s">
        <v>17</v>
      </c>
    </row>
    <row r="118" spans="1:11" x14ac:dyDescent="0.25">
      <c r="A118" t="s">
        <v>84</v>
      </c>
      <c r="B118" t="e" cm="1">
        <f t="array" aca="1" ref="B118" ca="1">BQL("CRWD US Equity", "GROSS_PROFIT/1M", "FPT=A", "FPO=-2A", "ACT_EST_MAPPING=PRECISE", "FS=MRC", "CURRENCY=USD", "XLFILL=b")</f>
        <v>#NAME?</v>
      </c>
      <c r="C118" t="e" cm="1">
        <f t="array" aca="1" ref="C118" ca="1">BQL("CRWD US Equity", "GROSS_PROFIT/1M", "FPT=A", "FPO=-1A", "ACT_EST_MAPPING=PRECISE", "FS=MRC", "CURRENCY=USD", "XLFILL=b")</f>
        <v>#NAME?</v>
      </c>
      <c r="D118" t="e" cm="1">
        <f t="array" aca="1" ref="D118" ca="1">BQL("CRWD US Equity", "GROSS_PROFIT/1M", "FPT=A", "FPO=0A", "ACT_EST_MAPPING=PRECISE", "FS=MRC", "CURRENCY=USD", "XLFILL=b")</f>
        <v>#NAME?</v>
      </c>
      <c r="E118" t="e" cm="1">
        <f t="array" aca="1" ref="E118" ca="1">BQL("CRWD US Equity", "GROSS_PROFIT/1M", "FPT=A", "FPO=1A", "ACT_EST_MAPPING=PRECISE", "FS=MRC", "CURRENCY=USD", "XLFILL=b")</f>
        <v>#NAME?</v>
      </c>
      <c r="F118" t="e" cm="1">
        <f t="array" aca="1" ref="F118" ca="1">BQL("CRWD US Equity", "GROSS_PROFIT/1M", "FPT=A", "FPO=2A", "ACT_EST_MAPPING=PRECISE", "FS=MRC", "CURRENCY=USD", "XLFILL=b")</f>
        <v>#NAME?</v>
      </c>
      <c r="G118" t="e" cm="1">
        <f t="array" aca="1" ref="G118" ca="1">BQL("CRWD US Equity", "GROSS_PROFIT/1M", "FPT=A", "FPO=3A", "ACT_EST_MAPPING=PRECISE", "FS=MRC", "CURRENCY=USD", "XLFILL=b")</f>
        <v>#NAME?</v>
      </c>
      <c r="H118" t="e" cm="1">
        <f t="array" aca="1" ref="H118" ca="1">BQL("CRWD US Equity", "GROSS_PROFIT/1M", "FPT=A", "FPO=4A", "ACT_EST_MAPPING=PRECISE", "FS=MRC", "CURRENCY=USD", "XLFILL=b")</f>
        <v>#NAME?</v>
      </c>
      <c r="I118" t="e" cm="1">
        <f t="array" aca="1" ref="I118" ca="1">BQL("CRWD US Equity", "GROSS_PROFIT/1M", "FPT=A", "FPO=5A", "ACT_EST_MAPPING=PRECISE", "FS=MRC", "CURRENCY=USD", "XLFILL=b")</f>
        <v>#NAME?</v>
      </c>
      <c r="J118" t="e" cm="1">
        <f t="array" aca="1" ref="J118" ca="1">BQL("CRWD US Equity", "GROSS_PROFIT/1M", "FPT=A", "FPO=6A", "ACT_EST_MAPPING=PRECISE", "FS=MRC", "CURRENCY=USD", "XLFILL=b")</f>
        <v>#NAME?</v>
      </c>
      <c r="K118" t="e" cm="1">
        <f t="array" aca="1" ref="K118" ca="1">BQL("CRWD US Equity", "GROSS_PROFIT/1M", "FPT=A", "FPO=7A", "ACT_EST_MAPPING=PRECISE", "FS=MRC", "CURRENCY=USD", "XLFILL=b")</f>
        <v>#NAME?</v>
      </c>
    </row>
    <row r="119" spans="1:11" x14ac:dyDescent="0.25">
      <c r="A119" t="s">
        <v>85</v>
      </c>
      <c r="B119" t="e" cm="1">
        <f t="array" aca="1" ref="B119" ca="1">BQL("CRWD US Equity", "CB_IS_GROSS_MARGIN", "FPT=A", "FPO=-2A", "ACT_EST_MAPPING=PRECISE", "FS=MRC", "CURRENCY=USD", "XLFILL=b")</f>
        <v>#NAME?</v>
      </c>
      <c r="C119" t="e" cm="1">
        <f t="array" aca="1" ref="C119" ca="1">BQL("CRWD US Equity", "CB_IS_GROSS_MARGIN", "FPT=A", "FPO=-1A", "ACT_EST_MAPPING=PRECISE", "FS=MRC", "CURRENCY=USD", "XLFILL=b")</f>
        <v>#NAME?</v>
      </c>
      <c r="D119" t="e" cm="1">
        <f t="array" aca="1" ref="D119" ca="1">BQL("CRWD US Equity", "CB_IS_GROSS_MARGIN", "FPT=A", "FPO=0A", "ACT_EST_MAPPING=PRECISE", "FS=MRC", "CURRENCY=USD", "XLFILL=b")</f>
        <v>#NAME?</v>
      </c>
      <c r="E119" t="e" cm="1">
        <f t="array" aca="1" ref="E119" ca="1">BQL("CRWD US Equity", "CB_IS_GROSS_MARGIN", "FPT=A", "FPO=1A", "ACT_EST_MAPPING=PRECISE", "FS=MRC", "CURRENCY=USD", "XLFILL=b")</f>
        <v>#NAME?</v>
      </c>
      <c r="F119" t="e" cm="1">
        <f t="array" aca="1" ref="F119" ca="1">BQL("CRWD US Equity", "CB_IS_GROSS_MARGIN", "FPT=A", "FPO=2A", "ACT_EST_MAPPING=PRECISE", "FS=MRC", "CURRENCY=USD", "XLFILL=b")</f>
        <v>#NAME?</v>
      </c>
      <c r="G119" t="e" cm="1">
        <f t="array" aca="1" ref="G119" ca="1">BQL("CRWD US Equity", "CB_IS_GROSS_MARGIN", "FPT=A", "FPO=3A", "ACT_EST_MAPPING=PRECISE", "FS=MRC", "CURRENCY=USD", "XLFILL=b")</f>
        <v>#NAME?</v>
      </c>
      <c r="H119" t="e" cm="1">
        <f t="array" aca="1" ref="H119" ca="1">BQL("CRWD US Equity", "CB_IS_GROSS_MARGIN", "FPT=A", "FPO=4A", "ACT_EST_MAPPING=PRECISE", "FS=MRC", "CURRENCY=USD", "XLFILL=b")</f>
        <v>#NAME?</v>
      </c>
      <c r="I119" t="e" cm="1">
        <f t="array" aca="1" ref="I119" ca="1">BQL("CRWD US Equity", "CB_IS_GROSS_MARGIN", "FPT=A", "FPO=5A", "ACT_EST_MAPPING=PRECISE", "FS=MRC", "CURRENCY=USD", "XLFILL=b")</f>
        <v>#NAME?</v>
      </c>
      <c r="J119" t="e" cm="1">
        <f t="array" aca="1" ref="J119" ca="1">BQL("CRWD US Equity", "CB_IS_GROSS_MARGIN", "FPT=A", "FPO=6A", "ACT_EST_MAPPING=PRECISE", "FS=MRC", "CURRENCY=USD", "XLFILL=b")</f>
        <v>#NAME?</v>
      </c>
      <c r="K119" t="e" cm="1">
        <f t="array" aca="1" ref="K119" ca="1">BQL("CRWD US Equity", "CB_IS_GROSS_MARGIN", "FPT=A", "FPO=7A", "ACT_EST_MAPPING=PRECISE", "FS=MRC", "CURRENCY=USD", "XLFILL=b")</f>
        <v>#NAME?</v>
      </c>
    </row>
    <row r="120" spans="1:11" x14ac:dyDescent="0.25">
      <c r="A120" t="s">
        <v>17</v>
      </c>
    </row>
    <row r="121" spans="1:11" x14ac:dyDescent="0.25">
      <c r="A121" t="s">
        <v>86</v>
      </c>
      <c r="B121" t="e" cm="1">
        <f t="array" aca="1" ref="B121" ca="1">BQL("CRWD US Equity", "TOTAL_OPERATING_EXPENSES_RATIO/1M", "FPT=A", "FPO=-2A", "ACT_EST_MAPPING=PRECISE", "FS=MRC", "CURRENCY=USD", "XLFILL=b")</f>
        <v>#NAME?</v>
      </c>
      <c r="C121" t="e" cm="1">
        <f t="array" aca="1" ref="C121" ca="1">BQL("CRWD US Equity", "TOTAL_OPERATING_EXPENSES_RATIO/1M", "FPT=A", "FPO=-1A", "ACT_EST_MAPPING=PRECISE", "FS=MRC", "CURRENCY=USD", "XLFILL=b")</f>
        <v>#NAME?</v>
      </c>
      <c r="D121" t="e" cm="1">
        <f t="array" aca="1" ref="D121" ca="1">BQL("CRWD US Equity", "TOTAL_OPERATING_EXPENSES_RATIO/1M", "FPT=A", "FPO=0A", "ACT_EST_MAPPING=PRECISE", "FS=MRC", "CURRENCY=USD", "XLFILL=b")</f>
        <v>#NAME?</v>
      </c>
      <c r="E121" t="e" cm="1">
        <f t="array" aca="1" ref="E121" ca="1">BQL("CRWD US Equity", "TOTAL_OPERATING_EXPENSES_RATIO/1M", "FPT=A", "FPO=1A", "ACT_EST_MAPPING=PRECISE", "FS=MRC", "CURRENCY=USD", "XLFILL=b")</f>
        <v>#NAME?</v>
      </c>
      <c r="F121" t="e" cm="1">
        <f t="array" aca="1" ref="F121" ca="1">BQL("CRWD US Equity", "TOTAL_OPERATING_EXPENSES_RATIO/1M", "FPT=A", "FPO=2A", "ACT_EST_MAPPING=PRECISE", "FS=MRC", "CURRENCY=USD", "XLFILL=b")</f>
        <v>#NAME?</v>
      </c>
      <c r="G121" t="e" cm="1">
        <f t="array" aca="1" ref="G121" ca="1">BQL("CRWD US Equity", "TOTAL_OPERATING_EXPENSES_RATIO/1M", "FPT=A", "FPO=3A", "ACT_EST_MAPPING=PRECISE", "FS=MRC", "CURRENCY=USD", "XLFILL=b")</f>
        <v>#NAME?</v>
      </c>
      <c r="H121" t="e" cm="1">
        <f t="array" aca="1" ref="H121" ca="1">BQL("CRWD US Equity", "TOTAL_OPERATING_EXPENSES_RATIO/1M", "FPT=A", "FPO=4A", "ACT_EST_MAPPING=PRECISE", "FS=MRC", "CURRENCY=USD", "XLFILL=b")</f>
        <v>#NAME?</v>
      </c>
      <c r="I121" t="e" cm="1">
        <f t="array" aca="1" ref="I121" ca="1">BQL("CRWD US Equity", "TOTAL_OPERATING_EXPENSES_RATIO/1M", "FPT=A", "FPO=5A", "ACT_EST_MAPPING=PRECISE", "FS=MRC", "CURRENCY=USD", "XLFILL=b")</f>
        <v>#NAME?</v>
      </c>
      <c r="J121" t="e" cm="1">
        <f t="array" aca="1" ref="J121" ca="1">BQL("CRWD US Equity", "TOTAL_OPERATING_EXPENSES_RATIO/1M", "FPT=A", "FPO=6A", "ACT_EST_MAPPING=PRECISE", "FS=MRC", "CURRENCY=USD", "XLFILL=b")</f>
        <v>#NAME?</v>
      </c>
      <c r="K121" t="e" cm="1">
        <f t="array" aca="1" ref="K121" ca="1">BQL("CRWD US Equity", "TOTAL_OPERATING_EXPENSES_RATIO/1M", "FPT=A", "FPO=7A", "ACT_EST_MAPPING=PRECISE", "FS=MRC", "CURRENCY=USD", "XLFILL=b")</f>
        <v>#NAME?</v>
      </c>
    </row>
    <row r="122" spans="1:11" x14ac:dyDescent="0.25">
      <c r="A122" t="s">
        <v>87</v>
      </c>
      <c r="B122" t="e" cm="1">
        <f t="array" aca="1" ref="B122" ca="1">BQL("CRWD US Equity", "IS_OPERATING_EXPN/1M", "FPT=A", "FPO=-2A", "ACT_EST_MAPPING=PRECISE", "FS=MRC", "CURRENCY=USD", "XLFILL=b")</f>
        <v>#NAME?</v>
      </c>
      <c r="C122" t="e" cm="1">
        <f t="array" aca="1" ref="C122" ca="1">BQL("CRWD US Equity", "IS_OPERATING_EXPN/1M", "FPT=A", "FPO=-1A", "ACT_EST_MAPPING=PRECISE", "FS=MRC", "CURRENCY=USD", "XLFILL=b")</f>
        <v>#NAME?</v>
      </c>
      <c r="D122" t="e" cm="1">
        <f t="array" aca="1" ref="D122" ca="1">BQL("CRWD US Equity", "IS_OPERATING_EXPN/1M", "FPT=A", "FPO=0A", "ACT_EST_MAPPING=PRECISE", "FS=MRC", "CURRENCY=USD", "XLFILL=b")</f>
        <v>#NAME?</v>
      </c>
      <c r="E122" t="e" cm="1">
        <f t="array" aca="1" ref="E122" ca="1">BQL("CRWD US Equity", "IS_OPERATING_EXPN/1M", "FPT=A", "FPO=1A", "ACT_EST_MAPPING=PRECISE", "FS=MRC", "CURRENCY=USD", "XLFILL=b")</f>
        <v>#NAME?</v>
      </c>
      <c r="F122" t="e" cm="1">
        <f t="array" aca="1" ref="F122" ca="1">BQL("CRWD US Equity", "IS_OPERATING_EXPN/1M", "FPT=A", "FPO=2A", "ACT_EST_MAPPING=PRECISE", "FS=MRC", "CURRENCY=USD", "XLFILL=b")</f>
        <v>#NAME?</v>
      </c>
      <c r="G122" t="e" cm="1">
        <f t="array" aca="1" ref="G122" ca="1">BQL("CRWD US Equity", "IS_OPERATING_EXPN/1M", "FPT=A", "FPO=3A", "ACT_EST_MAPPING=PRECISE", "FS=MRC", "CURRENCY=USD", "XLFILL=b")</f>
        <v>#NAME?</v>
      </c>
      <c r="H122" t="e" cm="1">
        <f t="array" aca="1" ref="H122" ca="1">BQL("CRWD US Equity", "IS_OPERATING_EXPN/1M", "FPT=A", "FPO=4A", "ACT_EST_MAPPING=PRECISE", "FS=MRC", "CURRENCY=USD", "XLFILL=b")</f>
        <v>#NAME?</v>
      </c>
      <c r="I122" t="e" cm="1">
        <f t="array" aca="1" ref="I122" ca="1">BQL("CRWD US Equity", "IS_OPERATING_EXPN/1M", "FPT=A", "FPO=5A", "ACT_EST_MAPPING=PRECISE", "FS=MRC", "CURRENCY=USD", "XLFILL=b")</f>
        <v>#NAME?</v>
      </c>
      <c r="J122" t="e" cm="1">
        <f t="array" aca="1" ref="J122" ca="1">BQL("CRWD US Equity", "IS_OPERATING_EXPN/1M", "FPT=A", "FPO=6A", "ACT_EST_MAPPING=PRECISE", "FS=MRC", "CURRENCY=USD", "XLFILL=b")</f>
        <v>#NAME?</v>
      </c>
      <c r="K122" t="e" cm="1">
        <f t="array" aca="1" ref="K122" ca="1">BQL("CRWD US Equity", "IS_OPERATING_EXPN/1M", "FPT=A", "FPO=7A", "ACT_EST_MAPPING=PRECISE", "FS=MRC", "CURRENCY=USD", "XLFILL=b")</f>
        <v>#NAME?</v>
      </c>
    </row>
    <row r="123" spans="1:11" x14ac:dyDescent="0.25">
      <c r="A123" t="s">
        <v>83</v>
      </c>
      <c r="B123" t="e" cm="1">
        <f t="array" aca="1" ref="B123" ca="1">BQL("CRWD US Equity", "OPERATING_EXPENSES_TO_NET_SALES", "FPT=A", "FPO=-2A", "ACT_EST_MAPPING=PRECISE", "FS=MRC", "CURRENCY=USD", "XLFILL=b")</f>
        <v>#NAME?</v>
      </c>
      <c r="C123" t="e" cm="1">
        <f t="array" aca="1" ref="C123" ca="1">BQL("CRWD US Equity", "OPERATING_EXPENSES_TO_NET_SALES", "FPT=A", "FPO=-1A", "ACT_EST_MAPPING=PRECISE", "FS=MRC", "CURRENCY=USD", "XLFILL=b")</f>
        <v>#NAME?</v>
      </c>
      <c r="D123" t="e" cm="1">
        <f t="array" aca="1" ref="D123" ca="1">BQL("CRWD US Equity", "OPERATING_EXPENSES_TO_NET_SALES", "FPT=A", "FPO=0A", "ACT_EST_MAPPING=PRECISE", "FS=MRC", "CURRENCY=USD", "XLFILL=b")</f>
        <v>#NAME?</v>
      </c>
      <c r="E123" t="e" cm="1">
        <f t="array" aca="1" ref="E123" ca="1">BQL("CRWD US Equity", "OPERATING_EXPENSES_TO_NET_SALES", "FPT=A", "FPO=1A", "ACT_EST_MAPPING=PRECISE", "FS=MRC", "CURRENCY=USD", "XLFILL=b")</f>
        <v>#NAME?</v>
      </c>
      <c r="F123" t="e" cm="1">
        <f t="array" aca="1" ref="F123" ca="1">BQL("CRWD US Equity", "OPERATING_EXPENSES_TO_NET_SALES", "FPT=A", "FPO=2A", "ACT_EST_MAPPING=PRECISE", "FS=MRC", "CURRENCY=USD", "XLFILL=b")</f>
        <v>#NAME?</v>
      </c>
      <c r="G123" t="e" cm="1">
        <f t="array" aca="1" ref="G123" ca="1">BQL("CRWD US Equity", "OPERATING_EXPENSES_TO_NET_SALES", "FPT=A", "FPO=3A", "ACT_EST_MAPPING=PRECISE", "FS=MRC", "CURRENCY=USD", "XLFILL=b")</f>
        <v>#NAME?</v>
      </c>
      <c r="H123" t="e" cm="1">
        <f t="array" aca="1" ref="H123" ca="1">BQL("CRWD US Equity", "OPERATING_EXPENSES_TO_NET_SALES", "FPT=A", "FPO=4A", "ACT_EST_MAPPING=PRECISE", "FS=MRC", "CURRENCY=USD", "XLFILL=b")</f>
        <v>#NAME?</v>
      </c>
      <c r="I123" t="e" cm="1">
        <f t="array" aca="1" ref="I123" ca="1">BQL("CRWD US Equity", "OPERATING_EXPENSES_TO_NET_SALES", "FPT=A", "FPO=5A", "ACT_EST_MAPPING=PRECISE", "FS=MRC", "CURRENCY=USD", "XLFILL=b")</f>
        <v>#NAME?</v>
      </c>
      <c r="J123" t="e" cm="1">
        <f t="array" aca="1" ref="J123" ca="1">BQL("CRWD US Equity", "OPERATING_EXPENSES_TO_NET_SALES", "FPT=A", "FPO=6A", "ACT_EST_MAPPING=PRECISE", "FS=MRC", "CURRENCY=USD", "XLFILL=b")</f>
        <v>#NAME?</v>
      </c>
      <c r="K123" t="e" cm="1">
        <f t="array" aca="1" ref="K123" ca="1">BQL("CRWD US Equity", "OPERATING_EXPENSES_TO_NET_SALES", "FPT=A", "FPO=7A", "ACT_EST_MAPPING=PRECISE", "FS=MRC", "CURRENCY=USD", "XLFILL=b")</f>
        <v>#NAME?</v>
      </c>
    </row>
    <row r="124" spans="1:11" x14ac:dyDescent="0.25">
      <c r="A124" t="s">
        <v>88</v>
      </c>
      <c r="B124" t="e" cm="1">
        <f t="array" aca="1" ref="B124" ca="1">BQL("CRWD US Equity", "CB_IS_GENL_AND_ADMIN_EXPN/1M", "FPT=A", "FPO=-2A", "ACT_EST_MAPPING=PRECISE", "FS=MRC", "CURRENCY=USD", "XLFILL=b")</f>
        <v>#NAME?</v>
      </c>
      <c r="C124" t="e" cm="1">
        <f t="array" aca="1" ref="C124" ca="1">BQL("CRWD US Equity", "CB_IS_GENL_AND_ADMIN_EXPN/1M", "FPT=A", "FPO=-1A", "ACT_EST_MAPPING=PRECISE", "FS=MRC", "CURRENCY=USD", "XLFILL=b")</f>
        <v>#NAME?</v>
      </c>
      <c r="D124" t="e" cm="1">
        <f t="array" aca="1" ref="D124" ca="1">BQL("CRWD US Equity", "CB_IS_GENL_AND_ADMIN_EXPN/1M", "FPT=A", "FPO=0A", "ACT_EST_MAPPING=PRECISE", "FS=MRC", "CURRENCY=USD", "XLFILL=b")</f>
        <v>#NAME?</v>
      </c>
      <c r="E124" t="e" cm="1">
        <f t="array" aca="1" ref="E124" ca="1">BQL("CRWD US Equity", "CB_IS_GENL_AND_ADMIN_EXPN/1M", "FPT=A", "FPO=1A", "ACT_EST_MAPPING=PRECISE", "FS=MRC", "CURRENCY=USD", "XLFILL=b")</f>
        <v>#NAME?</v>
      </c>
      <c r="F124" t="e" cm="1">
        <f t="array" aca="1" ref="F124" ca="1">BQL("CRWD US Equity", "CB_IS_GENL_AND_ADMIN_EXPN/1M", "FPT=A", "FPO=2A", "ACT_EST_MAPPING=PRECISE", "FS=MRC", "CURRENCY=USD", "XLFILL=b")</f>
        <v>#NAME?</v>
      </c>
      <c r="G124" t="e" cm="1">
        <f t="array" aca="1" ref="G124" ca="1">BQL("CRWD US Equity", "CB_IS_GENL_AND_ADMIN_EXPN/1M", "FPT=A", "FPO=3A", "ACT_EST_MAPPING=PRECISE", "FS=MRC", "CURRENCY=USD", "XLFILL=b")</f>
        <v>#NAME?</v>
      </c>
      <c r="H124" t="e" cm="1">
        <f t="array" aca="1" ref="H124" ca="1">BQL("CRWD US Equity", "CB_IS_GENL_AND_ADMIN_EXPN/1M", "FPT=A", "FPO=4A", "ACT_EST_MAPPING=PRECISE", "FS=MRC", "CURRENCY=USD", "XLFILL=b")</f>
        <v>#NAME?</v>
      </c>
      <c r="I124" t="e" cm="1">
        <f t="array" aca="1" ref="I124" ca="1">BQL("CRWD US Equity", "CB_IS_GENL_AND_ADMIN_EXPN/1M", "FPT=A", "FPO=5A", "ACT_EST_MAPPING=PRECISE", "FS=MRC", "CURRENCY=USD", "XLFILL=b")</f>
        <v>#NAME?</v>
      </c>
      <c r="J124" t="e" cm="1">
        <f t="array" aca="1" ref="J124" ca="1">BQL("CRWD US Equity", "CB_IS_GENL_AND_ADMIN_EXPN/1M", "FPT=A", "FPO=6A", "ACT_EST_MAPPING=PRECISE", "FS=MRC", "CURRENCY=USD", "XLFILL=b")</f>
        <v>#NAME?</v>
      </c>
      <c r="K124" t="e" cm="1">
        <f t="array" aca="1" ref="K124" ca="1">BQL("CRWD US Equity", "CB_IS_GENL_AND_ADMIN_EXPN/1M", "FPT=A", "FPO=7A", "ACT_EST_MAPPING=PRECISE", "FS=MRC", "CURRENCY=USD", "XLFILL=b")</f>
        <v>#NAME?</v>
      </c>
    </row>
    <row r="125" spans="1:11" x14ac:dyDescent="0.25">
      <c r="A125" t="s">
        <v>89</v>
      </c>
      <c r="B125" t="e" cm="1">
        <f t="array" aca="1" ref="B125" ca="1">BQL("CRWD US Equity", "IS_OPEX_R_AND_D_GAAP/1M", "FPT=A", "FPO=-2A", "ACT_EST_MAPPING=PRECISE", "FS=MRC", "CURRENCY=USD", "XLFILL=b")</f>
        <v>#NAME?</v>
      </c>
      <c r="C125" t="e" cm="1">
        <f t="array" aca="1" ref="C125" ca="1">BQL("CRWD US Equity", "IS_OPEX_R_AND_D_GAAP/1M", "FPT=A", "FPO=-1A", "ACT_EST_MAPPING=PRECISE", "FS=MRC", "CURRENCY=USD", "XLFILL=b")</f>
        <v>#NAME?</v>
      </c>
      <c r="D125" t="e" cm="1">
        <f t="array" aca="1" ref="D125" ca="1">BQL("CRWD US Equity", "IS_OPEX_R_AND_D_GAAP/1M", "FPT=A", "FPO=0A", "ACT_EST_MAPPING=PRECISE", "FS=MRC", "CURRENCY=USD", "XLFILL=b")</f>
        <v>#NAME?</v>
      </c>
      <c r="E125" t="e" cm="1">
        <f t="array" aca="1" ref="E125" ca="1">BQL("CRWD US Equity", "IS_OPEX_R_AND_D_GAAP/1M", "FPT=A", "FPO=1A", "ACT_EST_MAPPING=PRECISE", "FS=MRC", "CURRENCY=USD", "XLFILL=b")</f>
        <v>#NAME?</v>
      </c>
      <c r="F125" t="e" cm="1">
        <f t="array" aca="1" ref="F125" ca="1">BQL("CRWD US Equity", "IS_OPEX_R_AND_D_GAAP/1M", "FPT=A", "FPO=2A", "ACT_EST_MAPPING=PRECISE", "FS=MRC", "CURRENCY=USD", "XLFILL=b")</f>
        <v>#NAME?</v>
      </c>
      <c r="G125" t="e" cm="1">
        <f t="array" aca="1" ref="G125" ca="1">BQL("CRWD US Equity", "IS_OPEX_R_AND_D_GAAP/1M", "FPT=A", "FPO=3A", "ACT_EST_MAPPING=PRECISE", "FS=MRC", "CURRENCY=USD", "XLFILL=b")</f>
        <v>#NAME?</v>
      </c>
      <c r="H125" t="e" cm="1">
        <f t="array" aca="1" ref="H125" ca="1">BQL("CRWD US Equity", "IS_OPEX_R_AND_D_GAAP/1M", "FPT=A", "FPO=4A", "ACT_EST_MAPPING=PRECISE", "FS=MRC", "CURRENCY=USD", "XLFILL=b")</f>
        <v>#NAME?</v>
      </c>
      <c r="I125" t="e" cm="1">
        <f t="array" aca="1" ref="I125" ca="1">BQL("CRWD US Equity", "IS_OPEX_R_AND_D_GAAP/1M", "FPT=A", "FPO=5A", "ACT_EST_MAPPING=PRECISE", "FS=MRC", "CURRENCY=USD", "XLFILL=b")</f>
        <v>#NAME?</v>
      </c>
      <c r="J125" t="e" cm="1">
        <f t="array" aca="1" ref="J125" ca="1">BQL("CRWD US Equity", "IS_OPEX_R_AND_D_GAAP/1M", "FPT=A", "FPO=6A", "ACT_EST_MAPPING=PRECISE", "FS=MRC", "CURRENCY=USD", "XLFILL=b")</f>
        <v>#NAME?</v>
      </c>
      <c r="K125" t="e" cm="1">
        <f t="array" aca="1" ref="K125" ca="1">BQL("CRWD US Equity", "IS_OPEX_R_AND_D_GAAP/1M", "FPT=A", "FPO=7A", "ACT_EST_MAPPING=PRECISE", "FS=MRC", "CURRENCY=USD", "XLFILL=b")</f>
        <v>#NAME?</v>
      </c>
    </row>
    <row r="126" spans="1:11" x14ac:dyDescent="0.25">
      <c r="A126" t="s">
        <v>61</v>
      </c>
      <c r="B126" t="e" cm="1">
        <f t="array" aca="1" ref="B126" ca="1">BQL("CRWD US Equity", "RD_EXPEND_TO_NET_SALES", "FPT=A", "FPO=-2A", "ACT_EST_MAPPING=PRECISE", "FS=MRC", "CURRENCY=USD", "XLFILL=b")</f>
        <v>#NAME?</v>
      </c>
      <c r="C126" t="e" cm="1">
        <f t="array" aca="1" ref="C126" ca="1">BQL("CRWD US Equity", "RD_EXPEND_TO_NET_SALES", "FPT=A", "FPO=-1A", "ACT_EST_MAPPING=PRECISE", "FS=MRC", "CURRENCY=USD", "XLFILL=b")</f>
        <v>#NAME?</v>
      </c>
      <c r="D126" t="e" cm="1">
        <f t="array" aca="1" ref="D126" ca="1">BQL("CRWD US Equity", "RD_EXPEND_TO_NET_SALES", "FPT=A", "FPO=0A", "ACT_EST_MAPPING=PRECISE", "FS=MRC", "CURRENCY=USD", "XLFILL=b")</f>
        <v>#NAME?</v>
      </c>
      <c r="E126" t="e" cm="1">
        <f t="array" aca="1" ref="E126" ca="1">BQL("CRWD US Equity", "RD_EXPEND_TO_NET_SALES", "FPT=A", "FPO=1A", "ACT_EST_MAPPING=PRECISE", "FS=MRC", "CURRENCY=USD", "XLFILL=b")</f>
        <v>#NAME?</v>
      </c>
      <c r="F126" t="e" cm="1">
        <f t="array" aca="1" ref="F126" ca="1">BQL("CRWD US Equity", "RD_EXPEND_TO_NET_SALES", "FPT=A", "FPO=2A", "ACT_EST_MAPPING=PRECISE", "FS=MRC", "CURRENCY=USD", "XLFILL=b")</f>
        <v>#NAME?</v>
      </c>
      <c r="G126" t="e" cm="1">
        <f t="array" aca="1" ref="G126" ca="1">BQL("CRWD US Equity", "RD_EXPEND_TO_NET_SALES", "FPT=A", "FPO=3A", "ACT_EST_MAPPING=PRECISE", "FS=MRC", "CURRENCY=USD", "XLFILL=b")</f>
        <v>#NAME?</v>
      </c>
      <c r="H126" t="e" cm="1">
        <f t="array" aca="1" ref="H126" ca="1">BQL("CRWD US Equity", "RD_EXPEND_TO_NET_SALES", "FPT=A", "FPO=4A", "ACT_EST_MAPPING=PRECISE", "FS=MRC", "CURRENCY=USD", "XLFILL=b")</f>
        <v>#NAME?</v>
      </c>
      <c r="I126" t="e" cm="1">
        <f t="array" aca="1" ref="I126" ca="1">BQL("CRWD US Equity", "RD_EXPEND_TO_NET_SALES", "FPT=A", "FPO=5A", "ACT_EST_MAPPING=PRECISE", "FS=MRC", "CURRENCY=USD", "XLFILL=b")</f>
        <v>#NAME?</v>
      </c>
      <c r="J126" t="e" cm="1">
        <f t="array" aca="1" ref="J126" ca="1">BQL("CRWD US Equity", "RD_EXPEND_TO_NET_SALES", "FPT=A", "FPO=6A", "ACT_EST_MAPPING=PRECISE", "FS=MRC", "CURRENCY=USD", "XLFILL=b")</f>
        <v>#NAME?</v>
      </c>
      <c r="K126" t="e" cm="1">
        <f t="array" aca="1" ref="K126" ca="1">BQL("CRWD US Equity", "RD_EXPEND_TO_NET_SALES", "FPT=A", "FPO=7A", "ACT_EST_MAPPING=PRECISE", "FS=MRC", "CURRENCY=USD", "XLFILL=b")</f>
        <v>#NAME?</v>
      </c>
    </row>
    <row r="127" spans="1:11" x14ac:dyDescent="0.25">
      <c r="A127" t="s">
        <v>90</v>
      </c>
      <c r="B127" t="e" cm="1">
        <f t="array" aca="1" ref="B127" ca="1">BQL("CRWD US Equity", "CB_IS_S_AND_M_EXPENSE/1M", "FPT=A", "FPO=-2A", "ACT_EST_MAPPING=PRECISE", "FS=MRC", "CURRENCY=USD", "XLFILL=b")</f>
        <v>#NAME?</v>
      </c>
      <c r="C127" t="e" cm="1">
        <f t="array" aca="1" ref="C127" ca="1">BQL("CRWD US Equity", "CB_IS_S_AND_M_EXPENSE/1M", "FPT=A", "FPO=-1A", "ACT_EST_MAPPING=PRECISE", "FS=MRC", "CURRENCY=USD", "XLFILL=b")</f>
        <v>#NAME?</v>
      </c>
      <c r="D127" t="e" cm="1">
        <f t="array" aca="1" ref="D127" ca="1">BQL("CRWD US Equity", "CB_IS_S_AND_M_EXPENSE/1M", "FPT=A", "FPO=0A", "ACT_EST_MAPPING=PRECISE", "FS=MRC", "CURRENCY=USD", "XLFILL=b")</f>
        <v>#NAME?</v>
      </c>
      <c r="E127" t="e" cm="1">
        <f t="array" aca="1" ref="E127" ca="1">BQL("CRWD US Equity", "CB_IS_S_AND_M_EXPENSE/1M", "FPT=A", "FPO=1A", "ACT_EST_MAPPING=PRECISE", "FS=MRC", "CURRENCY=USD", "XLFILL=b")</f>
        <v>#NAME?</v>
      </c>
      <c r="F127" t="e" cm="1">
        <f t="array" aca="1" ref="F127" ca="1">BQL("CRWD US Equity", "CB_IS_S_AND_M_EXPENSE/1M", "FPT=A", "FPO=2A", "ACT_EST_MAPPING=PRECISE", "FS=MRC", "CURRENCY=USD", "XLFILL=b")</f>
        <v>#NAME?</v>
      </c>
      <c r="G127" t="e" cm="1">
        <f t="array" aca="1" ref="G127" ca="1">BQL("CRWD US Equity", "CB_IS_S_AND_M_EXPENSE/1M", "FPT=A", "FPO=3A", "ACT_EST_MAPPING=PRECISE", "FS=MRC", "CURRENCY=USD", "XLFILL=b")</f>
        <v>#NAME?</v>
      </c>
      <c r="H127" t="e" cm="1">
        <f t="array" aca="1" ref="H127" ca="1">BQL("CRWD US Equity", "CB_IS_S_AND_M_EXPENSE/1M", "FPT=A", "FPO=4A", "ACT_EST_MAPPING=PRECISE", "FS=MRC", "CURRENCY=USD", "XLFILL=b")</f>
        <v>#NAME?</v>
      </c>
      <c r="I127" t="e" cm="1">
        <f t="array" aca="1" ref="I127" ca="1">BQL("CRWD US Equity", "CB_IS_S_AND_M_EXPENSE/1M", "FPT=A", "FPO=5A", "ACT_EST_MAPPING=PRECISE", "FS=MRC", "CURRENCY=USD", "XLFILL=b")</f>
        <v>#NAME?</v>
      </c>
      <c r="J127" t="e" cm="1">
        <f t="array" aca="1" ref="J127" ca="1">BQL("CRWD US Equity", "CB_IS_S_AND_M_EXPENSE/1M", "FPT=A", "FPO=6A", "ACT_EST_MAPPING=PRECISE", "FS=MRC", "CURRENCY=USD", "XLFILL=b")</f>
        <v>#NAME?</v>
      </c>
      <c r="K127" t="e" cm="1">
        <f t="array" aca="1" ref="K127" ca="1">BQL("CRWD US Equity", "CB_IS_S_AND_M_EXPENSE/1M", "FPT=A", "FPO=7A", "ACT_EST_MAPPING=PRECISE", "FS=MRC", "CURRENCY=USD", "XLFILL=b")</f>
        <v>#NAME?</v>
      </c>
    </row>
    <row r="128" spans="1:11" x14ac:dyDescent="0.25">
      <c r="A128" t="s">
        <v>17</v>
      </c>
    </row>
    <row r="129" spans="1:11" x14ac:dyDescent="0.25">
      <c r="A129" t="s">
        <v>91</v>
      </c>
      <c r="B129" t="e" cm="1">
        <f t="array" aca="1" ref="B129" ca="1">BQL("CRWD US Equity", "IS_EBIT_AS_REPORTED/1M", "FPT=A", "FPO=-2A", "ACT_EST_MAPPING=PRECISE", "FS=MRC", "CURRENCY=USD", "XLFILL=b")</f>
        <v>#NAME?</v>
      </c>
      <c r="C129" t="e" cm="1">
        <f t="array" aca="1" ref="C129" ca="1">BQL("CRWD US Equity", "IS_EBIT_AS_REPORTED/1M", "FPT=A", "FPO=-1A", "ACT_EST_MAPPING=PRECISE", "FS=MRC", "CURRENCY=USD", "XLFILL=b")</f>
        <v>#NAME?</v>
      </c>
      <c r="D129" t="e" cm="1">
        <f t="array" aca="1" ref="D129" ca="1">BQL("CRWD US Equity", "IS_EBIT_AS_REPORTED/1M", "FPT=A", "FPO=0A", "ACT_EST_MAPPING=PRECISE", "FS=MRC", "CURRENCY=USD", "XLFILL=b")</f>
        <v>#NAME?</v>
      </c>
      <c r="E129" t="e" cm="1">
        <f t="array" aca="1" ref="E129" ca="1">BQL("CRWD US Equity", "IS_EBIT_AS_REPORTED/1M", "FPT=A", "FPO=1A", "ACT_EST_MAPPING=PRECISE", "FS=MRC", "CURRENCY=USD", "XLFILL=b")</f>
        <v>#NAME?</v>
      </c>
      <c r="F129" t="e" cm="1">
        <f t="array" aca="1" ref="F129" ca="1">BQL("CRWD US Equity", "IS_EBIT_AS_REPORTED/1M", "FPT=A", "FPO=2A", "ACT_EST_MAPPING=PRECISE", "FS=MRC", "CURRENCY=USD", "XLFILL=b")</f>
        <v>#NAME?</v>
      </c>
      <c r="G129" t="e" cm="1">
        <f t="array" aca="1" ref="G129" ca="1">BQL("CRWD US Equity", "IS_EBIT_AS_REPORTED/1M", "FPT=A", "FPO=3A", "ACT_EST_MAPPING=PRECISE", "FS=MRC", "CURRENCY=USD", "XLFILL=b")</f>
        <v>#NAME?</v>
      </c>
      <c r="H129" t="e" cm="1">
        <f t="array" aca="1" ref="H129" ca="1">BQL("CRWD US Equity", "IS_EBIT_AS_REPORTED/1M", "FPT=A", "FPO=4A", "ACT_EST_MAPPING=PRECISE", "FS=MRC", "CURRENCY=USD", "XLFILL=b")</f>
        <v>#NAME?</v>
      </c>
      <c r="I129" t="e" cm="1">
        <f t="array" aca="1" ref="I129" ca="1">BQL("CRWD US Equity", "IS_EBIT_AS_REPORTED/1M", "FPT=A", "FPO=5A", "ACT_EST_MAPPING=PRECISE", "FS=MRC", "CURRENCY=USD", "XLFILL=b")</f>
        <v>#NAME?</v>
      </c>
      <c r="J129" t="e" cm="1">
        <f t="array" aca="1" ref="J129" ca="1">BQL("CRWD US Equity", "IS_EBIT_AS_REPORTED/1M", "FPT=A", "FPO=6A", "ACT_EST_MAPPING=PRECISE", "FS=MRC", "CURRENCY=USD", "XLFILL=b")</f>
        <v>#NAME?</v>
      </c>
      <c r="K129" t="e" cm="1">
        <f t="array" aca="1" ref="K129" ca="1">BQL("CRWD US Equity", "IS_EBIT_AS_REPORTED/1M", "FPT=A", "FPO=7A", "ACT_EST_MAPPING=PRECISE", "FS=MRC", "CURRENCY=USD", "XLFILL=b")</f>
        <v>#NAME?</v>
      </c>
    </row>
    <row r="130" spans="1:11" x14ac:dyDescent="0.25">
      <c r="A130" t="s">
        <v>92</v>
      </c>
      <c r="B130" t="e" cm="1">
        <f t="array" aca="1" ref="B130" ca="1">BQL("CRWD US Equity", "OPER_MARGIN", "FPT=A", "FPO=-2A", "ACT_EST_MAPPING=PRECISE", "FS=MRC", "CURRENCY=USD", "XLFILL=b")</f>
        <v>#NAME?</v>
      </c>
      <c r="C130" t="e" cm="1">
        <f t="array" aca="1" ref="C130" ca="1">BQL("CRWD US Equity", "OPER_MARGIN", "FPT=A", "FPO=-1A", "ACT_EST_MAPPING=PRECISE", "FS=MRC", "CURRENCY=USD", "XLFILL=b")</f>
        <v>#NAME?</v>
      </c>
      <c r="D130" t="e" cm="1">
        <f t="array" aca="1" ref="D130" ca="1">BQL("CRWD US Equity", "OPER_MARGIN", "FPT=A", "FPO=0A", "ACT_EST_MAPPING=PRECISE", "FS=MRC", "CURRENCY=USD", "XLFILL=b")</f>
        <v>#NAME?</v>
      </c>
      <c r="E130" t="e" cm="1">
        <f t="array" aca="1" ref="E130" ca="1">BQL("CRWD US Equity", "OPER_MARGIN", "FPT=A", "FPO=1A", "ACT_EST_MAPPING=PRECISE", "FS=MRC", "CURRENCY=USD", "XLFILL=b")</f>
        <v>#NAME?</v>
      </c>
      <c r="F130" t="e" cm="1">
        <f t="array" aca="1" ref="F130" ca="1">BQL("CRWD US Equity", "OPER_MARGIN", "FPT=A", "FPO=2A", "ACT_EST_MAPPING=PRECISE", "FS=MRC", "CURRENCY=USD", "XLFILL=b")</f>
        <v>#NAME?</v>
      </c>
      <c r="G130" t="e" cm="1">
        <f t="array" aca="1" ref="G130" ca="1">BQL("CRWD US Equity", "OPER_MARGIN", "FPT=A", "FPO=3A", "ACT_EST_MAPPING=PRECISE", "FS=MRC", "CURRENCY=USD", "XLFILL=b")</f>
        <v>#NAME?</v>
      </c>
      <c r="H130" t="e" cm="1">
        <f t="array" aca="1" ref="H130" ca="1">BQL("CRWD US Equity", "OPER_MARGIN", "FPT=A", "FPO=4A", "ACT_EST_MAPPING=PRECISE", "FS=MRC", "CURRENCY=USD", "XLFILL=b")</f>
        <v>#NAME?</v>
      </c>
      <c r="I130" t="e" cm="1">
        <f t="array" aca="1" ref="I130" ca="1">BQL("CRWD US Equity", "OPER_MARGIN", "FPT=A", "FPO=5A", "ACT_EST_MAPPING=PRECISE", "FS=MRC", "CURRENCY=USD", "XLFILL=b")</f>
        <v>#NAME?</v>
      </c>
      <c r="J130" t="e" cm="1">
        <f t="array" aca="1" ref="J130" ca="1">BQL("CRWD US Equity", "OPER_MARGIN", "FPT=A", "FPO=6A", "ACT_EST_MAPPING=PRECISE", "FS=MRC", "CURRENCY=USD", "XLFILL=b")</f>
        <v>#NAME?</v>
      </c>
      <c r="K130" t="e" cm="1">
        <f t="array" aca="1" ref="K130" ca="1">BQL("CRWD US Equity", "OPER_MARGIN", "FPT=A", "FPO=7A", "ACT_EST_MAPPING=PRECISE", "FS=MRC", "CURRENCY=USD", "XLFILL=b")</f>
        <v>#NAME?</v>
      </c>
    </row>
    <row r="131" spans="1:11" x14ac:dyDescent="0.25">
      <c r="A131" t="s">
        <v>17</v>
      </c>
    </row>
    <row r="132" spans="1:11" x14ac:dyDescent="0.25">
      <c r="A132" t="s">
        <v>93</v>
      </c>
      <c r="B132" t="e" cm="1">
        <f t="array" aca="1" ref="B132" ca="1">BQL("CRWD US Equity", "CB_CF_DEPREC_AMORT/1M", "FPT=A", "FPO=-2A", "ACT_EST_MAPPING=PRECISE", "FS=MRC", "CURRENCY=USD", "XLFILL=b")</f>
        <v>#NAME?</v>
      </c>
      <c r="C132" t="e" cm="1">
        <f t="array" aca="1" ref="C132" ca="1">BQL("CRWD US Equity", "CB_CF_DEPREC_AMORT/1M", "FPT=A", "FPO=-1A", "ACT_EST_MAPPING=PRECISE", "FS=MRC", "CURRENCY=USD", "XLFILL=b")</f>
        <v>#NAME?</v>
      </c>
      <c r="D132" t="e" cm="1">
        <f t="array" aca="1" ref="D132" ca="1">BQL("CRWD US Equity", "CB_CF_DEPREC_AMORT/1M", "FPT=A", "FPO=0A", "ACT_EST_MAPPING=PRECISE", "FS=MRC", "CURRENCY=USD", "XLFILL=b")</f>
        <v>#NAME?</v>
      </c>
      <c r="E132" t="e" cm="1">
        <f t="array" aca="1" ref="E132" ca="1">BQL("CRWD US Equity", "CB_CF_DEPREC_AMORT/1M", "FPT=A", "FPO=1A", "ACT_EST_MAPPING=PRECISE", "FS=MRC", "CURRENCY=USD", "XLFILL=b")</f>
        <v>#NAME?</v>
      </c>
      <c r="F132" t="e" cm="1">
        <f t="array" aca="1" ref="F132" ca="1">BQL("CRWD US Equity", "CB_CF_DEPREC_AMORT/1M", "FPT=A", "FPO=2A", "ACT_EST_MAPPING=PRECISE", "FS=MRC", "CURRENCY=USD", "XLFILL=b")</f>
        <v>#NAME?</v>
      </c>
      <c r="G132" t="e" cm="1">
        <f t="array" aca="1" ref="G132" ca="1">BQL("CRWD US Equity", "CB_CF_DEPREC_AMORT/1M", "FPT=A", "FPO=3A", "ACT_EST_MAPPING=PRECISE", "FS=MRC", "CURRENCY=USD", "XLFILL=b")</f>
        <v>#NAME?</v>
      </c>
      <c r="H132" t="e" cm="1">
        <f t="array" aca="1" ref="H132" ca="1">BQL("CRWD US Equity", "CB_CF_DEPREC_AMORT/1M", "FPT=A", "FPO=4A", "ACT_EST_MAPPING=PRECISE", "FS=MRC", "CURRENCY=USD", "XLFILL=b")</f>
        <v>#NAME?</v>
      </c>
      <c r="I132" t="e" cm="1">
        <f t="array" aca="1" ref="I132" ca="1">BQL("CRWD US Equity", "CB_CF_DEPREC_AMORT/1M", "FPT=A", "FPO=5A", "ACT_EST_MAPPING=PRECISE", "FS=MRC", "CURRENCY=USD", "XLFILL=b")</f>
        <v>#NAME?</v>
      </c>
      <c r="J132" t="e" cm="1">
        <f t="array" aca="1" ref="J132" ca="1">BQL("CRWD US Equity", "CB_CF_DEPREC_AMORT/1M", "FPT=A", "FPO=6A", "ACT_EST_MAPPING=PRECISE", "FS=MRC", "CURRENCY=USD", "XLFILL=b")</f>
        <v>#NAME?</v>
      </c>
      <c r="K132" t="e" cm="1">
        <f t="array" aca="1" ref="K132" ca="1">BQL("CRWD US Equity", "CB_CF_DEPREC_AMORT/1M", "FPT=A", "FPO=7A", "ACT_EST_MAPPING=PRECISE", "FS=MRC", "CURRENCY=USD", "XLFILL=b")</f>
        <v>#NAME?</v>
      </c>
    </row>
    <row r="133" spans="1:11" x14ac:dyDescent="0.25">
      <c r="A133" t="s">
        <v>94</v>
      </c>
      <c r="B133" t="e" cm="1">
        <f t="array" aca="1" ref="B133" ca="1">BQL("CRWD US Equity", "HEADLINE_DEPR_EXPN/1M", "FPT=A", "FPO=-2A", "ACT_EST_MAPPING=PRECISE", "FS=MRC", "CURRENCY=USD", "XLFILL=b")</f>
        <v>#NAME?</v>
      </c>
      <c r="C133" t="e" cm="1">
        <f t="array" aca="1" ref="C133" ca="1">BQL("CRWD US Equity", "HEADLINE_DEPR_EXPN/1M", "FPT=A", "FPO=-1A", "ACT_EST_MAPPING=PRECISE", "FS=MRC", "CURRENCY=USD", "XLFILL=b")</f>
        <v>#NAME?</v>
      </c>
      <c r="D133" t="e" cm="1">
        <f t="array" aca="1" ref="D133" ca="1">BQL("CRWD US Equity", "HEADLINE_DEPR_EXPN/1M", "FPT=A", "FPO=0A", "ACT_EST_MAPPING=PRECISE", "FS=MRC", "CURRENCY=USD", "XLFILL=b")</f>
        <v>#NAME?</v>
      </c>
      <c r="E133" t="e" cm="1">
        <f t="array" aca="1" ref="E133" ca="1">BQL("CRWD US Equity", "HEADLINE_DEPR_EXPN/1M", "FPT=A", "FPO=1A", "ACT_EST_MAPPING=PRECISE", "FS=MRC", "CURRENCY=USD", "XLFILL=b")</f>
        <v>#NAME?</v>
      </c>
      <c r="F133" t="e" cm="1">
        <f t="array" aca="1" ref="F133" ca="1">BQL("CRWD US Equity", "HEADLINE_DEPR_EXPN/1M", "FPT=A", "FPO=2A", "ACT_EST_MAPPING=PRECISE", "FS=MRC", "CURRENCY=USD", "XLFILL=b")</f>
        <v>#NAME?</v>
      </c>
      <c r="G133" t="e" cm="1">
        <f t="array" aca="1" ref="G133" ca="1">BQL("CRWD US Equity", "HEADLINE_DEPR_EXPN/1M", "FPT=A", "FPO=3A", "ACT_EST_MAPPING=PRECISE", "FS=MRC", "CURRENCY=USD", "XLFILL=b")</f>
        <v>#NAME?</v>
      </c>
      <c r="H133" t="e" cm="1">
        <f t="array" aca="1" ref="H133" ca="1">BQL("CRWD US Equity", "HEADLINE_DEPR_EXPN/1M", "FPT=A", "FPO=4A", "ACT_EST_MAPPING=PRECISE", "FS=MRC", "CURRENCY=USD", "XLFILL=b")</f>
        <v>#NAME?</v>
      </c>
      <c r="I133" t="e" cm="1">
        <f t="array" aca="1" ref="I133" ca="1">BQL("CRWD US Equity", "HEADLINE_DEPR_EXPN/1M", "FPT=A", "FPO=5A", "ACT_EST_MAPPING=PRECISE", "FS=MRC", "CURRENCY=USD", "XLFILL=b")</f>
        <v>#NAME?</v>
      </c>
      <c r="J133" t="e" cm="1">
        <f t="array" aca="1" ref="J133" ca="1">BQL("CRWD US Equity", "HEADLINE_DEPR_EXPN/1M", "FPT=A", "FPO=6A", "ACT_EST_MAPPING=PRECISE", "FS=MRC", "CURRENCY=USD", "XLFILL=b")</f>
        <v>#NAME?</v>
      </c>
      <c r="K133" t="e" cm="1">
        <f t="array" aca="1" ref="K133" ca="1">BQL("CRWD US Equity", "HEADLINE_DEPR_EXPN/1M", "FPT=A", "FPO=7A", "ACT_EST_MAPPING=PRECISE", "FS=MRC", "CURRENCY=USD", "XLFILL=b")</f>
        <v>#NAME?</v>
      </c>
    </row>
    <row r="134" spans="1:11" x14ac:dyDescent="0.25">
      <c r="A134" t="s">
        <v>61</v>
      </c>
      <c r="B134" t="e" cm="1">
        <f t="array" aca="1" ref="B134" ca="1">BQL("CRWD US Equity", "DEPR_EXP_TO_NET_SALES", "FPT=A", "FPO=-2A", "ACT_EST_MAPPING=PRECISE", "FS=MRC", "CURRENCY=USD", "XLFILL=b")</f>
        <v>#NAME?</v>
      </c>
      <c r="C134" t="e" cm="1">
        <f t="array" aca="1" ref="C134" ca="1">BQL("CRWD US Equity", "DEPR_EXP_TO_NET_SALES", "FPT=A", "FPO=-1A", "ACT_EST_MAPPING=PRECISE", "FS=MRC", "CURRENCY=USD", "XLFILL=b")</f>
        <v>#NAME?</v>
      </c>
      <c r="D134" t="e" cm="1">
        <f t="array" aca="1" ref="D134" ca="1">BQL("CRWD US Equity", "DEPR_EXP_TO_NET_SALES", "FPT=A", "FPO=0A", "ACT_EST_MAPPING=PRECISE", "FS=MRC", "CURRENCY=USD", "XLFILL=b")</f>
        <v>#NAME?</v>
      </c>
      <c r="E134" t="e" cm="1">
        <f t="array" aca="1" ref="E134" ca="1">BQL("CRWD US Equity", "DEPR_EXP_TO_NET_SALES", "FPT=A", "FPO=1A", "ACT_EST_MAPPING=PRECISE", "FS=MRC", "CURRENCY=USD", "XLFILL=b")</f>
        <v>#NAME?</v>
      </c>
      <c r="F134" t="e" cm="1">
        <f t="array" aca="1" ref="F134" ca="1">BQL("CRWD US Equity", "DEPR_EXP_TO_NET_SALES", "FPT=A", "FPO=2A", "ACT_EST_MAPPING=PRECISE", "FS=MRC", "CURRENCY=USD", "XLFILL=b")</f>
        <v>#NAME?</v>
      </c>
      <c r="G134" t="e" cm="1">
        <f t="array" aca="1" ref="G134" ca="1">BQL("CRWD US Equity", "DEPR_EXP_TO_NET_SALES", "FPT=A", "FPO=3A", "ACT_EST_MAPPING=PRECISE", "FS=MRC", "CURRENCY=USD", "XLFILL=b")</f>
        <v>#NAME?</v>
      </c>
      <c r="H134" t="e" cm="1">
        <f t="array" aca="1" ref="H134" ca="1">BQL("CRWD US Equity", "DEPR_EXP_TO_NET_SALES", "FPT=A", "FPO=4A", "ACT_EST_MAPPING=PRECISE", "FS=MRC", "CURRENCY=USD", "XLFILL=b")</f>
        <v>#NAME?</v>
      </c>
      <c r="I134" t="e" cm="1">
        <f t="array" aca="1" ref="I134" ca="1">BQL("CRWD US Equity", "DEPR_EXP_TO_NET_SALES", "FPT=A", "FPO=5A", "ACT_EST_MAPPING=PRECISE", "FS=MRC", "CURRENCY=USD", "XLFILL=b")</f>
        <v>#NAME?</v>
      </c>
      <c r="J134" t="e" cm="1">
        <f t="array" aca="1" ref="J134" ca="1">BQL("CRWD US Equity", "DEPR_EXP_TO_NET_SALES", "FPT=A", "FPO=6A", "ACT_EST_MAPPING=PRECISE", "FS=MRC", "CURRENCY=USD", "XLFILL=b")</f>
        <v>#NAME?</v>
      </c>
      <c r="K134" t="e" cm="1">
        <f t="array" aca="1" ref="K134" ca="1">BQL("CRWD US Equity", "DEPR_EXP_TO_NET_SALES", "FPT=A", "FPO=7A", "ACT_EST_MAPPING=PRECISE", "FS=MRC", "CURRENCY=USD", "XLFILL=b")</f>
        <v>#NAME?</v>
      </c>
    </row>
    <row r="135" spans="1:11" x14ac:dyDescent="0.25">
      <c r="A135" t="s">
        <v>17</v>
      </c>
    </row>
    <row r="136" spans="1:11" x14ac:dyDescent="0.25">
      <c r="A136" t="s">
        <v>95</v>
      </c>
      <c r="B136" t="e" cm="1">
        <f t="array" aca="1" ref="B136" ca="1">BQL("CRWD US Equity", "NONOP_INCOME_LOSS/1M", "FPT=A", "FPO=-2A", "ACT_EST_MAPPING=PRECISE", "FS=MRC", "CURRENCY=USD", "XLFILL=b")</f>
        <v>#NAME?</v>
      </c>
      <c r="C136" t="e" cm="1">
        <f t="array" aca="1" ref="C136" ca="1">BQL("CRWD US Equity", "NONOP_INCOME_LOSS/1M", "FPT=A", "FPO=-1A", "ACT_EST_MAPPING=PRECISE", "FS=MRC", "CURRENCY=USD", "XLFILL=b")</f>
        <v>#NAME?</v>
      </c>
      <c r="D136" t="e" cm="1">
        <f t="array" aca="1" ref="D136" ca="1">BQL("CRWD US Equity", "NONOP_INCOME_LOSS/1M", "FPT=A", "FPO=0A", "ACT_EST_MAPPING=PRECISE", "FS=MRC", "CURRENCY=USD", "XLFILL=b")</f>
        <v>#NAME?</v>
      </c>
      <c r="E136" t="e" cm="1">
        <f t="array" aca="1" ref="E136" ca="1">BQL("CRWD US Equity", "NONOP_INCOME_LOSS/1M", "FPT=A", "FPO=1A", "ACT_EST_MAPPING=PRECISE", "FS=MRC", "CURRENCY=USD", "XLFILL=b")</f>
        <v>#NAME?</v>
      </c>
      <c r="F136" t="e" cm="1">
        <f t="array" aca="1" ref="F136" ca="1">BQL("CRWD US Equity", "NONOP_INCOME_LOSS/1M", "FPT=A", "FPO=2A", "ACT_EST_MAPPING=PRECISE", "FS=MRC", "CURRENCY=USD", "XLFILL=b")</f>
        <v>#NAME?</v>
      </c>
      <c r="G136" t="e" cm="1">
        <f t="array" aca="1" ref="G136" ca="1">BQL("CRWD US Equity", "NONOP_INCOME_LOSS/1M", "FPT=A", "FPO=3A", "ACT_EST_MAPPING=PRECISE", "FS=MRC", "CURRENCY=USD", "XLFILL=b")</f>
        <v>#NAME?</v>
      </c>
      <c r="H136" t="e" cm="1">
        <f t="array" aca="1" ref="H136" ca="1">BQL("CRWD US Equity", "NONOP_INCOME_LOSS/1M", "FPT=A", "FPO=4A", "ACT_EST_MAPPING=PRECISE", "FS=MRC", "CURRENCY=USD", "XLFILL=b")</f>
        <v>#NAME?</v>
      </c>
      <c r="I136" t="e" cm="1">
        <f t="array" aca="1" ref="I136" ca="1">BQL("CRWD US Equity", "NONOP_INCOME_LOSS/1M", "FPT=A", "FPO=5A", "ACT_EST_MAPPING=PRECISE", "FS=MRC", "CURRENCY=USD", "XLFILL=b")</f>
        <v>#NAME?</v>
      </c>
      <c r="J136" t="e" cm="1">
        <f t="array" aca="1" ref="J136" ca="1">BQL("CRWD US Equity", "NONOP_INCOME_LOSS/1M", "FPT=A", "FPO=6A", "ACT_EST_MAPPING=PRECISE", "FS=MRC", "CURRENCY=USD", "XLFILL=b")</f>
        <v>#NAME?</v>
      </c>
      <c r="K136" t="e" cm="1">
        <f t="array" aca="1" ref="K136" ca="1">BQL("CRWD US Equity", "NONOP_INCOME_LOSS/1M", "FPT=A", "FPO=7A", "ACT_EST_MAPPING=PRECISE", "FS=MRC", "CURRENCY=USD", "XLFILL=b")</f>
        <v>#NAME?</v>
      </c>
    </row>
    <row r="137" spans="1:11" x14ac:dyDescent="0.25">
      <c r="A137" t="s">
        <v>96</v>
      </c>
      <c r="B137" t="e" cm="1">
        <f t="array" aca="1" ref="B137" ca="1">BQL("CRWD US Equity", "IS_INT_EXPENSE/1M", "FPT=A", "FPO=-2A", "ACT_EST_MAPPING=PRECISE", "FS=MRC", "CURRENCY=USD", "XLFILL=b")</f>
        <v>#NAME?</v>
      </c>
      <c r="C137" t="e" cm="1">
        <f t="array" aca="1" ref="C137" ca="1">BQL("CRWD US Equity", "IS_INT_EXPENSE/1M", "FPT=A", "FPO=-1A", "ACT_EST_MAPPING=PRECISE", "FS=MRC", "CURRENCY=USD", "XLFILL=b")</f>
        <v>#NAME?</v>
      </c>
      <c r="D137" t="e" cm="1">
        <f t="array" aca="1" ref="D137" ca="1">BQL("CRWD US Equity", "IS_INT_EXPENSE/1M", "FPT=A", "FPO=0A", "ACT_EST_MAPPING=PRECISE", "FS=MRC", "CURRENCY=USD", "XLFILL=b")</f>
        <v>#NAME?</v>
      </c>
      <c r="E137" t="e" cm="1">
        <f t="array" aca="1" ref="E137" ca="1">BQL("CRWD US Equity", "IS_INT_EXPENSE/1M", "FPT=A", "FPO=1A", "ACT_EST_MAPPING=PRECISE", "FS=MRC", "CURRENCY=USD", "XLFILL=b")</f>
        <v>#NAME?</v>
      </c>
      <c r="F137" t="e" cm="1">
        <f t="array" aca="1" ref="F137" ca="1">BQL("CRWD US Equity", "IS_INT_EXPENSE/1M", "FPT=A", "FPO=2A", "ACT_EST_MAPPING=PRECISE", "FS=MRC", "CURRENCY=USD", "XLFILL=b")</f>
        <v>#NAME?</v>
      </c>
      <c r="G137" t="e" cm="1">
        <f t="array" aca="1" ref="G137" ca="1">BQL("CRWD US Equity", "IS_INT_EXPENSE/1M", "FPT=A", "FPO=3A", "ACT_EST_MAPPING=PRECISE", "FS=MRC", "CURRENCY=USD", "XLFILL=b")</f>
        <v>#NAME?</v>
      </c>
      <c r="H137" t="e" cm="1">
        <f t="array" aca="1" ref="H137" ca="1">BQL("CRWD US Equity", "IS_INT_EXPENSE/1M", "FPT=A", "FPO=4A", "ACT_EST_MAPPING=PRECISE", "FS=MRC", "CURRENCY=USD", "XLFILL=b")</f>
        <v>#NAME?</v>
      </c>
      <c r="I137" t="e" cm="1">
        <f t="array" aca="1" ref="I137" ca="1">BQL("CRWD US Equity", "IS_INT_EXPENSE/1M", "FPT=A", "FPO=5A", "ACT_EST_MAPPING=PRECISE", "FS=MRC", "CURRENCY=USD", "XLFILL=b")</f>
        <v>#NAME?</v>
      </c>
      <c r="J137" t="e" cm="1">
        <f t="array" aca="1" ref="J137" ca="1">BQL("CRWD US Equity", "IS_INT_EXPENSE/1M", "FPT=A", "FPO=6A", "ACT_EST_MAPPING=PRECISE", "FS=MRC", "CURRENCY=USD", "XLFILL=b")</f>
        <v>#NAME?</v>
      </c>
      <c r="K137" t="e" cm="1">
        <f t="array" aca="1" ref="K137" ca="1">BQL("CRWD US Equity", "IS_INT_EXPENSE/1M", "FPT=A", "FPO=7A", "ACT_EST_MAPPING=PRECISE", "FS=MRC", "CURRENCY=USD", "XLFILL=b")</f>
        <v>#NAME?</v>
      </c>
    </row>
    <row r="138" spans="1:11" x14ac:dyDescent="0.25">
      <c r="A138" t="s">
        <v>97</v>
      </c>
      <c r="B138" t="e" cm="1">
        <f t="array" aca="1" ref="B138" ca="1">BQL("CRWD US Equity", "IS_INT_INC/1M", "FPT=A", "FPO=-2A", "ACT_EST_MAPPING=PRECISE", "FS=MRC", "CURRENCY=USD", "XLFILL=b")</f>
        <v>#NAME?</v>
      </c>
      <c r="C138" t="e" cm="1">
        <f t="array" aca="1" ref="C138" ca="1">BQL("CRWD US Equity", "IS_INT_INC/1M", "FPT=A", "FPO=-1A", "ACT_EST_MAPPING=PRECISE", "FS=MRC", "CURRENCY=USD", "XLFILL=b")</f>
        <v>#NAME?</v>
      </c>
      <c r="D138" t="e" cm="1">
        <f t="array" aca="1" ref="D138" ca="1">BQL("CRWD US Equity", "IS_INT_INC/1M", "FPT=A", "FPO=0A", "ACT_EST_MAPPING=PRECISE", "FS=MRC", "CURRENCY=USD", "XLFILL=b")</f>
        <v>#NAME?</v>
      </c>
      <c r="E138" t="e" cm="1">
        <f t="array" aca="1" ref="E138" ca="1">BQL("CRWD US Equity", "IS_INT_INC/1M", "FPT=A", "FPO=1A", "ACT_EST_MAPPING=PRECISE", "FS=MRC", "CURRENCY=USD", "XLFILL=b")</f>
        <v>#NAME?</v>
      </c>
      <c r="F138" t="e" cm="1">
        <f t="array" aca="1" ref="F138" ca="1">BQL("CRWD US Equity", "IS_INT_INC/1M", "FPT=A", "FPO=2A", "ACT_EST_MAPPING=PRECISE", "FS=MRC", "CURRENCY=USD", "XLFILL=b")</f>
        <v>#NAME?</v>
      </c>
      <c r="G138" t="e" cm="1">
        <f t="array" aca="1" ref="G138" ca="1">BQL("CRWD US Equity", "IS_INT_INC/1M", "FPT=A", "FPO=3A", "ACT_EST_MAPPING=PRECISE", "FS=MRC", "CURRENCY=USD", "XLFILL=b")</f>
        <v>#NAME?</v>
      </c>
      <c r="H138" t="e" cm="1">
        <f t="array" aca="1" ref="H138" ca="1">BQL("CRWD US Equity", "IS_INT_INC/1M", "FPT=A", "FPO=4A", "ACT_EST_MAPPING=PRECISE", "FS=MRC", "CURRENCY=USD", "XLFILL=b")</f>
        <v>#NAME?</v>
      </c>
      <c r="I138" t="e" cm="1">
        <f t="array" aca="1" ref="I138" ca="1">BQL("CRWD US Equity", "IS_INT_INC/1M", "FPT=A", "FPO=5A", "ACT_EST_MAPPING=PRECISE", "FS=MRC", "CURRENCY=USD", "XLFILL=b")</f>
        <v>#NAME?</v>
      </c>
      <c r="J138" t="e" cm="1">
        <f t="array" aca="1" ref="J138" ca="1">BQL("CRWD US Equity", "IS_INT_INC/1M", "FPT=A", "FPO=6A", "ACT_EST_MAPPING=PRECISE", "FS=MRC", "CURRENCY=USD", "XLFILL=b")</f>
        <v>#NAME?</v>
      </c>
      <c r="K138" t="e" cm="1">
        <f t="array" aca="1" ref="K138" ca="1">BQL("CRWD US Equity", "IS_INT_INC/1M", "FPT=A", "FPO=7A", "ACT_EST_MAPPING=PRECISE", "FS=MRC", "CURRENCY=USD", "XLFILL=b")</f>
        <v>#NAME?</v>
      </c>
    </row>
    <row r="139" spans="1:11" x14ac:dyDescent="0.25">
      <c r="A139" t="s">
        <v>98</v>
      </c>
      <c r="B139" t="e" cm="1">
        <f t="array" aca="1" ref="B139" ca="1">BQL("CRWD US Equity", "IS_OTHER_NONOP_INC_LOSS_GAAP/1M", "FPT=A", "FPO=-2A", "ACT_EST_MAPPING=PRECISE", "FS=MRC", "CURRENCY=USD", "XLFILL=b")</f>
        <v>#NAME?</v>
      </c>
      <c r="C139" t="e" cm="1">
        <f t="array" aca="1" ref="C139" ca="1">BQL("CRWD US Equity", "IS_OTHER_NONOP_INC_LOSS_GAAP/1M", "FPT=A", "FPO=-1A", "ACT_EST_MAPPING=PRECISE", "FS=MRC", "CURRENCY=USD", "XLFILL=b")</f>
        <v>#NAME?</v>
      </c>
      <c r="D139" t="e" cm="1">
        <f t="array" aca="1" ref="D139" ca="1">BQL("CRWD US Equity", "IS_OTHER_NONOP_INC_LOSS_GAAP/1M", "FPT=A", "FPO=0A", "ACT_EST_MAPPING=PRECISE", "FS=MRC", "CURRENCY=USD", "XLFILL=b")</f>
        <v>#NAME?</v>
      </c>
      <c r="E139" t="e" cm="1">
        <f t="array" aca="1" ref="E139" ca="1">BQL("CRWD US Equity", "IS_OTHER_NONOP_INC_LOSS_GAAP/1M", "FPT=A", "FPO=1A", "ACT_EST_MAPPING=PRECISE", "FS=MRC", "CURRENCY=USD", "XLFILL=b")</f>
        <v>#NAME?</v>
      </c>
      <c r="F139" t="e" cm="1">
        <f t="array" aca="1" ref="F139" ca="1">BQL("CRWD US Equity", "IS_OTHER_NONOP_INC_LOSS_GAAP/1M", "FPT=A", "FPO=2A", "ACT_EST_MAPPING=PRECISE", "FS=MRC", "CURRENCY=USD", "XLFILL=b")</f>
        <v>#NAME?</v>
      </c>
      <c r="G139" t="e" cm="1">
        <f t="array" aca="1" ref="G139" ca="1">BQL("CRWD US Equity", "IS_OTHER_NONOP_INC_LOSS_GAAP/1M", "FPT=A", "FPO=3A", "ACT_EST_MAPPING=PRECISE", "FS=MRC", "CURRENCY=USD", "XLFILL=b")</f>
        <v>#NAME?</v>
      </c>
      <c r="H139" t="e" cm="1">
        <f t="array" aca="1" ref="H139" ca="1">BQL("CRWD US Equity", "IS_OTHER_NONOP_INC_LOSS_GAAP/1M", "FPT=A", "FPO=4A", "ACT_EST_MAPPING=PRECISE", "FS=MRC", "CURRENCY=USD", "XLFILL=b")</f>
        <v>#NAME?</v>
      </c>
      <c r="I139" t="e" cm="1">
        <f t="array" aca="1" ref="I139" ca="1">BQL("CRWD US Equity", "IS_OTHER_NONOP_INC_LOSS_GAAP/1M", "FPT=A", "FPO=5A", "ACT_EST_MAPPING=PRECISE", "FS=MRC", "CURRENCY=USD", "XLFILL=b")</f>
        <v>#NAME?</v>
      </c>
      <c r="J139" t="e" cm="1">
        <f t="array" aca="1" ref="J139" ca="1">BQL("CRWD US Equity", "IS_OTHER_NONOP_INC_LOSS_GAAP/1M", "FPT=A", "FPO=6A", "ACT_EST_MAPPING=PRECISE", "FS=MRC", "CURRENCY=USD", "XLFILL=b")</f>
        <v>#NAME?</v>
      </c>
      <c r="K139" t="e" cm="1">
        <f t="array" aca="1" ref="K139" ca="1">BQL("CRWD US Equity", "IS_OTHER_NONOP_INC_LOSS_GAAP/1M", "FPT=A", "FPO=7A", "ACT_EST_MAPPING=PRECISE", "FS=MRC", "CURRENCY=USD", "XLFILL=b")</f>
        <v>#NAME?</v>
      </c>
    </row>
    <row r="140" spans="1:11" x14ac:dyDescent="0.25">
      <c r="A140" t="s">
        <v>99</v>
      </c>
      <c r="B140" t="e" cm="1">
        <f t="array" aca="1" ref="B140" ca="1">BQL("CRWD US Equity", "INTEREST_INCOME_NET_OTHER_LG/1M", "FPT=A", "FPO=-2A", "ACT_EST_MAPPING=PRECISE", "FS=MRC", "CURRENCY=USD", "XLFILL=b")</f>
        <v>#NAME?</v>
      </c>
      <c r="C140" t="e" cm="1">
        <f t="array" aca="1" ref="C140" ca="1">BQL("CRWD US Equity", "INTEREST_INCOME_NET_OTHER_LG/1M", "FPT=A", "FPO=-1A", "ACT_EST_MAPPING=PRECISE", "FS=MRC", "CURRENCY=USD", "XLFILL=b")</f>
        <v>#NAME?</v>
      </c>
      <c r="D140" t="e" cm="1">
        <f t="array" aca="1" ref="D140" ca="1">BQL("CRWD US Equity", "INTEREST_INCOME_NET_OTHER_LG/1M", "FPT=A", "FPO=0A", "ACT_EST_MAPPING=PRECISE", "FS=MRC", "CURRENCY=USD", "XLFILL=b")</f>
        <v>#NAME?</v>
      </c>
      <c r="E140" t="e" cm="1">
        <f t="array" aca="1" ref="E140" ca="1">BQL("CRWD US Equity", "INTEREST_INCOME_NET_OTHER_LG/1M", "FPT=A", "FPO=1A", "ACT_EST_MAPPING=PRECISE", "FS=MRC", "CURRENCY=USD", "XLFILL=b")</f>
        <v>#NAME?</v>
      </c>
      <c r="F140" t="e" cm="1">
        <f t="array" aca="1" ref="F140" ca="1">BQL("CRWD US Equity", "INTEREST_INCOME_NET_OTHER_LG/1M", "FPT=A", "FPO=2A", "ACT_EST_MAPPING=PRECISE", "FS=MRC", "CURRENCY=USD", "XLFILL=b")</f>
        <v>#NAME?</v>
      </c>
      <c r="G140" t="e" cm="1">
        <f t="array" aca="1" ref="G140" ca="1">BQL("CRWD US Equity", "INTEREST_INCOME_NET_OTHER_LG/1M", "FPT=A", "FPO=3A", "ACT_EST_MAPPING=PRECISE", "FS=MRC", "CURRENCY=USD", "XLFILL=b")</f>
        <v>#NAME?</v>
      </c>
      <c r="H140" t="e" cm="1">
        <f t="array" aca="1" ref="H140" ca="1">BQL("CRWD US Equity", "INTEREST_INCOME_NET_OTHER_LG/1M", "FPT=A", "FPO=4A", "ACT_EST_MAPPING=PRECISE", "FS=MRC", "CURRENCY=USD", "XLFILL=b")</f>
        <v>#NAME?</v>
      </c>
      <c r="I140" t="e" cm="1">
        <f t="array" aca="1" ref="I140" ca="1">BQL("CRWD US Equity", "INTEREST_INCOME_NET_OTHER_LG/1M", "FPT=A", "FPO=5A", "ACT_EST_MAPPING=PRECISE", "FS=MRC", "CURRENCY=USD", "XLFILL=b")</f>
        <v>#NAME?</v>
      </c>
      <c r="J140" t="e" cm="1">
        <f t="array" aca="1" ref="J140" ca="1">BQL("CRWD US Equity", "INTEREST_INCOME_NET_OTHER_LG/1M", "FPT=A", "FPO=6A", "ACT_EST_MAPPING=PRECISE", "FS=MRC", "CURRENCY=USD", "XLFILL=b")</f>
        <v>#NAME?</v>
      </c>
      <c r="K140" t="e" cm="1">
        <f t="array" aca="1" ref="K140" ca="1">BQL("CRWD US Equity", "INTEREST_INCOME_NET_OTHER_LG/1M", "FPT=A", "FPO=7A", "ACT_EST_MAPPING=PRECISE", "FS=MRC", "CURRENCY=USD", "XLFILL=b")</f>
        <v>#NAME?</v>
      </c>
    </row>
    <row r="141" spans="1:11" x14ac:dyDescent="0.25">
      <c r="A141" t="s">
        <v>100</v>
      </c>
      <c r="B141" t="e" cm="1">
        <f t="array" aca="1" ref="B141" ca="1">BQL("CRWD US Equity", "PRETAX_INC/1M", "FPT=A", "FPO=-2A", "ACT_EST_MAPPING=PRECISE", "FS=MRC", "CURRENCY=USD", "XLFILL=b")</f>
        <v>#NAME?</v>
      </c>
      <c r="C141" t="e" cm="1">
        <f t="array" aca="1" ref="C141" ca="1">BQL("CRWD US Equity", "PRETAX_INC/1M", "FPT=A", "FPO=-1A", "ACT_EST_MAPPING=PRECISE", "FS=MRC", "CURRENCY=USD", "XLFILL=b")</f>
        <v>#NAME?</v>
      </c>
      <c r="D141" t="e" cm="1">
        <f t="array" aca="1" ref="D141" ca="1">BQL("CRWD US Equity", "PRETAX_INC/1M", "FPT=A", "FPO=0A", "ACT_EST_MAPPING=PRECISE", "FS=MRC", "CURRENCY=USD", "XLFILL=b")</f>
        <v>#NAME?</v>
      </c>
      <c r="E141" t="e" cm="1">
        <f t="array" aca="1" ref="E141" ca="1">BQL("CRWD US Equity", "PRETAX_INC/1M", "FPT=A", "FPO=1A", "ACT_EST_MAPPING=PRECISE", "FS=MRC", "CURRENCY=USD", "XLFILL=b")</f>
        <v>#NAME?</v>
      </c>
      <c r="F141" t="e" cm="1">
        <f t="array" aca="1" ref="F141" ca="1">BQL("CRWD US Equity", "PRETAX_INC/1M", "FPT=A", "FPO=2A", "ACT_EST_MAPPING=PRECISE", "FS=MRC", "CURRENCY=USD", "XLFILL=b")</f>
        <v>#NAME?</v>
      </c>
      <c r="G141" t="e" cm="1">
        <f t="array" aca="1" ref="G141" ca="1">BQL("CRWD US Equity", "PRETAX_INC/1M", "FPT=A", "FPO=3A", "ACT_EST_MAPPING=PRECISE", "FS=MRC", "CURRENCY=USD", "XLFILL=b")</f>
        <v>#NAME?</v>
      </c>
      <c r="H141" t="e" cm="1">
        <f t="array" aca="1" ref="H141" ca="1">BQL("CRWD US Equity", "PRETAX_INC/1M", "FPT=A", "FPO=4A", "ACT_EST_MAPPING=PRECISE", "FS=MRC", "CURRENCY=USD", "XLFILL=b")</f>
        <v>#NAME?</v>
      </c>
      <c r="I141" t="e" cm="1">
        <f t="array" aca="1" ref="I141" ca="1">BQL("CRWD US Equity", "PRETAX_INC/1M", "FPT=A", "FPO=5A", "ACT_EST_MAPPING=PRECISE", "FS=MRC", "CURRENCY=USD", "XLFILL=b")</f>
        <v>#NAME?</v>
      </c>
      <c r="J141" t="e" cm="1">
        <f t="array" aca="1" ref="J141" ca="1">BQL("CRWD US Equity", "PRETAX_INC/1M", "FPT=A", "FPO=6A", "ACT_EST_MAPPING=PRECISE", "FS=MRC", "CURRENCY=USD", "XLFILL=b")</f>
        <v>#NAME?</v>
      </c>
      <c r="K141" t="e" cm="1">
        <f t="array" aca="1" ref="K141" ca="1">BQL("CRWD US Equity", "PRETAX_INC/1M", "FPT=A", "FPO=7A", "ACT_EST_MAPPING=PRECISE", "FS=MRC", "CURRENCY=USD", "XLFILL=b")</f>
        <v>#NAME?</v>
      </c>
    </row>
    <row r="142" spans="1:11" x14ac:dyDescent="0.25">
      <c r="A142" t="s">
        <v>83</v>
      </c>
      <c r="B142" t="e" cm="1">
        <f t="array" aca="1" ref="B142" ca="1">BQL("CRWD US Equity", "PRETAX_MARGIN", "FPT=A", "FPO=-2A", "ACT_EST_MAPPING=PRECISE", "FS=MRC", "CURRENCY=USD", "XLFILL=b")</f>
        <v>#NAME?</v>
      </c>
      <c r="C142" t="e" cm="1">
        <f t="array" aca="1" ref="C142" ca="1">BQL("CRWD US Equity", "PRETAX_MARGIN", "FPT=A", "FPO=-1A", "ACT_EST_MAPPING=PRECISE", "FS=MRC", "CURRENCY=USD", "XLFILL=b")</f>
        <v>#NAME?</v>
      </c>
      <c r="D142" t="e" cm="1">
        <f t="array" aca="1" ref="D142" ca="1">BQL("CRWD US Equity", "PRETAX_MARGIN", "FPT=A", "FPO=0A", "ACT_EST_MAPPING=PRECISE", "FS=MRC", "CURRENCY=USD", "XLFILL=b")</f>
        <v>#NAME?</v>
      </c>
      <c r="E142" t="e" cm="1">
        <f t="array" aca="1" ref="E142" ca="1">BQL("CRWD US Equity", "PRETAX_MARGIN", "FPT=A", "FPO=1A", "ACT_EST_MAPPING=PRECISE", "FS=MRC", "CURRENCY=USD", "XLFILL=b")</f>
        <v>#NAME?</v>
      </c>
      <c r="F142" t="e" cm="1">
        <f t="array" aca="1" ref="F142" ca="1">BQL("CRWD US Equity", "PRETAX_MARGIN", "FPT=A", "FPO=2A", "ACT_EST_MAPPING=PRECISE", "FS=MRC", "CURRENCY=USD", "XLFILL=b")</f>
        <v>#NAME?</v>
      </c>
      <c r="G142" t="e" cm="1">
        <f t="array" aca="1" ref="G142" ca="1">BQL("CRWD US Equity", "PRETAX_MARGIN", "FPT=A", "FPO=3A", "ACT_EST_MAPPING=PRECISE", "FS=MRC", "CURRENCY=USD", "XLFILL=b")</f>
        <v>#NAME?</v>
      </c>
      <c r="H142" t="e" cm="1">
        <f t="array" aca="1" ref="H142" ca="1">BQL("CRWD US Equity", "PRETAX_MARGIN", "FPT=A", "FPO=4A", "ACT_EST_MAPPING=PRECISE", "FS=MRC", "CURRENCY=USD", "XLFILL=b")</f>
        <v>#NAME?</v>
      </c>
      <c r="I142" t="e" cm="1">
        <f t="array" aca="1" ref="I142" ca="1">BQL("CRWD US Equity", "PRETAX_MARGIN", "FPT=A", "FPO=5A", "ACT_EST_MAPPING=PRECISE", "FS=MRC", "CURRENCY=USD", "XLFILL=b")</f>
        <v>#NAME?</v>
      </c>
      <c r="J142" t="e" cm="1">
        <f t="array" aca="1" ref="J142" ca="1">BQL("CRWD US Equity", "PRETAX_MARGIN", "FPT=A", "FPO=6A", "ACT_EST_MAPPING=PRECISE", "FS=MRC", "CURRENCY=USD", "XLFILL=b")</f>
        <v>#NAME?</v>
      </c>
      <c r="K142" t="e" cm="1">
        <f t="array" aca="1" ref="K142" ca="1">BQL("CRWD US Equity", "PRETAX_MARGIN", "FPT=A", "FPO=7A", "ACT_EST_MAPPING=PRECISE", "FS=MRC", "CURRENCY=USD", "XLFILL=b")</f>
        <v>#NAME?</v>
      </c>
    </row>
    <row r="143" spans="1:11" x14ac:dyDescent="0.25">
      <c r="A143" t="s">
        <v>17</v>
      </c>
    </row>
    <row r="144" spans="1:11" x14ac:dyDescent="0.25">
      <c r="A144" t="s">
        <v>101</v>
      </c>
      <c r="B144" t="e" cm="1">
        <f t="array" aca="1" ref="B144" ca="1">BQL("CRWD US Equity", "IS_INC_TAX_EXP/1M", "FPT=A", "FPO=-2A", "ACT_EST_MAPPING=PRECISE", "FS=MRC", "CURRENCY=USD", "XLFILL=b")</f>
        <v>#NAME?</v>
      </c>
      <c r="C144" t="e" cm="1">
        <f t="array" aca="1" ref="C144" ca="1">BQL("CRWD US Equity", "IS_INC_TAX_EXP/1M", "FPT=A", "FPO=-1A", "ACT_EST_MAPPING=PRECISE", "FS=MRC", "CURRENCY=USD", "XLFILL=b")</f>
        <v>#NAME?</v>
      </c>
      <c r="D144" t="e" cm="1">
        <f t="array" aca="1" ref="D144" ca="1">BQL("CRWD US Equity", "IS_INC_TAX_EXP/1M", "FPT=A", "FPO=0A", "ACT_EST_MAPPING=PRECISE", "FS=MRC", "CURRENCY=USD", "XLFILL=b")</f>
        <v>#NAME?</v>
      </c>
      <c r="E144" t="e" cm="1">
        <f t="array" aca="1" ref="E144" ca="1">BQL("CRWD US Equity", "IS_INC_TAX_EXP/1M", "FPT=A", "FPO=1A", "ACT_EST_MAPPING=PRECISE", "FS=MRC", "CURRENCY=USD", "XLFILL=b")</f>
        <v>#NAME?</v>
      </c>
      <c r="F144" t="e" cm="1">
        <f t="array" aca="1" ref="F144" ca="1">BQL("CRWD US Equity", "IS_INC_TAX_EXP/1M", "FPT=A", "FPO=2A", "ACT_EST_MAPPING=PRECISE", "FS=MRC", "CURRENCY=USD", "XLFILL=b")</f>
        <v>#NAME?</v>
      </c>
      <c r="G144" t="e" cm="1">
        <f t="array" aca="1" ref="G144" ca="1">BQL("CRWD US Equity", "IS_INC_TAX_EXP/1M", "FPT=A", "FPO=3A", "ACT_EST_MAPPING=PRECISE", "FS=MRC", "CURRENCY=USD", "XLFILL=b")</f>
        <v>#NAME?</v>
      </c>
      <c r="H144" t="e" cm="1">
        <f t="array" aca="1" ref="H144" ca="1">BQL("CRWD US Equity", "IS_INC_TAX_EXP/1M", "FPT=A", "FPO=4A", "ACT_EST_MAPPING=PRECISE", "FS=MRC", "CURRENCY=USD", "XLFILL=b")</f>
        <v>#NAME?</v>
      </c>
      <c r="I144" t="e" cm="1">
        <f t="array" aca="1" ref="I144" ca="1">BQL("CRWD US Equity", "IS_INC_TAX_EXP/1M", "FPT=A", "FPO=5A", "ACT_EST_MAPPING=PRECISE", "FS=MRC", "CURRENCY=USD", "XLFILL=b")</f>
        <v>#NAME?</v>
      </c>
      <c r="J144" t="e" cm="1">
        <f t="array" aca="1" ref="J144" ca="1">BQL("CRWD US Equity", "IS_INC_TAX_EXP/1M", "FPT=A", "FPO=6A", "ACT_EST_MAPPING=PRECISE", "FS=MRC", "CURRENCY=USD", "XLFILL=b")</f>
        <v>#NAME?</v>
      </c>
      <c r="K144" t="e" cm="1">
        <f t="array" aca="1" ref="K144" ca="1">BQL("CRWD US Equity", "IS_INC_TAX_EXP/1M", "FPT=A", "FPO=7A", "ACT_EST_MAPPING=PRECISE", "FS=MRC", "CURRENCY=USD", "XLFILL=b")</f>
        <v>#NAME?</v>
      </c>
    </row>
    <row r="145" spans="1:11" x14ac:dyDescent="0.25">
      <c r="A145" t="s">
        <v>102</v>
      </c>
      <c r="B145" t="e" cm="1">
        <f t="array" aca="1" ref="B145" ca="1">BQL("CRWD US Equity", "EFF_TAX_RATE", "FPT=A", "FPO=-2A", "ACT_EST_MAPPING=PRECISE", "FS=MRC", "CURRENCY=USD", "XLFILL=b")</f>
        <v>#NAME?</v>
      </c>
      <c r="C145" t="e" cm="1">
        <f t="array" aca="1" ref="C145" ca="1">BQL("CRWD US Equity", "EFF_TAX_RATE", "FPT=A", "FPO=-1A", "ACT_EST_MAPPING=PRECISE", "FS=MRC", "CURRENCY=USD", "XLFILL=b")</f>
        <v>#NAME?</v>
      </c>
      <c r="D145" t="e" cm="1">
        <f t="array" aca="1" ref="D145" ca="1">BQL("CRWD US Equity", "EFF_TAX_RATE", "FPT=A", "FPO=0A", "ACT_EST_MAPPING=PRECISE", "FS=MRC", "CURRENCY=USD", "XLFILL=b")</f>
        <v>#NAME?</v>
      </c>
      <c r="E145" t="e" cm="1">
        <f t="array" aca="1" ref="E145" ca="1">BQL("CRWD US Equity", "EFF_TAX_RATE", "FPT=A", "FPO=1A", "ACT_EST_MAPPING=PRECISE", "FS=MRC", "CURRENCY=USD", "XLFILL=b")</f>
        <v>#NAME?</v>
      </c>
      <c r="F145" t="e" cm="1">
        <f t="array" aca="1" ref="F145" ca="1">BQL("CRWD US Equity", "EFF_TAX_RATE", "FPT=A", "FPO=2A", "ACT_EST_MAPPING=PRECISE", "FS=MRC", "CURRENCY=USD", "XLFILL=b")</f>
        <v>#NAME?</v>
      </c>
      <c r="G145" t="e" cm="1">
        <f t="array" aca="1" ref="G145" ca="1">BQL("CRWD US Equity", "EFF_TAX_RATE", "FPT=A", "FPO=3A", "ACT_EST_MAPPING=PRECISE", "FS=MRC", "CURRENCY=USD", "XLFILL=b")</f>
        <v>#NAME?</v>
      </c>
      <c r="H145" t="e" cm="1">
        <f t="array" aca="1" ref="H145" ca="1">BQL("CRWD US Equity", "EFF_TAX_RATE", "FPT=A", "FPO=4A", "ACT_EST_MAPPING=PRECISE", "FS=MRC", "CURRENCY=USD", "XLFILL=b")</f>
        <v>#NAME?</v>
      </c>
      <c r="I145" t="e" cm="1">
        <f t="array" aca="1" ref="I145" ca="1">BQL("CRWD US Equity", "EFF_TAX_RATE", "FPT=A", "FPO=5A", "ACT_EST_MAPPING=PRECISE", "FS=MRC", "CURRENCY=USD", "XLFILL=b")</f>
        <v>#NAME?</v>
      </c>
      <c r="J145" t="e" cm="1">
        <f t="array" aca="1" ref="J145" ca="1">BQL("CRWD US Equity", "EFF_TAX_RATE", "FPT=A", "FPO=6A", "ACT_EST_MAPPING=PRECISE", "FS=MRC", "CURRENCY=USD", "XLFILL=b")</f>
        <v>#NAME?</v>
      </c>
      <c r="K145" t="e" cm="1">
        <f t="array" aca="1" ref="K145" ca="1">BQL("CRWD US Equity", "EFF_TAX_RATE", "FPT=A", "FPO=7A", "ACT_EST_MAPPING=PRECISE", "FS=MRC", "CURRENCY=USD", "XLFILL=b")</f>
        <v>#NAME?</v>
      </c>
    </row>
    <row r="146" spans="1:11" x14ac:dyDescent="0.25">
      <c r="A146" t="s">
        <v>103</v>
      </c>
      <c r="B146" t="e" cm="1">
        <f t="array" aca="1" ref="B146" ca="1">BQL("CRWD US Equity", "IS_DEFERRED_INCOME_TAX_BENEFIT/1M", "FPT=A", "FPO=-2A", "ACT_EST_MAPPING=PRECISE", "FS=MRC", "CURRENCY=USD", "XLFILL=b")</f>
        <v>#NAME?</v>
      </c>
      <c r="C146" t="e" cm="1">
        <f t="array" aca="1" ref="C146" ca="1">BQL("CRWD US Equity", "IS_DEFERRED_INCOME_TAX_BENEFIT/1M", "FPT=A", "FPO=-1A", "ACT_EST_MAPPING=PRECISE", "FS=MRC", "CURRENCY=USD", "XLFILL=b")</f>
        <v>#NAME?</v>
      </c>
      <c r="D146" t="e" cm="1">
        <f t="array" aca="1" ref="D146" ca="1">BQL("CRWD US Equity", "IS_DEFERRED_INCOME_TAX_BENEFIT/1M", "FPT=A", "FPO=0A", "ACT_EST_MAPPING=PRECISE", "FS=MRC", "CURRENCY=USD", "XLFILL=b")</f>
        <v>#NAME?</v>
      </c>
      <c r="E146" t="e" cm="1">
        <f t="array" aca="1" ref="E146" ca="1">BQL("CRWD US Equity", "IS_DEFERRED_INCOME_TAX_BENEFIT/1M", "FPT=A", "FPO=1A", "ACT_EST_MAPPING=PRECISE", "FS=MRC", "CURRENCY=USD", "XLFILL=b")</f>
        <v>#NAME?</v>
      </c>
      <c r="F146" t="e" cm="1">
        <f t="array" aca="1" ref="F146" ca="1">BQL("CRWD US Equity", "IS_DEFERRED_INCOME_TAX_BENEFIT/1M", "FPT=A", "FPO=2A", "ACT_EST_MAPPING=PRECISE", "FS=MRC", "CURRENCY=USD", "XLFILL=b")</f>
        <v>#NAME?</v>
      </c>
      <c r="G146" t="e" cm="1">
        <f t="array" aca="1" ref="G146" ca="1">BQL("CRWD US Equity", "IS_DEFERRED_INCOME_TAX_BENEFIT/1M", "FPT=A", "FPO=3A", "ACT_EST_MAPPING=PRECISE", "FS=MRC", "CURRENCY=USD", "XLFILL=b")</f>
        <v>#NAME?</v>
      </c>
      <c r="H146" t="e" cm="1">
        <f t="array" aca="1" ref="H146" ca="1">BQL("CRWD US Equity", "IS_DEFERRED_INCOME_TAX_BENEFIT/1M", "FPT=A", "FPO=4A", "ACT_EST_MAPPING=PRECISE", "FS=MRC", "CURRENCY=USD", "XLFILL=b")</f>
        <v>#NAME?</v>
      </c>
      <c r="I146" t="e" cm="1">
        <f t="array" aca="1" ref="I146" ca="1">BQL("CRWD US Equity", "IS_DEFERRED_INCOME_TAX_BENEFIT/1M", "FPT=A", "FPO=5A", "ACT_EST_MAPPING=PRECISE", "FS=MRC", "CURRENCY=USD", "XLFILL=b")</f>
        <v>#NAME?</v>
      </c>
      <c r="J146" t="e" cm="1">
        <f t="array" aca="1" ref="J146" ca="1">BQL("CRWD US Equity", "IS_DEFERRED_INCOME_TAX_BENEFIT/1M", "FPT=A", "FPO=6A", "ACT_EST_MAPPING=PRECISE", "FS=MRC", "CURRENCY=USD", "XLFILL=b")</f>
        <v>#NAME?</v>
      </c>
      <c r="K146" t="e" cm="1">
        <f t="array" aca="1" ref="K146" ca="1">BQL("CRWD US Equity", "IS_DEFERRED_INCOME_TAX_BENEFIT/1M", "FPT=A", "FPO=7A", "ACT_EST_MAPPING=PRECISE", "FS=MRC", "CURRENCY=USD", "XLFILL=b")</f>
        <v>#NAME?</v>
      </c>
    </row>
    <row r="147" spans="1:11" x14ac:dyDescent="0.25">
      <c r="A147" t="s">
        <v>17</v>
      </c>
    </row>
    <row r="148" spans="1:11" x14ac:dyDescent="0.25">
      <c r="A148" t="s">
        <v>104</v>
      </c>
      <c r="B148" t="e" cm="1">
        <f t="array" aca="1" ref="B148" ca="1">BQL("CRWD US Equity", "IS_INC_BEF_XO_ITEM/1M", "FPT=A", "FPO=-2A", "ACT_EST_MAPPING=PRECISE", "FS=MRC", "CURRENCY=USD", "XLFILL=b")</f>
        <v>#NAME?</v>
      </c>
      <c r="C148" t="e" cm="1">
        <f t="array" aca="1" ref="C148" ca="1">BQL("CRWD US Equity", "IS_INC_BEF_XO_ITEM/1M", "FPT=A", "FPO=-1A", "ACT_EST_MAPPING=PRECISE", "FS=MRC", "CURRENCY=USD", "XLFILL=b")</f>
        <v>#NAME?</v>
      </c>
      <c r="D148" t="e" cm="1">
        <f t="array" aca="1" ref="D148" ca="1">BQL("CRWD US Equity", "IS_INC_BEF_XO_ITEM/1M", "FPT=A", "FPO=0A", "ACT_EST_MAPPING=PRECISE", "FS=MRC", "CURRENCY=USD", "XLFILL=b")</f>
        <v>#NAME?</v>
      </c>
      <c r="E148" t="e" cm="1">
        <f t="array" aca="1" ref="E148" ca="1">BQL("CRWD US Equity", "IS_INC_BEF_XO_ITEM/1M", "FPT=A", "FPO=1A", "ACT_EST_MAPPING=PRECISE", "FS=MRC", "CURRENCY=USD", "XLFILL=b")</f>
        <v>#NAME?</v>
      </c>
      <c r="F148" t="e" cm="1">
        <f t="array" aca="1" ref="F148" ca="1">BQL("CRWD US Equity", "IS_INC_BEF_XO_ITEM/1M", "FPT=A", "FPO=2A", "ACT_EST_MAPPING=PRECISE", "FS=MRC", "CURRENCY=USD", "XLFILL=b")</f>
        <v>#NAME?</v>
      </c>
      <c r="G148" t="e" cm="1">
        <f t="array" aca="1" ref="G148" ca="1">BQL("CRWD US Equity", "IS_INC_BEF_XO_ITEM/1M", "FPT=A", "FPO=3A", "ACT_EST_MAPPING=PRECISE", "FS=MRC", "CURRENCY=USD", "XLFILL=b")</f>
        <v>#NAME?</v>
      </c>
      <c r="H148" t="e" cm="1">
        <f t="array" aca="1" ref="H148" ca="1">BQL("CRWD US Equity", "IS_INC_BEF_XO_ITEM/1M", "FPT=A", "FPO=4A", "ACT_EST_MAPPING=PRECISE", "FS=MRC", "CURRENCY=USD", "XLFILL=b")</f>
        <v>#NAME?</v>
      </c>
      <c r="I148" t="e" cm="1">
        <f t="array" aca="1" ref="I148" ca="1">BQL("CRWD US Equity", "IS_INC_BEF_XO_ITEM/1M", "FPT=A", "FPO=5A", "ACT_EST_MAPPING=PRECISE", "FS=MRC", "CURRENCY=USD", "XLFILL=b")</f>
        <v>#NAME?</v>
      </c>
      <c r="J148" t="e" cm="1">
        <f t="array" aca="1" ref="J148" ca="1">BQL("CRWD US Equity", "IS_INC_BEF_XO_ITEM/1M", "FPT=A", "FPO=6A", "ACT_EST_MAPPING=PRECISE", "FS=MRC", "CURRENCY=USD", "XLFILL=b")</f>
        <v>#NAME?</v>
      </c>
      <c r="K148" t="e" cm="1">
        <f t="array" aca="1" ref="K148" ca="1">BQL("CRWD US Equity", "IS_INC_BEF_XO_ITEM/1M", "FPT=A", "FPO=7A", "ACT_EST_MAPPING=PRECISE", "FS=MRC", "CURRENCY=USD", "XLFILL=b")</f>
        <v>#NAME?</v>
      </c>
    </row>
    <row r="149" spans="1:11" x14ac:dyDescent="0.25">
      <c r="A149" t="s">
        <v>105</v>
      </c>
      <c r="B149" t="e" cm="1">
        <f t="array" aca="1" ref="B149" ca="1">BQL("CRWD US Equity", "MIN_NONCONTROL_INTEREST_CREDITS/1M", "FPT=A", "FPO=-2A", "ACT_EST_MAPPING=PRECISE", "FS=MRC", "CURRENCY=USD", "XLFILL=b")</f>
        <v>#NAME?</v>
      </c>
      <c r="C149" t="e" cm="1">
        <f t="array" aca="1" ref="C149" ca="1">BQL("CRWD US Equity", "MIN_NONCONTROL_INTEREST_CREDITS/1M", "FPT=A", "FPO=-1A", "ACT_EST_MAPPING=PRECISE", "FS=MRC", "CURRENCY=USD", "XLFILL=b")</f>
        <v>#NAME?</v>
      </c>
      <c r="D149" t="e" cm="1">
        <f t="array" aca="1" ref="D149" ca="1">BQL("CRWD US Equity", "MIN_NONCONTROL_INTEREST_CREDITS/1M", "FPT=A", "FPO=0A", "ACT_EST_MAPPING=PRECISE", "FS=MRC", "CURRENCY=USD", "XLFILL=b")</f>
        <v>#NAME?</v>
      </c>
      <c r="E149" t="e" cm="1">
        <f t="array" aca="1" ref="E149" ca="1">BQL("CRWD US Equity", "MIN_NONCONTROL_INTEREST_CREDITS/1M", "FPT=A", "FPO=1A", "ACT_EST_MAPPING=PRECISE", "FS=MRC", "CURRENCY=USD", "XLFILL=b")</f>
        <v>#NAME?</v>
      </c>
      <c r="F149" t="e" cm="1">
        <f t="array" aca="1" ref="F149" ca="1">BQL("CRWD US Equity", "MIN_NONCONTROL_INTEREST_CREDITS/1M", "FPT=A", "FPO=2A", "ACT_EST_MAPPING=PRECISE", "FS=MRC", "CURRENCY=USD", "XLFILL=b")</f>
        <v>#NAME?</v>
      </c>
      <c r="G149" t="e" cm="1">
        <f t="array" aca="1" ref="G149" ca="1">BQL("CRWD US Equity", "MIN_NONCONTROL_INTEREST_CREDITS/1M", "FPT=A", "FPO=3A", "ACT_EST_MAPPING=PRECISE", "FS=MRC", "CURRENCY=USD", "XLFILL=b")</f>
        <v>#NAME?</v>
      </c>
      <c r="H149" t="e" cm="1">
        <f t="array" aca="1" ref="H149" ca="1">BQL("CRWD US Equity", "MIN_NONCONTROL_INTEREST_CREDITS/1M", "FPT=A", "FPO=4A", "ACT_EST_MAPPING=PRECISE", "FS=MRC", "CURRENCY=USD", "XLFILL=b")</f>
        <v>#NAME?</v>
      </c>
      <c r="I149" t="e" cm="1">
        <f t="array" aca="1" ref="I149" ca="1">BQL("CRWD US Equity", "MIN_NONCONTROL_INTEREST_CREDITS/1M", "FPT=A", "FPO=5A", "ACT_EST_MAPPING=PRECISE", "FS=MRC", "CURRENCY=USD", "XLFILL=b")</f>
        <v>#NAME?</v>
      </c>
      <c r="J149" t="e" cm="1">
        <f t="array" aca="1" ref="J149" ca="1">BQL("CRWD US Equity", "MIN_NONCONTROL_INTEREST_CREDITS/1M", "FPT=A", "FPO=6A", "ACT_EST_MAPPING=PRECISE", "FS=MRC", "CURRENCY=USD", "XLFILL=b")</f>
        <v>#NAME?</v>
      </c>
      <c r="K149" t="e" cm="1">
        <f t="array" aca="1" ref="K149" ca="1">BQL("CRWD US Equity", "MIN_NONCONTROL_INTEREST_CREDITS/1M", "FPT=A", "FPO=7A", "ACT_EST_MAPPING=PRECISE", "FS=MRC", "CURRENCY=USD", "XLFILL=b")</f>
        <v>#NAME?</v>
      </c>
    </row>
    <row r="150" spans="1:11" x14ac:dyDescent="0.25">
      <c r="A150" t="s">
        <v>106</v>
      </c>
      <c r="B150" t="e" cm="1">
        <f t="array" aca="1" ref="B150" ca="1">BQL("CRWD US Equity", "IS_COMP_NET_INCOME_GAAP/1M", "FPT=A", "FPO=-2A", "ACT_EST_MAPPING=PRECISE", "FS=MRC", "CURRENCY=USD", "XLFILL=b")</f>
        <v>#NAME?</v>
      </c>
      <c r="C150" t="e" cm="1">
        <f t="array" aca="1" ref="C150" ca="1">BQL("CRWD US Equity", "IS_COMP_NET_INCOME_GAAP/1M", "FPT=A", "FPO=-1A", "ACT_EST_MAPPING=PRECISE", "FS=MRC", "CURRENCY=USD", "XLFILL=b")</f>
        <v>#NAME?</v>
      </c>
      <c r="D150" t="e" cm="1">
        <f t="array" aca="1" ref="D150" ca="1">BQL("CRWD US Equity", "IS_COMP_NET_INCOME_GAAP/1M", "FPT=A", "FPO=0A", "ACT_EST_MAPPING=PRECISE", "FS=MRC", "CURRENCY=USD", "XLFILL=b")</f>
        <v>#NAME?</v>
      </c>
      <c r="E150" t="e" cm="1">
        <f t="array" aca="1" ref="E150" ca="1">BQL("CRWD US Equity", "IS_COMP_NET_INCOME_GAAP/1M", "FPT=A", "FPO=1A", "ACT_EST_MAPPING=PRECISE", "FS=MRC", "CURRENCY=USD", "XLFILL=b")</f>
        <v>#NAME?</v>
      </c>
      <c r="F150" t="e" cm="1">
        <f t="array" aca="1" ref="F150" ca="1">BQL("CRWD US Equity", "IS_COMP_NET_INCOME_GAAP/1M", "FPT=A", "FPO=2A", "ACT_EST_MAPPING=PRECISE", "FS=MRC", "CURRENCY=USD", "XLFILL=b")</f>
        <v>#NAME?</v>
      </c>
      <c r="G150" t="e" cm="1">
        <f t="array" aca="1" ref="G150" ca="1">BQL("CRWD US Equity", "IS_COMP_NET_INCOME_GAAP/1M", "FPT=A", "FPO=3A", "ACT_EST_MAPPING=PRECISE", "FS=MRC", "CURRENCY=USD", "XLFILL=b")</f>
        <v>#NAME?</v>
      </c>
      <c r="H150" t="e" cm="1">
        <f t="array" aca="1" ref="H150" ca="1">BQL("CRWD US Equity", "IS_COMP_NET_INCOME_GAAP/1M", "FPT=A", "FPO=4A", "ACT_EST_MAPPING=PRECISE", "FS=MRC", "CURRENCY=USD", "XLFILL=b")</f>
        <v>#NAME?</v>
      </c>
      <c r="I150" t="e" cm="1">
        <f t="array" aca="1" ref="I150" ca="1">BQL("CRWD US Equity", "IS_COMP_NET_INCOME_GAAP/1M", "FPT=A", "FPO=5A", "ACT_EST_MAPPING=PRECISE", "FS=MRC", "CURRENCY=USD", "XLFILL=b")</f>
        <v>#NAME?</v>
      </c>
      <c r="J150" t="e" cm="1">
        <f t="array" aca="1" ref="J150" ca="1">BQL("CRWD US Equity", "IS_COMP_NET_INCOME_GAAP/1M", "FPT=A", "FPO=6A", "ACT_EST_MAPPING=PRECISE", "FS=MRC", "CURRENCY=USD", "XLFILL=b")</f>
        <v>#NAME?</v>
      </c>
      <c r="K150" t="e" cm="1">
        <f t="array" aca="1" ref="K150" ca="1">BQL("CRWD US Equity", "IS_COMP_NET_INCOME_GAAP/1M", "FPT=A", "FPO=7A", "ACT_EST_MAPPING=PRECISE", "FS=MRC", "CURRENCY=USD", "XLFILL=b")</f>
        <v>#NAME?</v>
      </c>
    </row>
    <row r="151" spans="1:11" x14ac:dyDescent="0.25">
      <c r="A151" t="s">
        <v>107</v>
      </c>
      <c r="B151" t="e" cm="1">
        <f t="array" aca="1" ref="B151" ca="1">BQL("CRWD US Equity", "PROF_MARGIN", "FPT=A", "FPO=-2A", "ACT_EST_MAPPING=PRECISE", "FS=MRC", "CURRENCY=USD", "XLFILL=b")</f>
        <v>#NAME?</v>
      </c>
      <c r="C151" t="e" cm="1">
        <f t="array" aca="1" ref="C151" ca="1">BQL("CRWD US Equity", "PROF_MARGIN", "FPT=A", "FPO=-1A", "ACT_EST_MAPPING=PRECISE", "FS=MRC", "CURRENCY=USD", "XLFILL=b")</f>
        <v>#NAME?</v>
      </c>
      <c r="D151" t="e" cm="1">
        <f t="array" aca="1" ref="D151" ca="1">BQL("CRWD US Equity", "PROF_MARGIN", "FPT=A", "FPO=0A", "ACT_EST_MAPPING=PRECISE", "FS=MRC", "CURRENCY=USD", "XLFILL=b")</f>
        <v>#NAME?</v>
      </c>
      <c r="E151" t="e" cm="1">
        <f t="array" aca="1" ref="E151" ca="1">BQL("CRWD US Equity", "PROF_MARGIN", "FPT=A", "FPO=1A", "ACT_EST_MAPPING=PRECISE", "FS=MRC", "CURRENCY=USD", "XLFILL=b")</f>
        <v>#NAME?</v>
      </c>
      <c r="F151" t="e" cm="1">
        <f t="array" aca="1" ref="F151" ca="1">BQL("CRWD US Equity", "PROF_MARGIN", "FPT=A", "FPO=2A", "ACT_EST_MAPPING=PRECISE", "FS=MRC", "CURRENCY=USD", "XLFILL=b")</f>
        <v>#NAME?</v>
      </c>
      <c r="G151" t="e" cm="1">
        <f t="array" aca="1" ref="G151" ca="1">BQL("CRWD US Equity", "PROF_MARGIN", "FPT=A", "FPO=3A", "ACT_EST_MAPPING=PRECISE", "FS=MRC", "CURRENCY=USD", "XLFILL=b")</f>
        <v>#NAME?</v>
      </c>
      <c r="H151" t="e" cm="1">
        <f t="array" aca="1" ref="H151" ca="1">BQL("CRWD US Equity", "PROF_MARGIN", "FPT=A", "FPO=4A", "ACT_EST_MAPPING=PRECISE", "FS=MRC", "CURRENCY=USD", "XLFILL=b")</f>
        <v>#NAME?</v>
      </c>
      <c r="I151" t="e" cm="1">
        <f t="array" aca="1" ref="I151" ca="1">BQL("CRWD US Equity", "PROF_MARGIN", "FPT=A", "FPO=5A", "ACT_EST_MAPPING=PRECISE", "FS=MRC", "CURRENCY=USD", "XLFILL=b")</f>
        <v>#NAME?</v>
      </c>
      <c r="J151" t="e" cm="1">
        <f t="array" aca="1" ref="J151" ca="1">BQL("CRWD US Equity", "PROF_MARGIN", "FPT=A", "FPO=6A", "ACT_EST_MAPPING=PRECISE", "FS=MRC", "CURRENCY=USD", "XLFILL=b")</f>
        <v>#NAME?</v>
      </c>
      <c r="K151" t="e" cm="1">
        <f t="array" aca="1" ref="K151" ca="1">BQL("CRWD US Equity", "PROF_MARGIN", "FPT=A", "FPO=7A", "ACT_EST_MAPPING=PRECISE", "FS=MRC", "CURRENCY=USD", "XLFILL=b")</f>
        <v>#NAME?</v>
      </c>
    </row>
    <row r="152" spans="1:11" x14ac:dyDescent="0.25">
      <c r="A152" t="s">
        <v>17</v>
      </c>
    </row>
    <row r="153" spans="1:11" x14ac:dyDescent="0.25">
      <c r="A153" t="s">
        <v>108</v>
      </c>
      <c r="B153" t="e" cm="1">
        <f t="array" aca="1" ref="B153" ca="1">BQL("CRWD US Equity", "IS_SH_FOR_DILUTED_EPS/1M", "FPT=A", "FPO=-2A", "ACT_EST_MAPPING=PRECISE", "FS=MRC", "CURRENCY=USD", "XLFILL=b")</f>
        <v>#NAME?</v>
      </c>
      <c r="C153" t="e" cm="1">
        <f t="array" aca="1" ref="C153" ca="1">BQL("CRWD US Equity", "IS_SH_FOR_DILUTED_EPS/1M", "FPT=A", "FPO=-1A", "ACT_EST_MAPPING=PRECISE", "FS=MRC", "CURRENCY=USD", "XLFILL=b")</f>
        <v>#NAME?</v>
      </c>
      <c r="D153" t="e" cm="1">
        <f t="array" aca="1" ref="D153" ca="1">BQL("CRWD US Equity", "IS_SH_FOR_DILUTED_EPS/1M", "FPT=A", "FPO=0A", "ACT_EST_MAPPING=PRECISE", "FS=MRC", "CURRENCY=USD", "XLFILL=b")</f>
        <v>#NAME?</v>
      </c>
      <c r="E153" t="e" cm="1">
        <f t="array" aca="1" ref="E153" ca="1">BQL("CRWD US Equity", "IS_SH_FOR_DILUTED_EPS/1M", "FPT=A", "FPO=1A", "ACT_EST_MAPPING=PRECISE", "FS=MRC", "CURRENCY=USD", "XLFILL=b")</f>
        <v>#NAME?</v>
      </c>
      <c r="F153" t="e" cm="1">
        <f t="array" aca="1" ref="F153" ca="1">BQL("CRWD US Equity", "IS_SH_FOR_DILUTED_EPS/1M", "FPT=A", "FPO=2A", "ACT_EST_MAPPING=PRECISE", "FS=MRC", "CURRENCY=USD", "XLFILL=b")</f>
        <v>#NAME?</v>
      </c>
      <c r="G153" t="e" cm="1">
        <f t="array" aca="1" ref="G153" ca="1">BQL("CRWD US Equity", "IS_SH_FOR_DILUTED_EPS/1M", "FPT=A", "FPO=3A", "ACT_EST_MAPPING=PRECISE", "FS=MRC", "CURRENCY=USD", "XLFILL=b")</f>
        <v>#NAME?</v>
      </c>
      <c r="H153" t="e" cm="1">
        <f t="array" aca="1" ref="H153" ca="1">BQL("CRWD US Equity", "IS_SH_FOR_DILUTED_EPS/1M", "FPT=A", "FPO=4A", "ACT_EST_MAPPING=PRECISE", "FS=MRC", "CURRENCY=USD", "XLFILL=b")</f>
        <v>#NAME?</v>
      </c>
      <c r="I153" t="e" cm="1">
        <f t="array" aca="1" ref="I153" ca="1">BQL("CRWD US Equity", "IS_SH_FOR_DILUTED_EPS/1M", "FPT=A", "FPO=5A", "ACT_EST_MAPPING=PRECISE", "FS=MRC", "CURRENCY=USD", "XLFILL=b")</f>
        <v>#NAME?</v>
      </c>
      <c r="J153" t="e" cm="1">
        <f t="array" aca="1" ref="J153" ca="1">BQL("CRWD US Equity", "IS_SH_FOR_DILUTED_EPS/1M", "FPT=A", "FPO=6A", "ACT_EST_MAPPING=PRECISE", "FS=MRC", "CURRENCY=USD", "XLFILL=b")</f>
        <v>#NAME?</v>
      </c>
      <c r="K153" t="e" cm="1">
        <f t="array" aca="1" ref="K153" ca="1">BQL("CRWD US Equity", "IS_SH_FOR_DILUTED_EPS/1M", "FPT=A", "FPO=7A", "ACT_EST_MAPPING=PRECISE", "FS=MRC", "CURRENCY=USD", "XLFILL=b")</f>
        <v>#NAME?</v>
      </c>
    </row>
    <row r="154" spans="1:11" x14ac:dyDescent="0.25">
      <c r="A154" t="s">
        <v>17</v>
      </c>
    </row>
    <row r="155" spans="1:11" x14ac:dyDescent="0.25">
      <c r="A155" t="s">
        <v>109</v>
      </c>
      <c r="B155" t="e" cm="1">
        <f t="array" aca="1" ref="B155" ca="1">BQL("CRWD US Equity", "CB_IS_ADJ_DILUTED_AVG_SHS/1M", "FPT=A", "FPO=-2A", "ACT_EST_MAPPING=PRECISE", "FS=MRC", "CURRENCY=USD", "XLFILL=b")</f>
        <v>#NAME?</v>
      </c>
      <c r="C155" t="e" cm="1">
        <f t="array" aca="1" ref="C155" ca="1">BQL("CRWD US Equity", "CB_IS_ADJ_DILUTED_AVG_SHS/1M", "FPT=A", "FPO=-1A", "ACT_EST_MAPPING=PRECISE", "FS=MRC", "CURRENCY=USD", "XLFILL=b")</f>
        <v>#NAME?</v>
      </c>
      <c r="D155" t="e" cm="1">
        <f t="array" aca="1" ref="D155" ca="1">BQL("CRWD US Equity", "CB_IS_ADJ_DILUTED_AVG_SHS/1M", "FPT=A", "FPO=0A", "ACT_EST_MAPPING=PRECISE", "FS=MRC", "CURRENCY=USD", "XLFILL=b")</f>
        <v>#NAME?</v>
      </c>
      <c r="E155" t="e" cm="1">
        <f t="array" aca="1" ref="E155" ca="1">BQL("CRWD US Equity", "CB_IS_ADJ_DILUTED_AVG_SHS/1M", "FPT=A", "FPO=1A", "ACT_EST_MAPPING=PRECISE", "FS=MRC", "CURRENCY=USD", "XLFILL=b")</f>
        <v>#NAME?</v>
      </c>
      <c r="F155" t="e" cm="1">
        <f t="array" aca="1" ref="F155" ca="1">BQL("CRWD US Equity", "CB_IS_ADJ_DILUTED_AVG_SHS/1M", "FPT=A", "FPO=2A", "ACT_EST_MAPPING=PRECISE", "FS=MRC", "CURRENCY=USD", "XLFILL=b")</f>
        <v>#NAME?</v>
      </c>
      <c r="G155" t="e" cm="1">
        <f t="array" aca="1" ref="G155" ca="1">BQL("CRWD US Equity", "CB_IS_ADJ_DILUTED_AVG_SHS/1M", "FPT=A", "FPO=3A", "ACT_EST_MAPPING=PRECISE", "FS=MRC", "CURRENCY=USD", "XLFILL=b")</f>
        <v>#NAME?</v>
      </c>
      <c r="H155" t="e" cm="1">
        <f t="array" aca="1" ref="H155" ca="1">BQL("CRWD US Equity", "CB_IS_ADJ_DILUTED_AVG_SHS/1M", "FPT=A", "FPO=4A", "ACT_EST_MAPPING=PRECISE", "FS=MRC", "CURRENCY=USD", "XLFILL=b")</f>
        <v>#NAME?</v>
      </c>
      <c r="I155" t="e" cm="1">
        <f t="array" aca="1" ref="I155" ca="1">BQL("CRWD US Equity", "CB_IS_ADJ_DILUTED_AVG_SHS/1M", "FPT=A", "FPO=5A", "ACT_EST_MAPPING=PRECISE", "FS=MRC", "CURRENCY=USD", "XLFILL=b")</f>
        <v>#NAME?</v>
      </c>
      <c r="J155" t="e" cm="1">
        <f t="array" aca="1" ref="J155" ca="1">BQL("CRWD US Equity", "CB_IS_ADJ_DILUTED_AVG_SHS/1M", "FPT=A", "FPO=6A", "ACT_EST_MAPPING=PRECISE", "FS=MRC", "CURRENCY=USD", "XLFILL=b")</f>
        <v>#NAME?</v>
      </c>
      <c r="K155" t="e" cm="1">
        <f t="array" aca="1" ref="K155" ca="1">BQL("CRWD US Equity", "CB_IS_ADJ_DILUTED_AVG_SHS/1M", "FPT=A", "FPO=7A", "ACT_EST_MAPPING=PRECISE", "FS=MRC", "CURRENCY=USD", "XLFILL=b")</f>
        <v>#NAME?</v>
      </c>
    </row>
    <row r="156" spans="1:11" x14ac:dyDescent="0.25">
      <c r="A156" t="s">
        <v>110</v>
      </c>
      <c r="B156" t="e" cm="1">
        <f t="array" aca="1" ref="B156" ca="1">BQL("CRWD US Equity", "IS_COMP_EPS_GAAP", "FPT=A", "FPO=-2A", "ACT_EST_MAPPING=PRECISE", "FS=MRC", "CURRENCY=USD", "XLFILL=b")</f>
        <v>#NAME?</v>
      </c>
      <c r="C156" t="e" cm="1">
        <f t="array" aca="1" ref="C156" ca="1">BQL("CRWD US Equity", "IS_COMP_EPS_GAAP", "FPT=A", "FPO=-1A", "ACT_EST_MAPPING=PRECISE", "FS=MRC", "CURRENCY=USD", "XLFILL=b")</f>
        <v>#NAME?</v>
      </c>
      <c r="D156" t="e" cm="1">
        <f t="array" aca="1" ref="D156" ca="1">BQL("CRWD US Equity", "IS_COMP_EPS_GAAP", "FPT=A", "FPO=0A", "ACT_EST_MAPPING=PRECISE", "FS=MRC", "CURRENCY=USD", "XLFILL=b")</f>
        <v>#NAME?</v>
      </c>
      <c r="E156" t="e" cm="1">
        <f t="array" aca="1" ref="E156" ca="1">BQL("CRWD US Equity", "IS_COMP_EPS_GAAP", "FPT=A", "FPO=1A", "ACT_EST_MAPPING=PRECISE", "FS=MRC", "CURRENCY=USD", "XLFILL=b")</f>
        <v>#NAME?</v>
      </c>
      <c r="F156" t="e" cm="1">
        <f t="array" aca="1" ref="F156" ca="1">BQL("CRWD US Equity", "IS_COMP_EPS_GAAP", "FPT=A", "FPO=2A", "ACT_EST_MAPPING=PRECISE", "FS=MRC", "CURRENCY=USD", "XLFILL=b")</f>
        <v>#NAME?</v>
      </c>
      <c r="G156" t="e" cm="1">
        <f t="array" aca="1" ref="G156" ca="1">BQL("CRWD US Equity", "IS_COMP_EPS_GAAP", "FPT=A", "FPO=3A", "ACT_EST_MAPPING=PRECISE", "FS=MRC", "CURRENCY=USD", "XLFILL=b")</f>
        <v>#NAME?</v>
      </c>
      <c r="H156" t="e" cm="1">
        <f t="array" aca="1" ref="H156" ca="1">BQL("CRWD US Equity", "IS_COMP_EPS_GAAP", "FPT=A", "FPO=4A", "ACT_EST_MAPPING=PRECISE", "FS=MRC", "CURRENCY=USD", "XLFILL=b")</f>
        <v>#NAME?</v>
      </c>
      <c r="I156" t="e" cm="1">
        <f t="array" aca="1" ref="I156" ca="1">BQL("CRWD US Equity", "IS_COMP_EPS_GAAP", "FPT=A", "FPO=5A", "ACT_EST_MAPPING=PRECISE", "FS=MRC", "CURRENCY=USD", "XLFILL=b")</f>
        <v>#NAME?</v>
      </c>
      <c r="J156" t="e" cm="1">
        <f t="array" aca="1" ref="J156" ca="1">BQL("CRWD US Equity", "IS_COMP_EPS_GAAP", "FPT=A", "FPO=6A", "ACT_EST_MAPPING=PRECISE", "FS=MRC", "CURRENCY=USD", "XLFILL=b")</f>
        <v>#NAME?</v>
      </c>
      <c r="K156" t="e" cm="1">
        <f t="array" aca="1" ref="K156" ca="1">BQL("CRWD US Equity", "IS_COMP_EPS_GAAP", "FPT=A", "FPO=7A", "ACT_EST_MAPPING=PRECISE", "FS=MRC", "CURRENCY=USD", "XLFILL=b")</f>
        <v>#NAME?</v>
      </c>
    </row>
    <row r="157" spans="1:11" x14ac:dyDescent="0.25">
      <c r="A157" t="s">
        <v>17</v>
      </c>
    </row>
    <row r="158" spans="1:11" x14ac:dyDescent="0.25">
      <c r="A158" t="s">
        <v>111</v>
      </c>
    </row>
    <row r="159" spans="1:11" x14ac:dyDescent="0.25">
      <c r="A159" t="s">
        <v>62</v>
      </c>
      <c r="B159" t="e" cm="1">
        <f t="array" aca="1" ref="B159" ca="1">BQL("CRWD US Equity", "IS_ADJUSTED_COGS_AS_REPORTED/1M", "FPT=A", "FPO=-2A", "ACT_EST_MAPPING=PRECISE", "FS=MRC", "CURRENCY=USD", "XLFILL=b")</f>
        <v>#NAME?</v>
      </c>
      <c r="C159" t="e" cm="1">
        <f t="array" aca="1" ref="C159" ca="1">BQL("CRWD US Equity", "IS_ADJUSTED_COGS_AS_REPORTED/1M", "FPT=A", "FPO=-1A", "ACT_EST_MAPPING=PRECISE", "FS=MRC", "CURRENCY=USD", "XLFILL=b")</f>
        <v>#NAME?</v>
      </c>
      <c r="D159" t="e" cm="1">
        <f t="array" aca="1" ref="D159" ca="1">BQL("CRWD US Equity", "IS_ADJUSTED_COGS_AS_REPORTED/1M", "FPT=A", "FPO=0A", "ACT_EST_MAPPING=PRECISE", "FS=MRC", "CURRENCY=USD", "XLFILL=b")</f>
        <v>#NAME?</v>
      </c>
      <c r="E159" t="e" cm="1">
        <f t="array" aca="1" ref="E159" ca="1">BQL("CRWD US Equity", "IS_ADJUSTED_COGS_AS_REPORTED/1M", "FPT=A", "FPO=1A", "ACT_EST_MAPPING=PRECISE", "FS=MRC", "CURRENCY=USD", "XLFILL=b")</f>
        <v>#NAME?</v>
      </c>
      <c r="F159" t="e" cm="1">
        <f t="array" aca="1" ref="F159" ca="1">BQL("CRWD US Equity", "IS_ADJUSTED_COGS_AS_REPORTED/1M", "FPT=A", "FPO=2A", "ACT_EST_MAPPING=PRECISE", "FS=MRC", "CURRENCY=USD", "XLFILL=b")</f>
        <v>#NAME?</v>
      </c>
      <c r="G159" t="e" cm="1">
        <f t="array" aca="1" ref="G159" ca="1">BQL("CRWD US Equity", "IS_ADJUSTED_COGS_AS_REPORTED/1M", "FPT=A", "FPO=3A", "ACT_EST_MAPPING=PRECISE", "FS=MRC", "CURRENCY=USD", "XLFILL=b")</f>
        <v>#NAME?</v>
      </c>
      <c r="H159" t="e" cm="1">
        <f t="array" aca="1" ref="H159" ca="1">BQL("CRWD US Equity", "IS_ADJUSTED_COGS_AS_REPORTED/1M", "FPT=A", "FPO=4A", "ACT_EST_MAPPING=PRECISE", "FS=MRC", "CURRENCY=USD", "XLFILL=b")</f>
        <v>#NAME?</v>
      </c>
      <c r="I159" t="e" cm="1">
        <f t="array" aca="1" ref="I159" ca="1">BQL("CRWD US Equity", "IS_ADJUSTED_COGS_AS_REPORTED/1M", "FPT=A", "FPO=5A", "ACT_EST_MAPPING=PRECISE", "FS=MRC", "CURRENCY=USD", "XLFILL=b")</f>
        <v>#NAME?</v>
      </c>
      <c r="J159" t="e" cm="1">
        <f t="array" aca="1" ref="J159" ca="1">BQL("CRWD US Equity", "IS_ADJUSTED_COGS_AS_REPORTED/1M", "FPT=A", "FPO=6A", "ACT_EST_MAPPING=PRECISE", "FS=MRC", "CURRENCY=USD", "XLFILL=b")</f>
        <v>#NAME?</v>
      </c>
      <c r="K159" t="e" cm="1">
        <f t="array" aca="1" ref="K159" ca="1">BQL("CRWD US Equity", "IS_ADJUSTED_COGS_AS_REPORTED/1M", "FPT=A", "FPO=7A", "ACT_EST_MAPPING=PRECISE", "FS=MRC", "CURRENCY=USD", "XLFILL=b")</f>
        <v>#NAME?</v>
      </c>
    </row>
    <row r="160" spans="1:11" x14ac:dyDescent="0.25">
      <c r="A160" t="s">
        <v>63</v>
      </c>
      <c r="B160" t="e" cm="1">
        <f t="array" aca="1" ref="B160" ca="1">BQL("CRWD US Equity", "IS_ADJ_GROSS_PROFIT_AS_REPORTED/1M", "FPT=A", "FPO=-2A", "ACT_EST_MAPPING=PRECISE", "FS=MRC", "CURRENCY=USD", "XLFILL=b")</f>
        <v>#NAME?</v>
      </c>
      <c r="C160" t="e" cm="1">
        <f t="array" aca="1" ref="C160" ca="1">BQL("CRWD US Equity", "IS_ADJ_GROSS_PROFIT_AS_REPORTED/1M", "FPT=A", "FPO=-1A", "ACT_EST_MAPPING=PRECISE", "FS=MRC", "CURRENCY=USD", "XLFILL=b")</f>
        <v>#NAME?</v>
      </c>
      <c r="D160" t="e" cm="1">
        <f t="array" aca="1" ref="D160" ca="1">BQL("CRWD US Equity", "IS_ADJ_GROSS_PROFIT_AS_REPORTED/1M", "FPT=A", "FPO=0A", "ACT_EST_MAPPING=PRECISE", "FS=MRC", "CURRENCY=USD", "XLFILL=b")</f>
        <v>#NAME?</v>
      </c>
      <c r="E160" t="e" cm="1">
        <f t="array" aca="1" ref="E160" ca="1">BQL("CRWD US Equity", "IS_ADJ_GROSS_PROFIT_AS_REPORTED/1M", "FPT=A", "FPO=1A", "ACT_EST_MAPPING=PRECISE", "FS=MRC", "CURRENCY=USD", "XLFILL=b")</f>
        <v>#NAME?</v>
      </c>
      <c r="F160" t="e" cm="1">
        <f t="array" aca="1" ref="F160" ca="1">BQL("CRWD US Equity", "IS_ADJ_GROSS_PROFIT_AS_REPORTED/1M", "FPT=A", "FPO=2A", "ACT_EST_MAPPING=PRECISE", "FS=MRC", "CURRENCY=USD", "XLFILL=b")</f>
        <v>#NAME?</v>
      </c>
      <c r="G160" t="e" cm="1">
        <f t="array" aca="1" ref="G160" ca="1">BQL("CRWD US Equity", "IS_ADJ_GROSS_PROFIT_AS_REPORTED/1M", "FPT=A", "FPO=3A", "ACT_EST_MAPPING=PRECISE", "FS=MRC", "CURRENCY=USD", "XLFILL=b")</f>
        <v>#NAME?</v>
      </c>
      <c r="H160" t="e" cm="1">
        <f t="array" aca="1" ref="H160" ca="1">BQL("CRWD US Equity", "IS_ADJ_GROSS_PROFIT_AS_REPORTED/1M", "FPT=A", "FPO=4A", "ACT_EST_MAPPING=PRECISE", "FS=MRC", "CURRENCY=USD", "XLFILL=b")</f>
        <v>#NAME?</v>
      </c>
      <c r="I160" t="e" cm="1">
        <f t="array" aca="1" ref="I160" ca="1">BQL("CRWD US Equity", "IS_ADJ_GROSS_PROFIT_AS_REPORTED/1M", "FPT=A", "FPO=5A", "ACT_EST_MAPPING=PRECISE", "FS=MRC", "CURRENCY=USD", "XLFILL=b")</f>
        <v>#NAME?</v>
      </c>
      <c r="J160" t="e" cm="1">
        <f t="array" aca="1" ref="J160" ca="1">BQL("CRWD US Equity", "IS_ADJ_GROSS_PROFIT_AS_REPORTED/1M", "FPT=A", "FPO=6A", "ACT_EST_MAPPING=PRECISE", "FS=MRC", "CURRENCY=USD", "XLFILL=b")</f>
        <v>#NAME?</v>
      </c>
      <c r="K160" t="e" cm="1">
        <f t="array" aca="1" ref="K160" ca="1">BQL("CRWD US Equity", "IS_ADJ_GROSS_PROFIT_AS_REPORTED/1M", "FPT=A", "FPO=7A", "ACT_EST_MAPPING=PRECISE", "FS=MRC", "CURRENCY=USD", "XLFILL=b")</f>
        <v>#NAME?</v>
      </c>
    </row>
    <row r="161" spans="1:11" x14ac:dyDescent="0.25">
      <c r="A161" t="s">
        <v>64</v>
      </c>
      <c r="B161" t="e" cm="1">
        <f t="array" aca="1" ref="B161" ca="1">BQL("CRWD US Equity", "IS_COMP_GROSS_MARGIN_PERCENTAGE", "FPT=A", "FPO=-2A", "ACT_EST_MAPPING=PRECISE", "FS=MRC", "CURRENCY=USD", "XLFILL=b")</f>
        <v>#NAME?</v>
      </c>
      <c r="C161" t="e" cm="1">
        <f t="array" aca="1" ref="C161" ca="1">BQL("CRWD US Equity", "IS_COMP_GROSS_MARGIN_PERCENTAGE", "FPT=A", "FPO=-1A", "ACT_EST_MAPPING=PRECISE", "FS=MRC", "CURRENCY=USD", "XLFILL=b")</f>
        <v>#NAME?</v>
      </c>
      <c r="D161" t="e" cm="1">
        <f t="array" aca="1" ref="D161" ca="1">BQL("CRWD US Equity", "IS_COMP_GROSS_MARGIN_PERCENTAGE", "FPT=A", "FPO=0A", "ACT_EST_MAPPING=PRECISE", "FS=MRC", "CURRENCY=USD", "XLFILL=b")</f>
        <v>#NAME?</v>
      </c>
      <c r="E161" t="e" cm="1">
        <f t="array" aca="1" ref="E161" ca="1">BQL("CRWD US Equity", "IS_COMP_GROSS_MARGIN_PERCENTAGE", "FPT=A", "FPO=1A", "ACT_EST_MAPPING=PRECISE", "FS=MRC", "CURRENCY=USD", "XLFILL=b")</f>
        <v>#NAME?</v>
      </c>
      <c r="F161" t="e" cm="1">
        <f t="array" aca="1" ref="F161" ca="1">BQL("CRWD US Equity", "IS_COMP_GROSS_MARGIN_PERCENTAGE", "FPT=A", "FPO=2A", "ACT_EST_MAPPING=PRECISE", "FS=MRC", "CURRENCY=USD", "XLFILL=b")</f>
        <v>#NAME?</v>
      </c>
      <c r="G161" t="e" cm="1">
        <f t="array" aca="1" ref="G161" ca="1">BQL("CRWD US Equity", "IS_COMP_GROSS_MARGIN_PERCENTAGE", "FPT=A", "FPO=3A", "ACT_EST_MAPPING=PRECISE", "FS=MRC", "CURRENCY=USD", "XLFILL=b")</f>
        <v>#NAME?</v>
      </c>
      <c r="H161" t="e" cm="1">
        <f t="array" aca="1" ref="H161" ca="1">BQL("CRWD US Equity", "IS_COMP_GROSS_MARGIN_PERCENTAGE", "FPT=A", "FPO=4A", "ACT_EST_MAPPING=PRECISE", "FS=MRC", "CURRENCY=USD", "XLFILL=b")</f>
        <v>#NAME?</v>
      </c>
      <c r="I161" t="e" cm="1">
        <f t="array" aca="1" ref="I161" ca="1">BQL("CRWD US Equity", "IS_COMP_GROSS_MARGIN_PERCENTAGE", "FPT=A", "FPO=5A", "ACT_EST_MAPPING=PRECISE", "FS=MRC", "CURRENCY=USD", "XLFILL=b")</f>
        <v>#NAME?</v>
      </c>
      <c r="J161" t="e" cm="1">
        <f t="array" aca="1" ref="J161" ca="1">BQL("CRWD US Equity", "IS_COMP_GROSS_MARGIN_PERCENTAGE", "FPT=A", "FPO=6A", "ACT_EST_MAPPING=PRECISE", "FS=MRC", "CURRENCY=USD", "XLFILL=b")</f>
        <v>#NAME?</v>
      </c>
      <c r="K161" t="e" cm="1">
        <f t="array" aca="1" ref="K161" ca="1">BQL("CRWD US Equity", "IS_COMP_GROSS_MARGIN_PERCENTAGE", "FPT=A", "FPO=7A", "ACT_EST_MAPPING=PRECISE", "FS=MRC", "CURRENCY=USD", "XLFILL=b")</f>
        <v>#NAME?</v>
      </c>
    </row>
    <row r="162" spans="1:11" x14ac:dyDescent="0.25">
      <c r="A162" t="s">
        <v>112</v>
      </c>
      <c r="B162" t="e" cm="1">
        <f t="array" aca="1" ref="B162" ca="1">BQL("CRWD US Equity", "CB_IS_ADJUSTED_OPEX/1M", "FPT=A", "FPO=-2A", "ACT_EST_MAPPING=PRECISE", "FS=MRC", "CURRENCY=USD", "XLFILL=b")</f>
        <v>#NAME?</v>
      </c>
      <c r="C162" t="e" cm="1">
        <f t="array" aca="1" ref="C162" ca="1">BQL("CRWD US Equity", "CB_IS_ADJUSTED_OPEX/1M", "FPT=A", "FPO=-1A", "ACT_EST_MAPPING=PRECISE", "FS=MRC", "CURRENCY=USD", "XLFILL=b")</f>
        <v>#NAME?</v>
      </c>
      <c r="D162" t="e" cm="1">
        <f t="array" aca="1" ref="D162" ca="1">BQL("CRWD US Equity", "CB_IS_ADJUSTED_OPEX/1M", "FPT=A", "FPO=0A", "ACT_EST_MAPPING=PRECISE", "FS=MRC", "CURRENCY=USD", "XLFILL=b")</f>
        <v>#NAME?</v>
      </c>
      <c r="E162" t="e" cm="1">
        <f t="array" aca="1" ref="E162" ca="1">BQL("CRWD US Equity", "CB_IS_ADJUSTED_OPEX/1M", "FPT=A", "FPO=1A", "ACT_EST_MAPPING=PRECISE", "FS=MRC", "CURRENCY=USD", "XLFILL=b")</f>
        <v>#NAME?</v>
      </c>
      <c r="F162" t="e" cm="1">
        <f t="array" aca="1" ref="F162" ca="1">BQL("CRWD US Equity", "CB_IS_ADJUSTED_OPEX/1M", "FPT=A", "FPO=2A", "ACT_EST_MAPPING=PRECISE", "FS=MRC", "CURRENCY=USD", "XLFILL=b")</f>
        <v>#NAME?</v>
      </c>
      <c r="G162" t="e" cm="1">
        <f t="array" aca="1" ref="G162" ca="1">BQL("CRWD US Equity", "CB_IS_ADJUSTED_OPEX/1M", "FPT=A", "FPO=3A", "ACT_EST_MAPPING=PRECISE", "FS=MRC", "CURRENCY=USD", "XLFILL=b")</f>
        <v>#NAME?</v>
      </c>
      <c r="H162" t="e" cm="1">
        <f t="array" aca="1" ref="H162" ca="1">BQL("CRWD US Equity", "CB_IS_ADJUSTED_OPEX/1M", "FPT=A", "FPO=4A", "ACT_EST_MAPPING=PRECISE", "FS=MRC", "CURRENCY=USD", "XLFILL=b")</f>
        <v>#NAME?</v>
      </c>
      <c r="I162" t="e" cm="1">
        <f t="array" aca="1" ref="I162" ca="1">BQL("CRWD US Equity", "CB_IS_ADJUSTED_OPEX/1M", "FPT=A", "FPO=5A", "ACT_EST_MAPPING=PRECISE", "FS=MRC", "CURRENCY=USD", "XLFILL=b")</f>
        <v>#NAME?</v>
      </c>
      <c r="J162" t="e" cm="1">
        <f t="array" aca="1" ref="J162" ca="1">BQL("CRWD US Equity", "CB_IS_ADJUSTED_OPEX/1M", "FPT=A", "FPO=6A", "ACT_EST_MAPPING=PRECISE", "FS=MRC", "CURRENCY=USD", "XLFILL=b")</f>
        <v>#NAME?</v>
      </c>
      <c r="K162" t="e" cm="1">
        <f t="array" aca="1" ref="K162" ca="1">BQL("CRWD US Equity", "CB_IS_ADJUSTED_OPEX/1M", "FPT=A", "FPO=7A", "ACT_EST_MAPPING=PRECISE", "FS=MRC", "CURRENCY=USD", "XLFILL=b")</f>
        <v>#NAME?</v>
      </c>
    </row>
    <row r="163" spans="1:11" x14ac:dyDescent="0.25">
      <c r="A163" t="s">
        <v>113</v>
      </c>
      <c r="B163" t="e" cm="1">
        <f t="array" aca="1" ref="B163" ca="1">BQL("CRWD US Equity", "IS_ADJ_SELLING_AND_MRKTG_EXPN_AR/1M", "FPT=A", "FPO=-2A", "ACT_EST_MAPPING=PRECISE", "FS=MRC", "CURRENCY=USD", "XLFILL=b")</f>
        <v>#NAME?</v>
      </c>
      <c r="C163" t="e" cm="1">
        <f t="array" aca="1" ref="C163" ca="1">BQL("CRWD US Equity", "IS_ADJ_SELLING_AND_MRKTG_EXPN_AR/1M", "FPT=A", "FPO=-1A", "ACT_EST_MAPPING=PRECISE", "FS=MRC", "CURRENCY=USD", "XLFILL=b")</f>
        <v>#NAME?</v>
      </c>
      <c r="D163" t="e" cm="1">
        <f t="array" aca="1" ref="D163" ca="1">BQL("CRWD US Equity", "IS_ADJ_SELLING_AND_MRKTG_EXPN_AR/1M", "FPT=A", "FPO=0A", "ACT_EST_MAPPING=PRECISE", "FS=MRC", "CURRENCY=USD", "XLFILL=b")</f>
        <v>#NAME?</v>
      </c>
      <c r="E163" t="e" cm="1">
        <f t="array" aca="1" ref="E163" ca="1">BQL("CRWD US Equity", "IS_ADJ_SELLING_AND_MRKTG_EXPN_AR/1M", "FPT=A", "FPO=1A", "ACT_EST_MAPPING=PRECISE", "FS=MRC", "CURRENCY=USD", "XLFILL=b")</f>
        <v>#NAME?</v>
      </c>
      <c r="F163" t="e" cm="1">
        <f t="array" aca="1" ref="F163" ca="1">BQL("CRWD US Equity", "IS_ADJ_SELLING_AND_MRKTG_EXPN_AR/1M", "FPT=A", "FPO=2A", "ACT_EST_MAPPING=PRECISE", "FS=MRC", "CURRENCY=USD", "XLFILL=b")</f>
        <v>#NAME?</v>
      </c>
      <c r="G163" t="e" cm="1">
        <f t="array" aca="1" ref="G163" ca="1">BQL("CRWD US Equity", "IS_ADJ_SELLING_AND_MRKTG_EXPN_AR/1M", "FPT=A", "FPO=3A", "ACT_EST_MAPPING=PRECISE", "FS=MRC", "CURRENCY=USD", "XLFILL=b")</f>
        <v>#NAME?</v>
      </c>
      <c r="H163" t="e" cm="1">
        <f t="array" aca="1" ref="H163" ca="1">BQL("CRWD US Equity", "IS_ADJ_SELLING_AND_MRKTG_EXPN_AR/1M", "FPT=A", "FPO=4A", "ACT_EST_MAPPING=PRECISE", "FS=MRC", "CURRENCY=USD", "XLFILL=b")</f>
        <v>#NAME?</v>
      </c>
      <c r="I163" t="e" cm="1">
        <f t="array" aca="1" ref="I163" ca="1">BQL("CRWD US Equity", "IS_ADJ_SELLING_AND_MRKTG_EXPN_AR/1M", "FPT=A", "FPO=5A", "ACT_EST_MAPPING=PRECISE", "FS=MRC", "CURRENCY=USD", "XLFILL=b")</f>
        <v>#NAME?</v>
      </c>
      <c r="J163" t="e" cm="1">
        <f t="array" aca="1" ref="J163" ca="1">BQL("CRWD US Equity", "IS_ADJ_SELLING_AND_MRKTG_EXPN_AR/1M", "FPT=A", "FPO=6A", "ACT_EST_MAPPING=PRECISE", "FS=MRC", "CURRENCY=USD", "XLFILL=b")</f>
        <v>#NAME?</v>
      </c>
      <c r="K163" t="e" cm="1">
        <f t="array" aca="1" ref="K163" ca="1">BQL("CRWD US Equity", "IS_ADJ_SELLING_AND_MRKTG_EXPN_AR/1M", "FPT=A", "FPO=7A", "ACT_EST_MAPPING=PRECISE", "FS=MRC", "CURRENCY=USD", "XLFILL=b")</f>
        <v>#NAME?</v>
      </c>
    </row>
    <row r="164" spans="1:11" x14ac:dyDescent="0.25">
      <c r="A164" t="s">
        <v>114</v>
      </c>
      <c r="B164" t="e" cm="1">
        <f t="array" aca="1" ref="B164" ca="1">BQL("CRWD US Equity", "IS_ADJ_R_AND_D_AS_REPORTED/1M", "FPT=A", "FPO=-2A", "ACT_EST_MAPPING=PRECISE", "FS=MRC", "CURRENCY=USD", "XLFILL=b")</f>
        <v>#NAME?</v>
      </c>
      <c r="C164" t="e" cm="1">
        <f t="array" aca="1" ref="C164" ca="1">BQL("CRWD US Equity", "IS_ADJ_R_AND_D_AS_REPORTED/1M", "FPT=A", "FPO=-1A", "ACT_EST_MAPPING=PRECISE", "FS=MRC", "CURRENCY=USD", "XLFILL=b")</f>
        <v>#NAME?</v>
      </c>
      <c r="D164" t="e" cm="1">
        <f t="array" aca="1" ref="D164" ca="1">BQL("CRWD US Equity", "IS_ADJ_R_AND_D_AS_REPORTED/1M", "FPT=A", "FPO=0A", "ACT_EST_MAPPING=PRECISE", "FS=MRC", "CURRENCY=USD", "XLFILL=b")</f>
        <v>#NAME?</v>
      </c>
      <c r="E164" t="e" cm="1">
        <f t="array" aca="1" ref="E164" ca="1">BQL("CRWD US Equity", "IS_ADJ_R_AND_D_AS_REPORTED/1M", "FPT=A", "FPO=1A", "ACT_EST_MAPPING=PRECISE", "FS=MRC", "CURRENCY=USD", "XLFILL=b")</f>
        <v>#NAME?</v>
      </c>
      <c r="F164" t="e" cm="1">
        <f t="array" aca="1" ref="F164" ca="1">BQL("CRWD US Equity", "IS_ADJ_R_AND_D_AS_REPORTED/1M", "FPT=A", "FPO=2A", "ACT_EST_MAPPING=PRECISE", "FS=MRC", "CURRENCY=USD", "XLFILL=b")</f>
        <v>#NAME?</v>
      </c>
      <c r="G164" t="e" cm="1">
        <f t="array" aca="1" ref="G164" ca="1">BQL("CRWD US Equity", "IS_ADJ_R_AND_D_AS_REPORTED/1M", "FPT=A", "FPO=3A", "ACT_EST_MAPPING=PRECISE", "FS=MRC", "CURRENCY=USD", "XLFILL=b")</f>
        <v>#NAME?</v>
      </c>
      <c r="H164" t="e" cm="1">
        <f t="array" aca="1" ref="H164" ca="1">BQL("CRWD US Equity", "IS_ADJ_R_AND_D_AS_REPORTED/1M", "FPT=A", "FPO=4A", "ACT_EST_MAPPING=PRECISE", "FS=MRC", "CURRENCY=USD", "XLFILL=b")</f>
        <v>#NAME?</v>
      </c>
      <c r="I164" t="e" cm="1">
        <f t="array" aca="1" ref="I164" ca="1">BQL("CRWD US Equity", "IS_ADJ_R_AND_D_AS_REPORTED/1M", "FPT=A", "FPO=5A", "ACT_EST_MAPPING=PRECISE", "FS=MRC", "CURRENCY=USD", "XLFILL=b")</f>
        <v>#NAME?</v>
      </c>
      <c r="J164" t="e" cm="1">
        <f t="array" aca="1" ref="J164" ca="1">BQL("CRWD US Equity", "IS_ADJ_R_AND_D_AS_REPORTED/1M", "FPT=A", "FPO=6A", "ACT_EST_MAPPING=PRECISE", "FS=MRC", "CURRENCY=USD", "XLFILL=b")</f>
        <v>#NAME?</v>
      </c>
      <c r="K164" t="e" cm="1">
        <f t="array" aca="1" ref="K164" ca="1">BQL("CRWD US Equity", "IS_ADJ_R_AND_D_AS_REPORTED/1M", "FPT=A", "FPO=7A", "ACT_EST_MAPPING=PRECISE", "FS=MRC", "CURRENCY=USD", "XLFILL=b")</f>
        <v>#NAME?</v>
      </c>
    </row>
    <row r="165" spans="1:11" x14ac:dyDescent="0.25">
      <c r="A165" t="s">
        <v>76</v>
      </c>
      <c r="B165" t="e" cm="1">
        <f t="array" aca="1" ref="B165" ca="1">BQL("CRWD US Equity", "ADJ_R_AND_D_TO_SALES", "FPT=A", "FPO=-2A", "ACT_EST_MAPPING=PRECISE", "FS=MRC", "CURRENCY=USD", "XLFILL=b")</f>
        <v>#NAME?</v>
      </c>
      <c r="C165" t="e" cm="1">
        <f t="array" aca="1" ref="C165" ca="1">BQL("CRWD US Equity", "ADJ_R_AND_D_TO_SALES", "FPT=A", "FPO=-1A", "ACT_EST_MAPPING=PRECISE", "FS=MRC", "CURRENCY=USD", "XLFILL=b")</f>
        <v>#NAME?</v>
      </c>
      <c r="D165" t="e" cm="1">
        <f t="array" aca="1" ref="D165" ca="1">BQL("CRWD US Equity", "ADJ_R_AND_D_TO_SALES", "FPT=A", "FPO=0A", "ACT_EST_MAPPING=PRECISE", "FS=MRC", "CURRENCY=USD", "XLFILL=b")</f>
        <v>#NAME?</v>
      </c>
      <c r="E165" t="e" cm="1">
        <f t="array" aca="1" ref="E165" ca="1">BQL("CRWD US Equity", "ADJ_R_AND_D_TO_SALES", "FPT=A", "FPO=1A", "ACT_EST_MAPPING=PRECISE", "FS=MRC", "CURRENCY=USD", "XLFILL=b")</f>
        <v>#NAME?</v>
      </c>
      <c r="F165" t="e" cm="1">
        <f t="array" aca="1" ref="F165" ca="1">BQL("CRWD US Equity", "ADJ_R_AND_D_TO_SALES", "FPT=A", "FPO=2A", "ACT_EST_MAPPING=PRECISE", "FS=MRC", "CURRENCY=USD", "XLFILL=b")</f>
        <v>#NAME?</v>
      </c>
      <c r="G165" t="e" cm="1">
        <f t="array" aca="1" ref="G165" ca="1">BQL("CRWD US Equity", "ADJ_R_AND_D_TO_SALES", "FPT=A", "FPO=3A", "ACT_EST_MAPPING=PRECISE", "FS=MRC", "CURRENCY=USD", "XLFILL=b")</f>
        <v>#NAME?</v>
      </c>
      <c r="H165" t="e" cm="1">
        <f t="array" aca="1" ref="H165" ca="1">BQL("CRWD US Equity", "ADJ_R_AND_D_TO_SALES", "FPT=A", "FPO=4A", "ACT_EST_MAPPING=PRECISE", "FS=MRC", "CURRENCY=USD", "XLFILL=b")</f>
        <v>#NAME?</v>
      </c>
      <c r="I165" t="e" cm="1">
        <f t="array" aca="1" ref="I165" ca="1">BQL("CRWD US Equity", "ADJ_R_AND_D_TO_SALES", "FPT=A", "FPO=5A", "ACT_EST_MAPPING=PRECISE", "FS=MRC", "CURRENCY=USD", "XLFILL=b")</f>
        <v>#NAME?</v>
      </c>
      <c r="J165" t="e" cm="1">
        <f t="array" aca="1" ref="J165" ca="1">BQL("CRWD US Equity", "ADJ_R_AND_D_TO_SALES", "FPT=A", "FPO=6A", "ACT_EST_MAPPING=PRECISE", "FS=MRC", "CURRENCY=USD", "XLFILL=b")</f>
        <v>#NAME?</v>
      </c>
      <c r="K165" t="e" cm="1">
        <f t="array" aca="1" ref="K165" ca="1">BQL("CRWD US Equity", "ADJ_R_AND_D_TO_SALES", "FPT=A", "FPO=7A", "ACT_EST_MAPPING=PRECISE", "FS=MRC", "CURRENCY=USD", "XLFILL=b")</f>
        <v>#NAME?</v>
      </c>
    </row>
    <row r="166" spans="1:11" x14ac:dyDescent="0.25">
      <c r="A166" t="s">
        <v>115</v>
      </c>
      <c r="B166" t="e" cm="1">
        <f t="array" aca="1" ref="B166" ca="1">BQL("CRWD US Equity", "IS_ADJ_GENL_AND_ADMIN_EXPN_AR/1M", "FPT=A", "FPO=-2A", "ACT_EST_MAPPING=PRECISE", "FS=MRC", "CURRENCY=USD", "XLFILL=b")</f>
        <v>#NAME?</v>
      </c>
      <c r="C166" t="e" cm="1">
        <f t="array" aca="1" ref="C166" ca="1">BQL("CRWD US Equity", "IS_ADJ_GENL_AND_ADMIN_EXPN_AR/1M", "FPT=A", "FPO=-1A", "ACT_EST_MAPPING=PRECISE", "FS=MRC", "CURRENCY=USD", "XLFILL=b")</f>
        <v>#NAME?</v>
      </c>
      <c r="D166" t="e" cm="1">
        <f t="array" aca="1" ref="D166" ca="1">BQL("CRWD US Equity", "IS_ADJ_GENL_AND_ADMIN_EXPN_AR/1M", "FPT=A", "FPO=0A", "ACT_EST_MAPPING=PRECISE", "FS=MRC", "CURRENCY=USD", "XLFILL=b")</f>
        <v>#NAME?</v>
      </c>
      <c r="E166" t="e" cm="1">
        <f t="array" aca="1" ref="E166" ca="1">BQL("CRWD US Equity", "IS_ADJ_GENL_AND_ADMIN_EXPN_AR/1M", "FPT=A", "FPO=1A", "ACT_EST_MAPPING=PRECISE", "FS=MRC", "CURRENCY=USD", "XLFILL=b")</f>
        <v>#NAME?</v>
      </c>
      <c r="F166" t="e" cm="1">
        <f t="array" aca="1" ref="F166" ca="1">BQL("CRWD US Equity", "IS_ADJ_GENL_AND_ADMIN_EXPN_AR/1M", "FPT=A", "FPO=2A", "ACT_EST_MAPPING=PRECISE", "FS=MRC", "CURRENCY=USD", "XLFILL=b")</f>
        <v>#NAME?</v>
      </c>
      <c r="G166" t="e" cm="1">
        <f t="array" aca="1" ref="G166" ca="1">BQL("CRWD US Equity", "IS_ADJ_GENL_AND_ADMIN_EXPN_AR/1M", "FPT=A", "FPO=3A", "ACT_EST_MAPPING=PRECISE", "FS=MRC", "CURRENCY=USD", "XLFILL=b")</f>
        <v>#NAME?</v>
      </c>
      <c r="H166" t="e" cm="1">
        <f t="array" aca="1" ref="H166" ca="1">BQL("CRWD US Equity", "IS_ADJ_GENL_AND_ADMIN_EXPN_AR/1M", "FPT=A", "FPO=4A", "ACT_EST_MAPPING=PRECISE", "FS=MRC", "CURRENCY=USD", "XLFILL=b")</f>
        <v>#NAME?</v>
      </c>
      <c r="I166" t="e" cm="1">
        <f t="array" aca="1" ref="I166" ca="1">BQL("CRWD US Equity", "IS_ADJ_GENL_AND_ADMIN_EXPN_AR/1M", "FPT=A", "FPO=5A", "ACT_EST_MAPPING=PRECISE", "FS=MRC", "CURRENCY=USD", "XLFILL=b")</f>
        <v>#NAME?</v>
      </c>
      <c r="J166" t="e" cm="1">
        <f t="array" aca="1" ref="J166" ca="1">BQL("CRWD US Equity", "IS_ADJ_GENL_AND_ADMIN_EXPN_AR/1M", "FPT=A", "FPO=6A", "ACT_EST_MAPPING=PRECISE", "FS=MRC", "CURRENCY=USD", "XLFILL=b")</f>
        <v>#NAME?</v>
      </c>
      <c r="K166" t="e" cm="1">
        <f t="array" aca="1" ref="K166" ca="1">BQL("CRWD US Equity", "IS_ADJ_GENL_AND_ADMIN_EXPN_AR/1M", "FPT=A", "FPO=7A", "ACT_EST_MAPPING=PRECISE", "FS=MRC", "CURRENCY=USD", "XLFILL=b")</f>
        <v>#NAME?</v>
      </c>
    </row>
    <row r="167" spans="1:11" x14ac:dyDescent="0.25">
      <c r="A167" t="s">
        <v>116</v>
      </c>
      <c r="B167" t="e" cm="1">
        <f t="array" aca="1" ref="B167" ca="1">BQL("CRWD US Equity", "IS_COMPARABLE_EBIT/1M", "FPT=A", "FPO=-2A", "ACT_EST_MAPPING=PRECISE", "FS=MRC", "CURRENCY=USD", "XLFILL=b")</f>
        <v>#NAME?</v>
      </c>
      <c r="C167" t="e" cm="1">
        <f t="array" aca="1" ref="C167" ca="1">BQL("CRWD US Equity", "IS_COMPARABLE_EBIT/1M", "FPT=A", "FPO=-1A", "ACT_EST_MAPPING=PRECISE", "FS=MRC", "CURRENCY=USD", "XLFILL=b")</f>
        <v>#NAME?</v>
      </c>
      <c r="D167" t="e" cm="1">
        <f t="array" aca="1" ref="D167" ca="1">BQL("CRWD US Equity", "IS_COMPARABLE_EBIT/1M", "FPT=A", "FPO=0A", "ACT_EST_MAPPING=PRECISE", "FS=MRC", "CURRENCY=USD", "XLFILL=b")</f>
        <v>#NAME?</v>
      </c>
      <c r="E167" t="e" cm="1">
        <f t="array" aca="1" ref="E167" ca="1">BQL("CRWD US Equity", "IS_COMPARABLE_EBIT/1M", "FPT=A", "FPO=1A", "ACT_EST_MAPPING=PRECISE", "FS=MRC", "CURRENCY=USD", "XLFILL=b")</f>
        <v>#NAME?</v>
      </c>
      <c r="F167" t="e" cm="1">
        <f t="array" aca="1" ref="F167" ca="1">BQL("CRWD US Equity", "IS_COMPARABLE_EBIT/1M", "FPT=A", "FPO=2A", "ACT_EST_MAPPING=PRECISE", "FS=MRC", "CURRENCY=USD", "XLFILL=b")</f>
        <v>#NAME?</v>
      </c>
      <c r="G167" t="e" cm="1">
        <f t="array" aca="1" ref="G167" ca="1">BQL("CRWD US Equity", "IS_COMPARABLE_EBIT/1M", "FPT=A", "FPO=3A", "ACT_EST_MAPPING=PRECISE", "FS=MRC", "CURRENCY=USD", "XLFILL=b")</f>
        <v>#NAME?</v>
      </c>
      <c r="H167" t="e" cm="1">
        <f t="array" aca="1" ref="H167" ca="1">BQL("CRWD US Equity", "IS_COMPARABLE_EBIT/1M", "FPT=A", "FPO=4A", "ACT_EST_MAPPING=PRECISE", "FS=MRC", "CURRENCY=USD", "XLFILL=b")</f>
        <v>#NAME?</v>
      </c>
      <c r="I167" t="e" cm="1">
        <f t="array" aca="1" ref="I167" ca="1">BQL("CRWD US Equity", "IS_COMPARABLE_EBIT/1M", "FPT=A", "FPO=5A", "ACT_EST_MAPPING=PRECISE", "FS=MRC", "CURRENCY=USD", "XLFILL=b")</f>
        <v>#NAME?</v>
      </c>
      <c r="J167" t="e" cm="1">
        <f t="array" aca="1" ref="J167" ca="1">BQL("CRWD US Equity", "IS_COMPARABLE_EBIT/1M", "FPT=A", "FPO=6A", "ACT_EST_MAPPING=PRECISE", "FS=MRC", "CURRENCY=USD", "XLFILL=b")</f>
        <v>#NAME?</v>
      </c>
      <c r="K167" t="e" cm="1">
        <f t="array" aca="1" ref="K167" ca="1">BQL("CRWD US Equity", "IS_COMPARABLE_EBIT/1M", "FPT=A", "FPO=7A", "ACT_EST_MAPPING=PRECISE", "FS=MRC", "CURRENCY=USD", "XLFILL=b")</f>
        <v>#NAME?</v>
      </c>
    </row>
    <row r="168" spans="1:11" x14ac:dyDescent="0.25">
      <c r="A168" t="s">
        <v>61</v>
      </c>
      <c r="B168" t="e" cm="1">
        <f t="array" aca="1" ref="B168" ca="1">BQL("CRWD US Equity", "ADJ_OPERATING_MARGIN", "FPT=A", "FPO=-2A", "ACT_EST_MAPPING=PRECISE", "FS=MRC", "CURRENCY=USD", "XLFILL=b")</f>
        <v>#NAME?</v>
      </c>
      <c r="C168" t="e" cm="1">
        <f t="array" aca="1" ref="C168" ca="1">BQL("CRWD US Equity", "ADJ_OPERATING_MARGIN", "FPT=A", "FPO=-1A", "ACT_EST_MAPPING=PRECISE", "FS=MRC", "CURRENCY=USD", "XLFILL=b")</f>
        <v>#NAME?</v>
      </c>
      <c r="D168" t="e" cm="1">
        <f t="array" aca="1" ref="D168" ca="1">BQL("CRWD US Equity", "ADJ_OPERATING_MARGIN", "FPT=A", "FPO=0A", "ACT_EST_MAPPING=PRECISE", "FS=MRC", "CURRENCY=USD", "XLFILL=b")</f>
        <v>#NAME?</v>
      </c>
      <c r="E168" t="e" cm="1">
        <f t="array" aca="1" ref="E168" ca="1">BQL("CRWD US Equity", "ADJ_OPERATING_MARGIN", "FPT=A", "FPO=1A", "ACT_EST_MAPPING=PRECISE", "FS=MRC", "CURRENCY=USD", "XLFILL=b")</f>
        <v>#NAME?</v>
      </c>
      <c r="F168" t="e" cm="1">
        <f t="array" aca="1" ref="F168" ca="1">BQL("CRWD US Equity", "ADJ_OPERATING_MARGIN", "FPT=A", "FPO=2A", "ACT_EST_MAPPING=PRECISE", "FS=MRC", "CURRENCY=USD", "XLFILL=b")</f>
        <v>#NAME?</v>
      </c>
      <c r="G168" t="e" cm="1">
        <f t="array" aca="1" ref="G168" ca="1">BQL("CRWD US Equity", "ADJ_OPERATING_MARGIN", "FPT=A", "FPO=3A", "ACT_EST_MAPPING=PRECISE", "FS=MRC", "CURRENCY=USD", "XLFILL=b")</f>
        <v>#NAME?</v>
      </c>
      <c r="H168" t="e" cm="1">
        <f t="array" aca="1" ref="H168" ca="1">BQL("CRWD US Equity", "ADJ_OPERATING_MARGIN", "FPT=A", "FPO=4A", "ACT_EST_MAPPING=PRECISE", "FS=MRC", "CURRENCY=USD", "XLFILL=b")</f>
        <v>#NAME?</v>
      </c>
      <c r="I168" t="e" cm="1">
        <f t="array" aca="1" ref="I168" ca="1">BQL("CRWD US Equity", "ADJ_OPERATING_MARGIN", "FPT=A", "FPO=5A", "ACT_EST_MAPPING=PRECISE", "FS=MRC", "CURRENCY=USD", "XLFILL=b")</f>
        <v>#NAME?</v>
      </c>
      <c r="J168" t="e" cm="1">
        <f t="array" aca="1" ref="J168" ca="1">BQL("CRWD US Equity", "ADJ_OPERATING_MARGIN", "FPT=A", "FPO=6A", "ACT_EST_MAPPING=PRECISE", "FS=MRC", "CURRENCY=USD", "XLFILL=b")</f>
        <v>#NAME?</v>
      </c>
      <c r="K168" t="e" cm="1">
        <f t="array" aca="1" ref="K168" ca="1">BQL("CRWD US Equity", "ADJ_OPERATING_MARGIN", "FPT=A", "FPO=7A", "ACT_EST_MAPPING=PRECISE", "FS=MRC", "CURRENCY=USD", "XLFILL=b")</f>
        <v>#NAME?</v>
      </c>
    </row>
    <row r="169" spans="1:11" x14ac:dyDescent="0.25">
      <c r="A169" t="s">
        <v>117</v>
      </c>
      <c r="B169" t="e" cm="1">
        <f t="array" aca="1" ref="B169" ca="1">BQL("CRWD US Equity", "IS_COMPARABLE_EBITDA/1M", "FPT=A", "FPO=-2A", "ACT_EST_MAPPING=PRECISE", "FS=MRC", "CURRENCY=USD", "XLFILL=b")</f>
        <v>#NAME?</v>
      </c>
      <c r="C169" t="e" cm="1">
        <f t="array" aca="1" ref="C169" ca="1">BQL("CRWD US Equity", "IS_COMPARABLE_EBITDA/1M", "FPT=A", "FPO=-1A", "ACT_EST_MAPPING=PRECISE", "FS=MRC", "CURRENCY=USD", "XLFILL=b")</f>
        <v>#NAME?</v>
      </c>
      <c r="D169" t="e" cm="1">
        <f t="array" aca="1" ref="D169" ca="1">BQL("CRWD US Equity", "IS_COMPARABLE_EBITDA/1M", "FPT=A", "FPO=0A", "ACT_EST_MAPPING=PRECISE", "FS=MRC", "CURRENCY=USD", "XLFILL=b")</f>
        <v>#NAME?</v>
      </c>
      <c r="E169" t="e" cm="1">
        <f t="array" aca="1" ref="E169" ca="1">BQL("CRWD US Equity", "IS_COMPARABLE_EBITDA/1M", "FPT=A", "FPO=1A", "ACT_EST_MAPPING=PRECISE", "FS=MRC", "CURRENCY=USD", "XLFILL=b")</f>
        <v>#NAME?</v>
      </c>
      <c r="F169" t="e" cm="1">
        <f t="array" aca="1" ref="F169" ca="1">BQL("CRWD US Equity", "IS_COMPARABLE_EBITDA/1M", "FPT=A", "FPO=2A", "ACT_EST_MAPPING=PRECISE", "FS=MRC", "CURRENCY=USD", "XLFILL=b")</f>
        <v>#NAME?</v>
      </c>
      <c r="G169" t="e" cm="1">
        <f t="array" aca="1" ref="G169" ca="1">BQL("CRWD US Equity", "IS_COMPARABLE_EBITDA/1M", "FPT=A", "FPO=3A", "ACT_EST_MAPPING=PRECISE", "FS=MRC", "CURRENCY=USD", "XLFILL=b")</f>
        <v>#NAME?</v>
      </c>
      <c r="H169" t="e" cm="1">
        <f t="array" aca="1" ref="H169" ca="1">BQL("CRWD US Equity", "IS_COMPARABLE_EBITDA/1M", "FPT=A", "FPO=4A", "ACT_EST_MAPPING=PRECISE", "FS=MRC", "CURRENCY=USD", "XLFILL=b")</f>
        <v>#NAME?</v>
      </c>
      <c r="I169" t="e" cm="1">
        <f t="array" aca="1" ref="I169" ca="1">BQL("CRWD US Equity", "IS_COMPARABLE_EBITDA/1M", "FPT=A", "FPO=5A", "ACT_EST_MAPPING=PRECISE", "FS=MRC", "CURRENCY=USD", "XLFILL=b")</f>
        <v>#NAME?</v>
      </c>
      <c r="J169" t="e" cm="1">
        <f t="array" aca="1" ref="J169" ca="1">BQL("CRWD US Equity", "IS_COMPARABLE_EBITDA/1M", "FPT=A", "FPO=6A", "ACT_EST_MAPPING=PRECISE", "FS=MRC", "CURRENCY=USD", "XLFILL=b")</f>
        <v>#NAME?</v>
      </c>
      <c r="K169" t="e" cm="1">
        <f t="array" aca="1" ref="K169" ca="1">BQL("CRWD US Equity", "IS_COMPARABLE_EBITDA/1M", "FPT=A", "FPO=7A", "ACT_EST_MAPPING=PRECISE", "FS=MRC", "CURRENCY=USD", "XLFILL=b")</f>
        <v>#NAME?</v>
      </c>
    </row>
    <row r="170" spans="1:11" x14ac:dyDescent="0.25">
      <c r="A170" t="s">
        <v>118</v>
      </c>
      <c r="B170" t="e" cm="1">
        <f t="array" aca="1" ref="B170" ca="1">BQL("CRWD US Equity", "OTHER_NOI_LOSS_GAAP_RATIO/1M", "FPT=A", "FPO=-2A", "ACT_EST_MAPPING=PRECISE", "FS=MRC", "CURRENCY=USD", "XLFILL=b")</f>
        <v>#NAME?</v>
      </c>
      <c r="C170" t="e" cm="1">
        <f t="array" aca="1" ref="C170" ca="1">BQL("CRWD US Equity", "OTHER_NOI_LOSS_GAAP_RATIO/1M", "FPT=A", "FPO=-1A", "ACT_EST_MAPPING=PRECISE", "FS=MRC", "CURRENCY=USD", "XLFILL=b")</f>
        <v>#NAME?</v>
      </c>
      <c r="D170" t="e" cm="1">
        <f t="array" aca="1" ref="D170" ca="1">BQL("CRWD US Equity", "OTHER_NOI_LOSS_GAAP_RATIO/1M", "FPT=A", "FPO=0A", "ACT_EST_MAPPING=PRECISE", "FS=MRC", "CURRENCY=USD", "XLFILL=b")</f>
        <v>#NAME?</v>
      </c>
      <c r="E170" t="e" cm="1">
        <f t="array" aca="1" ref="E170" ca="1">BQL("CRWD US Equity", "OTHER_NOI_LOSS_GAAP_RATIO/1M", "FPT=A", "FPO=1A", "ACT_EST_MAPPING=PRECISE", "FS=MRC", "CURRENCY=USD", "XLFILL=b")</f>
        <v>#NAME?</v>
      </c>
      <c r="F170" t="e" cm="1">
        <f t="array" aca="1" ref="F170" ca="1">BQL("CRWD US Equity", "OTHER_NOI_LOSS_GAAP_RATIO/1M", "FPT=A", "FPO=2A", "ACT_EST_MAPPING=PRECISE", "FS=MRC", "CURRENCY=USD", "XLFILL=b")</f>
        <v>#NAME?</v>
      </c>
      <c r="G170" t="e" cm="1">
        <f t="array" aca="1" ref="G170" ca="1">BQL("CRWD US Equity", "OTHER_NOI_LOSS_GAAP_RATIO/1M", "FPT=A", "FPO=3A", "ACT_EST_MAPPING=PRECISE", "FS=MRC", "CURRENCY=USD", "XLFILL=b")</f>
        <v>#NAME?</v>
      </c>
      <c r="H170" t="e" cm="1">
        <f t="array" aca="1" ref="H170" ca="1">BQL("CRWD US Equity", "OTHER_NOI_LOSS_GAAP_RATIO/1M", "FPT=A", "FPO=4A", "ACT_EST_MAPPING=PRECISE", "FS=MRC", "CURRENCY=USD", "XLFILL=b")</f>
        <v>#NAME?</v>
      </c>
      <c r="I170" t="e" cm="1">
        <f t="array" aca="1" ref="I170" ca="1">BQL("CRWD US Equity", "OTHER_NOI_LOSS_GAAP_RATIO/1M", "FPT=A", "FPO=5A", "ACT_EST_MAPPING=PRECISE", "FS=MRC", "CURRENCY=USD", "XLFILL=b")</f>
        <v>#NAME?</v>
      </c>
      <c r="J170" t="e" cm="1">
        <f t="array" aca="1" ref="J170" ca="1">BQL("CRWD US Equity", "OTHER_NOI_LOSS_GAAP_RATIO/1M", "FPT=A", "FPO=6A", "ACT_EST_MAPPING=PRECISE", "FS=MRC", "CURRENCY=USD", "XLFILL=b")</f>
        <v>#NAME?</v>
      </c>
      <c r="K170" t="e" cm="1">
        <f t="array" aca="1" ref="K170" ca="1">BQL("CRWD US Equity", "OTHER_NOI_LOSS_GAAP_RATIO/1M", "FPT=A", "FPO=7A", "ACT_EST_MAPPING=PRECISE", "FS=MRC", "CURRENCY=USD", "XLFILL=b")</f>
        <v>#NAME?</v>
      </c>
    </row>
    <row r="171" spans="1:11" x14ac:dyDescent="0.25">
      <c r="A171" t="s">
        <v>119</v>
      </c>
      <c r="B171" t="e" cm="1">
        <f t="array" aca="1" ref="B171" ca="1">BQL("CRWD US Equity", "IS_COMP_PTP_EX_STK_BASED_COMP/1M", "FPT=A", "FPO=-2A", "ACT_EST_MAPPING=PRECISE", "FS=MRC", "CURRENCY=USD", "XLFILL=b")</f>
        <v>#NAME?</v>
      </c>
      <c r="C171" t="e" cm="1">
        <f t="array" aca="1" ref="C171" ca="1">BQL("CRWD US Equity", "IS_COMP_PTP_EX_STK_BASED_COMP/1M", "FPT=A", "FPO=-1A", "ACT_EST_MAPPING=PRECISE", "FS=MRC", "CURRENCY=USD", "XLFILL=b")</f>
        <v>#NAME?</v>
      </c>
      <c r="D171" t="e" cm="1">
        <f t="array" aca="1" ref="D171" ca="1">BQL("CRWD US Equity", "IS_COMP_PTP_EX_STK_BASED_COMP/1M", "FPT=A", "FPO=0A", "ACT_EST_MAPPING=PRECISE", "FS=MRC", "CURRENCY=USD", "XLFILL=b")</f>
        <v>#NAME?</v>
      </c>
      <c r="E171" t="e" cm="1">
        <f t="array" aca="1" ref="E171" ca="1">BQL("CRWD US Equity", "IS_COMP_PTP_EX_STK_BASED_COMP/1M", "FPT=A", "FPO=1A", "ACT_EST_MAPPING=PRECISE", "FS=MRC", "CURRENCY=USD", "XLFILL=b")</f>
        <v>#NAME?</v>
      </c>
      <c r="F171" t="e" cm="1">
        <f t="array" aca="1" ref="F171" ca="1">BQL("CRWD US Equity", "IS_COMP_PTP_EX_STK_BASED_COMP/1M", "FPT=A", "FPO=2A", "ACT_EST_MAPPING=PRECISE", "FS=MRC", "CURRENCY=USD", "XLFILL=b")</f>
        <v>#NAME?</v>
      </c>
      <c r="G171" t="e" cm="1">
        <f t="array" aca="1" ref="G171" ca="1">BQL("CRWD US Equity", "IS_COMP_PTP_EX_STK_BASED_COMP/1M", "FPT=A", "FPO=3A", "ACT_EST_MAPPING=PRECISE", "FS=MRC", "CURRENCY=USD", "XLFILL=b")</f>
        <v>#NAME?</v>
      </c>
      <c r="H171" t="e" cm="1">
        <f t="array" aca="1" ref="H171" ca="1">BQL("CRWD US Equity", "IS_COMP_PTP_EX_STK_BASED_COMP/1M", "FPT=A", "FPO=4A", "ACT_EST_MAPPING=PRECISE", "FS=MRC", "CURRENCY=USD", "XLFILL=b")</f>
        <v>#NAME?</v>
      </c>
      <c r="I171" t="e" cm="1">
        <f t="array" aca="1" ref="I171" ca="1">BQL("CRWD US Equity", "IS_COMP_PTP_EX_STK_BASED_COMP/1M", "FPT=A", "FPO=5A", "ACT_EST_MAPPING=PRECISE", "FS=MRC", "CURRENCY=USD", "XLFILL=b")</f>
        <v>#NAME?</v>
      </c>
      <c r="J171" t="e" cm="1">
        <f t="array" aca="1" ref="J171" ca="1">BQL("CRWD US Equity", "IS_COMP_PTP_EX_STK_BASED_COMP/1M", "FPT=A", "FPO=6A", "ACT_EST_MAPPING=PRECISE", "FS=MRC", "CURRENCY=USD", "XLFILL=b")</f>
        <v>#NAME?</v>
      </c>
      <c r="K171" t="e" cm="1">
        <f t="array" aca="1" ref="K171" ca="1">BQL("CRWD US Equity", "IS_COMP_PTP_EX_STK_BASED_COMP/1M", "FPT=A", "FPO=7A", "ACT_EST_MAPPING=PRECISE", "FS=MRC", "CURRENCY=USD", "XLFILL=b")</f>
        <v>#NAME?</v>
      </c>
    </row>
    <row r="172" spans="1:11" x14ac:dyDescent="0.25">
      <c r="A172" t="s">
        <v>120</v>
      </c>
      <c r="B172" t="e" cm="1">
        <f t="array" aca="1" ref="B172" ca="1">BQL("CRWD US Equity", "IS_INC_TAX_EXP/1M", "FPT=A", "FPO=-2A", "ACT_EST_MAPPING=PRECISE", "FS=MRC", "CURRENCY=USD", "XLFILL=b")</f>
        <v>#NAME?</v>
      </c>
      <c r="C172" t="e" cm="1">
        <f t="array" aca="1" ref="C172" ca="1">BQL("CRWD US Equity", "IS_INC_TAX_EXP/1M", "FPT=A", "FPO=-1A", "ACT_EST_MAPPING=PRECISE", "FS=MRC", "CURRENCY=USD", "XLFILL=b")</f>
        <v>#NAME?</v>
      </c>
      <c r="D172" t="e" cm="1">
        <f t="array" aca="1" ref="D172" ca="1">BQL("CRWD US Equity", "IS_INC_TAX_EXP/1M", "FPT=A", "FPO=0A", "ACT_EST_MAPPING=PRECISE", "FS=MRC", "CURRENCY=USD", "XLFILL=b")</f>
        <v>#NAME?</v>
      </c>
      <c r="E172" t="e" cm="1">
        <f t="array" aca="1" ref="E172" ca="1">BQL("CRWD US Equity", "IS_INC_TAX_EXP/1M", "FPT=A", "FPO=1A", "ACT_EST_MAPPING=PRECISE", "FS=MRC", "CURRENCY=USD", "XLFILL=b")</f>
        <v>#NAME?</v>
      </c>
      <c r="F172" t="e" cm="1">
        <f t="array" aca="1" ref="F172" ca="1">BQL("CRWD US Equity", "IS_INC_TAX_EXP/1M", "FPT=A", "FPO=2A", "ACT_EST_MAPPING=PRECISE", "FS=MRC", "CURRENCY=USD", "XLFILL=b")</f>
        <v>#NAME?</v>
      </c>
      <c r="G172" t="e" cm="1">
        <f t="array" aca="1" ref="G172" ca="1">BQL("CRWD US Equity", "IS_INC_TAX_EXP/1M", "FPT=A", "FPO=3A", "ACT_EST_MAPPING=PRECISE", "FS=MRC", "CURRENCY=USD", "XLFILL=b")</f>
        <v>#NAME?</v>
      </c>
      <c r="H172" t="e" cm="1">
        <f t="array" aca="1" ref="H172" ca="1">BQL("CRWD US Equity", "IS_INC_TAX_EXP/1M", "FPT=A", "FPO=4A", "ACT_EST_MAPPING=PRECISE", "FS=MRC", "CURRENCY=USD", "XLFILL=b")</f>
        <v>#NAME?</v>
      </c>
      <c r="I172" t="e" cm="1">
        <f t="array" aca="1" ref="I172" ca="1">BQL("CRWD US Equity", "IS_INC_TAX_EXP/1M", "FPT=A", "FPO=5A", "ACT_EST_MAPPING=PRECISE", "FS=MRC", "CURRENCY=USD", "XLFILL=b")</f>
        <v>#NAME?</v>
      </c>
      <c r="J172" t="e" cm="1">
        <f t="array" aca="1" ref="J172" ca="1">BQL("CRWD US Equity", "IS_INC_TAX_EXP/1M", "FPT=A", "FPO=6A", "ACT_EST_MAPPING=PRECISE", "FS=MRC", "CURRENCY=USD", "XLFILL=b")</f>
        <v>#NAME?</v>
      </c>
      <c r="K172" t="e" cm="1">
        <f t="array" aca="1" ref="K172" ca="1">BQL("CRWD US Equity", "IS_INC_TAX_EXP/1M", "FPT=A", "FPO=7A", "ACT_EST_MAPPING=PRECISE", "FS=MRC", "CURRENCY=USD", "XLFILL=b")</f>
        <v>#NAME?</v>
      </c>
    </row>
    <row r="173" spans="1:11" x14ac:dyDescent="0.25">
      <c r="A173" t="s">
        <v>121</v>
      </c>
      <c r="B173" t="e" cm="1">
        <f t="array" aca="1" ref="B173" ca="1">BQL("CRWD US Equity", "IS_COMP_NET_INC_EXCL_STOCK_COMP/1M", "FPT=A", "FPO=-2A", "ACT_EST_MAPPING=PRECISE", "FS=MRC", "CURRENCY=USD", "XLFILL=b")</f>
        <v>#NAME?</v>
      </c>
      <c r="C173" t="e" cm="1">
        <f t="array" aca="1" ref="C173" ca="1">BQL("CRWD US Equity", "IS_COMP_NET_INC_EXCL_STOCK_COMP/1M", "FPT=A", "FPO=-1A", "ACT_EST_MAPPING=PRECISE", "FS=MRC", "CURRENCY=USD", "XLFILL=b")</f>
        <v>#NAME?</v>
      </c>
      <c r="D173" t="e" cm="1">
        <f t="array" aca="1" ref="D173" ca="1">BQL("CRWD US Equity", "IS_COMP_NET_INC_EXCL_STOCK_COMP/1M", "FPT=A", "FPO=0A", "ACT_EST_MAPPING=PRECISE", "FS=MRC", "CURRENCY=USD", "XLFILL=b")</f>
        <v>#NAME?</v>
      </c>
      <c r="E173" t="e" cm="1">
        <f t="array" aca="1" ref="E173" ca="1">BQL("CRWD US Equity", "IS_COMP_NET_INC_EXCL_STOCK_COMP/1M", "FPT=A", "FPO=1A", "ACT_EST_MAPPING=PRECISE", "FS=MRC", "CURRENCY=USD", "XLFILL=b")</f>
        <v>#NAME?</v>
      </c>
      <c r="F173" t="e" cm="1">
        <f t="array" aca="1" ref="F173" ca="1">BQL("CRWD US Equity", "IS_COMP_NET_INC_EXCL_STOCK_COMP/1M", "FPT=A", "FPO=2A", "ACT_EST_MAPPING=PRECISE", "FS=MRC", "CURRENCY=USD", "XLFILL=b")</f>
        <v>#NAME?</v>
      </c>
      <c r="G173" t="e" cm="1">
        <f t="array" aca="1" ref="G173" ca="1">BQL("CRWD US Equity", "IS_COMP_NET_INC_EXCL_STOCK_COMP/1M", "FPT=A", "FPO=3A", "ACT_EST_MAPPING=PRECISE", "FS=MRC", "CURRENCY=USD", "XLFILL=b")</f>
        <v>#NAME?</v>
      </c>
      <c r="H173" t="e" cm="1">
        <f t="array" aca="1" ref="H173" ca="1">BQL("CRWD US Equity", "IS_COMP_NET_INC_EXCL_STOCK_COMP/1M", "FPT=A", "FPO=4A", "ACT_EST_MAPPING=PRECISE", "FS=MRC", "CURRENCY=USD", "XLFILL=b")</f>
        <v>#NAME?</v>
      </c>
      <c r="I173" t="e" cm="1">
        <f t="array" aca="1" ref="I173" ca="1">BQL("CRWD US Equity", "IS_COMP_NET_INC_EXCL_STOCK_COMP/1M", "FPT=A", "FPO=5A", "ACT_EST_MAPPING=PRECISE", "FS=MRC", "CURRENCY=USD", "XLFILL=b")</f>
        <v>#NAME?</v>
      </c>
      <c r="J173" t="e" cm="1">
        <f t="array" aca="1" ref="J173" ca="1">BQL("CRWD US Equity", "IS_COMP_NET_INC_EXCL_STOCK_COMP/1M", "FPT=A", "FPO=6A", "ACT_EST_MAPPING=PRECISE", "FS=MRC", "CURRENCY=USD", "XLFILL=b")</f>
        <v>#NAME?</v>
      </c>
      <c r="K173" t="e" cm="1">
        <f t="array" aca="1" ref="K173" ca="1">BQL("CRWD US Equity", "IS_COMP_NET_INC_EXCL_STOCK_COMP/1M", "FPT=A", "FPO=7A", "ACT_EST_MAPPING=PRECISE", "FS=MRC", "CURRENCY=USD", "XLFILL=b")</f>
        <v>#NAME?</v>
      </c>
    </row>
    <row r="174" spans="1:11" x14ac:dyDescent="0.25">
      <c r="A174" t="s">
        <v>122</v>
      </c>
      <c r="B174" t="e" cm="1">
        <f t="array" aca="1" ref="B174" ca="1">BQL("CRWD US Equity", "ADJ_PROFIT_MARGIN", "FPT=A", "FPO=-2A", "ACT_EST_MAPPING=PRECISE", "FS=MRC", "CURRENCY=USD", "XLFILL=b")</f>
        <v>#NAME?</v>
      </c>
      <c r="C174" t="e" cm="1">
        <f t="array" aca="1" ref="C174" ca="1">BQL("CRWD US Equity", "ADJ_PROFIT_MARGIN", "FPT=A", "FPO=-1A", "ACT_EST_MAPPING=PRECISE", "FS=MRC", "CURRENCY=USD", "XLFILL=b")</f>
        <v>#NAME?</v>
      </c>
      <c r="D174" t="e" cm="1">
        <f t="array" aca="1" ref="D174" ca="1">BQL("CRWD US Equity", "ADJ_PROFIT_MARGIN", "FPT=A", "FPO=0A", "ACT_EST_MAPPING=PRECISE", "FS=MRC", "CURRENCY=USD", "XLFILL=b")</f>
        <v>#NAME?</v>
      </c>
      <c r="E174" t="e" cm="1">
        <f t="array" aca="1" ref="E174" ca="1">BQL("CRWD US Equity", "ADJ_PROFIT_MARGIN", "FPT=A", "FPO=1A", "ACT_EST_MAPPING=PRECISE", "FS=MRC", "CURRENCY=USD", "XLFILL=b")</f>
        <v>#NAME?</v>
      </c>
      <c r="F174" t="e" cm="1">
        <f t="array" aca="1" ref="F174" ca="1">BQL("CRWD US Equity", "ADJ_PROFIT_MARGIN", "FPT=A", "FPO=2A", "ACT_EST_MAPPING=PRECISE", "FS=MRC", "CURRENCY=USD", "XLFILL=b")</f>
        <v>#NAME?</v>
      </c>
      <c r="G174" t="e" cm="1">
        <f t="array" aca="1" ref="G174" ca="1">BQL("CRWD US Equity", "ADJ_PROFIT_MARGIN", "FPT=A", "FPO=3A", "ACT_EST_MAPPING=PRECISE", "FS=MRC", "CURRENCY=USD", "XLFILL=b")</f>
        <v>#NAME?</v>
      </c>
      <c r="H174" t="e" cm="1">
        <f t="array" aca="1" ref="H174" ca="1">BQL("CRWD US Equity", "ADJ_PROFIT_MARGIN", "FPT=A", "FPO=4A", "ACT_EST_MAPPING=PRECISE", "FS=MRC", "CURRENCY=USD", "XLFILL=b")</f>
        <v>#NAME?</v>
      </c>
      <c r="I174" t="e" cm="1">
        <f t="array" aca="1" ref="I174" ca="1">BQL("CRWD US Equity", "ADJ_PROFIT_MARGIN", "FPT=A", "FPO=5A", "ACT_EST_MAPPING=PRECISE", "FS=MRC", "CURRENCY=USD", "XLFILL=b")</f>
        <v>#NAME?</v>
      </c>
      <c r="J174" t="e" cm="1">
        <f t="array" aca="1" ref="J174" ca="1">BQL("CRWD US Equity", "ADJ_PROFIT_MARGIN", "FPT=A", "FPO=6A", "ACT_EST_MAPPING=PRECISE", "FS=MRC", "CURRENCY=USD", "XLFILL=b")</f>
        <v>#NAME?</v>
      </c>
      <c r="K174" t="e" cm="1">
        <f t="array" aca="1" ref="K174" ca="1">BQL("CRWD US Equity", "ADJ_PROFIT_MARGIN", "FPT=A", "FPO=7A", "ACT_EST_MAPPING=PRECISE", "FS=MRC", "CURRENCY=USD", "XLFILL=b")</f>
        <v>#NAME?</v>
      </c>
    </row>
    <row r="175" spans="1:11" x14ac:dyDescent="0.25">
      <c r="A175" t="s">
        <v>123</v>
      </c>
      <c r="B175" t="e" cm="1">
        <f t="array" aca="1" ref="B175" ca="1">BQL("CRWD US Equity", "IS_AVG_NUM_SH_FOR_EPS/1M", "FPT=A", "FPO=-2A", "ACT_EST_MAPPING=PRECISE", "FS=MRC", "CURRENCY=USD", "XLFILL=b")</f>
        <v>#NAME?</v>
      </c>
      <c r="C175" t="e" cm="1">
        <f t="array" aca="1" ref="C175" ca="1">BQL("CRWD US Equity", "IS_AVG_NUM_SH_FOR_EPS/1M", "FPT=A", "FPO=-1A", "ACT_EST_MAPPING=PRECISE", "FS=MRC", "CURRENCY=USD", "XLFILL=b")</f>
        <v>#NAME?</v>
      </c>
      <c r="D175" t="e" cm="1">
        <f t="array" aca="1" ref="D175" ca="1">BQL("CRWD US Equity", "IS_AVG_NUM_SH_FOR_EPS/1M", "FPT=A", "FPO=0A", "ACT_EST_MAPPING=PRECISE", "FS=MRC", "CURRENCY=USD", "XLFILL=b")</f>
        <v>#NAME?</v>
      </c>
      <c r="E175" t="e" cm="1">
        <f t="array" aca="1" ref="E175" ca="1">BQL("CRWD US Equity", "IS_AVG_NUM_SH_FOR_EPS/1M", "FPT=A", "FPO=1A", "ACT_EST_MAPPING=PRECISE", "FS=MRC", "CURRENCY=USD", "XLFILL=b")</f>
        <v>#NAME?</v>
      </c>
      <c r="F175" t="e" cm="1">
        <f t="array" aca="1" ref="F175" ca="1">BQL("CRWD US Equity", "IS_AVG_NUM_SH_FOR_EPS/1M", "FPT=A", "FPO=2A", "ACT_EST_MAPPING=PRECISE", "FS=MRC", "CURRENCY=USD", "XLFILL=b")</f>
        <v>#NAME?</v>
      </c>
      <c r="G175" t="e" cm="1">
        <f t="array" aca="1" ref="G175" ca="1">BQL("CRWD US Equity", "IS_AVG_NUM_SH_FOR_EPS/1M", "FPT=A", "FPO=3A", "ACT_EST_MAPPING=PRECISE", "FS=MRC", "CURRENCY=USD", "XLFILL=b")</f>
        <v>#NAME?</v>
      </c>
      <c r="H175" t="e" cm="1">
        <f t="array" aca="1" ref="H175" ca="1">BQL("CRWD US Equity", "IS_AVG_NUM_SH_FOR_EPS/1M", "FPT=A", "FPO=4A", "ACT_EST_MAPPING=PRECISE", "FS=MRC", "CURRENCY=USD", "XLFILL=b")</f>
        <v>#NAME?</v>
      </c>
      <c r="I175" t="e" cm="1">
        <f t="array" aca="1" ref="I175" ca="1">BQL("CRWD US Equity", "IS_AVG_NUM_SH_FOR_EPS/1M", "FPT=A", "FPO=5A", "ACT_EST_MAPPING=PRECISE", "FS=MRC", "CURRENCY=USD", "XLFILL=b")</f>
        <v>#NAME?</v>
      </c>
      <c r="J175" t="e" cm="1">
        <f t="array" aca="1" ref="J175" ca="1">BQL("CRWD US Equity", "IS_AVG_NUM_SH_FOR_EPS/1M", "FPT=A", "FPO=6A", "ACT_EST_MAPPING=PRECISE", "FS=MRC", "CURRENCY=USD", "XLFILL=b")</f>
        <v>#NAME?</v>
      </c>
      <c r="K175" t="e" cm="1">
        <f t="array" aca="1" ref="K175" ca="1">BQL("CRWD US Equity", "IS_AVG_NUM_SH_FOR_EPS/1M", "FPT=A", "FPO=7A", "ACT_EST_MAPPING=PRECISE", "FS=MRC", "CURRENCY=USD", "XLFILL=b")</f>
        <v>#NAME?</v>
      </c>
    </row>
    <row r="176" spans="1:11" x14ac:dyDescent="0.25">
      <c r="A176" t="s">
        <v>124</v>
      </c>
      <c r="B176" t="e" cm="1">
        <f t="array" aca="1" ref="B176" ca="1">BQL("CRWD US Equity", "IS_COMP_EPS_EXCL_STOCK_COMP", "FPT=A", "FPO=-2A", "ACT_EST_MAPPING=PRECISE", "FS=MRC", "CURRENCY=USD", "XLFILL=b")</f>
        <v>#NAME?</v>
      </c>
      <c r="C176" t="e" cm="1">
        <f t="array" aca="1" ref="C176" ca="1">BQL("CRWD US Equity", "IS_COMP_EPS_EXCL_STOCK_COMP", "FPT=A", "FPO=-1A", "ACT_EST_MAPPING=PRECISE", "FS=MRC", "CURRENCY=USD", "XLFILL=b")</f>
        <v>#NAME?</v>
      </c>
      <c r="D176" t="e" cm="1">
        <f t="array" aca="1" ref="D176" ca="1">BQL("CRWD US Equity", "IS_COMP_EPS_EXCL_STOCK_COMP", "FPT=A", "FPO=0A", "ACT_EST_MAPPING=PRECISE", "FS=MRC", "CURRENCY=USD", "XLFILL=b")</f>
        <v>#NAME?</v>
      </c>
      <c r="E176" t="e" cm="1">
        <f t="array" aca="1" ref="E176" ca="1">BQL("CRWD US Equity", "IS_COMP_EPS_EXCL_STOCK_COMP", "FPT=A", "FPO=1A", "ACT_EST_MAPPING=PRECISE", "FS=MRC", "CURRENCY=USD", "XLFILL=b")</f>
        <v>#NAME?</v>
      </c>
      <c r="F176" t="e" cm="1">
        <f t="array" aca="1" ref="F176" ca="1">BQL("CRWD US Equity", "IS_COMP_EPS_EXCL_STOCK_COMP", "FPT=A", "FPO=2A", "ACT_EST_MAPPING=PRECISE", "FS=MRC", "CURRENCY=USD", "XLFILL=b")</f>
        <v>#NAME?</v>
      </c>
      <c r="G176" t="e" cm="1">
        <f t="array" aca="1" ref="G176" ca="1">BQL("CRWD US Equity", "IS_COMP_EPS_EXCL_STOCK_COMP", "FPT=A", "FPO=3A", "ACT_EST_MAPPING=PRECISE", "FS=MRC", "CURRENCY=USD", "XLFILL=b")</f>
        <v>#NAME?</v>
      </c>
      <c r="H176" t="e" cm="1">
        <f t="array" aca="1" ref="H176" ca="1">BQL("CRWD US Equity", "IS_COMP_EPS_EXCL_STOCK_COMP", "FPT=A", "FPO=4A", "ACT_EST_MAPPING=PRECISE", "FS=MRC", "CURRENCY=USD", "XLFILL=b")</f>
        <v>#NAME?</v>
      </c>
      <c r="I176" t="e" cm="1">
        <f t="array" aca="1" ref="I176" ca="1">BQL("CRWD US Equity", "IS_COMP_EPS_EXCL_STOCK_COMP", "FPT=A", "FPO=5A", "ACT_EST_MAPPING=PRECISE", "FS=MRC", "CURRENCY=USD", "XLFILL=b")</f>
        <v>#NAME?</v>
      </c>
      <c r="J176" t="e" cm="1">
        <f t="array" aca="1" ref="J176" ca="1">BQL("CRWD US Equity", "IS_COMP_EPS_EXCL_STOCK_COMP", "FPT=A", "FPO=6A", "ACT_EST_MAPPING=PRECISE", "FS=MRC", "CURRENCY=USD", "XLFILL=b")</f>
        <v>#NAME?</v>
      </c>
      <c r="K176" t="e" cm="1">
        <f t="array" aca="1" ref="K176" ca="1">BQL("CRWD US Equity", "IS_COMP_EPS_EXCL_STOCK_COMP", "FPT=A", "FPO=7A", "ACT_EST_MAPPING=PRECISE", "FS=MRC", "CURRENCY=USD", "XLFILL=b")</f>
        <v>#NAME?</v>
      </c>
    </row>
    <row r="177" spans="1:11" x14ac:dyDescent="0.25">
      <c r="A177" t="s">
        <v>17</v>
      </c>
    </row>
    <row r="178" spans="1:11" x14ac:dyDescent="0.25">
      <c r="A178" t="s">
        <v>125</v>
      </c>
    </row>
    <row r="179" spans="1:11" x14ac:dyDescent="0.25">
      <c r="A179" t="s">
        <v>67</v>
      </c>
      <c r="B179" t="e" cm="1">
        <f t="array" aca="1" ref="B179" ca="1">BQL("CRWD US Equity", "IS_SBC_NON_GAAP/1M", "FPT=A", "FPO=-2A", "ACT_EST_MAPPING=PRECISE", "FS=MRC", "CURRENCY=USD", "XLFILL=b")</f>
        <v>#NAME?</v>
      </c>
      <c r="C179" t="e" cm="1">
        <f t="array" aca="1" ref="C179" ca="1">BQL("CRWD US Equity", "IS_SBC_NON_GAAP/1M", "FPT=A", "FPO=-1A", "ACT_EST_MAPPING=PRECISE", "FS=MRC", "CURRENCY=USD", "XLFILL=b")</f>
        <v>#NAME?</v>
      </c>
      <c r="D179" t="e" cm="1">
        <f t="array" aca="1" ref="D179" ca="1">BQL("CRWD US Equity", "IS_SBC_NON_GAAP/1M", "FPT=A", "FPO=0A", "ACT_EST_MAPPING=PRECISE", "FS=MRC", "CURRENCY=USD", "XLFILL=b")</f>
        <v>#NAME?</v>
      </c>
      <c r="E179" t="e" cm="1">
        <f t="array" aca="1" ref="E179" ca="1">BQL("CRWD US Equity", "IS_SBC_NON_GAAP/1M", "FPT=A", "FPO=1A", "ACT_EST_MAPPING=PRECISE", "FS=MRC", "CURRENCY=USD", "XLFILL=b")</f>
        <v>#NAME?</v>
      </c>
      <c r="F179" t="e" cm="1">
        <f t="array" aca="1" ref="F179" ca="1">BQL("CRWD US Equity", "IS_SBC_NON_GAAP/1M", "FPT=A", "FPO=2A", "ACT_EST_MAPPING=PRECISE", "FS=MRC", "CURRENCY=USD", "XLFILL=b")</f>
        <v>#NAME?</v>
      </c>
      <c r="G179" t="e" cm="1">
        <f t="array" aca="1" ref="G179" ca="1">BQL("CRWD US Equity", "IS_SBC_NON_GAAP/1M", "FPT=A", "FPO=3A", "ACT_EST_MAPPING=PRECISE", "FS=MRC", "CURRENCY=USD", "XLFILL=b")</f>
        <v>#NAME?</v>
      </c>
      <c r="H179" t="e" cm="1">
        <f t="array" aca="1" ref="H179" ca="1">BQL("CRWD US Equity", "IS_SBC_NON_GAAP/1M", "FPT=A", "FPO=4A", "ACT_EST_MAPPING=PRECISE", "FS=MRC", "CURRENCY=USD", "XLFILL=b")</f>
        <v>#NAME?</v>
      </c>
      <c r="I179" t="e" cm="1">
        <f t="array" aca="1" ref="I179" ca="1">BQL("CRWD US Equity", "IS_SBC_NON_GAAP/1M", "FPT=A", "FPO=5A", "ACT_EST_MAPPING=PRECISE", "FS=MRC", "CURRENCY=USD", "XLFILL=b")</f>
        <v>#NAME?</v>
      </c>
      <c r="J179" t="e" cm="1">
        <f t="array" aca="1" ref="J179" ca="1">BQL("CRWD US Equity", "IS_SBC_NON_GAAP/1M", "FPT=A", "FPO=6A", "ACT_EST_MAPPING=PRECISE", "FS=MRC", "CURRENCY=USD", "XLFILL=b")</f>
        <v>#NAME?</v>
      </c>
      <c r="K179" t="e" cm="1">
        <f t="array" aca="1" ref="K179" ca="1">BQL("CRWD US Equity", "IS_SBC_NON_GAAP/1M", "FPT=A", "FPO=7A", "ACT_EST_MAPPING=PRECISE", "FS=MRC", "CURRENCY=USD", "XLFILL=b")</f>
        <v>#NAME?</v>
      </c>
    </row>
    <row r="180" spans="1:11" x14ac:dyDescent="0.25">
      <c r="A180" t="s">
        <v>61</v>
      </c>
      <c r="B180" t="e" cm="1">
        <f t="array" aca="1" ref="B180" ca="1">BQL("CRWD US Equity", "SBC_NON_GAAP_TO_SALES", "FPT=A", "FPO=-2A", "ACT_EST_MAPPING=PRECISE", "FS=MRC", "CURRENCY=USD", "XLFILL=b")</f>
        <v>#NAME?</v>
      </c>
      <c r="C180" t="e" cm="1">
        <f t="array" aca="1" ref="C180" ca="1">BQL("CRWD US Equity", "SBC_NON_GAAP_TO_SALES", "FPT=A", "FPO=-1A", "ACT_EST_MAPPING=PRECISE", "FS=MRC", "CURRENCY=USD", "XLFILL=b")</f>
        <v>#NAME?</v>
      </c>
      <c r="D180" t="e" cm="1">
        <f t="array" aca="1" ref="D180" ca="1">BQL("CRWD US Equity", "SBC_NON_GAAP_TO_SALES", "FPT=A", "FPO=0A", "ACT_EST_MAPPING=PRECISE", "FS=MRC", "CURRENCY=USD", "XLFILL=b")</f>
        <v>#NAME?</v>
      </c>
      <c r="E180" t="e" cm="1">
        <f t="array" aca="1" ref="E180" ca="1">BQL("CRWD US Equity", "SBC_NON_GAAP_TO_SALES", "FPT=A", "FPO=1A", "ACT_EST_MAPPING=PRECISE", "FS=MRC", "CURRENCY=USD", "XLFILL=b")</f>
        <v>#NAME?</v>
      </c>
      <c r="F180" t="e" cm="1">
        <f t="array" aca="1" ref="F180" ca="1">BQL("CRWD US Equity", "SBC_NON_GAAP_TO_SALES", "FPT=A", "FPO=2A", "ACT_EST_MAPPING=PRECISE", "FS=MRC", "CURRENCY=USD", "XLFILL=b")</f>
        <v>#NAME?</v>
      </c>
      <c r="G180" t="e" cm="1">
        <f t="array" aca="1" ref="G180" ca="1">BQL("CRWD US Equity", "SBC_NON_GAAP_TO_SALES", "FPT=A", "FPO=3A", "ACT_EST_MAPPING=PRECISE", "FS=MRC", "CURRENCY=USD", "XLFILL=b")</f>
        <v>#NAME?</v>
      </c>
      <c r="H180" t="e" cm="1">
        <f t="array" aca="1" ref="H180" ca="1">BQL("CRWD US Equity", "SBC_NON_GAAP_TO_SALES", "FPT=A", "FPO=4A", "ACT_EST_MAPPING=PRECISE", "FS=MRC", "CURRENCY=USD", "XLFILL=b")</f>
        <v>#NAME?</v>
      </c>
      <c r="I180" t="e" cm="1">
        <f t="array" aca="1" ref="I180" ca="1">BQL("CRWD US Equity", "SBC_NON_GAAP_TO_SALES", "FPT=A", "FPO=5A", "ACT_EST_MAPPING=PRECISE", "FS=MRC", "CURRENCY=USD", "XLFILL=b")</f>
        <v>#NAME?</v>
      </c>
      <c r="J180" t="e" cm="1">
        <f t="array" aca="1" ref="J180" ca="1">BQL("CRWD US Equity", "SBC_NON_GAAP_TO_SALES", "FPT=A", "FPO=6A", "ACT_EST_MAPPING=PRECISE", "FS=MRC", "CURRENCY=USD", "XLFILL=b")</f>
        <v>#NAME?</v>
      </c>
      <c r="K180" t="e" cm="1">
        <f t="array" aca="1" ref="K180" ca="1">BQL("CRWD US Equity", "SBC_NON_GAAP_TO_SALES", "FPT=A", "FPO=7A", "ACT_EST_MAPPING=PRECISE", "FS=MRC", "CURRENCY=USD", "XLFILL=b")</f>
        <v>#NAME?</v>
      </c>
    </row>
    <row r="181" spans="1:11" x14ac:dyDescent="0.25">
      <c r="A181" t="s">
        <v>126</v>
      </c>
      <c r="B181" t="e" cm="1">
        <f t="array" aca="1" ref="B181" ca="1">BQL("CRWD US Equity", "IS_SBC_ATTRIB_TO_COGS_PRETX/1M", "FPT=A", "FPO=-2A", "ACT_EST_MAPPING=PRECISE", "FS=MRC", "CURRENCY=USD", "XLFILL=b")</f>
        <v>#NAME?</v>
      </c>
      <c r="C181" t="e" cm="1">
        <f t="array" aca="1" ref="C181" ca="1">BQL("CRWD US Equity", "IS_SBC_ATTRIB_TO_COGS_PRETX/1M", "FPT=A", "FPO=-1A", "ACT_EST_MAPPING=PRECISE", "FS=MRC", "CURRENCY=USD", "XLFILL=b")</f>
        <v>#NAME?</v>
      </c>
      <c r="D181" t="e" cm="1">
        <f t="array" aca="1" ref="D181" ca="1">BQL("CRWD US Equity", "IS_SBC_ATTRIB_TO_COGS_PRETX/1M", "FPT=A", "FPO=0A", "ACT_EST_MAPPING=PRECISE", "FS=MRC", "CURRENCY=USD", "XLFILL=b")</f>
        <v>#NAME?</v>
      </c>
      <c r="E181" t="e" cm="1">
        <f t="array" aca="1" ref="E181" ca="1">BQL("CRWD US Equity", "IS_SBC_ATTRIB_TO_COGS_PRETX/1M", "FPT=A", "FPO=1A", "ACT_EST_MAPPING=PRECISE", "FS=MRC", "CURRENCY=USD", "XLFILL=b")</f>
        <v>#NAME?</v>
      </c>
      <c r="F181" t="e" cm="1">
        <f t="array" aca="1" ref="F181" ca="1">BQL("CRWD US Equity", "IS_SBC_ATTRIB_TO_COGS_PRETX/1M", "FPT=A", "FPO=2A", "ACT_EST_MAPPING=PRECISE", "FS=MRC", "CURRENCY=USD", "XLFILL=b")</f>
        <v>#NAME?</v>
      </c>
      <c r="G181" t="e" cm="1">
        <f t="array" aca="1" ref="G181" ca="1">BQL("CRWD US Equity", "IS_SBC_ATTRIB_TO_COGS_PRETX/1M", "FPT=A", "FPO=3A", "ACT_EST_MAPPING=PRECISE", "FS=MRC", "CURRENCY=USD", "XLFILL=b")</f>
        <v>#NAME?</v>
      </c>
      <c r="H181" t="e" cm="1">
        <f t="array" aca="1" ref="H181" ca="1">BQL("CRWD US Equity", "IS_SBC_ATTRIB_TO_COGS_PRETX/1M", "FPT=A", "FPO=4A", "ACT_EST_MAPPING=PRECISE", "FS=MRC", "CURRENCY=USD", "XLFILL=b")</f>
        <v>#NAME?</v>
      </c>
      <c r="I181" t="e" cm="1">
        <f t="array" aca="1" ref="I181" ca="1">BQL("CRWD US Equity", "IS_SBC_ATTRIB_TO_COGS_PRETX/1M", "FPT=A", "FPO=5A", "ACT_EST_MAPPING=PRECISE", "FS=MRC", "CURRENCY=USD", "XLFILL=b")</f>
        <v>#NAME?</v>
      </c>
      <c r="J181" t="e" cm="1">
        <f t="array" aca="1" ref="J181" ca="1">BQL("CRWD US Equity", "IS_SBC_ATTRIB_TO_COGS_PRETX/1M", "FPT=A", "FPO=6A", "ACT_EST_MAPPING=PRECISE", "FS=MRC", "CURRENCY=USD", "XLFILL=b")</f>
        <v>#NAME?</v>
      </c>
      <c r="K181" t="e" cm="1">
        <f t="array" aca="1" ref="K181" ca="1">BQL("CRWD US Equity", "IS_SBC_ATTRIB_TO_COGS_PRETX/1M", "FPT=A", "FPO=7A", "ACT_EST_MAPPING=PRECISE", "FS=MRC", "CURRENCY=USD", "XLFILL=b")</f>
        <v>#NAME?</v>
      </c>
    </row>
    <row r="182" spans="1:11" x14ac:dyDescent="0.25">
      <c r="A182" t="s">
        <v>114</v>
      </c>
      <c r="B182" t="e" cm="1">
        <f t="array" aca="1" ref="B182" ca="1">BQL("CRWD US Equity", "IS_SBC_ATTRIBUTABLE_TO_R_AND_D_PRETX/1M", "FPT=A", "FPO=-2A", "ACT_EST_MAPPING=PRECISE", "FS=MRC", "CURRENCY=USD", "XLFILL=b")</f>
        <v>#NAME?</v>
      </c>
      <c r="C182" t="e" cm="1">
        <f t="array" aca="1" ref="C182" ca="1">BQL("CRWD US Equity", "IS_SBC_ATTRIBUTABLE_TO_R_AND_D_PRETX/1M", "FPT=A", "FPO=-1A", "ACT_EST_MAPPING=PRECISE", "FS=MRC", "CURRENCY=USD", "XLFILL=b")</f>
        <v>#NAME?</v>
      </c>
      <c r="D182" t="e" cm="1">
        <f t="array" aca="1" ref="D182" ca="1">BQL("CRWD US Equity", "IS_SBC_ATTRIBUTABLE_TO_R_AND_D_PRETX/1M", "FPT=A", "FPO=0A", "ACT_EST_MAPPING=PRECISE", "FS=MRC", "CURRENCY=USD", "XLFILL=b")</f>
        <v>#NAME?</v>
      </c>
      <c r="E182" t="e" cm="1">
        <f t="array" aca="1" ref="E182" ca="1">BQL("CRWD US Equity", "IS_SBC_ATTRIBUTABLE_TO_R_AND_D_PRETX/1M", "FPT=A", "FPO=1A", "ACT_EST_MAPPING=PRECISE", "FS=MRC", "CURRENCY=USD", "XLFILL=b")</f>
        <v>#NAME?</v>
      </c>
      <c r="F182" t="e" cm="1">
        <f t="array" aca="1" ref="F182" ca="1">BQL("CRWD US Equity", "IS_SBC_ATTRIBUTABLE_TO_R_AND_D_PRETX/1M", "FPT=A", "FPO=2A", "ACT_EST_MAPPING=PRECISE", "FS=MRC", "CURRENCY=USD", "XLFILL=b")</f>
        <v>#NAME?</v>
      </c>
      <c r="G182" t="e" cm="1">
        <f t="array" aca="1" ref="G182" ca="1">BQL("CRWD US Equity", "IS_SBC_ATTRIBUTABLE_TO_R_AND_D_PRETX/1M", "FPT=A", "FPO=3A", "ACT_EST_MAPPING=PRECISE", "FS=MRC", "CURRENCY=USD", "XLFILL=b")</f>
        <v>#NAME?</v>
      </c>
      <c r="H182" t="e" cm="1">
        <f t="array" aca="1" ref="H182" ca="1">BQL("CRWD US Equity", "IS_SBC_ATTRIBUTABLE_TO_R_AND_D_PRETX/1M", "FPT=A", "FPO=4A", "ACT_EST_MAPPING=PRECISE", "FS=MRC", "CURRENCY=USD", "XLFILL=b")</f>
        <v>#NAME?</v>
      </c>
      <c r="I182" t="e" cm="1">
        <f t="array" aca="1" ref="I182" ca="1">BQL("CRWD US Equity", "IS_SBC_ATTRIBUTABLE_TO_R_AND_D_PRETX/1M", "FPT=A", "FPO=5A", "ACT_EST_MAPPING=PRECISE", "FS=MRC", "CURRENCY=USD", "XLFILL=b")</f>
        <v>#NAME?</v>
      </c>
      <c r="J182" t="e" cm="1">
        <f t="array" aca="1" ref="J182" ca="1">BQL("CRWD US Equity", "IS_SBC_ATTRIBUTABLE_TO_R_AND_D_PRETX/1M", "FPT=A", "FPO=6A", "ACT_EST_MAPPING=PRECISE", "FS=MRC", "CURRENCY=USD", "XLFILL=b")</f>
        <v>#NAME?</v>
      </c>
      <c r="K182" t="e" cm="1">
        <f t="array" aca="1" ref="K182" ca="1">BQL("CRWD US Equity", "IS_SBC_ATTRIBUTABLE_TO_R_AND_D_PRETX/1M", "FPT=A", "FPO=7A", "ACT_EST_MAPPING=PRECISE", "FS=MRC", "CURRENCY=USD", "XLFILL=b")</f>
        <v>#NAME?</v>
      </c>
    </row>
    <row r="183" spans="1:11" x14ac:dyDescent="0.25">
      <c r="A183" t="s">
        <v>113</v>
      </c>
      <c r="B183" t="e" cm="1">
        <f t="array" aca="1" ref="B183" ca="1">BQL("CRWD US Equity", "IS_SBC_ATT_TO_S_AND_M_PRETX/1M", "FPT=A", "FPO=-2A", "ACT_EST_MAPPING=PRECISE", "FS=MRC", "CURRENCY=USD", "XLFILL=b")</f>
        <v>#NAME?</v>
      </c>
      <c r="C183" t="e" cm="1">
        <f t="array" aca="1" ref="C183" ca="1">BQL("CRWD US Equity", "IS_SBC_ATT_TO_S_AND_M_PRETX/1M", "FPT=A", "FPO=-1A", "ACT_EST_MAPPING=PRECISE", "FS=MRC", "CURRENCY=USD", "XLFILL=b")</f>
        <v>#NAME?</v>
      </c>
      <c r="D183" t="e" cm="1">
        <f t="array" aca="1" ref="D183" ca="1">BQL("CRWD US Equity", "IS_SBC_ATT_TO_S_AND_M_PRETX/1M", "FPT=A", "FPO=0A", "ACT_EST_MAPPING=PRECISE", "FS=MRC", "CURRENCY=USD", "XLFILL=b")</f>
        <v>#NAME?</v>
      </c>
      <c r="E183" t="e" cm="1">
        <f t="array" aca="1" ref="E183" ca="1">BQL("CRWD US Equity", "IS_SBC_ATT_TO_S_AND_M_PRETX/1M", "FPT=A", "FPO=1A", "ACT_EST_MAPPING=PRECISE", "FS=MRC", "CURRENCY=USD", "XLFILL=b")</f>
        <v>#NAME?</v>
      </c>
      <c r="F183" t="e" cm="1">
        <f t="array" aca="1" ref="F183" ca="1">BQL("CRWD US Equity", "IS_SBC_ATT_TO_S_AND_M_PRETX/1M", "FPT=A", "FPO=2A", "ACT_EST_MAPPING=PRECISE", "FS=MRC", "CURRENCY=USD", "XLFILL=b")</f>
        <v>#NAME?</v>
      </c>
      <c r="G183" t="e" cm="1">
        <f t="array" aca="1" ref="G183" ca="1">BQL("CRWD US Equity", "IS_SBC_ATT_TO_S_AND_M_PRETX/1M", "FPT=A", "FPO=3A", "ACT_EST_MAPPING=PRECISE", "FS=MRC", "CURRENCY=USD", "XLFILL=b")</f>
        <v>#NAME?</v>
      </c>
      <c r="H183" t="e" cm="1">
        <f t="array" aca="1" ref="H183" ca="1">BQL("CRWD US Equity", "IS_SBC_ATT_TO_S_AND_M_PRETX/1M", "FPT=A", "FPO=4A", "ACT_EST_MAPPING=PRECISE", "FS=MRC", "CURRENCY=USD", "XLFILL=b")</f>
        <v>#NAME?</v>
      </c>
      <c r="I183" t="e" cm="1">
        <f t="array" aca="1" ref="I183" ca="1">BQL("CRWD US Equity", "IS_SBC_ATT_TO_S_AND_M_PRETX/1M", "FPT=A", "FPO=5A", "ACT_EST_MAPPING=PRECISE", "FS=MRC", "CURRENCY=USD", "XLFILL=b")</f>
        <v>#NAME?</v>
      </c>
      <c r="J183" t="e" cm="1">
        <f t="array" aca="1" ref="J183" ca="1">BQL("CRWD US Equity", "IS_SBC_ATT_TO_S_AND_M_PRETX/1M", "FPT=A", "FPO=6A", "ACT_EST_MAPPING=PRECISE", "FS=MRC", "CURRENCY=USD", "XLFILL=b")</f>
        <v>#NAME?</v>
      </c>
      <c r="K183" t="e" cm="1">
        <f t="array" aca="1" ref="K183" ca="1">BQL("CRWD US Equity", "IS_SBC_ATT_TO_S_AND_M_PRETX/1M", "FPT=A", "FPO=7A", "ACT_EST_MAPPING=PRECISE", "FS=MRC", "CURRENCY=USD", "XLFILL=b")</f>
        <v>#NAME?</v>
      </c>
    </row>
    <row r="184" spans="1:11" x14ac:dyDescent="0.25">
      <c r="A184" t="s">
        <v>115</v>
      </c>
      <c r="B184" t="e" cm="1">
        <f t="array" aca="1" ref="B184" ca="1">BQL("CRWD US Equity", "IS_SBC_ATT_TO_GENL_AND_ADMIN_PRETX/1M", "FPT=A", "FPO=-2A", "ACT_EST_MAPPING=PRECISE", "FS=MRC", "CURRENCY=USD", "XLFILL=b")</f>
        <v>#NAME?</v>
      </c>
      <c r="C184" t="e" cm="1">
        <f t="array" aca="1" ref="C184" ca="1">BQL("CRWD US Equity", "IS_SBC_ATT_TO_GENL_AND_ADMIN_PRETX/1M", "FPT=A", "FPO=-1A", "ACT_EST_MAPPING=PRECISE", "FS=MRC", "CURRENCY=USD", "XLFILL=b")</f>
        <v>#NAME?</v>
      </c>
      <c r="D184" t="e" cm="1">
        <f t="array" aca="1" ref="D184" ca="1">BQL("CRWD US Equity", "IS_SBC_ATT_TO_GENL_AND_ADMIN_PRETX/1M", "FPT=A", "FPO=0A", "ACT_EST_MAPPING=PRECISE", "FS=MRC", "CURRENCY=USD", "XLFILL=b")</f>
        <v>#NAME?</v>
      </c>
      <c r="E184" t="e" cm="1">
        <f t="array" aca="1" ref="E184" ca="1">BQL("CRWD US Equity", "IS_SBC_ATT_TO_GENL_AND_ADMIN_PRETX/1M", "FPT=A", "FPO=1A", "ACT_EST_MAPPING=PRECISE", "FS=MRC", "CURRENCY=USD", "XLFILL=b")</f>
        <v>#NAME?</v>
      </c>
      <c r="F184" t="e" cm="1">
        <f t="array" aca="1" ref="F184" ca="1">BQL("CRWD US Equity", "IS_SBC_ATT_TO_GENL_AND_ADMIN_PRETX/1M", "FPT=A", "FPO=2A", "ACT_EST_MAPPING=PRECISE", "FS=MRC", "CURRENCY=USD", "XLFILL=b")</f>
        <v>#NAME?</v>
      </c>
      <c r="G184" t="e" cm="1">
        <f t="array" aca="1" ref="G184" ca="1">BQL("CRWD US Equity", "IS_SBC_ATT_TO_GENL_AND_ADMIN_PRETX/1M", "FPT=A", "FPO=3A", "ACT_EST_MAPPING=PRECISE", "FS=MRC", "CURRENCY=USD", "XLFILL=b")</f>
        <v>#NAME?</v>
      </c>
      <c r="H184" t="e" cm="1">
        <f t="array" aca="1" ref="H184" ca="1">BQL("CRWD US Equity", "IS_SBC_ATT_TO_GENL_AND_ADMIN_PRETX/1M", "FPT=A", "FPO=4A", "ACT_EST_MAPPING=PRECISE", "FS=MRC", "CURRENCY=USD", "XLFILL=b")</f>
        <v>#NAME?</v>
      </c>
      <c r="I184" t="e" cm="1">
        <f t="array" aca="1" ref="I184" ca="1">BQL("CRWD US Equity", "IS_SBC_ATT_TO_GENL_AND_ADMIN_PRETX/1M", "FPT=A", "FPO=5A", "ACT_EST_MAPPING=PRECISE", "FS=MRC", "CURRENCY=USD", "XLFILL=b")</f>
        <v>#NAME?</v>
      </c>
      <c r="J184" t="e" cm="1">
        <f t="array" aca="1" ref="J184" ca="1">BQL("CRWD US Equity", "IS_SBC_ATT_TO_GENL_AND_ADMIN_PRETX/1M", "FPT=A", "FPO=6A", "ACT_EST_MAPPING=PRECISE", "FS=MRC", "CURRENCY=USD", "XLFILL=b")</f>
        <v>#NAME?</v>
      </c>
      <c r="K184" t="e" cm="1">
        <f t="array" aca="1" ref="K184" ca="1">BQL("CRWD US Equity", "IS_SBC_ATT_TO_GENL_AND_ADMIN_PRETX/1M", "FPT=A", "FPO=7A", "ACT_EST_MAPPING=PRECISE", "FS=MRC", "CURRENCY=USD", "XLFILL=b")</f>
        <v>#NAME?</v>
      </c>
    </row>
    <row r="185" spans="1:11" x14ac:dyDescent="0.25">
      <c r="A185" t="s">
        <v>127</v>
      </c>
      <c r="B185" t="e" cm="1">
        <f t="array" aca="1" ref="B185" ca="1">BQL("CRWD US Equity", "HEADLINE_AMORT_EXPN/1M", "FPT=A", "FPO=-2A", "ACT_EST_MAPPING=PRECISE", "FS=MRC", "CURRENCY=USD", "XLFILL=b")</f>
        <v>#NAME?</v>
      </c>
      <c r="C185" t="e" cm="1">
        <f t="array" aca="1" ref="C185" ca="1">BQL("CRWD US Equity", "HEADLINE_AMORT_EXPN/1M", "FPT=A", "FPO=-1A", "ACT_EST_MAPPING=PRECISE", "FS=MRC", "CURRENCY=USD", "XLFILL=b")</f>
        <v>#NAME?</v>
      </c>
      <c r="D185" t="e" cm="1">
        <f t="array" aca="1" ref="D185" ca="1">BQL("CRWD US Equity", "HEADLINE_AMORT_EXPN/1M", "FPT=A", "FPO=0A", "ACT_EST_MAPPING=PRECISE", "FS=MRC", "CURRENCY=USD", "XLFILL=b")</f>
        <v>#NAME?</v>
      </c>
      <c r="E185" t="e" cm="1">
        <f t="array" aca="1" ref="E185" ca="1">BQL("CRWD US Equity", "HEADLINE_AMORT_EXPN/1M", "FPT=A", "FPO=1A", "ACT_EST_MAPPING=PRECISE", "FS=MRC", "CURRENCY=USD", "XLFILL=b")</f>
        <v>#NAME?</v>
      </c>
      <c r="F185" t="e" cm="1">
        <f t="array" aca="1" ref="F185" ca="1">BQL("CRWD US Equity", "HEADLINE_AMORT_EXPN/1M", "FPT=A", "FPO=2A", "ACT_EST_MAPPING=PRECISE", "FS=MRC", "CURRENCY=USD", "XLFILL=b")</f>
        <v>#NAME?</v>
      </c>
      <c r="G185" t="e" cm="1">
        <f t="array" aca="1" ref="G185" ca="1">BQL("CRWD US Equity", "HEADLINE_AMORT_EXPN/1M", "FPT=A", "FPO=3A", "ACT_EST_MAPPING=PRECISE", "FS=MRC", "CURRENCY=USD", "XLFILL=b")</f>
        <v>#NAME?</v>
      </c>
      <c r="H185" t="e" cm="1">
        <f t="array" aca="1" ref="H185" ca="1">BQL("CRWD US Equity", "HEADLINE_AMORT_EXPN/1M", "FPT=A", "FPO=4A", "ACT_EST_MAPPING=PRECISE", "FS=MRC", "CURRENCY=USD", "XLFILL=b")</f>
        <v>#NAME?</v>
      </c>
      <c r="I185" t="e" cm="1">
        <f t="array" aca="1" ref="I185" ca="1">BQL("CRWD US Equity", "HEADLINE_AMORT_EXPN/1M", "FPT=A", "FPO=5A", "ACT_EST_MAPPING=PRECISE", "FS=MRC", "CURRENCY=USD", "XLFILL=b")</f>
        <v>#NAME?</v>
      </c>
      <c r="J185" t="e" cm="1">
        <f t="array" aca="1" ref="J185" ca="1">BQL("CRWD US Equity", "HEADLINE_AMORT_EXPN/1M", "FPT=A", "FPO=6A", "ACT_EST_MAPPING=PRECISE", "FS=MRC", "CURRENCY=USD", "XLFILL=b")</f>
        <v>#NAME?</v>
      </c>
      <c r="K185" t="e" cm="1">
        <f t="array" aca="1" ref="K185" ca="1">BQL("CRWD US Equity", "HEADLINE_AMORT_EXPN/1M", "FPT=A", "FPO=7A", "ACT_EST_MAPPING=PRECISE", "FS=MRC", "CURRENCY=USD", "XLFILL=b")</f>
        <v>#NAME?</v>
      </c>
    </row>
    <row r="186" spans="1:11" x14ac:dyDescent="0.25">
      <c r="A186" t="s">
        <v>128</v>
      </c>
      <c r="B186" t="e" cm="1">
        <f t="array" aca="1" ref="B186" ca="1">BQL("CRWD US Equity", "IS_AMORT_ACQD_INTANGIBLES_COGS/1M", "FPT=A", "FPO=-2A", "ACT_EST_MAPPING=PRECISE", "FS=MRC", "CURRENCY=USD", "XLFILL=b")</f>
        <v>#NAME?</v>
      </c>
      <c r="C186" t="e" cm="1">
        <f t="array" aca="1" ref="C186" ca="1">BQL("CRWD US Equity", "IS_AMORT_ACQD_INTANGIBLES_COGS/1M", "FPT=A", "FPO=-1A", "ACT_EST_MAPPING=PRECISE", "FS=MRC", "CURRENCY=USD", "XLFILL=b")</f>
        <v>#NAME?</v>
      </c>
      <c r="D186" t="e" cm="1">
        <f t="array" aca="1" ref="D186" ca="1">BQL("CRWD US Equity", "IS_AMORT_ACQD_INTANGIBLES_COGS/1M", "FPT=A", "FPO=0A", "ACT_EST_MAPPING=PRECISE", "FS=MRC", "CURRENCY=USD", "XLFILL=b")</f>
        <v>#NAME?</v>
      </c>
      <c r="E186" t="e" cm="1">
        <f t="array" aca="1" ref="E186" ca="1">BQL("CRWD US Equity", "IS_AMORT_ACQD_INTANGIBLES_COGS/1M", "FPT=A", "FPO=1A", "ACT_EST_MAPPING=PRECISE", "FS=MRC", "CURRENCY=USD", "XLFILL=b")</f>
        <v>#NAME?</v>
      </c>
      <c r="F186" t="e" cm="1">
        <f t="array" aca="1" ref="F186" ca="1">BQL("CRWD US Equity", "IS_AMORT_ACQD_INTANGIBLES_COGS/1M", "FPT=A", "FPO=2A", "ACT_EST_MAPPING=PRECISE", "FS=MRC", "CURRENCY=USD", "XLFILL=b")</f>
        <v>#NAME?</v>
      </c>
      <c r="G186" t="e" cm="1">
        <f t="array" aca="1" ref="G186" ca="1">BQL("CRWD US Equity", "IS_AMORT_ACQD_INTANGIBLES_COGS/1M", "FPT=A", "FPO=3A", "ACT_EST_MAPPING=PRECISE", "FS=MRC", "CURRENCY=USD", "XLFILL=b")</f>
        <v>#NAME?</v>
      </c>
      <c r="H186" t="e" cm="1">
        <f t="array" aca="1" ref="H186" ca="1">BQL("CRWD US Equity", "IS_AMORT_ACQD_INTANGIBLES_COGS/1M", "FPT=A", "FPO=4A", "ACT_EST_MAPPING=PRECISE", "FS=MRC", "CURRENCY=USD", "XLFILL=b")</f>
        <v>#NAME?</v>
      </c>
      <c r="I186" t="e" cm="1">
        <f t="array" aca="1" ref="I186" ca="1">BQL("CRWD US Equity", "IS_AMORT_ACQD_INTANGIBLES_COGS/1M", "FPT=A", "FPO=5A", "ACT_EST_MAPPING=PRECISE", "FS=MRC", "CURRENCY=USD", "XLFILL=b")</f>
        <v>#NAME?</v>
      </c>
      <c r="J186" t="e" cm="1">
        <f t="array" aca="1" ref="J186" ca="1">BQL("CRWD US Equity", "IS_AMORT_ACQD_INTANGIBLES_COGS/1M", "FPT=A", "FPO=6A", "ACT_EST_MAPPING=PRECISE", "FS=MRC", "CURRENCY=USD", "XLFILL=b")</f>
        <v>#NAME?</v>
      </c>
      <c r="K186" t="e" cm="1">
        <f t="array" aca="1" ref="K186" ca="1">BQL("CRWD US Equity", "IS_AMORT_ACQD_INTANGIBLES_COGS/1M", "FPT=A", "FPO=7A", "ACT_EST_MAPPING=PRECISE", "FS=MRC", "CURRENCY=USD", "XLFILL=b")</f>
        <v>#NAME?</v>
      </c>
    </row>
    <row r="187" spans="1:11" x14ac:dyDescent="0.25">
      <c r="A187" t="s">
        <v>114</v>
      </c>
      <c r="B187" t="e" cm="1">
        <f t="array" aca="1" ref="B187" ca="1">BQL("CRWD US Equity", "IS_AMORT_ACQD_INTANGIBLES_R_AND_D/1M", "FPT=A", "FPO=-2A", "ACT_EST_MAPPING=PRECISE", "FS=MRC", "CURRENCY=USD", "XLFILL=b")</f>
        <v>#NAME?</v>
      </c>
      <c r="C187" t="e" cm="1">
        <f t="array" aca="1" ref="C187" ca="1">BQL("CRWD US Equity", "IS_AMORT_ACQD_INTANGIBLES_R_AND_D/1M", "FPT=A", "FPO=-1A", "ACT_EST_MAPPING=PRECISE", "FS=MRC", "CURRENCY=USD", "XLFILL=b")</f>
        <v>#NAME?</v>
      </c>
      <c r="D187" t="e" cm="1">
        <f t="array" aca="1" ref="D187" ca="1">BQL("CRWD US Equity", "IS_AMORT_ACQD_INTANGIBLES_R_AND_D/1M", "FPT=A", "FPO=0A", "ACT_EST_MAPPING=PRECISE", "FS=MRC", "CURRENCY=USD", "XLFILL=b")</f>
        <v>#NAME?</v>
      </c>
      <c r="E187" t="e" cm="1">
        <f t="array" aca="1" ref="E187" ca="1">BQL("CRWD US Equity", "IS_AMORT_ACQD_INTANGIBLES_R_AND_D/1M", "FPT=A", "FPO=1A", "ACT_EST_MAPPING=PRECISE", "FS=MRC", "CURRENCY=USD", "XLFILL=b")</f>
        <v>#NAME?</v>
      </c>
      <c r="F187" t="e" cm="1">
        <f t="array" aca="1" ref="F187" ca="1">BQL("CRWD US Equity", "IS_AMORT_ACQD_INTANGIBLES_R_AND_D/1M", "FPT=A", "FPO=2A", "ACT_EST_MAPPING=PRECISE", "FS=MRC", "CURRENCY=USD", "XLFILL=b")</f>
        <v>#NAME?</v>
      </c>
      <c r="G187" t="e" cm="1">
        <f t="array" aca="1" ref="G187" ca="1">BQL("CRWD US Equity", "IS_AMORT_ACQD_INTANGIBLES_R_AND_D/1M", "FPT=A", "FPO=3A", "ACT_EST_MAPPING=PRECISE", "FS=MRC", "CURRENCY=USD", "XLFILL=b")</f>
        <v>#NAME?</v>
      </c>
      <c r="H187" t="e" cm="1">
        <f t="array" aca="1" ref="H187" ca="1">BQL("CRWD US Equity", "IS_AMORT_ACQD_INTANGIBLES_R_AND_D/1M", "FPT=A", "FPO=4A", "ACT_EST_MAPPING=PRECISE", "FS=MRC", "CURRENCY=USD", "XLFILL=b")</f>
        <v>#NAME?</v>
      </c>
      <c r="I187" t="e" cm="1">
        <f t="array" aca="1" ref="I187" ca="1">BQL("CRWD US Equity", "IS_AMORT_ACQD_INTANGIBLES_R_AND_D/1M", "FPT=A", "FPO=5A", "ACT_EST_MAPPING=PRECISE", "FS=MRC", "CURRENCY=USD", "XLFILL=b")</f>
        <v>#NAME?</v>
      </c>
      <c r="J187" t="e" cm="1">
        <f t="array" aca="1" ref="J187" ca="1">BQL("CRWD US Equity", "IS_AMORT_ACQD_INTANGIBLES_R_AND_D/1M", "FPT=A", "FPO=6A", "ACT_EST_MAPPING=PRECISE", "FS=MRC", "CURRENCY=USD", "XLFILL=b")</f>
        <v>#NAME?</v>
      </c>
      <c r="K187" t="e" cm="1">
        <f t="array" aca="1" ref="K187" ca="1">BQL("CRWD US Equity", "IS_AMORT_ACQD_INTANGIBLES_R_AND_D/1M", "FPT=A", "FPO=7A", "ACT_EST_MAPPING=PRECISE", "FS=MRC", "CURRENCY=USD", "XLFILL=b")</f>
        <v>#NAME?</v>
      </c>
    </row>
    <row r="188" spans="1:11" x14ac:dyDescent="0.25">
      <c r="A188" t="s">
        <v>129</v>
      </c>
      <c r="B188" t="e" cm="1">
        <f t="array" aca="1" ref="B188" ca="1">BQL("CRWD US Equity", "IS_AMORT_ACQD_INTANG_S_AND_M/1M", "FPT=A", "FPO=-2A", "ACT_EST_MAPPING=PRECISE", "FS=MRC", "CURRENCY=USD", "XLFILL=b")</f>
        <v>#NAME?</v>
      </c>
      <c r="C188" t="e" cm="1">
        <f t="array" aca="1" ref="C188" ca="1">BQL("CRWD US Equity", "IS_AMORT_ACQD_INTANG_S_AND_M/1M", "FPT=A", "FPO=-1A", "ACT_EST_MAPPING=PRECISE", "FS=MRC", "CURRENCY=USD", "XLFILL=b")</f>
        <v>#NAME?</v>
      </c>
      <c r="D188" t="e" cm="1">
        <f t="array" aca="1" ref="D188" ca="1">BQL("CRWD US Equity", "IS_AMORT_ACQD_INTANG_S_AND_M/1M", "FPT=A", "FPO=0A", "ACT_EST_MAPPING=PRECISE", "FS=MRC", "CURRENCY=USD", "XLFILL=b")</f>
        <v>#NAME?</v>
      </c>
      <c r="E188" t="e" cm="1">
        <f t="array" aca="1" ref="E188" ca="1">BQL("CRWD US Equity", "IS_AMORT_ACQD_INTANG_S_AND_M/1M", "FPT=A", "FPO=1A", "ACT_EST_MAPPING=PRECISE", "FS=MRC", "CURRENCY=USD", "XLFILL=b")</f>
        <v>#NAME?</v>
      </c>
      <c r="F188" t="e" cm="1">
        <f t="array" aca="1" ref="F188" ca="1">BQL("CRWD US Equity", "IS_AMORT_ACQD_INTANG_S_AND_M/1M", "FPT=A", "FPO=2A", "ACT_EST_MAPPING=PRECISE", "FS=MRC", "CURRENCY=USD", "XLFILL=b")</f>
        <v>#NAME?</v>
      </c>
      <c r="G188" t="e" cm="1">
        <f t="array" aca="1" ref="G188" ca="1">BQL("CRWD US Equity", "IS_AMORT_ACQD_INTANG_S_AND_M/1M", "FPT=A", "FPO=3A", "ACT_EST_MAPPING=PRECISE", "FS=MRC", "CURRENCY=USD", "XLFILL=b")</f>
        <v>#NAME?</v>
      </c>
      <c r="H188" t="e" cm="1">
        <f t="array" aca="1" ref="H188" ca="1">BQL("CRWD US Equity", "IS_AMORT_ACQD_INTANG_S_AND_M/1M", "FPT=A", "FPO=4A", "ACT_EST_MAPPING=PRECISE", "FS=MRC", "CURRENCY=USD", "XLFILL=b")</f>
        <v>#NAME?</v>
      </c>
      <c r="I188" t="e" cm="1">
        <f t="array" aca="1" ref="I188" ca="1">BQL("CRWD US Equity", "IS_AMORT_ACQD_INTANG_S_AND_M/1M", "FPT=A", "FPO=5A", "ACT_EST_MAPPING=PRECISE", "FS=MRC", "CURRENCY=USD", "XLFILL=b")</f>
        <v>#NAME?</v>
      </c>
      <c r="J188" t="e" cm="1">
        <f t="array" aca="1" ref="J188" ca="1">BQL("CRWD US Equity", "IS_AMORT_ACQD_INTANG_S_AND_M/1M", "FPT=A", "FPO=6A", "ACT_EST_MAPPING=PRECISE", "FS=MRC", "CURRENCY=USD", "XLFILL=b")</f>
        <v>#NAME?</v>
      </c>
      <c r="K188" t="e" cm="1">
        <f t="array" aca="1" ref="K188" ca="1">BQL("CRWD US Equity", "IS_AMORT_ACQD_INTANG_S_AND_M/1M", "FPT=A", "FPO=7A", "ACT_EST_MAPPING=PRECISE", "FS=MRC", "CURRENCY=USD", "XLFILL=b")</f>
        <v>#NAME?</v>
      </c>
    </row>
    <row r="189" spans="1:11" x14ac:dyDescent="0.25">
      <c r="A189" t="s">
        <v>115</v>
      </c>
      <c r="B189" t="e" cm="1">
        <f t="array" aca="1" ref="B189" ca="1">BQL("CRWD US Equity", "IS_AMORT_ACQD_INTANG_GEN_AND_ADMIN/1M", "FPT=A", "FPO=-2A", "ACT_EST_MAPPING=PRECISE", "FS=MRC", "CURRENCY=USD", "XLFILL=b")</f>
        <v>#NAME?</v>
      </c>
      <c r="C189" t="e" cm="1">
        <f t="array" aca="1" ref="C189" ca="1">BQL("CRWD US Equity", "IS_AMORT_ACQD_INTANG_GEN_AND_ADMIN/1M", "FPT=A", "FPO=-1A", "ACT_EST_MAPPING=PRECISE", "FS=MRC", "CURRENCY=USD", "XLFILL=b")</f>
        <v>#NAME?</v>
      </c>
      <c r="D189" t="e" cm="1">
        <f t="array" aca="1" ref="D189" ca="1">BQL("CRWD US Equity", "IS_AMORT_ACQD_INTANG_GEN_AND_ADMIN/1M", "FPT=A", "FPO=0A", "ACT_EST_MAPPING=PRECISE", "FS=MRC", "CURRENCY=USD", "XLFILL=b")</f>
        <v>#NAME?</v>
      </c>
      <c r="E189" t="e" cm="1">
        <f t="array" aca="1" ref="E189" ca="1">BQL("CRWD US Equity", "IS_AMORT_ACQD_INTANG_GEN_AND_ADMIN/1M", "FPT=A", "FPO=1A", "ACT_EST_MAPPING=PRECISE", "FS=MRC", "CURRENCY=USD", "XLFILL=b")</f>
        <v>#NAME?</v>
      </c>
      <c r="F189" t="e" cm="1">
        <f t="array" aca="1" ref="F189" ca="1">BQL("CRWD US Equity", "IS_AMORT_ACQD_INTANG_GEN_AND_ADMIN/1M", "FPT=A", "FPO=2A", "ACT_EST_MAPPING=PRECISE", "FS=MRC", "CURRENCY=USD", "XLFILL=b")</f>
        <v>#NAME?</v>
      </c>
      <c r="G189" t="e" cm="1">
        <f t="array" aca="1" ref="G189" ca="1">BQL("CRWD US Equity", "IS_AMORT_ACQD_INTANG_GEN_AND_ADMIN/1M", "FPT=A", "FPO=3A", "ACT_EST_MAPPING=PRECISE", "FS=MRC", "CURRENCY=USD", "XLFILL=b")</f>
        <v>#NAME?</v>
      </c>
      <c r="H189" t="e" cm="1">
        <f t="array" aca="1" ref="H189" ca="1">BQL("CRWD US Equity", "IS_AMORT_ACQD_INTANG_GEN_AND_ADMIN/1M", "FPT=A", "FPO=4A", "ACT_EST_MAPPING=PRECISE", "FS=MRC", "CURRENCY=USD", "XLFILL=b")</f>
        <v>#NAME?</v>
      </c>
      <c r="I189" t="e" cm="1">
        <f t="array" aca="1" ref="I189" ca="1">BQL("CRWD US Equity", "IS_AMORT_ACQD_INTANG_GEN_AND_ADMIN/1M", "FPT=A", "FPO=5A", "ACT_EST_MAPPING=PRECISE", "FS=MRC", "CURRENCY=USD", "XLFILL=b")</f>
        <v>#NAME?</v>
      </c>
      <c r="J189" t="e" cm="1">
        <f t="array" aca="1" ref="J189" ca="1">BQL("CRWD US Equity", "IS_AMORT_ACQD_INTANG_GEN_AND_ADMIN/1M", "FPT=A", "FPO=6A", "ACT_EST_MAPPING=PRECISE", "FS=MRC", "CURRENCY=USD", "XLFILL=b")</f>
        <v>#NAME?</v>
      </c>
      <c r="K189" t="e" cm="1">
        <f t="array" aca="1" ref="K189" ca="1">BQL("CRWD US Equity", "IS_AMORT_ACQD_INTANG_GEN_AND_ADMIN/1M", "FPT=A", "FPO=7A", "ACT_EST_MAPPING=PRECISE", "FS=MRC", "CURRENCY=USD", "XLFILL=b")</f>
        <v>#NAME?</v>
      </c>
    </row>
    <row r="190" spans="1:11" x14ac:dyDescent="0.25">
      <c r="A190" t="s">
        <v>130</v>
      </c>
      <c r="B190" t="e" cm="1">
        <f t="array" aca="1" ref="B190" ca="1">BQL("CRWD US Equity", "IS_INC_TAX_EFFECT_NONGAAP_REC/1M", "FPT=A", "FPO=-2A", "ACT_EST_MAPPING=PRECISE", "FS=MRC", "CURRENCY=USD", "XLFILL=b")</f>
        <v>#NAME?</v>
      </c>
      <c r="C190" t="e" cm="1">
        <f t="array" aca="1" ref="C190" ca="1">BQL("CRWD US Equity", "IS_INC_TAX_EFFECT_NONGAAP_REC/1M", "FPT=A", "FPO=-1A", "ACT_EST_MAPPING=PRECISE", "FS=MRC", "CURRENCY=USD", "XLFILL=b")</f>
        <v>#NAME?</v>
      </c>
      <c r="D190" t="e" cm="1">
        <f t="array" aca="1" ref="D190" ca="1">BQL("CRWD US Equity", "IS_INC_TAX_EFFECT_NONGAAP_REC/1M", "FPT=A", "FPO=0A", "ACT_EST_MAPPING=PRECISE", "FS=MRC", "CURRENCY=USD", "XLFILL=b")</f>
        <v>#NAME?</v>
      </c>
      <c r="E190" t="e" cm="1">
        <f t="array" aca="1" ref="E190" ca="1">BQL("CRWD US Equity", "IS_INC_TAX_EFFECT_NONGAAP_REC/1M", "FPT=A", "FPO=1A", "ACT_EST_MAPPING=PRECISE", "FS=MRC", "CURRENCY=USD", "XLFILL=b")</f>
        <v>#NAME?</v>
      </c>
      <c r="F190" t="e" cm="1">
        <f t="array" aca="1" ref="F190" ca="1">BQL("CRWD US Equity", "IS_INC_TAX_EFFECT_NONGAAP_REC/1M", "FPT=A", "FPO=2A", "ACT_EST_MAPPING=PRECISE", "FS=MRC", "CURRENCY=USD", "XLFILL=b")</f>
        <v>#NAME?</v>
      </c>
      <c r="G190" t="e" cm="1">
        <f t="array" aca="1" ref="G190" ca="1">BQL("CRWD US Equity", "IS_INC_TAX_EFFECT_NONGAAP_REC/1M", "FPT=A", "FPO=3A", "ACT_EST_MAPPING=PRECISE", "FS=MRC", "CURRENCY=USD", "XLFILL=b")</f>
        <v>#NAME?</v>
      </c>
      <c r="H190" t="e" cm="1">
        <f t="array" aca="1" ref="H190" ca="1">BQL("CRWD US Equity", "IS_INC_TAX_EFFECT_NONGAAP_REC/1M", "FPT=A", "FPO=4A", "ACT_EST_MAPPING=PRECISE", "FS=MRC", "CURRENCY=USD", "XLFILL=b")</f>
        <v>#NAME?</v>
      </c>
      <c r="I190" t="e" cm="1">
        <f t="array" aca="1" ref="I190" ca="1">BQL("CRWD US Equity", "IS_INC_TAX_EFFECT_NONGAAP_REC/1M", "FPT=A", "FPO=5A", "ACT_EST_MAPPING=PRECISE", "FS=MRC", "CURRENCY=USD", "XLFILL=b")</f>
        <v>#NAME?</v>
      </c>
      <c r="J190" t="e" cm="1">
        <f t="array" aca="1" ref="J190" ca="1">BQL("CRWD US Equity", "IS_INC_TAX_EFFECT_NONGAAP_REC/1M", "FPT=A", "FPO=6A", "ACT_EST_MAPPING=PRECISE", "FS=MRC", "CURRENCY=USD", "XLFILL=b")</f>
        <v>#NAME?</v>
      </c>
      <c r="K190" t="e" cm="1">
        <f t="array" aca="1" ref="K190" ca="1">BQL("CRWD US Equity", "IS_INC_TAX_EFFECT_NONGAAP_REC/1M", "FPT=A", "FPO=7A", "ACT_EST_MAPPING=PRECISE", "FS=MRC", "CURRENCY=USD", "XLFILL=b")</f>
        <v>#NAME?</v>
      </c>
    </row>
    <row r="191" spans="1:11" x14ac:dyDescent="0.25">
      <c r="A191" t="s">
        <v>131</v>
      </c>
    </row>
    <row r="192" spans="1:11" x14ac:dyDescent="0.25">
      <c r="A192" t="s">
        <v>132</v>
      </c>
      <c r="B192" t="e" cm="1">
        <f t="array" aca="1" ref="B192" ca="1">BQL("CRWD US Equity", "IS_MERGER_AND_ACQUIS_EXPN_OP/1M", "FPT=A", "FPO=-2A", "ACT_EST_MAPPING=PRECISE", "FS=MRC", "CURRENCY=USD", "XLFILL=b")</f>
        <v>#NAME?</v>
      </c>
      <c r="C192" t="e" cm="1">
        <f t="array" aca="1" ref="C192" ca="1">BQL("CRWD US Equity", "IS_MERGER_AND_ACQUIS_EXPN_OP/1M", "FPT=A", "FPO=-1A", "ACT_EST_MAPPING=PRECISE", "FS=MRC", "CURRENCY=USD", "XLFILL=b")</f>
        <v>#NAME?</v>
      </c>
      <c r="D192" t="e" cm="1">
        <f t="array" aca="1" ref="D192" ca="1">BQL("CRWD US Equity", "IS_MERGER_AND_ACQUIS_EXPN_OP/1M", "FPT=A", "FPO=0A", "ACT_EST_MAPPING=PRECISE", "FS=MRC", "CURRENCY=USD", "XLFILL=b")</f>
        <v>#NAME?</v>
      </c>
      <c r="E192" t="e" cm="1">
        <f t="array" aca="1" ref="E192" ca="1">BQL("CRWD US Equity", "IS_MERGER_AND_ACQUIS_EXPN_OP/1M", "FPT=A", "FPO=1A", "ACT_EST_MAPPING=PRECISE", "FS=MRC", "CURRENCY=USD", "XLFILL=b")</f>
        <v>#NAME?</v>
      </c>
      <c r="F192" t="e" cm="1">
        <f t="array" aca="1" ref="F192" ca="1">BQL("CRWD US Equity", "IS_MERGER_AND_ACQUIS_EXPN_OP/1M", "FPT=A", "FPO=2A", "ACT_EST_MAPPING=PRECISE", "FS=MRC", "CURRENCY=USD", "XLFILL=b")</f>
        <v>#NAME?</v>
      </c>
      <c r="G192" t="e" cm="1">
        <f t="array" aca="1" ref="G192" ca="1">BQL("CRWD US Equity", "IS_MERGER_AND_ACQUIS_EXPN_OP/1M", "FPT=A", "FPO=3A", "ACT_EST_MAPPING=PRECISE", "FS=MRC", "CURRENCY=USD", "XLFILL=b")</f>
        <v>#NAME?</v>
      </c>
      <c r="H192" t="e" cm="1">
        <f t="array" aca="1" ref="H192" ca="1">BQL("CRWD US Equity", "IS_MERGER_AND_ACQUIS_EXPN_OP/1M", "FPT=A", "FPO=4A", "ACT_EST_MAPPING=PRECISE", "FS=MRC", "CURRENCY=USD", "XLFILL=b")</f>
        <v>#NAME?</v>
      </c>
      <c r="I192" t="e" cm="1">
        <f t="array" aca="1" ref="I192" ca="1">BQL("CRWD US Equity", "IS_MERGER_AND_ACQUIS_EXPN_OP/1M", "FPT=A", "FPO=5A", "ACT_EST_MAPPING=PRECISE", "FS=MRC", "CURRENCY=USD", "XLFILL=b")</f>
        <v>#NAME?</v>
      </c>
      <c r="J192" t="e" cm="1">
        <f t="array" aca="1" ref="J192" ca="1">BQL("CRWD US Equity", "IS_MERGER_AND_ACQUIS_EXPN_OP/1M", "FPT=A", "FPO=6A", "ACT_EST_MAPPING=PRECISE", "FS=MRC", "CURRENCY=USD", "XLFILL=b")</f>
        <v>#NAME?</v>
      </c>
      <c r="K192" t="e" cm="1">
        <f t="array" aca="1" ref="K192" ca="1">BQL("CRWD US Equity", "IS_MERGER_AND_ACQUIS_EXPN_OP/1M", "FPT=A", "FPO=7A", "ACT_EST_MAPPING=PRECISE", "FS=MRC", "CURRENCY=USD", "XLFILL=b")</f>
        <v>#NAME?</v>
      </c>
    </row>
    <row r="193" spans="1:11" x14ac:dyDescent="0.25">
      <c r="A193" t="s">
        <v>133</v>
      </c>
      <c r="B193" t="e" cm="1">
        <f t="array" aca="1" ref="B193" ca="1">BQL("CRWD US Equity", "IS_SG_AND_A_ADJUSTMENTS/1M", "FPT=A", "FPO=-2A", "ACT_EST_MAPPING=PRECISE", "FS=MRC", "CURRENCY=USD", "XLFILL=b")</f>
        <v>#NAME?</v>
      </c>
      <c r="C193" t="e" cm="1">
        <f t="array" aca="1" ref="C193" ca="1">BQL("CRWD US Equity", "IS_SG_AND_A_ADJUSTMENTS/1M", "FPT=A", "FPO=-1A", "ACT_EST_MAPPING=PRECISE", "FS=MRC", "CURRENCY=USD", "XLFILL=b")</f>
        <v>#NAME?</v>
      </c>
      <c r="D193" t="e" cm="1">
        <f t="array" aca="1" ref="D193" ca="1">BQL("CRWD US Equity", "IS_SG_AND_A_ADJUSTMENTS/1M", "FPT=A", "FPO=0A", "ACT_EST_MAPPING=PRECISE", "FS=MRC", "CURRENCY=USD", "XLFILL=b")</f>
        <v>#NAME?</v>
      </c>
      <c r="E193" t="e" cm="1">
        <f t="array" aca="1" ref="E193" ca="1">BQL("CRWD US Equity", "IS_SG_AND_A_ADJUSTMENTS/1M", "FPT=A", "FPO=1A", "ACT_EST_MAPPING=PRECISE", "FS=MRC", "CURRENCY=USD", "XLFILL=b")</f>
        <v>#NAME?</v>
      </c>
      <c r="F193" t="e" cm="1">
        <f t="array" aca="1" ref="F193" ca="1">BQL("CRWD US Equity", "IS_SG_AND_A_ADJUSTMENTS/1M", "FPT=A", "FPO=2A", "ACT_EST_MAPPING=PRECISE", "FS=MRC", "CURRENCY=USD", "XLFILL=b")</f>
        <v>#NAME?</v>
      </c>
      <c r="G193" t="e" cm="1">
        <f t="array" aca="1" ref="G193" ca="1">BQL("CRWD US Equity", "IS_SG_AND_A_ADJUSTMENTS/1M", "FPT=A", "FPO=3A", "ACT_EST_MAPPING=PRECISE", "FS=MRC", "CURRENCY=USD", "XLFILL=b")</f>
        <v>#NAME?</v>
      </c>
      <c r="H193" t="e" cm="1">
        <f t="array" aca="1" ref="H193" ca="1">BQL("CRWD US Equity", "IS_SG_AND_A_ADJUSTMENTS/1M", "FPT=A", "FPO=4A", "ACT_EST_MAPPING=PRECISE", "FS=MRC", "CURRENCY=USD", "XLFILL=b")</f>
        <v>#NAME?</v>
      </c>
      <c r="I193" t="e" cm="1">
        <f t="array" aca="1" ref="I193" ca="1">BQL("CRWD US Equity", "IS_SG_AND_A_ADJUSTMENTS/1M", "FPT=A", "FPO=5A", "ACT_EST_MAPPING=PRECISE", "FS=MRC", "CURRENCY=USD", "XLFILL=b")</f>
        <v>#NAME?</v>
      </c>
      <c r="J193" t="e" cm="1">
        <f t="array" aca="1" ref="J193" ca="1">BQL("CRWD US Equity", "IS_SG_AND_A_ADJUSTMENTS/1M", "FPT=A", "FPO=6A", "ACT_EST_MAPPING=PRECISE", "FS=MRC", "CURRENCY=USD", "XLFILL=b")</f>
        <v>#NAME?</v>
      </c>
      <c r="K193" t="e" cm="1">
        <f t="array" aca="1" ref="K193" ca="1">BQL("CRWD US Equity", "IS_SG_AND_A_ADJUSTMENTS/1M", "FPT=A", "FPO=7A", "ACT_EST_MAPPING=PRECISE", "FS=MRC", "CURRENCY=USD", "XLFILL=b")</f>
        <v>#NAME?</v>
      </c>
    </row>
    <row r="194" spans="1:11" x14ac:dyDescent="0.25">
      <c r="A194" t="s">
        <v>17</v>
      </c>
    </row>
    <row r="195" spans="1:11" x14ac:dyDescent="0.25">
      <c r="A195" t="s">
        <v>134</v>
      </c>
    </row>
    <row r="196" spans="1:11" x14ac:dyDescent="0.25">
      <c r="A196" t="s">
        <v>135</v>
      </c>
    </row>
    <row r="197" spans="1:11" x14ac:dyDescent="0.25">
      <c r="A197" t="s">
        <v>136</v>
      </c>
      <c r="B197" t="e" cm="1">
        <f t="array" aca="1" ref="B197" ca="1">BQL("CRWD US Equity", "BS_CUR_ASSET_REPORT/1M", "FPT=A", "FPO=-2A", "ACT_EST_MAPPING=PRECISE", "FS=MRC", "CURRENCY=USD", "XLFILL=b")</f>
        <v>#NAME?</v>
      </c>
      <c r="C197" t="e" cm="1">
        <f t="array" aca="1" ref="C197" ca="1">BQL("CRWD US Equity", "BS_CUR_ASSET_REPORT/1M", "FPT=A", "FPO=-1A", "ACT_EST_MAPPING=PRECISE", "FS=MRC", "CURRENCY=USD", "XLFILL=b")</f>
        <v>#NAME?</v>
      </c>
      <c r="D197" t="e" cm="1">
        <f t="array" aca="1" ref="D197" ca="1">BQL("CRWD US Equity", "BS_CUR_ASSET_REPORT/1M", "FPT=A", "FPO=0A", "ACT_EST_MAPPING=PRECISE", "FS=MRC", "CURRENCY=USD", "XLFILL=b")</f>
        <v>#NAME?</v>
      </c>
      <c r="E197" t="e" cm="1">
        <f t="array" aca="1" ref="E197" ca="1">BQL("CRWD US Equity", "BS_CUR_ASSET_REPORT/1M", "FPT=A", "FPO=1A", "ACT_EST_MAPPING=PRECISE", "FS=MRC", "CURRENCY=USD", "XLFILL=b")</f>
        <v>#NAME?</v>
      </c>
      <c r="F197" t="e" cm="1">
        <f t="array" aca="1" ref="F197" ca="1">BQL("CRWD US Equity", "BS_CUR_ASSET_REPORT/1M", "FPT=A", "FPO=2A", "ACT_EST_MAPPING=PRECISE", "FS=MRC", "CURRENCY=USD", "XLFILL=b")</f>
        <v>#NAME?</v>
      </c>
      <c r="G197" t="e" cm="1">
        <f t="array" aca="1" ref="G197" ca="1">BQL("CRWD US Equity", "BS_CUR_ASSET_REPORT/1M", "FPT=A", "FPO=3A", "ACT_EST_MAPPING=PRECISE", "FS=MRC", "CURRENCY=USD", "XLFILL=b")</f>
        <v>#NAME?</v>
      </c>
      <c r="H197" t="e" cm="1">
        <f t="array" aca="1" ref="H197" ca="1">BQL("CRWD US Equity", "BS_CUR_ASSET_REPORT/1M", "FPT=A", "FPO=4A", "ACT_EST_MAPPING=PRECISE", "FS=MRC", "CURRENCY=USD", "XLFILL=b")</f>
        <v>#NAME?</v>
      </c>
      <c r="I197" t="e" cm="1">
        <f t="array" aca="1" ref="I197" ca="1">BQL("CRWD US Equity", "BS_CUR_ASSET_REPORT/1M", "FPT=A", "FPO=5A", "ACT_EST_MAPPING=PRECISE", "FS=MRC", "CURRENCY=USD", "XLFILL=b")</f>
        <v>#NAME?</v>
      </c>
      <c r="J197" t="e" cm="1">
        <f t="array" aca="1" ref="J197" ca="1">BQL("CRWD US Equity", "BS_CUR_ASSET_REPORT/1M", "FPT=A", "FPO=6A", "ACT_EST_MAPPING=PRECISE", "FS=MRC", "CURRENCY=USD", "XLFILL=b")</f>
        <v>#NAME?</v>
      </c>
      <c r="K197" t="e" cm="1">
        <f t="array" aca="1" ref="K197" ca="1">BQL("CRWD US Equity", "BS_CUR_ASSET_REPORT/1M", "FPT=A", "FPO=7A", "ACT_EST_MAPPING=PRECISE", "FS=MRC", "CURRENCY=USD", "XLFILL=b")</f>
        <v>#NAME?</v>
      </c>
    </row>
    <row r="198" spans="1:11" x14ac:dyDescent="0.25">
      <c r="A198" t="s">
        <v>137</v>
      </c>
      <c r="B198" t="e" cm="1">
        <f t="array" aca="1" ref="B198" ca="1">BQL("CRWD US Equity", "BS_CASH_CASH_EQUIVALENTS_AND_STI/1M", "FPT=A", "FPO=-2A", "ACT_EST_MAPPING=PRECISE", "FS=MRC", "CURRENCY=USD", "XLFILL=b")</f>
        <v>#NAME?</v>
      </c>
      <c r="C198" t="e" cm="1">
        <f t="array" aca="1" ref="C198" ca="1">BQL("CRWD US Equity", "BS_CASH_CASH_EQUIVALENTS_AND_STI/1M", "FPT=A", "FPO=-1A", "ACT_EST_MAPPING=PRECISE", "FS=MRC", "CURRENCY=USD", "XLFILL=b")</f>
        <v>#NAME?</v>
      </c>
      <c r="D198" t="e" cm="1">
        <f t="array" aca="1" ref="D198" ca="1">BQL("CRWD US Equity", "BS_CASH_CASH_EQUIVALENTS_AND_STI/1M", "FPT=A", "FPO=0A", "ACT_EST_MAPPING=PRECISE", "FS=MRC", "CURRENCY=USD", "XLFILL=b")</f>
        <v>#NAME?</v>
      </c>
      <c r="E198" t="e" cm="1">
        <f t="array" aca="1" ref="E198" ca="1">BQL("CRWD US Equity", "BS_CASH_CASH_EQUIVALENTS_AND_STI/1M", "FPT=A", "FPO=1A", "ACT_EST_MAPPING=PRECISE", "FS=MRC", "CURRENCY=USD", "XLFILL=b")</f>
        <v>#NAME?</v>
      </c>
      <c r="F198" t="e" cm="1">
        <f t="array" aca="1" ref="F198" ca="1">BQL("CRWD US Equity", "BS_CASH_CASH_EQUIVALENTS_AND_STI/1M", "FPT=A", "FPO=2A", "ACT_EST_MAPPING=PRECISE", "FS=MRC", "CURRENCY=USD", "XLFILL=b")</f>
        <v>#NAME?</v>
      </c>
      <c r="G198" t="e" cm="1">
        <f t="array" aca="1" ref="G198" ca="1">BQL("CRWD US Equity", "BS_CASH_CASH_EQUIVALENTS_AND_STI/1M", "FPT=A", "FPO=3A", "ACT_EST_MAPPING=PRECISE", "FS=MRC", "CURRENCY=USD", "XLFILL=b")</f>
        <v>#NAME?</v>
      </c>
      <c r="H198" t="e" cm="1">
        <f t="array" aca="1" ref="H198" ca="1">BQL("CRWD US Equity", "BS_CASH_CASH_EQUIVALENTS_AND_STI/1M", "FPT=A", "FPO=4A", "ACT_EST_MAPPING=PRECISE", "FS=MRC", "CURRENCY=USD", "XLFILL=b")</f>
        <v>#NAME?</v>
      </c>
      <c r="I198" t="e" cm="1">
        <f t="array" aca="1" ref="I198" ca="1">BQL("CRWD US Equity", "BS_CASH_CASH_EQUIVALENTS_AND_STI/1M", "FPT=A", "FPO=5A", "ACT_EST_MAPPING=PRECISE", "FS=MRC", "CURRENCY=USD", "XLFILL=b")</f>
        <v>#NAME?</v>
      </c>
      <c r="J198" t="e" cm="1">
        <f t="array" aca="1" ref="J198" ca="1">BQL("CRWD US Equity", "BS_CASH_CASH_EQUIVALENTS_AND_STI/1M", "FPT=A", "FPO=6A", "ACT_EST_MAPPING=PRECISE", "FS=MRC", "CURRENCY=USD", "XLFILL=b")</f>
        <v>#NAME?</v>
      </c>
      <c r="K198" t="e" cm="1">
        <f t="array" aca="1" ref="K198" ca="1">BQL("CRWD US Equity", "BS_CASH_CASH_EQUIVALENTS_AND_STI/1M", "FPT=A", "FPO=7A", "ACT_EST_MAPPING=PRECISE", "FS=MRC", "CURRENCY=USD", "XLFILL=b")</f>
        <v>#NAME?</v>
      </c>
    </row>
    <row r="199" spans="1:11" x14ac:dyDescent="0.25">
      <c r="A199" t="s">
        <v>138</v>
      </c>
      <c r="B199" t="e" cm="1">
        <f t="array" aca="1" ref="B199" ca="1">BQL("CRWD US Equity", "CASH_ST_LT_INVESTMENTS/1M", "FPT=A", "FPO=-2A", "ACT_EST_MAPPING=PRECISE", "FS=MRC", "CURRENCY=USD", "XLFILL=b")</f>
        <v>#NAME?</v>
      </c>
      <c r="C199" t="e" cm="1">
        <f t="array" aca="1" ref="C199" ca="1">BQL("CRWD US Equity", "CASH_ST_LT_INVESTMENTS/1M", "FPT=A", "FPO=-1A", "ACT_EST_MAPPING=PRECISE", "FS=MRC", "CURRENCY=USD", "XLFILL=b")</f>
        <v>#NAME?</v>
      </c>
      <c r="D199" t="e" cm="1">
        <f t="array" aca="1" ref="D199" ca="1">BQL("CRWD US Equity", "CASH_ST_LT_INVESTMENTS/1M", "FPT=A", "FPO=0A", "ACT_EST_MAPPING=PRECISE", "FS=MRC", "CURRENCY=USD", "XLFILL=b")</f>
        <v>#NAME?</v>
      </c>
      <c r="E199" t="e" cm="1">
        <f t="array" aca="1" ref="E199" ca="1">BQL("CRWD US Equity", "CASH_ST_LT_INVESTMENTS/1M", "FPT=A", "FPO=1A", "ACT_EST_MAPPING=PRECISE", "FS=MRC", "CURRENCY=USD", "XLFILL=b")</f>
        <v>#NAME?</v>
      </c>
      <c r="F199" t="e" cm="1">
        <f t="array" aca="1" ref="F199" ca="1">BQL("CRWD US Equity", "CASH_ST_LT_INVESTMENTS/1M", "FPT=A", "FPO=2A", "ACT_EST_MAPPING=PRECISE", "FS=MRC", "CURRENCY=USD", "XLFILL=b")</f>
        <v>#NAME?</v>
      </c>
      <c r="G199" t="e" cm="1">
        <f t="array" aca="1" ref="G199" ca="1">BQL("CRWD US Equity", "CASH_ST_LT_INVESTMENTS/1M", "FPT=A", "FPO=3A", "ACT_EST_MAPPING=PRECISE", "FS=MRC", "CURRENCY=USD", "XLFILL=b")</f>
        <v>#NAME?</v>
      </c>
      <c r="H199" t="e" cm="1">
        <f t="array" aca="1" ref="H199" ca="1">BQL("CRWD US Equity", "CASH_ST_LT_INVESTMENTS/1M", "FPT=A", "FPO=4A", "ACT_EST_MAPPING=PRECISE", "FS=MRC", "CURRENCY=USD", "XLFILL=b")</f>
        <v>#NAME?</v>
      </c>
      <c r="I199" t="e" cm="1">
        <f t="array" aca="1" ref="I199" ca="1">BQL("CRWD US Equity", "CASH_ST_LT_INVESTMENTS/1M", "FPT=A", "FPO=5A", "ACT_EST_MAPPING=PRECISE", "FS=MRC", "CURRENCY=USD", "XLFILL=b")</f>
        <v>#NAME?</v>
      </c>
      <c r="J199" t="e" cm="1">
        <f t="array" aca="1" ref="J199" ca="1">BQL("CRWD US Equity", "CASH_ST_LT_INVESTMENTS/1M", "FPT=A", "FPO=6A", "ACT_EST_MAPPING=PRECISE", "FS=MRC", "CURRENCY=USD", "XLFILL=b")</f>
        <v>#NAME?</v>
      </c>
      <c r="K199" t="e" cm="1">
        <f t="array" aca="1" ref="K199" ca="1">BQL("CRWD US Equity", "CASH_ST_LT_INVESTMENTS/1M", "FPT=A", "FPO=7A", "ACT_EST_MAPPING=PRECISE", "FS=MRC", "CURRENCY=USD", "XLFILL=b")</f>
        <v>#NAME?</v>
      </c>
    </row>
    <row r="200" spans="1:11" x14ac:dyDescent="0.25">
      <c r="A200" t="s">
        <v>139</v>
      </c>
      <c r="B200" t="e" cm="1">
        <f t="array" aca="1" ref="B200" ca="1">BQL("CRWD US Equity", "BS_CASH_NEAR_CASH_ITEM/1M", "FPT=A", "FPO=-2A", "ACT_EST_MAPPING=PRECISE", "FS=MRC", "CURRENCY=USD", "XLFILL=b")</f>
        <v>#NAME?</v>
      </c>
      <c r="C200" t="e" cm="1">
        <f t="array" aca="1" ref="C200" ca="1">BQL("CRWD US Equity", "BS_CASH_NEAR_CASH_ITEM/1M", "FPT=A", "FPO=-1A", "ACT_EST_MAPPING=PRECISE", "FS=MRC", "CURRENCY=USD", "XLFILL=b")</f>
        <v>#NAME?</v>
      </c>
      <c r="D200" t="e" cm="1">
        <f t="array" aca="1" ref="D200" ca="1">BQL("CRWD US Equity", "BS_CASH_NEAR_CASH_ITEM/1M", "FPT=A", "FPO=0A", "ACT_EST_MAPPING=PRECISE", "FS=MRC", "CURRENCY=USD", "XLFILL=b")</f>
        <v>#NAME?</v>
      </c>
      <c r="E200" t="e" cm="1">
        <f t="array" aca="1" ref="E200" ca="1">BQL("CRWD US Equity", "BS_CASH_NEAR_CASH_ITEM/1M", "FPT=A", "FPO=1A", "ACT_EST_MAPPING=PRECISE", "FS=MRC", "CURRENCY=USD", "XLFILL=b")</f>
        <v>#NAME?</v>
      </c>
      <c r="F200" t="e" cm="1">
        <f t="array" aca="1" ref="F200" ca="1">BQL("CRWD US Equity", "BS_CASH_NEAR_CASH_ITEM/1M", "FPT=A", "FPO=2A", "ACT_EST_MAPPING=PRECISE", "FS=MRC", "CURRENCY=USD", "XLFILL=b")</f>
        <v>#NAME?</v>
      </c>
      <c r="G200" t="e" cm="1">
        <f t="array" aca="1" ref="G200" ca="1">BQL("CRWD US Equity", "BS_CASH_NEAR_CASH_ITEM/1M", "FPT=A", "FPO=3A", "ACT_EST_MAPPING=PRECISE", "FS=MRC", "CURRENCY=USD", "XLFILL=b")</f>
        <v>#NAME?</v>
      </c>
      <c r="H200" t="e" cm="1">
        <f t="array" aca="1" ref="H200" ca="1">BQL("CRWD US Equity", "BS_CASH_NEAR_CASH_ITEM/1M", "FPT=A", "FPO=4A", "ACT_EST_MAPPING=PRECISE", "FS=MRC", "CURRENCY=USD", "XLFILL=b")</f>
        <v>#NAME?</v>
      </c>
      <c r="I200" t="e" cm="1">
        <f t="array" aca="1" ref="I200" ca="1">BQL("CRWD US Equity", "BS_CASH_NEAR_CASH_ITEM/1M", "FPT=A", "FPO=5A", "ACT_EST_MAPPING=PRECISE", "FS=MRC", "CURRENCY=USD", "XLFILL=b")</f>
        <v>#NAME?</v>
      </c>
      <c r="J200" t="e" cm="1">
        <f t="array" aca="1" ref="J200" ca="1">BQL("CRWD US Equity", "BS_CASH_NEAR_CASH_ITEM/1M", "FPT=A", "FPO=6A", "ACT_EST_MAPPING=PRECISE", "FS=MRC", "CURRENCY=USD", "XLFILL=b")</f>
        <v>#NAME?</v>
      </c>
      <c r="K200" t="e" cm="1">
        <f t="array" aca="1" ref="K200" ca="1">BQL("CRWD US Equity", "BS_CASH_NEAR_CASH_ITEM/1M", "FPT=A", "FPO=7A", "ACT_EST_MAPPING=PRECISE", "FS=MRC", "CURRENCY=USD", "XLFILL=b")</f>
        <v>#NAME?</v>
      </c>
    </row>
    <row r="201" spans="1:11" x14ac:dyDescent="0.25">
      <c r="A201" t="s">
        <v>140</v>
      </c>
      <c r="B201" t="e" cm="1">
        <f t="array" aca="1" ref="B201" ca="1">BQL("CRWD US Equity", "BS_MKT_SEC_OTHER_ST_INVEST/1M", "FPT=A", "FPO=-2A", "ACT_EST_MAPPING=PRECISE", "FS=MRC", "CURRENCY=USD", "XLFILL=b")</f>
        <v>#NAME?</v>
      </c>
      <c r="C201" t="e" cm="1">
        <f t="array" aca="1" ref="C201" ca="1">BQL("CRWD US Equity", "BS_MKT_SEC_OTHER_ST_INVEST/1M", "FPT=A", "FPO=-1A", "ACT_EST_MAPPING=PRECISE", "FS=MRC", "CURRENCY=USD", "XLFILL=b")</f>
        <v>#NAME?</v>
      </c>
      <c r="D201" t="e" cm="1">
        <f t="array" aca="1" ref="D201" ca="1">BQL("CRWD US Equity", "BS_MKT_SEC_OTHER_ST_INVEST/1M", "FPT=A", "FPO=0A", "ACT_EST_MAPPING=PRECISE", "FS=MRC", "CURRENCY=USD", "XLFILL=b")</f>
        <v>#NAME?</v>
      </c>
      <c r="E201" t="e" cm="1">
        <f t="array" aca="1" ref="E201" ca="1">BQL("CRWD US Equity", "BS_MKT_SEC_OTHER_ST_INVEST/1M", "FPT=A", "FPO=1A", "ACT_EST_MAPPING=PRECISE", "FS=MRC", "CURRENCY=USD", "XLFILL=b")</f>
        <v>#NAME?</v>
      </c>
      <c r="F201" t="e" cm="1">
        <f t="array" aca="1" ref="F201" ca="1">BQL("CRWD US Equity", "BS_MKT_SEC_OTHER_ST_INVEST/1M", "FPT=A", "FPO=2A", "ACT_EST_MAPPING=PRECISE", "FS=MRC", "CURRENCY=USD", "XLFILL=b")</f>
        <v>#NAME?</v>
      </c>
      <c r="G201" t="e" cm="1">
        <f t="array" aca="1" ref="G201" ca="1">BQL("CRWD US Equity", "BS_MKT_SEC_OTHER_ST_INVEST/1M", "FPT=A", "FPO=3A", "ACT_EST_MAPPING=PRECISE", "FS=MRC", "CURRENCY=USD", "XLFILL=b")</f>
        <v>#NAME?</v>
      </c>
      <c r="H201" t="e" cm="1">
        <f t="array" aca="1" ref="H201" ca="1">BQL("CRWD US Equity", "BS_MKT_SEC_OTHER_ST_INVEST/1M", "FPT=A", "FPO=4A", "ACT_EST_MAPPING=PRECISE", "FS=MRC", "CURRENCY=USD", "XLFILL=b")</f>
        <v>#NAME?</v>
      </c>
      <c r="I201" t="e" cm="1">
        <f t="array" aca="1" ref="I201" ca="1">BQL("CRWD US Equity", "BS_MKT_SEC_OTHER_ST_INVEST/1M", "FPT=A", "FPO=5A", "ACT_EST_MAPPING=PRECISE", "FS=MRC", "CURRENCY=USD", "XLFILL=b")</f>
        <v>#NAME?</v>
      </c>
      <c r="J201" t="e" cm="1">
        <f t="array" aca="1" ref="J201" ca="1">BQL("CRWD US Equity", "BS_MKT_SEC_OTHER_ST_INVEST/1M", "FPT=A", "FPO=6A", "ACT_EST_MAPPING=PRECISE", "FS=MRC", "CURRENCY=USD", "XLFILL=b")</f>
        <v>#NAME?</v>
      </c>
      <c r="K201" t="e" cm="1">
        <f t="array" aca="1" ref="K201" ca="1">BQL("CRWD US Equity", "BS_MKT_SEC_OTHER_ST_INVEST/1M", "FPT=A", "FPO=7A", "ACT_EST_MAPPING=PRECISE", "FS=MRC", "CURRENCY=USD", "XLFILL=b")</f>
        <v>#NAME?</v>
      </c>
    </row>
    <row r="202" spans="1:11" x14ac:dyDescent="0.25">
      <c r="A202" t="s">
        <v>141</v>
      </c>
      <c r="B202" t="e" cm="1">
        <f t="array" aca="1" ref="B202" ca="1">BQL("CRWD US Equity", "BS_ACCTS_REC_EXCL_NOTES_REC/1M", "FPT=A", "FPO=-2A", "ACT_EST_MAPPING=PRECISE", "FS=MRC", "CURRENCY=USD", "XLFILL=b")</f>
        <v>#NAME?</v>
      </c>
      <c r="C202" t="e" cm="1">
        <f t="array" aca="1" ref="C202" ca="1">BQL("CRWD US Equity", "BS_ACCTS_REC_EXCL_NOTES_REC/1M", "FPT=A", "FPO=-1A", "ACT_EST_MAPPING=PRECISE", "FS=MRC", "CURRENCY=USD", "XLFILL=b")</f>
        <v>#NAME?</v>
      </c>
      <c r="D202" t="e" cm="1">
        <f t="array" aca="1" ref="D202" ca="1">BQL("CRWD US Equity", "BS_ACCTS_REC_EXCL_NOTES_REC/1M", "FPT=A", "FPO=0A", "ACT_EST_MAPPING=PRECISE", "FS=MRC", "CURRENCY=USD", "XLFILL=b")</f>
        <v>#NAME?</v>
      </c>
      <c r="E202" t="e" cm="1">
        <f t="array" aca="1" ref="E202" ca="1">BQL("CRWD US Equity", "BS_ACCTS_REC_EXCL_NOTES_REC/1M", "FPT=A", "FPO=1A", "ACT_EST_MAPPING=PRECISE", "FS=MRC", "CURRENCY=USD", "XLFILL=b")</f>
        <v>#NAME?</v>
      </c>
      <c r="F202" t="e" cm="1">
        <f t="array" aca="1" ref="F202" ca="1">BQL("CRWD US Equity", "BS_ACCTS_REC_EXCL_NOTES_REC/1M", "FPT=A", "FPO=2A", "ACT_EST_MAPPING=PRECISE", "FS=MRC", "CURRENCY=USD", "XLFILL=b")</f>
        <v>#NAME?</v>
      </c>
      <c r="G202" t="e" cm="1">
        <f t="array" aca="1" ref="G202" ca="1">BQL("CRWD US Equity", "BS_ACCTS_REC_EXCL_NOTES_REC/1M", "FPT=A", "FPO=3A", "ACT_EST_MAPPING=PRECISE", "FS=MRC", "CURRENCY=USD", "XLFILL=b")</f>
        <v>#NAME?</v>
      </c>
      <c r="H202" t="e" cm="1">
        <f t="array" aca="1" ref="H202" ca="1">BQL("CRWD US Equity", "BS_ACCTS_REC_EXCL_NOTES_REC/1M", "FPT=A", "FPO=4A", "ACT_EST_MAPPING=PRECISE", "FS=MRC", "CURRENCY=USD", "XLFILL=b")</f>
        <v>#NAME?</v>
      </c>
      <c r="I202" t="e" cm="1">
        <f t="array" aca="1" ref="I202" ca="1">BQL("CRWD US Equity", "BS_ACCTS_REC_EXCL_NOTES_REC/1M", "FPT=A", "FPO=5A", "ACT_EST_MAPPING=PRECISE", "FS=MRC", "CURRENCY=USD", "XLFILL=b")</f>
        <v>#NAME?</v>
      </c>
      <c r="J202" t="e" cm="1">
        <f t="array" aca="1" ref="J202" ca="1">BQL("CRWD US Equity", "BS_ACCTS_REC_EXCL_NOTES_REC/1M", "FPT=A", "FPO=6A", "ACT_EST_MAPPING=PRECISE", "FS=MRC", "CURRENCY=USD", "XLFILL=b")</f>
        <v>#NAME?</v>
      </c>
      <c r="K202" t="e" cm="1">
        <f t="array" aca="1" ref="K202" ca="1">BQL("CRWD US Equity", "BS_ACCTS_REC_EXCL_NOTES_REC/1M", "FPT=A", "FPO=7A", "ACT_EST_MAPPING=PRECISE", "FS=MRC", "CURRENCY=USD", "XLFILL=b")</f>
        <v>#NAME?</v>
      </c>
    </row>
    <row r="203" spans="1:11" x14ac:dyDescent="0.25">
      <c r="A203" t="s">
        <v>142</v>
      </c>
      <c r="B203" t="e" cm="1">
        <f t="array" aca="1" ref="B203" ca="1">BQL("CRWD US Equity", "CB_BS_OTHER_CURRENT_ASSETS/1M", "FPT=A", "FPO=-2A", "ACT_EST_MAPPING=PRECISE", "FS=MRC", "CURRENCY=USD", "XLFILL=b")</f>
        <v>#NAME?</v>
      </c>
      <c r="C203" t="e" cm="1">
        <f t="array" aca="1" ref="C203" ca="1">BQL("CRWD US Equity", "CB_BS_OTHER_CURRENT_ASSETS/1M", "FPT=A", "FPO=-1A", "ACT_EST_MAPPING=PRECISE", "FS=MRC", "CURRENCY=USD", "XLFILL=b")</f>
        <v>#NAME?</v>
      </c>
      <c r="D203" t="e" cm="1">
        <f t="array" aca="1" ref="D203" ca="1">BQL("CRWD US Equity", "CB_BS_OTHER_CURRENT_ASSETS/1M", "FPT=A", "FPO=0A", "ACT_EST_MAPPING=PRECISE", "FS=MRC", "CURRENCY=USD", "XLFILL=b")</f>
        <v>#NAME?</v>
      </c>
      <c r="E203" t="e" cm="1">
        <f t="array" aca="1" ref="E203" ca="1">BQL("CRWD US Equity", "CB_BS_OTHER_CURRENT_ASSETS/1M", "FPT=A", "FPO=1A", "ACT_EST_MAPPING=PRECISE", "FS=MRC", "CURRENCY=USD", "XLFILL=b")</f>
        <v>#NAME?</v>
      </c>
      <c r="F203" t="e" cm="1">
        <f t="array" aca="1" ref="F203" ca="1">BQL("CRWD US Equity", "CB_BS_OTHER_CURRENT_ASSETS/1M", "FPT=A", "FPO=2A", "ACT_EST_MAPPING=PRECISE", "FS=MRC", "CURRENCY=USD", "XLFILL=b")</f>
        <v>#NAME?</v>
      </c>
      <c r="G203" t="e" cm="1">
        <f t="array" aca="1" ref="G203" ca="1">BQL("CRWD US Equity", "CB_BS_OTHER_CURRENT_ASSETS/1M", "FPT=A", "FPO=3A", "ACT_EST_MAPPING=PRECISE", "FS=MRC", "CURRENCY=USD", "XLFILL=b")</f>
        <v>#NAME?</v>
      </c>
      <c r="H203" t="e" cm="1">
        <f t="array" aca="1" ref="H203" ca="1">BQL("CRWD US Equity", "CB_BS_OTHER_CURRENT_ASSETS/1M", "FPT=A", "FPO=4A", "ACT_EST_MAPPING=PRECISE", "FS=MRC", "CURRENCY=USD", "XLFILL=b")</f>
        <v>#NAME?</v>
      </c>
      <c r="I203" t="e" cm="1">
        <f t="array" aca="1" ref="I203" ca="1">BQL("CRWD US Equity", "CB_BS_OTHER_CURRENT_ASSETS/1M", "FPT=A", "FPO=5A", "ACT_EST_MAPPING=PRECISE", "FS=MRC", "CURRENCY=USD", "XLFILL=b")</f>
        <v>#NAME?</v>
      </c>
      <c r="J203" t="e" cm="1">
        <f t="array" aca="1" ref="J203" ca="1">BQL("CRWD US Equity", "CB_BS_OTHER_CURRENT_ASSETS/1M", "FPT=A", "FPO=6A", "ACT_EST_MAPPING=PRECISE", "FS=MRC", "CURRENCY=USD", "XLFILL=b")</f>
        <v>#NAME?</v>
      </c>
      <c r="K203" t="e" cm="1">
        <f t="array" aca="1" ref="K203" ca="1">BQL("CRWD US Equity", "CB_BS_OTHER_CURRENT_ASSETS/1M", "FPT=A", "FPO=7A", "ACT_EST_MAPPING=PRECISE", "FS=MRC", "CURRENCY=USD", "XLFILL=b")</f>
        <v>#NAME?</v>
      </c>
    </row>
    <row r="204" spans="1:11" x14ac:dyDescent="0.25">
      <c r="A204" t="s">
        <v>143</v>
      </c>
      <c r="B204" t="e" cm="1">
        <f t="array" aca="1" ref="B204" ca="1">BQL("CRWD US Equity", "PREPAID_EXPNSS_AND_OTHR/1M", "FPT=A", "FPO=-2A", "ACT_EST_MAPPING=PRECISE", "FS=MRC", "CURRENCY=USD", "XLFILL=b")</f>
        <v>#NAME?</v>
      </c>
      <c r="C204" t="e" cm="1">
        <f t="array" aca="1" ref="C204" ca="1">BQL("CRWD US Equity", "PREPAID_EXPNSS_AND_OTHR/1M", "FPT=A", "FPO=-1A", "ACT_EST_MAPPING=PRECISE", "FS=MRC", "CURRENCY=USD", "XLFILL=b")</f>
        <v>#NAME?</v>
      </c>
      <c r="D204" t="e" cm="1">
        <f t="array" aca="1" ref="D204" ca="1">BQL("CRWD US Equity", "PREPAID_EXPNSS_AND_OTHR/1M", "FPT=A", "FPO=0A", "ACT_EST_MAPPING=PRECISE", "FS=MRC", "CURRENCY=USD", "XLFILL=b")</f>
        <v>#NAME?</v>
      </c>
      <c r="E204" t="e" cm="1">
        <f t="array" aca="1" ref="E204" ca="1">BQL("CRWD US Equity", "PREPAID_EXPNSS_AND_OTHR/1M", "FPT=A", "FPO=1A", "ACT_EST_MAPPING=PRECISE", "FS=MRC", "CURRENCY=USD", "XLFILL=b")</f>
        <v>#NAME?</v>
      </c>
      <c r="F204" t="e" cm="1">
        <f t="array" aca="1" ref="F204" ca="1">BQL("CRWD US Equity", "PREPAID_EXPNSS_AND_OTHR/1M", "FPT=A", "FPO=2A", "ACT_EST_MAPPING=PRECISE", "FS=MRC", "CURRENCY=USD", "XLFILL=b")</f>
        <v>#NAME?</v>
      </c>
      <c r="G204" t="e" cm="1">
        <f t="array" aca="1" ref="G204" ca="1">BQL("CRWD US Equity", "PREPAID_EXPNSS_AND_OTHR/1M", "FPT=A", "FPO=3A", "ACT_EST_MAPPING=PRECISE", "FS=MRC", "CURRENCY=USD", "XLFILL=b")</f>
        <v>#NAME?</v>
      </c>
      <c r="H204" t="e" cm="1">
        <f t="array" aca="1" ref="H204" ca="1">BQL("CRWD US Equity", "PREPAID_EXPNSS_AND_OTHR/1M", "FPT=A", "FPO=4A", "ACT_EST_MAPPING=PRECISE", "FS=MRC", "CURRENCY=USD", "XLFILL=b")</f>
        <v>#NAME?</v>
      </c>
      <c r="I204" t="e" cm="1">
        <f t="array" aca="1" ref="I204" ca="1">BQL("CRWD US Equity", "PREPAID_EXPNSS_AND_OTHR/1M", "FPT=A", "FPO=5A", "ACT_EST_MAPPING=PRECISE", "FS=MRC", "CURRENCY=USD", "XLFILL=b")</f>
        <v>#NAME?</v>
      </c>
      <c r="J204" t="e" cm="1">
        <f t="array" aca="1" ref="J204" ca="1">BQL("CRWD US Equity", "PREPAID_EXPNSS_AND_OTHR/1M", "FPT=A", "FPO=6A", "ACT_EST_MAPPING=PRECISE", "FS=MRC", "CURRENCY=USD", "XLFILL=b")</f>
        <v>#NAME?</v>
      </c>
      <c r="K204" t="e" cm="1">
        <f t="array" aca="1" ref="K204" ca="1">BQL("CRWD US Equity", "PREPAID_EXPNSS_AND_OTHR/1M", "FPT=A", "FPO=7A", "ACT_EST_MAPPING=PRECISE", "FS=MRC", "CURRENCY=USD", "XLFILL=b")</f>
        <v>#NAME?</v>
      </c>
    </row>
    <row r="205" spans="1:11" x14ac:dyDescent="0.25">
      <c r="A205" t="s">
        <v>144</v>
      </c>
      <c r="B205" t="e" cm="1">
        <f t="array" aca="1" ref="B205" ca="1">BQL("CRWD US Equity", "TOT_OPER_LEA_RT_OF_USE_ASSETS/1M", "FPT=A", "FPO=-2A", "ACT_EST_MAPPING=PRECISE", "FS=MRC", "CURRENCY=USD", "XLFILL=b")</f>
        <v>#NAME?</v>
      </c>
      <c r="C205" t="e" cm="1">
        <f t="array" aca="1" ref="C205" ca="1">BQL("CRWD US Equity", "TOT_OPER_LEA_RT_OF_USE_ASSETS/1M", "FPT=A", "FPO=-1A", "ACT_EST_MAPPING=PRECISE", "FS=MRC", "CURRENCY=USD", "XLFILL=b")</f>
        <v>#NAME?</v>
      </c>
      <c r="D205" t="e" cm="1">
        <f t="array" aca="1" ref="D205" ca="1">BQL("CRWD US Equity", "TOT_OPER_LEA_RT_OF_USE_ASSETS/1M", "FPT=A", "FPO=0A", "ACT_EST_MAPPING=PRECISE", "FS=MRC", "CURRENCY=USD", "XLFILL=b")</f>
        <v>#NAME?</v>
      </c>
      <c r="E205" t="e" cm="1">
        <f t="array" aca="1" ref="E205" ca="1">BQL("CRWD US Equity", "TOT_OPER_LEA_RT_OF_USE_ASSETS/1M", "FPT=A", "FPO=1A", "ACT_EST_MAPPING=PRECISE", "FS=MRC", "CURRENCY=USD", "XLFILL=b")</f>
        <v>#NAME?</v>
      </c>
      <c r="F205" t="e" cm="1">
        <f t="array" aca="1" ref="F205" ca="1">BQL("CRWD US Equity", "TOT_OPER_LEA_RT_OF_USE_ASSETS/1M", "FPT=A", "FPO=2A", "ACT_EST_MAPPING=PRECISE", "FS=MRC", "CURRENCY=USD", "XLFILL=b")</f>
        <v>#NAME?</v>
      </c>
      <c r="G205" t="e" cm="1">
        <f t="array" aca="1" ref="G205" ca="1">BQL("CRWD US Equity", "TOT_OPER_LEA_RT_OF_USE_ASSETS/1M", "FPT=A", "FPO=3A", "ACT_EST_MAPPING=PRECISE", "FS=MRC", "CURRENCY=USD", "XLFILL=b")</f>
        <v>#NAME?</v>
      </c>
      <c r="H205" t="e" cm="1">
        <f t="array" aca="1" ref="H205" ca="1">BQL("CRWD US Equity", "TOT_OPER_LEA_RT_OF_USE_ASSETS/1M", "FPT=A", "FPO=4A", "ACT_EST_MAPPING=PRECISE", "FS=MRC", "CURRENCY=USD", "XLFILL=b")</f>
        <v>#NAME?</v>
      </c>
      <c r="I205" t="e" cm="1">
        <f t="array" aca="1" ref="I205" ca="1">BQL("CRWD US Equity", "TOT_OPER_LEA_RT_OF_USE_ASSETS/1M", "FPT=A", "FPO=5A", "ACT_EST_MAPPING=PRECISE", "FS=MRC", "CURRENCY=USD", "XLFILL=b")</f>
        <v>#NAME?</v>
      </c>
      <c r="J205" t="e" cm="1">
        <f t="array" aca="1" ref="J205" ca="1">BQL("CRWD US Equity", "TOT_OPER_LEA_RT_OF_USE_ASSETS/1M", "FPT=A", "FPO=6A", "ACT_EST_MAPPING=PRECISE", "FS=MRC", "CURRENCY=USD", "XLFILL=b")</f>
        <v>#NAME?</v>
      </c>
      <c r="K205" t="e" cm="1">
        <f t="array" aca="1" ref="K205" ca="1">BQL("CRWD US Equity", "TOT_OPER_LEA_RT_OF_USE_ASSETS/1M", "FPT=A", "FPO=7A", "ACT_EST_MAPPING=PRECISE", "FS=MRC", "CURRENCY=USD", "XLFILL=b")</f>
        <v>#NAME?</v>
      </c>
    </row>
    <row r="206" spans="1:11" x14ac:dyDescent="0.25">
      <c r="A206" t="s">
        <v>145</v>
      </c>
      <c r="B206" t="e" cm="1">
        <f t="array" aca="1" ref="B206" ca="1">BQL("CRWD US Equity", "BS_OTHER_CUR_ASSET/1M", "FPT=A", "FPO=-2A", "ACT_EST_MAPPING=PRECISE", "FS=MRC", "CURRENCY=USD", "XLFILL=b")</f>
        <v>#NAME?</v>
      </c>
      <c r="C206" t="e" cm="1">
        <f t="array" aca="1" ref="C206" ca="1">BQL("CRWD US Equity", "BS_OTHER_CUR_ASSET/1M", "FPT=A", "FPO=-1A", "ACT_EST_MAPPING=PRECISE", "FS=MRC", "CURRENCY=USD", "XLFILL=b")</f>
        <v>#NAME?</v>
      </c>
      <c r="D206" t="e" cm="1">
        <f t="array" aca="1" ref="D206" ca="1">BQL("CRWD US Equity", "BS_OTHER_CUR_ASSET/1M", "FPT=A", "FPO=0A", "ACT_EST_MAPPING=PRECISE", "FS=MRC", "CURRENCY=USD", "XLFILL=b")</f>
        <v>#NAME?</v>
      </c>
      <c r="E206" t="e" cm="1">
        <f t="array" aca="1" ref="E206" ca="1">BQL("CRWD US Equity", "BS_OTHER_CUR_ASSET/1M", "FPT=A", "FPO=1A", "ACT_EST_MAPPING=PRECISE", "FS=MRC", "CURRENCY=USD", "XLFILL=b")</f>
        <v>#NAME?</v>
      </c>
      <c r="F206" t="e" cm="1">
        <f t="array" aca="1" ref="F206" ca="1">BQL("CRWD US Equity", "BS_OTHER_CUR_ASSET/1M", "FPT=A", "FPO=2A", "ACT_EST_MAPPING=PRECISE", "FS=MRC", "CURRENCY=USD", "XLFILL=b")</f>
        <v>#NAME?</v>
      </c>
      <c r="G206" t="e" cm="1">
        <f t="array" aca="1" ref="G206" ca="1">BQL("CRWD US Equity", "BS_OTHER_CUR_ASSET/1M", "FPT=A", "FPO=3A", "ACT_EST_MAPPING=PRECISE", "FS=MRC", "CURRENCY=USD", "XLFILL=b")</f>
        <v>#NAME?</v>
      </c>
      <c r="H206" t="e" cm="1">
        <f t="array" aca="1" ref="H206" ca="1">BQL("CRWD US Equity", "BS_OTHER_CUR_ASSET/1M", "FPT=A", "FPO=4A", "ACT_EST_MAPPING=PRECISE", "FS=MRC", "CURRENCY=USD", "XLFILL=b")</f>
        <v>#NAME?</v>
      </c>
      <c r="I206" t="e" cm="1">
        <f t="array" aca="1" ref="I206" ca="1">BQL("CRWD US Equity", "BS_OTHER_CUR_ASSET/1M", "FPT=A", "FPO=5A", "ACT_EST_MAPPING=PRECISE", "FS=MRC", "CURRENCY=USD", "XLFILL=b")</f>
        <v>#NAME?</v>
      </c>
      <c r="J206" t="e" cm="1">
        <f t="array" aca="1" ref="J206" ca="1">BQL("CRWD US Equity", "BS_OTHER_CUR_ASSET/1M", "FPT=A", "FPO=6A", "ACT_EST_MAPPING=PRECISE", "FS=MRC", "CURRENCY=USD", "XLFILL=b")</f>
        <v>#NAME?</v>
      </c>
      <c r="K206" t="e" cm="1">
        <f t="array" aca="1" ref="K206" ca="1">BQL("CRWD US Equity", "BS_OTHER_CUR_ASSET/1M", "FPT=A", "FPO=7A", "ACT_EST_MAPPING=PRECISE", "FS=MRC", "CURRENCY=USD", "XLFILL=b")</f>
        <v>#NAME?</v>
      </c>
    </row>
    <row r="207" spans="1:11" x14ac:dyDescent="0.25">
      <c r="A207" t="s">
        <v>146</v>
      </c>
      <c r="B207" t="e" cm="1">
        <f t="array" aca="1" ref="B207" ca="1">BQL("CRWD US Equity", "BS_TOTAL_NON_CURRENT_ASSETS/1M", "FPT=A", "FPO=-2A", "ACT_EST_MAPPING=PRECISE", "FS=MRC", "CURRENCY=USD", "XLFILL=b")</f>
        <v>#NAME?</v>
      </c>
      <c r="C207" t="e" cm="1">
        <f t="array" aca="1" ref="C207" ca="1">BQL("CRWD US Equity", "BS_TOTAL_NON_CURRENT_ASSETS/1M", "FPT=A", "FPO=-1A", "ACT_EST_MAPPING=PRECISE", "FS=MRC", "CURRENCY=USD", "XLFILL=b")</f>
        <v>#NAME?</v>
      </c>
      <c r="D207" t="e" cm="1">
        <f t="array" aca="1" ref="D207" ca="1">BQL("CRWD US Equity", "BS_TOTAL_NON_CURRENT_ASSETS/1M", "FPT=A", "FPO=0A", "ACT_EST_MAPPING=PRECISE", "FS=MRC", "CURRENCY=USD", "XLFILL=b")</f>
        <v>#NAME?</v>
      </c>
      <c r="E207" t="e" cm="1">
        <f t="array" aca="1" ref="E207" ca="1">BQL("CRWD US Equity", "BS_TOTAL_NON_CURRENT_ASSETS/1M", "FPT=A", "FPO=1A", "ACT_EST_MAPPING=PRECISE", "FS=MRC", "CURRENCY=USD", "XLFILL=b")</f>
        <v>#NAME?</v>
      </c>
      <c r="F207" t="e" cm="1">
        <f t="array" aca="1" ref="F207" ca="1">BQL("CRWD US Equity", "BS_TOTAL_NON_CURRENT_ASSETS/1M", "FPT=A", "FPO=2A", "ACT_EST_MAPPING=PRECISE", "FS=MRC", "CURRENCY=USD", "XLFILL=b")</f>
        <v>#NAME?</v>
      </c>
      <c r="G207" t="e" cm="1">
        <f t="array" aca="1" ref="G207" ca="1">BQL("CRWD US Equity", "BS_TOTAL_NON_CURRENT_ASSETS/1M", "FPT=A", "FPO=3A", "ACT_EST_MAPPING=PRECISE", "FS=MRC", "CURRENCY=USD", "XLFILL=b")</f>
        <v>#NAME?</v>
      </c>
      <c r="H207" t="e" cm="1">
        <f t="array" aca="1" ref="H207" ca="1">BQL("CRWD US Equity", "BS_TOTAL_NON_CURRENT_ASSETS/1M", "FPT=A", "FPO=4A", "ACT_EST_MAPPING=PRECISE", "FS=MRC", "CURRENCY=USD", "XLFILL=b")</f>
        <v>#NAME?</v>
      </c>
      <c r="I207" t="e" cm="1">
        <f t="array" aca="1" ref="I207" ca="1">BQL("CRWD US Equity", "BS_TOTAL_NON_CURRENT_ASSETS/1M", "FPT=A", "FPO=5A", "ACT_EST_MAPPING=PRECISE", "FS=MRC", "CURRENCY=USD", "XLFILL=b")</f>
        <v>#NAME?</v>
      </c>
      <c r="J207" t="e" cm="1">
        <f t="array" aca="1" ref="J207" ca="1">BQL("CRWD US Equity", "BS_TOTAL_NON_CURRENT_ASSETS/1M", "FPT=A", "FPO=6A", "ACT_EST_MAPPING=PRECISE", "FS=MRC", "CURRENCY=USD", "XLFILL=b")</f>
        <v>#NAME?</v>
      </c>
      <c r="K207" t="e" cm="1">
        <f t="array" aca="1" ref="K207" ca="1">BQL("CRWD US Equity", "BS_TOTAL_NON_CURRENT_ASSETS/1M", "FPT=A", "FPO=7A", "ACT_EST_MAPPING=PRECISE", "FS=MRC", "CURRENCY=USD", "XLFILL=b")</f>
        <v>#NAME?</v>
      </c>
    </row>
    <row r="208" spans="1:11" x14ac:dyDescent="0.25">
      <c r="A208" t="s">
        <v>147</v>
      </c>
      <c r="B208" t="e" cm="1">
        <f t="array" aca="1" ref="B208" ca="1">BQL("CRWD US Equity", "CB_BS_GROSS_FIXED_ASSETS/1M", "FPT=A", "FPO=-2A", "ACT_EST_MAPPING=PRECISE", "FS=MRC", "CURRENCY=USD", "XLFILL=b")</f>
        <v>#NAME?</v>
      </c>
      <c r="C208" t="e" cm="1">
        <f t="array" aca="1" ref="C208" ca="1">BQL("CRWD US Equity", "CB_BS_GROSS_FIXED_ASSETS/1M", "FPT=A", "FPO=-1A", "ACT_EST_MAPPING=PRECISE", "FS=MRC", "CURRENCY=USD", "XLFILL=b")</f>
        <v>#NAME?</v>
      </c>
      <c r="D208" t="e" cm="1">
        <f t="array" aca="1" ref="D208" ca="1">BQL("CRWD US Equity", "CB_BS_GROSS_FIXED_ASSETS/1M", "FPT=A", "FPO=0A", "ACT_EST_MAPPING=PRECISE", "FS=MRC", "CURRENCY=USD", "XLFILL=b")</f>
        <v>#NAME?</v>
      </c>
      <c r="E208" t="e" cm="1">
        <f t="array" aca="1" ref="E208" ca="1">BQL("CRWD US Equity", "CB_BS_GROSS_FIXED_ASSETS/1M", "FPT=A", "FPO=1A", "ACT_EST_MAPPING=PRECISE", "FS=MRC", "CURRENCY=USD", "XLFILL=b")</f>
        <v>#NAME?</v>
      </c>
      <c r="F208" t="e" cm="1">
        <f t="array" aca="1" ref="F208" ca="1">BQL("CRWD US Equity", "CB_BS_GROSS_FIXED_ASSETS/1M", "FPT=A", "FPO=2A", "ACT_EST_MAPPING=PRECISE", "FS=MRC", "CURRENCY=USD", "XLFILL=b")</f>
        <v>#NAME?</v>
      </c>
      <c r="G208" t="e" cm="1">
        <f t="array" aca="1" ref="G208" ca="1">BQL("CRWD US Equity", "CB_BS_GROSS_FIXED_ASSETS/1M", "FPT=A", "FPO=3A", "ACT_EST_MAPPING=PRECISE", "FS=MRC", "CURRENCY=USD", "XLFILL=b")</f>
        <v>#NAME?</v>
      </c>
      <c r="H208" t="e" cm="1">
        <f t="array" aca="1" ref="H208" ca="1">BQL("CRWD US Equity", "CB_BS_GROSS_FIXED_ASSETS/1M", "FPT=A", "FPO=4A", "ACT_EST_MAPPING=PRECISE", "FS=MRC", "CURRENCY=USD", "XLFILL=b")</f>
        <v>#NAME?</v>
      </c>
      <c r="I208" t="e" cm="1">
        <f t="array" aca="1" ref="I208" ca="1">BQL("CRWD US Equity", "CB_BS_GROSS_FIXED_ASSETS/1M", "FPT=A", "FPO=5A", "ACT_EST_MAPPING=PRECISE", "FS=MRC", "CURRENCY=USD", "XLFILL=b")</f>
        <v>#NAME?</v>
      </c>
      <c r="J208" t="e" cm="1">
        <f t="array" aca="1" ref="J208" ca="1">BQL("CRWD US Equity", "CB_BS_GROSS_FIXED_ASSETS/1M", "FPT=A", "FPO=6A", "ACT_EST_MAPPING=PRECISE", "FS=MRC", "CURRENCY=USD", "XLFILL=b")</f>
        <v>#NAME?</v>
      </c>
      <c r="K208" t="e" cm="1">
        <f t="array" aca="1" ref="K208" ca="1">BQL("CRWD US Equity", "CB_BS_GROSS_FIXED_ASSETS/1M", "FPT=A", "FPO=7A", "ACT_EST_MAPPING=PRECISE", "FS=MRC", "CURRENCY=USD", "XLFILL=b")</f>
        <v>#NAME?</v>
      </c>
    </row>
    <row r="209" spans="1:11" x14ac:dyDescent="0.25">
      <c r="A209" t="s">
        <v>148</v>
      </c>
      <c r="B209" t="e" cm="1">
        <f t="array" aca="1" ref="B209" ca="1">BQL("CRWD US Equity", "CB_BS_PP_AND_E_NET/1M", "FPT=A", "FPO=-2A", "ACT_EST_MAPPING=PRECISE", "FS=MRC", "CURRENCY=USD", "XLFILL=b")</f>
        <v>#NAME?</v>
      </c>
      <c r="C209" t="e" cm="1">
        <f t="array" aca="1" ref="C209" ca="1">BQL("CRWD US Equity", "CB_BS_PP_AND_E_NET/1M", "FPT=A", "FPO=-1A", "ACT_EST_MAPPING=PRECISE", "FS=MRC", "CURRENCY=USD", "XLFILL=b")</f>
        <v>#NAME?</v>
      </c>
      <c r="D209" t="e" cm="1">
        <f t="array" aca="1" ref="D209" ca="1">BQL("CRWD US Equity", "CB_BS_PP_AND_E_NET/1M", "FPT=A", "FPO=0A", "ACT_EST_MAPPING=PRECISE", "FS=MRC", "CURRENCY=USD", "XLFILL=b")</f>
        <v>#NAME?</v>
      </c>
      <c r="E209" t="e" cm="1">
        <f t="array" aca="1" ref="E209" ca="1">BQL("CRWD US Equity", "CB_BS_PP_AND_E_NET/1M", "FPT=A", "FPO=1A", "ACT_EST_MAPPING=PRECISE", "FS=MRC", "CURRENCY=USD", "XLFILL=b")</f>
        <v>#NAME?</v>
      </c>
      <c r="F209" t="e" cm="1">
        <f t="array" aca="1" ref="F209" ca="1">BQL("CRWD US Equity", "CB_BS_PP_AND_E_NET/1M", "FPT=A", "FPO=2A", "ACT_EST_MAPPING=PRECISE", "FS=MRC", "CURRENCY=USD", "XLFILL=b")</f>
        <v>#NAME?</v>
      </c>
      <c r="G209" t="e" cm="1">
        <f t="array" aca="1" ref="G209" ca="1">BQL("CRWD US Equity", "CB_BS_PP_AND_E_NET/1M", "FPT=A", "FPO=3A", "ACT_EST_MAPPING=PRECISE", "FS=MRC", "CURRENCY=USD", "XLFILL=b")</f>
        <v>#NAME?</v>
      </c>
      <c r="H209" t="e" cm="1">
        <f t="array" aca="1" ref="H209" ca="1">BQL("CRWD US Equity", "CB_BS_PP_AND_E_NET/1M", "FPT=A", "FPO=4A", "ACT_EST_MAPPING=PRECISE", "FS=MRC", "CURRENCY=USD", "XLFILL=b")</f>
        <v>#NAME?</v>
      </c>
      <c r="I209" t="e" cm="1">
        <f t="array" aca="1" ref="I209" ca="1">BQL("CRWD US Equity", "CB_BS_PP_AND_E_NET/1M", "FPT=A", "FPO=5A", "ACT_EST_MAPPING=PRECISE", "FS=MRC", "CURRENCY=USD", "XLFILL=b")</f>
        <v>#NAME?</v>
      </c>
      <c r="J209" t="e" cm="1">
        <f t="array" aca="1" ref="J209" ca="1">BQL("CRWD US Equity", "CB_BS_PP_AND_E_NET/1M", "FPT=A", "FPO=6A", "ACT_EST_MAPPING=PRECISE", "FS=MRC", "CURRENCY=USD", "XLFILL=b")</f>
        <v>#NAME?</v>
      </c>
      <c r="K209" t="e" cm="1">
        <f t="array" aca="1" ref="K209" ca="1">BQL("CRWD US Equity", "CB_BS_PP_AND_E_NET/1M", "FPT=A", "FPO=7A", "ACT_EST_MAPPING=PRECISE", "FS=MRC", "CURRENCY=USD", "XLFILL=b")</f>
        <v>#NAME?</v>
      </c>
    </row>
    <row r="210" spans="1:11" x14ac:dyDescent="0.25">
      <c r="A210" t="s">
        <v>149</v>
      </c>
      <c r="B210" t="e" cm="1">
        <f t="array" aca="1" ref="B210" ca="1">BQL("CRWD US Equity", "BS_LT_INVEST/1M", "FPT=A", "FPO=-2A", "ACT_EST_MAPPING=PRECISE", "FS=MRC", "CURRENCY=USD", "XLFILL=b")</f>
        <v>#NAME?</v>
      </c>
      <c r="C210" t="e" cm="1">
        <f t="array" aca="1" ref="C210" ca="1">BQL("CRWD US Equity", "BS_LT_INVEST/1M", "FPT=A", "FPO=-1A", "ACT_EST_MAPPING=PRECISE", "FS=MRC", "CURRENCY=USD", "XLFILL=b")</f>
        <v>#NAME?</v>
      </c>
      <c r="D210" t="e" cm="1">
        <f t="array" aca="1" ref="D210" ca="1">BQL("CRWD US Equity", "BS_LT_INVEST/1M", "FPT=A", "FPO=0A", "ACT_EST_MAPPING=PRECISE", "FS=MRC", "CURRENCY=USD", "XLFILL=b")</f>
        <v>#NAME?</v>
      </c>
      <c r="E210" t="e" cm="1">
        <f t="array" aca="1" ref="E210" ca="1">BQL("CRWD US Equity", "BS_LT_INVEST/1M", "FPT=A", "FPO=1A", "ACT_EST_MAPPING=PRECISE", "FS=MRC", "CURRENCY=USD", "XLFILL=b")</f>
        <v>#NAME?</v>
      </c>
      <c r="F210" t="e" cm="1">
        <f t="array" aca="1" ref="F210" ca="1">BQL("CRWD US Equity", "BS_LT_INVEST/1M", "FPT=A", "FPO=2A", "ACT_EST_MAPPING=PRECISE", "FS=MRC", "CURRENCY=USD", "XLFILL=b")</f>
        <v>#NAME?</v>
      </c>
      <c r="G210" t="e" cm="1">
        <f t="array" aca="1" ref="G210" ca="1">BQL("CRWD US Equity", "BS_LT_INVEST/1M", "FPT=A", "FPO=3A", "ACT_EST_MAPPING=PRECISE", "FS=MRC", "CURRENCY=USD", "XLFILL=b")</f>
        <v>#NAME?</v>
      </c>
      <c r="H210" t="e" cm="1">
        <f t="array" aca="1" ref="H210" ca="1">BQL("CRWD US Equity", "BS_LT_INVEST/1M", "FPT=A", "FPO=4A", "ACT_EST_MAPPING=PRECISE", "FS=MRC", "CURRENCY=USD", "XLFILL=b")</f>
        <v>#NAME?</v>
      </c>
      <c r="I210" t="e" cm="1">
        <f t="array" aca="1" ref="I210" ca="1">BQL("CRWD US Equity", "BS_LT_INVEST/1M", "FPT=A", "FPO=5A", "ACT_EST_MAPPING=PRECISE", "FS=MRC", "CURRENCY=USD", "XLFILL=b")</f>
        <v>#NAME?</v>
      </c>
      <c r="J210" t="e" cm="1">
        <f t="array" aca="1" ref="J210" ca="1">BQL("CRWD US Equity", "BS_LT_INVEST/1M", "FPT=A", "FPO=6A", "ACT_EST_MAPPING=PRECISE", "FS=MRC", "CURRENCY=USD", "XLFILL=b")</f>
        <v>#NAME?</v>
      </c>
      <c r="K210" t="e" cm="1">
        <f t="array" aca="1" ref="K210" ca="1">BQL("CRWD US Equity", "BS_LT_INVEST/1M", "FPT=A", "FPO=7A", "ACT_EST_MAPPING=PRECISE", "FS=MRC", "CURRENCY=USD", "XLFILL=b")</f>
        <v>#NAME?</v>
      </c>
    </row>
    <row r="211" spans="1:11" x14ac:dyDescent="0.25">
      <c r="A211" t="s">
        <v>150</v>
      </c>
      <c r="B211" t="e" cm="1">
        <f t="array" aca="1" ref="B211" ca="1">BQL("CRWD US Equity", "CB_BS_TOTAL_INTANGIBLE_ASSETS/1M", "FPT=A", "FPO=-2A", "ACT_EST_MAPPING=PRECISE", "FS=MRC", "CURRENCY=USD", "XLFILL=b")</f>
        <v>#NAME?</v>
      </c>
      <c r="C211" t="e" cm="1">
        <f t="array" aca="1" ref="C211" ca="1">BQL("CRWD US Equity", "CB_BS_TOTAL_INTANGIBLE_ASSETS/1M", "FPT=A", "FPO=-1A", "ACT_EST_MAPPING=PRECISE", "FS=MRC", "CURRENCY=USD", "XLFILL=b")</f>
        <v>#NAME?</v>
      </c>
      <c r="D211" t="e" cm="1">
        <f t="array" aca="1" ref="D211" ca="1">BQL("CRWD US Equity", "CB_BS_TOTAL_INTANGIBLE_ASSETS/1M", "FPT=A", "FPO=0A", "ACT_EST_MAPPING=PRECISE", "FS=MRC", "CURRENCY=USD", "XLFILL=b")</f>
        <v>#NAME?</v>
      </c>
      <c r="E211" t="e" cm="1">
        <f t="array" aca="1" ref="E211" ca="1">BQL("CRWD US Equity", "CB_BS_TOTAL_INTANGIBLE_ASSETS/1M", "FPT=A", "FPO=1A", "ACT_EST_MAPPING=PRECISE", "FS=MRC", "CURRENCY=USD", "XLFILL=b")</f>
        <v>#NAME?</v>
      </c>
      <c r="F211" t="e" cm="1">
        <f t="array" aca="1" ref="F211" ca="1">BQL("CRWD US Equity", "CB_BS_TOTAL_INTANGIBLE_ASSETS/1M", "FPT=A", "FPO=2A", "ACT_EST_MAPPING=PRECISE", "FS=MRC", "CURRENCY=USD", "XLFILL=b")</f>
        <v>#NAME?</v>
      </c>
      <c r="G211" t="e" cm="1">
        <f t="array" aca="1" ref="G211" ca="1">BQL("CRWD US Equity", "CB_BS_TOTAL_INTANGIBLE_ASSETS/1M", "FPT=A", "FPO=3A", "ACT_EST_MAPPING=PRECISE", "FS=MRC", "CURRENCY=USD", "XLFILL=b")</f>
        <v>#NAME?</v>
      </c>
      <c r="H211" t="e" cm="1">
        <f t="array" aca="1" ref="H211" ca="1">BQL("CRWD US Equity", "CB_BS_TOTAL_INTANGIBLE_ASSETS/1M", "FPT=A", "FPO=4A", "ACT_EST_MAPPING=PRECISE", "FS=MRC", "CURRENCY=USD", "XLFILL=b")</f>
        <v>#NAME?</v>
      </c>
      <c r="I211" t="e" cm="1">
        <f t="array" aca="1" ref="I211" ca="1">BQL("CRWD US Equity", "CB_BS_TOTAL_INTANGIBLE_ASSETS/1M", "FPT=A", "FPO=5A", "ACT_EST_MAPPING=PRECISE", "FS=MRC", "CURRENCY=USD", "XLFILL=b")</f>
        <v>#NAME?</v>
      </c>
      <c r="J211" t="e" cm="1">
        <f t="array" aca="1" ref="J211" ca="1">BQL("CRWD US Equity", "CB_BS_TOTAL_INTANGIBLE_ASSETS/1M", "FPT=A", "FPO=6A", "ACT_EST_MAPPING=PRECISE", "FS=MRC", "CURRENCY=USD", "XLFILL=b")</f>
        <v>#NAME?</v>
      </c>
      <c r="K211" t="e" cm="1">
        <f t="array" aca="1" ref="K211" ca="1">BQL("CRWD US Equity", "CB_BS_TOTAL_INTANGIBLE_ASSETS/1M", "FPT=A", "FPO=7A", "ACT_EST_MAPPING=PRECISE", "FS=MRC", "CURRENCY=USD", "XLFILL=b")</f>
        <v>#NAME?</v>
      </c>
    </row>
    <row r="212" spans="1:11" x14ac:dyDescent="0.25">
      <c r="A212" t="s">
        <v>151</v>
      </c>
      <c r="B212" t="e" cm="1">
        <f t="array" aca="1" ref="B212" ca="1">BQL("CRWD US Equity", "BS_OTHER_INTANGIBLE_ASSETS/1M", "FPT=A", "FPO=-2A", "ACT_EST_MAPPING=PRECISE", "FS=MRC", "CURRENCY=USD", "XLFILL=b")</f>
        <v>#NAME?</v>
      </c>
      <c r="C212" t="e" cm="1">
        <f t="array" aca="1" ref="C212" ca="1">BQL("CRWD US Equity", "BS_OTHER_INTANGIBLE_ASSETS/1M", "FPT=A", "FPO=-1A", "ACT_EST_MAPPING=PRECISE", "FS=MRC", "CURRENCY=USD", "XLFILL=b")</f>
        <v>#NAME?</v>
      </c>
      <c r="D212" t="e" cm="1">
        <f t="array" aca="1" ref="D212" ca="1">BQL("CRWD US Equity", "BS_OTHER_INTANGIBLE_ASSETS/1M", "FPT=A", "FPO=0A", "ACT_EST_MAPPING=PRECISE", "FS=MRC", "CURRENCY=USD", "XLFILL=b")</f>
        <v>#NAME?</v>
      </c>
      <c r="E212" t="e" cm="1">
        <f t="array" aca="1" ref="E212" ca="1">BQL("CRWD US Equity", "BS_OTHER_INTANGIBLE_ASSETS/1M", "FPT=A", "FPO=1A", "ACT_EST_MAPPING=PRECISE", "FS=MRC", "CURRENCY=USD", "XLFILL=b")</f>
        <v>#NAME?</v>
      </c>
      <c r="F212" t="e" cm="1">
        <f t="array" aca="1" ref="F212" ca="1">BQL("CRWD US Equity", "BS_OTHER_INTANGIBLE_ASSETS/1M", "FPT=A", "FPO=2A", "ACT_EST_MAPPING=PRECISE", "FS=MRC", "CURRENCY=USD", "XLFILL=b")</f>
        <v>#NAME?</v>
      </c>
      <c r="G212" t="e" cm="1">
        <f t="array" aca="1" ref="G212" ca="1">BQL("CRWD US Equity", "BS_OTHER_INTANGIBLE_ASSETS/1M", "FPT=A", "FPO=3A", "ACT_EST_MAPPING=PRECISE", "FS=MRC", "CURRENCY=USD", "XLFILL=b")</f>
        <v>#NAME?</v>
      </c>
      <c r="H212" t="e" cm="1">
        <f t="array" aca="1" ref="H212" ca="1">BQL("CRWD US Equity", "BS_OTHER_INTANGIBLE_ASSETS/1M", "FPT=A", "FPO=4A", "ACT_EST_MAPPING=PRECISE", "FS=MRC", "CURRENCY=USD", "XLFILL=b")</f>
        <v>#NAME?</v>
      </c>
      <c r="I212" t="e" cm="1">
        <f t="array" aca="1" ref="I212" ca="1">BQL("CRWD US Equity", "BS_OTHER_INTANGIBLE_ASSETS/1M", "FPT=A", "FPO=5A", "ACT_EST_MAPPING=PRECISE", "FS=MRC", "CURRENCY=USD", "XLFILL=b")</f>
        <v>#NAME?</v>
      </c>
      <c r="J212" t="e" cm="1">
        <f t="array" aca="1" ref="J212" ca="1">BQL("CRWD US Equity", "BS_OTHER_INTANGIBLE_ASSETS/1M", "FPT=A", "FPO=6A", "ACT_EST_MAPPING=PRECISE", "FS=MRC", "CURRENCY=USD", "XLFILL=b")</f>
        <v>#NAME?</v>
      </c>
      <c r="K212" t="e" cm="1">
        <f t="array" aca="1" ref="K212" ca="1">BQL("CRWD US Equity", "BS_OTHER_INTANGIBLE_ASSETS/1M", "FPT=A", "FPO=7A", "ACT_EST_MAPPING=PRECISE", "FS=MRC", "CURRENCY=USD", "XLFILL=b")</f>
        <v>#NAME?</v>
      </c>
    </row>
    <row r="213" spans="1:11" x14ac:dyDescent="0.25">
      <c r="A213" t="s">
        <v>152</v>
      </c>
      <c r="B213" t="e" cm="1">
        <f t="array" aca="1" ref="B213" ca="1">BQL("CRWD US Equity", "BS_GOODWILL/1M", "FPT=A", "FPO=-2A", "ACT_EST_MAPPING=PRECISE", "FS=MRC", "CURRENCY=USD", "XLFILL=b")</f>
        <v>#NAME?</v>
      </c>
      <c r="C213" t="e" cm="1">
        <f t="array" aca="1" ref="C213" ca="1">BQL("CRWD US Equity", "BS_GOODWILL/1M", "FPT=A", "FPO=-1A", "ACT_EST_MAPPING=PRECISE", "FS=MRC", "CURRENCY=USD", "XLFILL=b")</f>
        <v>#NAME?</v>
      </c>
      <c r="D213" t="e" cm="1">
        <f t="array" aca="1" ref="D213" ca="1">BQL("CRWD US Equity", "BS_GOODWILL/1M", "FPT=A", "FPO=0A", "ACT_EST_MAPPING=PRECISE", "FS=MRC", "CURRENCY=USD", "XLFILL=b")</f>
        <v>#NAME?</v>
      </c>
      <c r="E213" t="e" cm="1">
        <f t="array" aca="1" ref="E213" ca="1">BQL("CRWD US Equity", "BS_GOODWILL/1M", "FPT=A", "FPO=1A", "ACT_EST_MAPPING=PRECISE", "FS=MRC", "CURRENCY=USD", "XLFILL=b")</f>
        <v>#NAME?</v>
      </c>
      <c r="F213" t="e" cm="1">
        <f t="array" aca="1" ref="F213" ca="1">BQL("CRWD US Equity", "BS_GOODWILL/1M", "FPT=A", "FPO=2A", "ACT_EST_MAPPING=PRECISE", "FS=MRC", "CURRENCY=USD", "XLFILL=b")</f>
        <v>#NAME?</v>
      </c>
      <c r="G213" t="e" cm="1">
        <f t="array" aca="1" ref="G213" ca="1">BQL("CRWD US Equity", "BS_GOODWILL/1M", "FPT=A", "FPO=3A", "ACT_EST_MAPPING=PRECISE", "FS=MRC", "CURRENCY=USD", "XLFILL=b")</f>
        <v>#NAME?</v>
      </c>
      <c r="H213" t="e" cm="1">
        <f t="array" aca="1" ref="H213" ca="1">BQL("CRWD US Equity", "BS_GOODWILL/1M", "FPT=A", "FPO=4A", "ACT_EST_MAPPING=PRECISE", "FS=MRC", "CURRENCY=USD", "XLFILL=b")</f>
        <v>#NAME?</v>
      </c>
      <c r="I213" t="e" cm="1">
        <f t="array" aca="1" ref="I213" ca="1">BQL("CRWD US Equity", "BS_GOODWILL/1M", "FPT=A", "FPO=5A", "ACT_EST_MAPPING=PRECISE", "FS=MRC", "CURRENCY=USD", "XLFILL=b")</f>
        <v>#NAME?</v>
      </c>
      <c r="J213" t="e" cm="1">
        <f t="array" aca="1" ref="J213" ca="1">BQL("CRWD US Equity", "BS_GOODWILL/1M", "FPT=A", "FPO=6A", "ACT_EST_MAPPING=PRECISE", "FS=MRC", "CURRENCY=USD", "XLFILL=b")</f>
        <v>#NAME?</v>
      </c>
      <c r="K213" t="e" cm="1">
        <f t="array" aca="1" ref="K213" ca="1">BQL("CRWD US Equity", "BS_GOODWILL/1M", "FPT=A", "FPO=7A", "ACT_EST_MAPPING=PRECISE", "FS=MRC", "CURRENCY=USD", "XLFILL=b")</f>
        <v>#NAME?</v>
      </c>
    </row>
    <row r="214" spans="1:11" x14ac:dyDescent="0.25">
      <c r="A214" t="s">
        <v>142</v>
      </c>
      <c r="B214" t="e" cm="1">
        <f t="array" aca="1" ref="B214" ca="1">BQL("CRWD US Equity", "BS_CONTRACT_ASSETS_LONG_TERM/1M", "FPT=A", "FPO=-2A", "ACT_EST_MAPPING=PRECISE", "FS=MRC", "CURRENCY=USD", "XLFILL=b")</f>
        <v>#NAME?</v>
      </c>
      <c r="C214" t="e" cm="1">
        <f t="array" aca="1" ref="C214" ca="1">BQL("CRWD US Equity", "BS_CONTRACT_ASSETS_LONG_TERM/1M", "FPT=A", "FPO=-1A", "ACT_EST_MAPPING=PRECISE", "FS=MRC", "CURRENCY=USD", "XLFILL=b")</f>
        <v>#NAME?</v>
      </c>
      <c r="D214" t="e" cm="1">
        <f t="array" aca="1" ref="D214" ca="1">BQL("CRWD US Equity", "BS_CONTRACT_ASSETS_LONG_TERM/1M", "FPT=A", "FPO=0A", "ACT_EST_MAPPING=PRECISE", "FS=MRC", "CURRENCY=USD", "XLFILL=b")</f>
        <v>#NAME?</v>
      </c>
      <c r="E214" t="e" cm="1">
        <f t="array" aca="1" ref="E214" ca="1">BQL("CRWD US Equity", "BS_CONTRACT_ASSETS_LONG_TERM/1M", "FPT=A", "FPO=1A", "ACT_EST_MAPPING=PRECISE", "FS=MRC", "CURRENCY=USD", "XLFILL=b")</f>
        <v>#NAME?</v>
      </c>
      <c r="F214" t="e" cm="1">
        <f t="array" aca="1" ref="F214" ca="1">BQL("CRWD US Equity", "BS_CONTRACT_ASSETS_LONG_TERM/1M", "FPT=A", "FPO=2A", "ACT_EST_MAPPING=PRECISE", "FS=MRC", "CURRENCY=USD", "XLFILL=b")</f>
        <v>#NAME?</v>
      </c>
      <c r="G214" t="e" cm="1">
        <f t="array" aca="1" ref="G214" ca="1">BQL("CRWD US Equity", "BS_CONTRACT_ASSETS_LONG_TERM/1M", "FPT=A", "FPO=3A", "ACT_EST_MAPPING=PRECISE", "FS=MRC", "CURRENCY=USD", "XLFILL=b")</f>
        <v>#NAME?</v>
      </c>
      <c r="H214" t="e" cm="1">
        <f t="array" aca="1" ref="H214" ca="1">BQL("CRWD US Equity", "BS_CONTRACT_ASSETS_LONG_TERM/1M", "FPT=A", "FPO=4A", "ACT_EST_MAPPING=PRECISE", "FS=MRC", "CURRENCY=USD", "XLFILL=b")</f>
        <v>#NAME?</v>
      </c>
      <c r="I214" t="e" cm="1">
        <f t="array" aca="1" ref="I214" ca="1">BQL("CRWD US Equity", "BS_CONTRACT_ASSETS_LONG_TERM/1M", "FPT=A", "FPO=5A", "ACT_EST_MAPPING=PRECISE", "FS=MRC", "CURRENCY=USD", "XLFILL=b")</f>
        <v>#NAME?</v>
      </c>
      <c r="J214" t="e" cm="1">
        <f t="array" aca="1" ref="J214" ca="1">BQL("CRWD US Equity", "BS_CONTRACT_ASSETS_LONG_TERM/1M", "FPT=A", "FPO=6A", "ACT_EST_MAPPING=PRECISE", "FS=MRC", "CURRENCY=USD", "XLFILL=b")</f>
        <v>#NAME?</v>
      </c>
      <c r="K214" t="e" cm="1">
        <f t="array" aca="1" ref="K214" ca="1">BQL("CRWD US Equity", "BS_CONTRACT_ASSETS_LONG_TERM/1M", "FPT=A", "FPO=7A", "ACT_EST_MAPPING=PRECISE", "FS=MRC", "CURRENCY=USD", "XLFILL=b")</f>
        <v>#NAME?</v>
      </c>
    </row>
    <row r="215" spans="1:11" x14ac:dyDescent="0.25">
      <c r="A215" t="s">
        <v>153</v>
      </c>
      <c r="B215" t="e" cm="1">
        <f t="array" aca="1" ref="B215" ca="1">BQL("CRWD US Equity", "BS_TOTAL_CONTRACT_ASSETS/1M", "FPT=A", "FPO=-2A", "ACT_EST_MAPPING=PRECISE", "FS=MRC", "CURRENCY=USD", "XLFILL=b")</f>
        <v>#NAME?</v>
      </c>
      <c r="C215" t="e" cm="1">
        <f t="array" aca="1" ref="C215" ca="1">BQL("CRWD US Equity", "BS_TOTAL_CONTRACT_ASSETS/1M", "FPT=A", "FPO=-1A", "ACT_EST_MAPPING=PRECISE", "FS=MRC", "CURRENCY=USD", "XLFILL=b")</f>
        <v>#NAME?</v>
      </c>
      <c r="D215" t="e" cm="1">
        <f t="array" aca="1" ref="D215" ca="1">BQL("CRWD US Equity", "BS_TOTAL_CONTRACT_ASSETS/1M", "FPT=A", "FPO=0A", "ACT_EST_MAPPING=PRECISE", "FS=MRC", "CURRENCY=USD", "XLFILL=b")</f>
        <v>#NAME?</v>
      </c>
      <c r="E215" t="e" cm="1">
        <f t="array" aca="1" ref="E215" ca="1">BQL("CRWD US Equity", "BS_TOTAL_CONTRACT_ASSETS/1M", "FPT=A", "FPO=1A", "ACT_EST_MAPPING=PRECISE", "FS=MRC", "CURRENCY=USD", "XLFILL=b")</f>
        <v>#NAME?</v>
      </c>
      <c r="F215" t="e" cm="1">
        <f t="array" aca="1" ref="F215" ca="1">BQL("CRWD US Equity", "BS_TOTAL_CONTRACT_ASSETS/1M", "FPT=A", "FPO=2A", "ACT_EST_MAPPING=PRECISE", "FS=MRC", "CURRENCY=USD", "XLFILL=b")</f>
        <v>#NAME?</v>
      </c>
      <c r="G215" t="e" cm="1">
        <f t="array" aca="1" ref="G215" ca="1">BQL("CRWD US Equity", "BS_TOTAL_CONTRACT_ASSETS/1M", "FPT=A", "FPO=3A", "ACT_EST_MAPPING=PRECISE", "FS=MRC", "CURRENCY=USD", "XLFILL=b")</f>
        <v>#NAME?</v>
      </c>
      <c r="H215" t="e" cm="1">
        <f t="array" aca="1" ref="H215" ca="1">BQL("CRWD US Equity", "BS_TOTAL_CONTRACT_ASSETS/1M", "FPT=A", "FPO=4A", "ACT_EST_MAPPING=PRECISE", "FS=MRC", "CURRENCY=USD", "XLFILL=b")</f>
        <v>#NAME?</v>
      </c>
      <c r="I215" t="e" cm="1">
        <f t="array" aca="1" ref="I215" ca="1">BQL("CRWD US Equity", "BS_TOTAL_CONTRACT_ASSETS/1M", "FPT=A", "FPO=5A", "ACT_EST_MAPPING=PRECISE", "FS=MRC", "CURRENCY=USD", "XLFILL=b")</f>
        <v>#NAME?</v>
      </c>
      <c r="J215" t="e" cm="1">
        <f t="array" aca="1" ref="J215" ca="1">BQL("CRWD US Equity", "BS_TOTAL_CONTRACT_ASSETS/1M", "FPT=A", "FPO=6A", "ACT_EST_MAPPING=PRECISE", "FS=MRC", "CURRENCY=USD", "XLFILL=b")</f>
        <v>#NAME?</v>
      </c>
      <c r="K215" t="e" cm="1">
        <f t="array" aca="1" ref="K215" ca="1">BQL("CRWD US Equity", "BS_TOTAL_CONTRACT_ASSETS/1M", "FPT=A", "FPO=7A", "ACT_EST_MAPPING=PRECISE", "FS=MRC", "CURRENCY=USD", "XLFILL=b")</f>
        <v>#NAME?</v>
      </c>
    </row>
    <row r="216" spans="1:11" x14ac:dyDescent="0.25">
      <c r="A216" t="s">
        <v>154</v>
      </c>
      <c r="B216" t="e" cm="1">
        <f t="array" aca="1" ref="B216" ca="1">BQL("CRWD US Equity", "CB_BS_OTHER_NONCURRENT_ASSETS/1M", "FPT=A", "FPO=-2A", "ACT_EST_MAPPING=PRECISE", "FS=MRC", "CURRENCY=USD", "XLFILL=b")</f>
        <v>#NAME?</v>
      </c>
      <c r="C216" t="e" cm="1">
        <f t="array" aca="1" ref="C216" ca="1">BQL("CRWD US Equity", "CB_BS_OTHER_NONCURRENT_ASSETS/1M", "FPT=A", "FPO=-1A", "ACT_EST_MAPPING=PRECISE", "FS=MRC", "CURRENCY=USD", "XLFILL=b")</f>
        <v>#NAME?</v>
      </c>
      <c r="D216" t="e" cm="1">
        <f t="array" aca="1" ref="D216" ca="1">BQL("CRWD US Equity", "CB_BS_OTHER_NONCURRENT_ASSETS/1M", "FPT=A", "FPO=0A", "ACT_EST_MAPPING=PRECISE", "FS=MRC", "CURRENCY=USD", "XLFILL=b")</f>
        <v>#NAME?</v>
      </c>
      <c r="E216" t="e" cm="1">
        <f t="array" aca="1" ref="E216" ca="1">BQL("CRWD US Equity", "CB_BS_OTHER_NONCURRENT_ASSETS/1M", "FPT=A", "FPO=1A", "ACT_EST_MAPPING=PRECISE", "FS=MRC", "CURRENCY=USD", "XLFILL=b")</f>
        <v>#NAME?</v>
      </c>
      <c r="F216" t="e" cm="1">
        <f t="array" aca="1" ref="F216" ca="1">BQL("CRWD US Equity", "CB_BS_OTHER_NONCURRENT_ASSETS/1M", "FPT=A", "FPO=2A", "ACT_EST_MAPPING=PRECISE", "FS=MRC", "CURRENCY=USD", "XLFILL=b")</f>
        <v>#NAME?</v>
      </c>
      <c r="G216" t="e" cm="1">
        <f t="array" aca="1" ref="G216" ca="1">BQL("CRWD US Equity", "CB_BS_OTHER_NONCURRENT_ASSETS/1M", "FPT=A", "FPO=3A", "ACT_EST_MAPPING=PRECISE", "FS=MRC", "CURRENCY=USD", "XLFILL=b")</f>
        <v>#NAME?</v>
      </c>
      <c r="H216" t="e" cm="1">
        <f t="array" aca="1" ref="H216" ca="1">BQL("CRWD US Equity", "CB_BS_OTHER_NONCURRENT_ASSETS/1M", "FPT=A", "FPO=4A", "ACT_EST_MAPPING=PRECISE", "FS=MRC", "CURRENCY=USD", "XLFILL=b")</f>
        <v>#NAME?</v>
      </c>
      <c r="I216" t="e" cm="1">
        <f t="array" aca="1" ref="I216" ca="1">BQL("CRWD US Equity", "CB_BS_OTHER_NONCURRENT_ASSETS/1M", "FPT=A", "FPO=5A", "ACT_EST_MAPPING=PRECISE", "FS=MRC", "CURRENCY=USD", "XLFILL=b")</f>
        <v>#NAME?</v>
      </c>
      <c r="J216" t="e" cm="1">
        <f t="array" aca="1" ref="J216" ca="1">BQL("CRWD US Equity", "CB_BS_OTHER_NONCURRENT_ASSETS/1M", "FPT=A", "FPO=6A", "ACT_EST_MAPPING=PRECISE", "FS=MRC", "CURRENCY=USD", "XLFILL=b")</f>
        <v>#NAME?</v>
      </c>
      <c r="K216" t="e" cm="1">
        <f t="array" aca="1" ref="K216" ca="1">BQL("CRWD US Equity", "CB_BS_OTHER_NONCURRENT_ASSETS/1M", "FPT=A", "FPO=7A", "ACT_EST_MAPPING=PRECISE", "FS=MRC", "CURRENCY=USD", "XLFILL=b")</f>
        <v>#NAME?</v>
      </c>
    </row>
    <row r="217" spans="1:11" x14ac:dyDescent="0.25">
      <c r="A217" t="s">
        <v>155</v>
      </c>
      <c r="B217" t="e" cm="1">
        <f t="array" aca="1" ref="B217" ca="1">BQL("CRWD US Equity", "BS_TOT_ASSET/1M", "FPT=A", "FPO=-2A", "ACT_EST_MAPPING=PRECISE", "FS=MRC", "CURRENCY=USD", "XLFILL=b")</f>
        <v>#NAME?</v>
      </c>
      <c r="C217" t="e" cm="1">
        <f t="array" aca="1" ref="C217" ca="1">BQL("CRWD US Equity", "BS_TOT_ASSET/1M", "FPT=A", "FPO=-1A", "ACT_EST_MAPPING=PRECISE", "FS=MRC", "CURRENCY=USD", "XLFILL=b")</f>
        <v>#NAME?</v>
      </c>
      <c r="D217" t="e" cm="1">
        <f t="array" aca="1" ref="D217" ca="1">BQL("CRWD US Equity", "BS_TOT_ASSET/1M", "FPT=A", "FPO=0A", "ACT_EST_MAPPING=PRECISE", "FS=MRC", "CURRENCY=USD", "XLFILL=b")</f>
        <v>#NAME?</v>
      </c>
      <c r="E217" t="e" cm="1">
        <f t="array" aca="1" ref="E217" ca="1">BQL("CRWD US Equity", "BS_TOT_ASSET/1M", "FPT=A", "FPO=1A", "ACT_EST_MAPPING=PRECISE", "FS=MRC", "CURRENCY=USD", "XLFILL=b")</f>
        <v>#NAME?</v>
      </c>
      <c r="F217" t="e" cm="1">
        <f t="array" aca="1" ref="F217" ca="1">BQL("CRWD US Equity", "BS_TOT_ASSET/1M", "FPT=A", "FPO=2A", "ACT_EST_MAPPING=PRECISE", "FS=MRC", "CURRENCY=USD", "XLFILL=b")</f>
        <v>#NAME?</v>
      </c>
      <c r="G217" t="e" cm="1">
        <f t="array" aca="1" ref="G217" ca="1">BQL("CRWD US Equity", "BS_TOT_ASSET/1M", "FPT=A", "FPO=3A", "ACT_EST_MAPPING=PRECISE", "FS=MRC", "CURRENCY=USD", "XLFILL=b")</f>
        <v>#NAME?</v>
      </c>
      <c r="H217" t="e" cm="1">
        <f t="array" aca="1" ref="H217" ca="1">BQL("CRWD US Equity", "BS_TOT_ASSET/1M", "FPT=A", "FPO=4A", "ACT_EST_MAPPING=PRECISE", "FS=MRC", "CURRENCY=USD", "XLFILL=b")</f>
        <v>#NAME?</v>
      </c>
      <c r="I217" t="e" cm="1">
        <f t="array" aca="1" ref="I217" ca="1">BQL("CRWD US Equity", "BS_TOT_ASSET/1M", "FPT=A", "FPO=5A", "ACT_EST_MAPPING=PRECISE", "FS=MRC", "CURRENCY=USD", "XLFILL=b")</f>
        <v>#NAME?</v>
      </c>
      <c r="J217" t="e" cm="1">
        <f t="array" aca="1" ref="J217" ca="1">BQL("CRWD US Equity", "BS_TOT_ASSET/1M", "FPT=A", "FPO=6A", "ACT_EST_MAPPING=PRECISE", "FS=MRC", "CURRENCY=USD", "XLFILL=b")</f>
        <v>#NAME?</v>
      </c>
      <c r="K217" t="e" cm="1">
        <f t="array" aca="1" ref="K217" ca="1">BQL("CRWD US Equity", "BS_TOT_ASSET/1M", "FPT=A", "FPO=7A", "ACT_EST_MAPPING=PRECISE", "FS=MRC", "CURRENCY=USD", "XLFILL=b")</f>
        <v>#NAME?</v>
      </c>
    </row>
    <row r="218" spans="1:11" x14ac:dyDescent="0.25">
      <c r="A218" t="s">
        <v>17</v>
      </c>
    </row>
    <row r="219" spans="1:11" x14ac:dyDescent="0.25">
      <c r="A219" t="s">
        <v>156</v>
      </c>
    </row>
    <row r="220" spans="1:11" x14ac:dyDescent="0.25">
      <c r="A220" t="s">
        <v>157</v>
      </c>
      <c r="B220" t="e" cm="1">
        <f t="array" aca="1" ref="B220" ca="1">BQL("CRWD US Equity", "BS_CUR_LIAB/1M", "FPT=A", "FPO=-2A", "ACT_EST_MAPPING=PRECISE", "FS=MRC", "CURRENCY=USD", "XLFILL=b")</f>
        <v>#NAME?</v>
      </c>
      <c r="C220" t="e" cm="1">
        <f t="array" aca="1" ref="C220" ca="1">BQL("CRWD US Equity", "BS_CUR_LIAB/1M", "FPT=A", "FPO=-1A", "ACT_EST_MAPPING=PRECISE", "FS=MRC", "CURRENCY=USD", "XLFILL=b")</f>
        <v>#NAME?</v>
      </c>
      <c r="D220" t="e" cm="1">
        <f t="array" aca="1" ref="D220" ca="1">BQL("CRWD US Equity", "BS_CUR_LIAB/1M", "FPT=A", "FPO=0A", "ACT_EST_MAPPING=PRECISE", "FS=MRC", "CURRENCY=USD", "XLFILL=b")</f>
        <v>#NAME?</v>
      </c>
      <c r="E220" t="e" cm="1">
        <f t="array" aca="1" ref="E220" ca="1">BQL("CRWD US Equity", "BS_CUR_LIAB/1M", "FPT=A", "FPO=1A", "ACT_EST_MAPPING=PRECISE", "FS=MRC", "CURRENCY=USD", "XLFILL=b")</f>
        <v>#NAME?</v>
      </c>
      <c r="F220" t="e" cm="1">
        <f t="array" aca="1" ref="F220" ca="1">BQL("CRWD US Equity", "BS_CUR_LIAB/1M", "FPT=A", "FPO=2A", "ACT_EST_MAPPING=PRECISE", "FS=MRC", "CURRENCY=USD", "XLFILL=b")</f>
        <v>#NAME?</v>
      </c>
      <c r="G220" t="e" cm="1">
        <f t="array" aca="1" ref="G220" ca="1">BQL("CRWD US Equity", "BS_CUR_LIAB/1M", "FPT=A", "FPO=3A", "ACT_EST_MAPPING=PRECISE", "FS=MRC", "CURRENCY=USD", "XLFILL=b")</f>
        <v>#NAME?</v>
      </c>
      <c r="H220" t="e" cm="1">
        <f t="array" aca="1" ref="H220" ca="1">BQL("CRWD US Equity", "BS_CUR_LIAB/1M", "FPT=A", "FPO=4A", "ACT_EST_MAPPING=PRECISE", "FS=MRC", "CURRENCY=USD", "XLFILL=b")</f>
        <v>#NAME?</v>
      </c>
      <c r="I220" t="e" cm="1">
        <f t="array" aca="1" ref="I220" ca="1">BQL("CRWD US Equity", "BS_CUR_LIAB/1M", "FPT=A", "FPO=5A", "ACT_EST_MAPPING=PRECISE", "FS=MRC", "CURRENCY=USD", "XLFILL=b")</f>
        <v>#NAME?</v>
      </c>
      <c r="J220" t="e" cm="1">
        <f t="array" aca="1" ref="J220" ca="1">BQL("CRWD US Equity", "BS_CUR_LIAB/1M", "FPT=A", "FPO=6A", "ACT_EST_MAPPING=PRECISE", "FS=MRC", "CURRENCY=USD", "XLFILL=b")</f>
        <v>#NAME?</v>
      </c>
      <c r="K220" t="e" cm="1">
        <f t="array" aca="1" ref="K220" ca="1">BQL("CRWD US Equity", "BS_CUR_LIAB/1M", "FPT=A", "FPO=7A", "ACT_EST_MAPPING=PRECISE", "FS=MRC", "CURRENCY=USD", "XLFILL=b")</f>
        <v>#NAME?</v>
      </c>
    </row>
    <row r="221" spans="1:11" x14ac:dyDescent="0.25">
      <c r="A221" t="s">
        <v>158</v>
      </c>
      <c r="B221" t="e" cm="1">
        <f t="array" aca="1" ref="B221" ca="1">BQL("CRWD US Equity", "BS_ACCT_PAYABLE/1M", "FPT=A", "FPO=-2A", "ACT_EST_MAPPING=PRECISE", "FS=MRC", "CURRENCY=USD", "XLFILL=b")</f>
        <v>#NAME?</v>
      </c>
      <c r="C221" t="e" cm="1">
        <f t="array" aca="1" ref="C221" ca="1">BQL("CRWD US Equity", "BS_ACCT_PAYABLE/1M", "FPT=A", "FPO=-1A", "ACT_EST_MAPPING=PRECISE", "FS=MRC", "CURRENCY=USD", "XLFILL=b")</f>
        <v>#NAME?</v>
      </c>
      <c r="D221" t="e" cm="1">
        <f t="array" aca="1" ref="D221" ca="1">BQL("CRWD US Equity", "BS_ACCT_PAYABLE/1M", "FPT=A", "FPO=0A", "ACT_EST_MAPPING=PRECISE", "FS=MRC", "CURRENCY=USD", "XLFILL=b")</f>
        <v>#NAME?</v>
      </c>
      <c r="E221" t="e" cm="1">
        <f t="array" aca="1" ref="E221" ca="1">BQL("CRWD US Equity", "BS_ACCT_PAYABLE/1M", "FPT=A", "FPO=1A", "ACT_EST_MAPPING=PRECISE", "FS=MRC", "CURRENCY=USD", "XLFILL=b")</f>
        <v>#NAME?</v>
      </c>
      <c r="F221" t="e" cm="1">
        <f t="array" aca="1" ref="F221" ca="1">BQL("CRWD US Equity", "BS_ACCT_PAYABLE/1M", "FPT=A", "FPO=2A", "ACT_EST_MAPPING=PRECISE", "FS=MRC", "CURRENCY=USD", "XLFILL=b")</f>
        <v>#NAME?</v>
      </c>
      <c r="G221" t="e" cm="1">
        <f t="array" aca="1" ref="G221" ca="1">BQL("CRWD US Equity", "BS_ACCT_PAYABLE/1M", "FPT=A", "FPO=3A", "ACT_EST_MAPPING=PRECISE", "FS=MRC", "CURRENCY=USD", "XLFILL=b")</f>
        <v>#NAME?</v>
      </c>
      <c r="H221" t="e" cm="1">
        <f t="array" aca="1" ref="H221" ca="1">BQL("CRWD US Equity", "BS_ACCT_PAYABLE/1M", "FPT=A", "FPO=4A", "ACT_EST_MAPPING=PRECISE", "FS=MRC", "CURRENCY=USD", "XLFILL=b")</f>
        <v>#NAME?</v>
      </c>
      <c r="I221" t="e" cm="1">
        <f t="array" aca="1" ref="I221" ca="1">BQL("CRWD US Equity", "BS_ACCT_PAYABLE/1M", "FPT=A", "FPO=5A", "ACT_EST_MAPPING=PRECISE", "FS=MRC", "CURRENCY=USD", "XLFILL=b")</f>
        <v>#NAME?</v>
      </c>
      <c r="J221" t="e" cm="1">
        <f t="array" aca="1" ref="J221" ca="1">BQL("CRWD US Equity", "BS_ACCT_PAYABLE/1M", "FPT=A", "FPO=6A", "ACT_EST_MAPPING=PRECISE", "FS=MRC", "CURRENCY=USD", "XLFILL=b")</f>
        <v>#NAME?</v>
      </c>
      <c r="K221" t="e" cm="1">
        <f t="array" aca="1" ref="K221" ca="1">BQL("CRWD US Equity", "BS_ACCT_PAYABLE/1M", "FPT=A", "FPO=7A", "ACT_EST_MAPPING=PRECISE", "FS=MRC", "CURRENCY=USD", "XLFILL=b")</f>
        <v>#NAME?</v>
      </c>
    </row>
    <row r="222" spans="1:11" x14ac:dyDescent="0.25">
      <c r="A222" t="s">
        <v>159</v>
      </c>
      <c r="B222" t="e" cm="1">
        <f t="array" aca="1" ref="B222" ca="1">BQL("CRWD US Equity", "BS_SHORTTERM_ACCRUD_EXPNSS/1M", "FPT=A", "FPO=-2A", "ACT_EST_MAPPING=PRECISE", "FS=MRC", "CURRENCY=USD", "XLFILL=b")</f>
        <v>#NAME?</v>
      </c>
      <c r="C222" t="e" cm="1">
        <f t="array" aca="1" ref="C222" ca="1">BQL("CRWD US Equity", "BS_SHORTTERM_ACCRUD_EXPNSS/1M", "FPT=A", "FPO=-1A", "ACT_EST_MAPPING=PRECISE", "FS=MRC", "CURRENCY=USD", "XLFILL=b")</f>
        <v>#NAME?</v>
      </c>
      <c r="D222" t="e" cm="1">
        <f t="array" aca="1" ref="D222" ca="1">BQL("CRWD US Equity", "BS_SHORTTERM_ACCRUD_EXPNSS/1M", "FPT=A", "FPO=0A", "ACT_EST_MAPPING=PRECISE", "FS=MRC", "CURRENCY=USD", "XLFILL=b")</f>
        <v>#NAME?</v>
      </c>
      <c r="E222" t="e" cm="1">
        <f t="array" aca="1" ref="E222" ca="1">BQL("CRWD US Equity", "BS_SHORTTERM_ACCRUD_EXPNSS/1M", "FPT=A", "FPO=1A", "ACT_EST_MAPPING=PRECISE", "FS=MRC", "CURRENCY=USD", "XLFILL=b")</f>
        <v>#NAME?</v>
      </c>
      <c r="F222" t="e" cm="1">
        <f t="array" aca="1" ref="F222" ca="1">BQL("CRWD US Equity", "BS_SHORTTERM_ACCRUD_EXPNSS/1M", "FPT=A", "FPO=2A", "ACT_EST_MAPPING=PRECISE", "FS=MRC", "CURRENCY=USD", "XLFILL=b")</f>
        <v>#NAME?</v>
      </c>
      <c r="G222" t="e" cm="1">
        <f t="array" aca="1" ref="G222" ca="1">BQL("CRWD US Equity", "BS_SHORTTERM_ACCRUD_EXPNSS/1M", "FPT=A", "FPO=3A", "ACT_EST_MAPPING=PRECISE", "FS=MRC", "CURRENCY=USD", "XLFILL=b")</f>
        <v>#NAME?</v>
      </c>
      <c r="H222" t="e" cm="1">
        <f t="array" aca="1" ref="H222" ca="1">BQL("CRWD US Equity", "BS_SHORTTERM_ACCRUD_EXPNSS/1M", "FPT=A", "FPO=4A", "ACT_EST_MAPPING=PRECISE", "FS=MRC", "CURRENCY=USD", "XLFILL=b")</f>
        <v>#NAME?</v>
      </c>
      <c r="I222" t="e" cm="1">
        <f t="array" aca="1" ref="I222" ca="1">BQL("CRWD US Equity", "BS_SHORTTERM_ACCRUD_EXPNSS/1M", "FPT=A", "FPO=5A", "ACT_EST_MAPPING=PRECISE", "FS=MRC", "CURRENCY=USD", "XLFILL=b")</f>
        <v>#NAME?</v>
      </c>
      <c r="J222" t="e" cm="1">
        <f t="array" aca="1" ref="J222" ca="1">BQL("CRWD US Equity", "BS_SHORTTERM_ACCRUD_EXPNSS/1M", "FPT=A", "FPO=6A", "ACT_EST_MAPPING=PRECISE", "FS=MRC", "CURRENCY=USD", "XLFILL=b")</f>
        <v>#NAME?</v>
      </c>
      <c r="K222" t="e" cm="1">
        <f t="array" aca="1" ref="K222" ca="1">BQL("CRWD US Equity", "BS_SHORTTERM_ACCRUD_EXPNSS/1M", "FPT=A", "FPO=7A", "ACT_EST_MAPPING=PRECISE", "FS=MRC", "CURRENCY=USD", "XLFILL=b")</f>
        <v>#NAME?</v>
      </c>
    </row>
    <row r="223" spans="1:11" x14ac:dyDescent="0.25">
      <c r="A223" t="s">
        <v>160</v>
      </c>
      <c r="B223" t="e" cm="1">
        <f t="array" aca="1" ref="B223" ca="1">BQL("CRWD US Equity", "BS_ST_ACC_CMPNSTN_POSTRET_OBLIG/1M", "FPT=A", "FPO=-2A", "ACT_EST_MAPPING=PRECISE", "FS=MRC", "CURRENCY=USD", "XLFILL=b")</f>
        <v>#NAME?</v>
      </c>
      <c r="C223" t="e" cm="1">
        <f t="array" aca="1" ref="C223" ca="1">BQL("CRWD US Equity", "BS_ST_ACC_CMPNSTN_POSTRET_OBLIG/1M", "FPT=A", "FPO=-1A", "ACT_EST_MAPPING=PRECISE", "FS=MRC", "CURRENCY=USD", "XLFILL=b")</f>
        <v>#NAME?</v>
      </c>
      <c r="D223" t="e" cm="1">
        <f t="array" aca="1" ref="D223" ca="1">BQL("CRWD US Equity", "BS_ST_ACC_CMPNSTN_POSTRET_OBLIG/1M", "FPT=A", "FPO=0A", "ACT_EST_MAPPING=PRECISE", "FS=MRC", "CURRENCY=USD", "XLFILL=b")</f>
        <v>#NAME?</v>
      </c>
      <c r="E223" t="e" cm="1">
        <f t="array" aca="1" ref="E223" ca="1">BQL("CRWD US Equity", "BS_ST_ACC_CMPNSTN_POSTRET_OBLIG/1M", "FPT=A", "FPO=1A", "ACT_EST_MAPPING=PRECISE", "FS=MRC", "CURRENCY=USD", "XLFILL=b")</f>
        <v>#NAME?</v>
      </c>
      <c r="F223" t="e" cm="1">
        <f t="array" aca="1" ref="F223" ca="1">BQL("CRWD US Equity", "BS_ST_ACC_CMPNSTN_POSTRET_OBLIG/1M", "FPT=A", "FPO=2A", "ACT_EST_MAPPING=PRECISE", "FS=MRC", "CURRENCY=USD", "XLFILL=b")</f>
        <v>#NAME?</v>
      </c>
      <c r="G223" t="e" cm="1">
        <f t="array" aca="1" ref="G223" ca="1">BQL("CRWD US Equity", "BS_ST_ACC_CMPNSTN_POSTRET_OBLIG/1M", "FPT=A", "FPO=3A", "ACT_EST_MAPPING=PRECISE", "FS=MRC", "CURRENCY=USD", "XLFILL=b")</f>
        <v>#NAME?</v>
      </c>
      <c r="H223" t="e" cm="1">
        <f t="array" aca="1" ref="H223" ca="1">BQL("CRWD US Equity", "BS_ST_ACC_CMPNSTN_POSTRET_OBLIG/1M", "FPT=A", "FPO=4A", "ACT_EST_MAPPING=PRECISE", "FS=MRC", "CURRENCY=USD", "XLFILL=b")</f>
        <v>#NAME?</v>
      </c>
      <c r="I223" t="e" cm="1">
        <f t="array" aca="1" ref="I223" ca="1">BQL("CRWD US Equity", "BS_ST_ACC_CMPNSTN_POSTRET_OBLIG/1M", "FPT=A", "FPO=5A", "ACT_EST_MAPPING=PRECISE", "FS=MRC", "CURRENCY=USD", "XLFILL=b")</f>
        <v>#NAME?</v>
      </c>
      <c r="J223" t="e" cm="1">
        <f t="array" aca="1" ref="J223" ca="1">BQL("CRWD US Equity", "BS_ST_ACC_CMPNSTN_POSTRET_OBLIG/1M", "FPT=A", "FPO=6A", "ACT_EST_MAPPING=PRECISE", "FS=MRC", "CURRENCY=USD", "XLFILL=b")</f>
        <v>#NAME?</v>
      </c>
      <c r="K223" t="e" cm="1">
        <f t="array" aca="1" ref="K223" ca="1">BQL("CRWD US Equity", "BS_ST_ACC_CMPNSTN_POSTRET_OBLIG/1M", "FPT=A", "FPO=7A", "ACT_EST_MAPPING=PRECISE", "FS=MRC", "CURRENCY=USD", "XLFILL=b")</f>
        <v>#NAME?</v>
      </c>
    </row>
    <row r="224" spans="1:11" x14ac:dyDescent="0.25">
      <c r="A224" t="s">
        <v>161</v>
      </c>
      <c r="B224" t="e" cm="1">
        <f t="array" aca="1" ref="B224" ca="1">BQL("CRWD US Equity", "ST_DEFERRED_REVENUE/1M", "FPT=A", "FPO=-2A", "ACT_EST_MAPPING=PRECISE", "FS=MRC", "CURRENCY=USD", "XLFILL=b")</f>
        <v>#NAME?</v>
      </c>
      <c r="C224" t="e" cm="1">
        <f t="array" aca="1" ref="C224" ca="1">BQL("CRWD US Equity", "ST_DEFERRED_REVENUE/1M", "FPT=A", "FPO=-1A", "ACT_EST_MAPPING=PRECISE", "FS=MRC", "CURRENCY=USD", "XLFILL=b")</f>
        <v>#NAME?</v>
      </c>
      <c r="D224" t="e" cm="1">
        <f t="array" aca="1" ref="D224" ca="1">BQL("CRWD US Equity", "ST_DEFERRED_REVENUE/1M", "FPT=A", "FPO=0A", "ACT_EST_MAPPING=PRECISE", "FS=MRC", "CURRENCY=USD", "XLFILL=b")</f>
        <v>#NAME?</v>
      </c>
      <c r="E224" t="e" cm="1">
        <f t="array" aca="1" ref="E224" ca="1">BQL("CRWD US Equity", "ST_DEFERRED_REVENUE/1M", "FPT=A", "FPO=1A", "ACT_EST_MAPPING=PRECISE", "FS=MRC", "CURRENCY=USD", "XLFILL=b")</f>
        <v>#NAME?</v>
      </c>
      <c r="F224" t="e" cm="1">
        <f t="array" aca="1" ref="F224" ca="1">BQL("CRWD US Equity", "ST_DEFERRED_REVENUE/1M", "FPT=A", "FPO=2A", "ACT_EST_MAPPING=PRECISE", "FS=MRC", "CURRENCY=USD", "XLFILL=b")</f>
        <v>#NAME?</v>
      </c>
      <c r="G224" t="e" cm="1">
        <f t="array" aca="1" ref="G224" ca="1">BQL("CRWD US Equity", "ST_DEFERRED_REVENUE/1M", "FPT=A", "FPO=3A", "ACT_EST_MAPPING=PRECISE", "FS=MRC", "CURRENCY=USD", "XLFILL=b")</f>
        <v>#NAME?</v>
      </c>
      <c r="H224" t="e" cm="1">
        <f t="array" aca="1" ref="H224" ca="1">BQL("CRWD US Equity", "ST_DEFERRED_REVENUE/1M", "FPT=A", "FPO=4A", "ACT_EST_MAPPING=PRECISE", "FS=MRC", "CURRENCY=USD", "XLFILL=b")</f>
        <v>#NAME?</v>
      </c>
      <c r="I224" t="e" cm="1">
        <f t="array" aca="1" ref="I224" ca="1">BQL("CRWD US Equity", "ST_DEFERRED_REVENUE/1M", "FPT=A", "FPO=5A", "ACT_EST_MAPPING=PRECISE", "FS=MRC", "CURRENCY=USD", "XLFILL=b")</f>
        <v>#NAME?</v>
      </c>
      <c r="J224" t="e" cm="1">
        <f t="array" aca="1" ref="J224" ca="1">BQL("CRWD US Equity", "ST_DEFERRED_REVENUE/1M", "FPT=A", "FPO=6A", "ACT_EST_MAPPING=PRECISE", "FS=MRC", "CURRENCY=USD", "XLFILL=b")</f>
        <v>#NAME?</v>
      </c>
      <c r="K224" t="e" cm="1">
        <f t="array" aca="1" ref="K224" ca="1">BQL("CRWD US Equity", "ST_DEFERRED_REVENUE/1M", "FPT=A", "FPO=7A", "ACT_EST_MAPPING=PRECISE", "FS=MRC", "CURRENCY=USD", "XLFILL=b")</f>
        <v>#NAME?</v>
      </c>
    </row>
    <row r="225" spans="1:11" x14ac:dyDescent="0.25">
      <c r="A225" t="s">
        <v>162</v>
      </c>
      <c r="B225" t="e" cm="1">
        <f t="array" aca="1" ref="B225" ca="1">BQL("CRWD US Equity", "BS_ST_OPERATING_LEASE_LIABS/1M", "FPT=A", "FPO=-2A", "ACT_EST_MAPPING=PRECISE", "FS=MRC", "CURRENCY=USD", "XLFILL=b")</f>
        <v>#NAME?</v>
      </c>
      <c r="C225" t="e" cm="1">
        <f t="array" aca="1" ref="C225" ca="1">BQL("CRWD US Equity", "BS_ST_OPERATING_LEASE_LIABS/1M", "FPT=A", "FPO=-1A", "ACT_EST_MAPPING=PRECISE", "FS=MRC", "CURRENCY=USD", "XLFILL=b")</f>
        <v>#NAME?</v>
      </c>
      <c r="D225" t="e" cm="1">
        <f t="array" aca="1" ref="D225" ca="1">BQL("CRWD US Equity", "BS_ST_OPERATING_LEASE_LIABS/1M", "FPT=A", "FPO=0A", "ACT_EST_MAPPING=PRECISE", "FS=MRC", "CURRENCY=USD", "XLFILL=b")</f>
        <v>#NAME?</v>
      </c>
      <c r="E225" t="e" cm="1">
        <f t="array" aca="1" ref="E225" ca="1">BQL("CRWD US Equity", "BS_ST_OPERATING_LEASE_LIABS/1M", "FPT=A", "FPO=1A", "ACT_EST_MAPPING=PRECISE", "FS=MRC", "CURRENCY=USD", "XLFILL=b")</f>
        <v>#NAME?</v>
      </c>
      <c r="F225" t="e" cm="1">
        <f t="array" aca="1" ref="F225" ca="1">BQL("CRWD US Equity", "BS_ST_OPERATING_LEASE_LIABS/1M", "FPT=A", "FPO=2A", "ACT_EST_MAPPING=PRECISE", "FS=MRC", "CURRENCY=USD", "XLFILL=b")</f>
        <v>#NAME?</v>
      </c>
      <c r="G225" t="e" cm="1">
        <f t="array" aca="1" ref="G225" ca="1">BQL("CRWD US Equity", "BS_ST_OPERATING_LEASE_LIABS/1M", "FPT=A", "FPO=3A", "ACT_EST_MAPPING=PRECISE", "FS=MRC", "CURRENCY=USD", "XLFILL=b")</f>
        <v>#NAME?</v>
      </c>
      <c r="H225" t="e" cm="1">
        <f t="array" aca="1" ref="H225" ca="1">BQL("CRWD US Equity", "BS_ST_OPERATING_LEASE_LIABS/1M", "FPT=A", "FPO=4A", "ACT_EST_MAPPING=PRECISE", "FS=MRC", "CURRENCY=USD", "XLFILL=b")</f>
        <v>#NAME?</v>
      </c>
      <c r="I225" t="e" cm="1">
        <f t="array" aca="1" ref="I225" ca="1">BQL("CRWD US Equity", "BS_ST_OPERATING_LEASE_LIABS/1M", "FPT=A", "FPO=5A", "ACT_EST_MAPPING=PRECISE", "FS=MRC", "CURRENCY=USD", "XLFILL=b")</f>
        <v>#NAME?</v>
      </c>
      <c r="J225" t="e" cm="1">
        <f t="array" aca="1" ref="J225" ca="1">BQL("CRWD US Equity", "BS_ST_OPERATING_LEASE_LIABS/1M", "FPT=A", "FPO=6A", "ACT_EST_MAPPING=PRECISE", "FS=MRC", "CURRENCY=USD", "XLFILL=b")</f>
        <v>#NAME?</v>
      </c>
      <c r="K225" t="e" cm="1">
        <f t="array" aca="1" ref="K225" ca="1">BQL("CRWD US Equity", "BS_ST_OPERATING_LEASE_LIABS/1M", "FPT=A", "FPO=7A", "ACT_EST_MAPPING=PRECISE", "FS=MRC", "CURRENCY=USD", "XLFILL=b")</f>
        <v>#NAME?</v>
      </c>
    </row>
    <row r="226" spans="1:11" x14ac:dyDescent="0.25">
      <c r="A226" t="s">
        <v>78</v>
      </c>
      <c r="B226" t="e" cm="1">
        <f t="array" aca="1" ref="B226" ca="1">BQL("CRWD US Equity", "BS_OTHER_ST_LIAB/1M", "FPT=A", "FPO=-2A", "ACT_EST_MAPPING=PRECISE", "FS=MRC", "CURRENCY=USD", "XLFILL=b")</f>
        <v>#NAME?</v>
      </c>
      <c r="C226" t="e" cm="1">
        <f t="array" aca="1" ref="C226" ca="1">BQL("CRWD US Equity", "BS_OTHER_ST_LIAB/1M", "FPT=A", "FPO=-1A", "ACT_EST_MAPPING=PRECISE", "FS=MRC", "CURRENCY=USD", "XLFILL=b")</f>
        <v>#NAME?</v>
      </c>
      <c r="D226" t="e" cm="1">
        <f t="array" aca="1" ref="D226" ca="1">BQL("CRWD US Equity", "BS_OTHER_ST_LIAB/1M", "FPT=A", "FPO=0A", "ACT_EST_MAPPING=PRECISE", "FS=MRC", "CURRENCY=USD", "XLFILL=b")</f>
        <v>#NAME?</v>
      </c>
      <c r="E226" t="e" cm="1">
        <f t="array" aca="1" ref="E226" ca="1">BQL("CRWD US Equity", "BS_OTHER_ST_LIAB/1M", "FPT=A", "FPO=1A", "ACT_EST_MAPPING=PRECISE", "FS=MRC", "CURRENCY=USD", "XLFILL=b")</f>
        <v>#NAME?</v>
      </c>
      <c r="F226" t="e" cm="1">
        <f t="array" aca="1" ref="F226" ca="1">BQL("CRWD US Equity", "BS_OTHER_ST_LIAB/1M", "FPT=A", "FPO=2A", "ACT_EST_MAPPING=PRECISE", "FS=MRC", "CURRENCY=USD", "XLFILL=b")</f>
        <v>#NAME?</v>
      </c>
      <c r="G226" t="e" cm="1">
        <f t="array" aca="1" ref="G226" ca="1">BQL("CRWD US Equity", "BS_OTHER_ST_LIAB/1M", "FPT=A", "FPO=3A", "ACT_EST_MAPPING=PRECISE", "FS=MRC", "CURRENCY=USD", "XLFILL=b")</f>
        <v>#NAME?</v>
      </c>
      <c r="H226" t="e" cm="1">
        <f t="array" aca="1" ref="H226" ca="1">BQL("CRWD US Equity", "BS_OTHER_ST_LIAB/1M", "FPT=A", "FPO=4A", "ACT_EST_MAPPING=PRECISE", "FS=MRC", "CURRENCY=USD", "XLFILL=b")</f>
        <v>#NAME?</v>
      </c>
      <c r="I226" t="e" cm="1">
        <f t="array" aca="1" ref="I226" ca="1">BQL("CRWD US Equity", "BS_OTHER_ST_LIAB/1M", "FPT=A", "FPO=5A", "ACT_EST_MAPPING=PRECISE", "FS=MRC", "CURRENCY=USD", "XLFILL=b")</f>
        <v>#NAME?</v>
      </c>
      <c r="J226" t="e" cm="1">
        <f t="array" aca="1" ref="J226" ca="1">BQL("CRWD US Equity", "BS_OTHER_ST_LIAB/1M", "FPT=A", "FPO=6A", "ACT_EST_MAPPING=PRECISE", "FS=MRC", "CURRENCY=USD", "XLFILL=b")</f>
        <v>#NAME?</v>
      </c>
      <c r="K226" t="e" cm="1">
        <f t="array" aca="1" ref="K226" ca="1">BQL("CRWD US Equity", "BS_OTHER_ST_LIAB/1M", "FPT=A", "FPO=7A", "ACT_EST_MAPPING=PRECISE", "FS=MRC", "CURRENCY=USD", "XLFILL=b")</f>
        <v>#NAME?</v>
      </c>
    </row>
    <row r="227" spans="1:11" x14ac:dyDescent="0.25">
      <c r="A227" t="s">
        <v>163</v>
      </c>
      <c r="B227" t="e" cm="1">
        <f t="array" aca="1" ref="B227" ca="1">BQL("CRWD US Equity", "CB_BS_OTHER_CURRENT_LIABS/1M", "FPT=A", "FPO=-2A", "ACT_EST_MAPPING=PRECISE", "FS=MRC", "CURRENCY=USD", "XLFILL=b")</f>
        <v>#NAME?</v>
      </c>
      <c r="C227" t="e" cm="1">
        <f t="array" aca="1" ref="C227" ca="1">BQL("CRWD US Equity", "CB_BS_OTHER_CURRENT_LIABS/1M", "FPT=A", "FPO=-1A", "ACT_EST_MAPPING=PRECISE", "FS=MRC", "CURRENCY=USD", "XLFILL=b")</f>
        <v>#NAME?</v>
      </c>
      <c r="D227" t="e" cm="1">
        <f t="array" aca="1" ref="D227" ca="1">BQL("CRWD US Equity", "CB_BS_OTHER_CURRENT_LIABS/1M", "FPT=A", "FPO=0A", "ACT_EST_MAPPING=PRECISE", "FS=MRC", "CURRENCY=USD", "XLFILL=b")</f>
        <v>#NAME?</v>
      </c>
      <c r="E227" t="e" cm="1">
        <f t="array" aca="1" ref="E227" ca="1">BQL("CRWD US Equity", "CB_BS_OTHER_CURRENT_LIABS/1M", "FPT=A", "FPO=1A", "ACT_EST_MAPPING=PRECISE", "FS=MRC", "CURRENCY=USD", "XLFILL=b")</f>
        <v>#NAME?</v>
      </c>
      <c r="F227" t="e" cm="1">
        <f t="array" aca="1" ref="F227" ca="1">BQL("CRWD US Equity", "CB_BS_OTHER_CURRENT_LIABS/1M", "FPT=A", "FPO=2A", "ACT_EST_MAPPING=PRECISE", "FS=MRC", "CURRENCY=USD", "XLFILL=b")</f>
        <v>#NAME?</v>
      </c>
      <c r="G227" t="e" cm="1">
        <f t="array" aca="1" ref="G227" ca="1">BQL("CRWD US Equity", "CB_BS_OTHER_CURRENT_LIABS/1M", "FPT=A", "FPO=3A", "ACT_EST_MAPPING=PRECISE", "FS=MRC", "CURRENCY=USD", "XLFILL=b")</f>
        <v>#NAME?</v>
      </c>
      <c r="H227" t="e" cm="1">
        <f t="array" aca="1" ref="H227" ca="1">BQL("CRWD US Equity", "CB_BS_OTHER_CURRENT_LIABS/1M", "FPT=A", "FPO=4A", "ACT_EST_MAPPING=PRECISE", "FS=MRC", "CURRENCY=USD", "XLFILL=b")</f>
        <v>#NAME?</v>
      </c>
      <c r="I227" t="e" cm="1">
        <f t="array" aca="1" ref="I227" ca="1">BQL("CRWD US Equity", "CB_BS_OTHER_CURRENT_LIABS/1M", "FPT=A", "FPO=5A", "ACT_EST_MAPPING=PRECISE", "FS=MRC", "CURRENCY=USD", "XLFILL=b")</f>
        <v>#NAME?</v>
      </c>
      <c r="J227" t="e" cm="1">
        <f t="array" aca="1" ref="J227" ca="1">BQL("CRWD US Equity", "CB_BS_OTHER_CURRENT_LIABS/1M", "FPT=A", "FPO=6A", "ACT_EST_MAPPING=PRECISE", "FS=MRC", "CURRENCY=USD", "XLFILL=b")</f>
        <v>#NAME?</v>
      </c>
      <c r="K227" t="e" cm="1">
        <f t="array" aca="1" ref="K227" ca="1">BQL("CRWD US Equity", "CB_BS_OTHER_CURRENT_LIABS/1M", "FPT=A", "FPO=7A", "ACT_EST_MAPPING=PRECISE", "FS=MRC", "CURRENCY=USD", "XLFILL=b")</f>
        <v>#NAME?</v>
      </c>
    </row>
    <row r="228" spans="1:11" x14ac:dyDescent="0.25">
      <c r="A228" t="s">
        <v>164</v>
      </c>
      <c r="B228" t="e" cm="1">
        <f t="array" aca="1" ref="B228" ca="1">BQL("CRWD US Equity", "BS_ADJ_TOTAL_LT_LIABILITIES/1M", "FPT=A", "FPO=-2A", "ACT_EST_MAPPING=PRECISE", "FS=MRC", "CURRENCY=USD", "XLFILL=b")</f>
        <v>#NAME?</v>
      </c>
      <c r="C228" t="e" cm="1">
        <f t="array" aca="1" ref="C228" ca="1">BQL("CRWD US Equity", "BS_ADJ_TOTAL_LT_LIABILITIES/1M", "FPT=A", "FPO=-1A", "ACT_EST_MAPPING=PRECISE", "FS=MRC", "CURRENCY=USD", "XLFILL=b")</f>
        <v>#NAME?</v>
      </c>
      <c r="D228" t="e" cm="1">
        <f t="array" aca="1" ref="D228" ca="1">BQL("CRWD US Equity", "BS_ADJ_TOTAL_LT_LIABILITIES/1M", "FPT=A", "FPO=0A", "ACT_EST_MAPPING=PRECISE", "FS=MRC", "CURRENCY=USD", "XLFILL=b")</f>
        <v>#NAME?</v>
      </c>
      <c r="E228" t="e" cm="1">
        <f t="array" aca="1" ref="E228" ca="1">BQL("CRWD US Equity", "BS_ADJ_TOTAL_LT_LIABILITIES/1M", "FPT=A", "FPO=1A", "ACT_EST_MAPPING=PRECISE", "FS=MRC", "CURRENCY=USD", "XLFILL=b")</f>
        <v>#NAME?</v>
      </c>
      <c r="F228" t="e" cm="1">
        <f t="array" aca="1" ref="F228" ca="1">BQL("CRWD US Equity", "BS_ADJ_TOTAL_LT_LIABILITIES/1M", "FPT=A", "FPO=2A", "ACT_EST_MAPPING=PRECISE", "FS=MRC", "CURRENCY=USD", "XLFILL=b")</f>
        <v>#NAME?</v>
      </c>
      <c r="G228" t="e" cm="1">
        <f t="array" aca="1" ref="G228" ca="1">BQL("CRWD US Equity", "BS_ADJ_TOTAL_LT_LIABILITIES/1M", "FPT=A", "FPO=3A", "ACT_EST_MAPPING=PRECISE", "FS=MRC", "CURRENCY=USD", "XLFILL=b")</f>
        <v>#NAME?</v>
      </c>
      <c r="H228" t="e" cm="1">
        <f t="array" aca="1" ref="H228" ca="1">BQL("CRWD US Equity", "BS_ADJ_TOTAL_LT_LIABILITIES/1M", "FPT=A", "FPO=4A", "ACT_EST_MAPPING=PRECISE", "FS=MRC", "CURRENCY=USD", "XLFILL=b")</f>
        <v>#NAME?</v>
      </c>
      <c r="I228" t="e" cm="1">
        <f t="array" aca="1" ref="I228" ca="1">BQL("CRWD US Equity", "BS_ADJ_TOTAL_LT_LIABILITIES/1M", "FPT=A", "FPO=5A", "ACT_EST_MAPPING=PRECISE", "FS=MRC", "CURRENCY=USD", "XLFILL=b")</f>
        <v>#NAME?</v>
      </c>
      <c r="J228" t="e" cm="1">
        <f t="array" aca="1" ref="J228" ca="1">BQL("CRWD US Equity", "BS_ADJ_TOTAL_LT_LIABILITIES/1M", "FPT=A", "FPO=6A", "ACT_EST_MAPPING=PRECISE", "FS=MRC", "CURRENCY=USD", "XLFILL=b")</f>
        <v>#NAME?</v>
      </c>
      <c r="K228" t="e" cm="1">
        <f t="array" aca="1" ref="K228" ca="1">BQL("CRWD US Equity", "BS_ADJ_TOTAL_LT_LIABILITIES/1M", "FPT=A", "FPO=7A", "ACT_EST_MAPPING=PRECISE", "FS=MRC", "CURRENCY=USD", "XLFILL=b")</f>
        <v>#NAME?</v>
      </c>
    </row>
    <row r="229" spans="1:11" x14ac:dyDescent="0.25">
      <c r="A229" t="s">
        <v>165</v>
      </c>
      <c r="B229" t="e" cm="1">
        <f t="array" aca="1" ref="B229" ca="1">BQL("CRWD US Equity", "CB_BS_LT_BORROWING/1M", "FPT=A", "FPO=-2A", "ACT_EST_MAPPING=PRECISE", "FS=MRC", "CURRENCY=USD", "XLFILL=b")</f>
        <v>#NAME?</v>
      </c>
      <c r="C229" t="e" cm="1">
        <f t="array" aca="1" ref="C229" ca="1">BQL("CRWD US Equity", "CB_BS_LT_BORROWING/1M", "FPT=A", "FPO=-1A", "ACT_EST_MAPPING=PRECISE", "FS=MRC", "CURRENCY=USD", "XLFILL=b")</f>
        <v>#NAME?</v>
      </c>
      <c r="D229" t="e" cm="1">
        <f t="array" aca="1" ref="D229" ca="1">BQL("CRWD US Equity", "CB_BS_LT_BORROWING/1M", "FPT=A", "FPO=0A", "ACT_EST_MAPPING=PRECISE", "FS=MRC", "CURRENCY=USD", "XLFILL=b")</f>
        <v>#NAME?</v>
      </c>
      <c r="E229" t="e" cm="1">
        <f t="array" aca="1" ref="E229" ca="1">BQL("CRWD US Equity", "CB_BS_LT_BORROWING/1M", "FPT=A", "FPO=1A", "ACT_EST_MAPPING=PRECISE", "FS=MRC", "CURRENCY=USD", "XLFILL=b")</f>
        <v>#NAME?</v>
      </c>
      <c r="F229" t="e" cm="1">
        <f t="array" aca="1" ref="F229" ca="1">BQL("CRWD US Equity", "CB_BS_LT_BORROWING/1M", "FPT=A", "FPO=2A", "ACT_EST_MAPPING=PRECISE", "FS=MRC", "CURRENCY=USD", "XLFILL=b")</f>
        <v>#NAME?</v>
      </c>
      <c r="G229" t="e" cm="1">
        <f t="array" aca="1" ref="G229" ca="1">BQL("CRWD US Equity", "CB_BS_LT_BORROWING/1M", "FPT=A", "FPO=3A", "ACT_EST_MAPPING=PRECISE", "FS=MRC", "CURRENCY=USD", "XLFILL=b")</f>
        <v>#NAME?</v>
      </c>
      <c r="H229" t="e" cm="1">
        <f t="array" aca="1" ref="H229" ca="1">BQL("CRWD US Equity", "CB_BS_LT_BORROWING/1M", "FPT=A", "FPO=4A", "ACT_EST_MAPPING=PRECISE", "FS=MRC", "CURRENCY=USD", "XLFILL=b")</f>
        <v>#NAME?</v>
      </c>
      <c r="I229" t="e" cm="1">
        <f t="array" aca="1" ref="I229" ca="1">BQL("CRWD US Equity", "CB_BS_LT_BORROWING/1M", "FPT=A", "FPO=5A", "ACT_EST_MAPPING=PRECISE", "FS=MRC", "CURRENCY=USD", "XLFILL=b")</f>
        <v>#NAME?</v>
      </c>
      <c r="J229" t="e" cm="1">
        <f t="array" aca="1" ref="J229" ca="1">BQL("CRWD US Equity", "CB_BS_LT_BORROWING/1M", "FPT=A", "FPO=6A", "ACT_EST_MAPPING=PRECISE", "FS=MRC", "CURRENCY=USD", "XLFILL=b")</f>
        <v>#NAME?</v>
      </c>
      <c r="K229" t="e" cm="1">
        <f t="array" aca="1" ref="K229" ca="1">BQL("CRWD US Equity", "CB_BS_LT_BORROWING/1M", "FPT=A", "FPO=7A", "ACT_EST_MAPPING=PRECISE", "FS=MRC", "CURRENCY=USD", "XLFILL=b")</f>
        <v>#NAME?</v>
      </c>
    </row>
    <row r="230" spans="1:11" x14ac:dyDescent="0.25">
      <c r="A230" t="s">
        <v>161</v>
      </c>
      <c r="B230" t="e" cm="1">
        <f t="array" aca="1" ref="B230" ca="1">BQL("CRWD US Equity", "LT_DEFERRED_REVENUE/1M", "FPT=A", "FPO=-2A", "ACT_EST_MAPPING=PRECISE", "FS=MRC", "CURRENCY=USD", "XLFILL=b")</f>
        <v>#NAME?</v>
      </c>
      <c r="C230" t="e" cm="1">
        <f t="array" aca="1" ref="C230" ca="1">BQL("CRWD US Equity", "LT_DEFERRED_REVENUE/1M", "FPT=A", "FPO=-1A", "ACT_EST_MAPPING=PRECISE", "FS=MRC", "CURRENCY=USD", "XLFILL=b")</f>
        <v>#NAME?</v>
      </c>
      <c r="D230" t="e" cm="1">
        <f t="array" aca="1" ref="D230" ca="1">BQL("CRWD US Equity", "LT_DEFERRED_REVENUE/1M", "FPT=A", "FPO=0A", "ACT_EST_MAPPING=PRECISE", "FS=MRC", "CURRENCY=USD", "XLFILL=b")</f>
        <v>#NAME?</v>
      </c>
      <c r="E230" t="e" cm="1">
        <f t="array" aca="1" ref="E230" ca="1">BQL("CRWD US Equity", "LT_DEFERRED_REVENUE/1M", "FPT=A", "FPO=1A", "ACT_EST_MAPPING=PRECISE", "FS=MRC", "CURRENCY=USD", "XLFILL=b")</f>
        <v>#NAME?</v>
      </c>
      <c r="F230" t="e" cm="1">
        <f t="array" aca="1" ref="F230" ca="1">BQL("CRWD US Equity", "LT_DEFERRED_REVENUE/1M", "FPT=A", "FPO=2A", "ACT_EST_MAPPING=PRECISE", "FS=MRC", "CURRENCY=USD", "XLFILL=b")</f>
        <v>#NAME?</v>
      </c>
      <c r="G230" t="e" cm="1">
        <f t="array" aca="1" ref="G230" ca="1">BQL("CRWD US Equity", "LT_DEFERRED_REVENUE/1M", "FPT=A", "FPO=3A", "ACT_EST_MAPPING=PRECISE", "FS=MRC", "CURRENCY=USD", "XLFILL=b")</f>
        <v>#NAME?</v>
      </c>
      <c r="H230" t="e" cm="1">
        <f t="array" aca="1" ref="H230" ca="1">BQL("CRWD US Equity", "LT_DEFERRED_REVENUE/1M", "FPT=A", "FPO=4A", "ACT_EST_MAPPING=PRECISE", "FS=MRC", "CURRENCY=USD", "XLFILL=b")</f>
        <v>#NAME?</v>
      </c>
      <c r="I230" t="e" cm="1">
        <f t="array" aca="1" ref="I230" ca="1">BQL("CRWD US Equity", "LT_DEFERRED_REVENUE/1M", "FPT=A", "FPO=5A", "ACT_EST_MAPPING=PRECISE", "FS=MRC", "CURRENCY=USD", "XLFILL=b")</f>
        <v>#NAME?</v>
      </c>
      <c r="J230" t="e" cm="1">
        <f t="array" aca="1" ref="J230" ca="1">BQL("CRWD US Equity", "LT_DEFERRED_REVENUE/1M", "FPT=A", "FPO=6A", "ACT_EST_MAPPING=PRECISE", "FS=MRC", "CURRENCY=USD", "XLFILL=b")</f>
        <v>#NAME?</v>
      </c>
      <c r="K230" t="e" cm="1">
        <f t="array" aca="1" ref="K230" ca="1">BQL("CRWD US Equity", "LT_DEFERRED_REVENUE/1M", "FPT=A", "FPO=7A", "ACT_EST_MAPPING=PRECISE", "FS=MRC", "CURRENCY=USD", "XLFILL=b")</f>
        <v>#NAME?</v>
      </c>
    </row>
    <row r="231" spans="1:11" x14ac:dyDescent="0.25">
      <c r="A231" t="s">
        <v>162</v>
      </c>
      <c r="B231" t="e" cm="1">
        <f t="array" aca="1" ref="B231" ca="1">BQL("CRWD US Equity", "BS_LT_OPERATING_LEASE_LIABS/1M", "FPT=A", "FPO=-2A", "ACT_EST_MAPPING=PRECISE", "FS=MRC", "CURRENCY=USD", "XLFILL=b")</f>
        <v>#NAME?</v>
      </c>
      <c r="C231" t="e" cm="1">
        <f t="array" aca="1" ref="C231" ca="1">BQL("CRWD US Equity", "BS_LT_OPERATING_LEASE_LIABS/1M", "FPT=A", "FPO=-1A", "ACT_EST_MAPPING=PRECISE", "FS=MRC", "CURRENCY=USD", "XLFILL=b")</f>
        <v>#NAME?</v>
      </c>
      <c r="D231" t="e" cm="1">
        <f t="array" aca="1" ref="D231" ca="1">BQL("CRWD US Equity", "BS_LT_OPERATING_LEASE_LIABS/1M", "FPT=A", "FPO=0A", "ACT_EST_MAPPING=PRECISE", "FS=MRC", "CURRENCY=USD", "XLFILL=b")</f>
        <v>#NAME?</v>
      </c>
      <c r="E231" t="e" cm="1">
        <f t="array" aca="1" ref="E231" ca="1">BQL("CRWD US Equity", "BS_LT_OPERATING_LEASE_LIABS/1M", "FPT=A", "FPO=1A", "ACT_EST_MAPPING=PRECISE", "FS=MRC", "CURRENCY=USD", "XLFILL=b")</f>
        <v>#NAME?</v>
      </c>
      <c r="F231" t="e" cm="1">
        <f t="array" aca="1" ref="F231" ca="1">BQL("CRWD US Equity", "BS_LT_OPERATING_LEASE_LIABS/1M", "FPT=A", "FPO=2A", "ACT_EST_MAPPING=PRECISE", "FS=MRC", "CURRENCY=USD", "XLFILL=b")</f>
        <v>#NAME?</v>
      </c>
      <c r="G231" t="e" cm="1">
        <f t="array" aca="1" ref="G231" ca="1">BQL("CRWD US Equity", "BS_LT_OPERATING_LEASE_LIABS/1M", "FPT=A", "FPO=3A", "ACT_EST_MAPPING=PRECISE", "FS=MRC", "CURRENCY=USD", "XLFILL=b")</f>
        <v>#NAME?</v>
      </c>
      <c r="H231" t="e" cm="1">
        <f t="array" aca="1" ref="H231" ca="1">BQL("CRWD US Equity", "BS_LT_OPERATING_LEASE_LIABS/1M", "FPT=A", "FPO=4A", "ACT_EST_MAPPING=PRECISE", "FS=MRC", "CURRENCY=USD", "XLFILL=b")</f>
        <v>#NAME?</v>
      </c>
      <c r="I231" t="e" cm="1">
        <f t="array" aca="1" ref="I231" ca="1">BQL("CRWD US Equity", "BS_LT_OPERATING_LEASE_LIABS/1M", "FPT=A", "FPO=5A", "ACT_EST_MAPPING=PRECISE", "FS=MRC", "CURRENCY=USD", "XLFILL=b")</f>
        <v>#NAME?</v>
      </c>
      <c r="J231" t="e" cm="1">
        <f t="array" aca="1" ref="J231" ca="1">BQL("CRWD US Equity", "BS_LT_OPERATING_LEASE_LIABS/1M", "FPT=A", "FPO=6A", "ACT_EST_MAPPING=PRECISE", "FS=MRC", "CURRENCY=USD", "XLFILL=b")</f>
        <v>#NAME?</v>
      </c>
      <c r="K231" t="e" cm="1">
        <f t="array" aca="1" ref="K231" ca="1">BQL("CRWD US Equity", "BS_LT_OPERATING_LEASE_LIABS/1M", "FPT=A", "FPO=7A", "ACT_EST_MAPPING=PRECISE", "FS=MRC", "CURRENCY=USD", "XLFILL=b")</f>
        <v>#NAME?</v>
      </c>
    </row>
    <row r="232" spans="1:11" x14ac:dyDescent="0.25">
      <c r="A232" t="s">
        <v>166</v>
      </c>
      <c r="B232" t="e" cm="1">
        <f t="array" aca="1" ref="B232" ca="1">BQL("CRWD US Equity", "CB_BS_OTHER_NONCURRENT_LIABS/1M", "FPT=A", "FPO=-2A", "ACT_EST_MAPPING=PRECISE", "FS=MRC", "CURRENCY=USD", "XLFILL=b")</f>
        <v>#NAME?</v>
      </c>
      <c r="C232" t="e" cm="1">
        <f t="array" aca="1" ref="C232" ca="1">BQL("CRWD US Equity", "CB_BS_OTHER_NONCURRENT_LIABS/1M", "FPT=A", "FPO=-1A", "ACT_EST_MAPPING=PRECISE", "FS=MRC", "CURRENCY=USD", "XLFILL=b")</f>
        <v>#NAME?</v>
      </c>
      <c r="D232" t="e" cm="1">
        <f t="array" aca="1" ref="D232" ca="1">BQL("CRWD US Equity", "CB_BS_OTHER_NONCURRENT_LIABS/1M", "FPT=A", "FPO=0A", "ACT_EST_MAPPING=PRECISE", "FS=MRC", "CURRENCY=USD", "XLFILL=b")</f>
        <v>#NAME?</v>
      </c>
      <c r="E232" t="e" cm="1">
        <f t="array" aca="1" ref="E232" ca="1">BQL("CRWD US Equity", "CB_BS_OTHER_NONCURRENT_LIABS/1M", "FPT=A", "FPO=1A", "ACT_EST_MAPPING=PRECISE", "FS=MRC", "CURRENCY=USD", "XLFILL=b")</f>
        <v>#NAME?</v>
      </c>
      <c r="F232" t="e" cm="1">
        <f t="array" aca="1" ref="F232" ca="1">BQL("CRWD US Equity", "CB_BS_OTHER_NONCURRENT_LIABS/1M", "FPT=A", "FPO=2A", "ACT_EST_MAPPING=PRECISE", "FS=MRC", "CURRENCY=USD", "XLFILL=b")</f>
        <v>#NAME?</v>
      </c>
      <c r="G232" t="e" cm="1">
        <f t="array" aca="1" ref="G232" ca="1">BQL("CRWD US Equity", "CB_BS_OTHER_NONCURRENT_LIABS/1M", "FPT=A", "FPO=3A", "ACT_EST_MAPPING=PRECISE", "FS=MRC", "CURRENCY=USD", "XLFILL=b")</f>
        <v>#NAME?</v>
      </c>
      <c r="H232" t="e" cm="1">
        <f t="array" aca="1" ref="H232" ca="1">BQL("CRWD US Equity", "CB_BS_OTHER_NONCURRENT_LIABS/1M", "FPT=A", "FPO=4A", "ACT_EST_MAPPING=PRECISE", "FS=MRC", "CURRENCY=USD", "XLFILL=b")</f>
        <v>#NAME?</v>
      </c>
      <c r="I232" t="e" cm="1">
        <f t="array" aca="1" ref="I232" ca="1">BQL("CRWD US Equity", "CB_BS_OTHER_NONCURRENT_LIABS/1M", "FPT=A", "FPO=5A", "ACT_EST_MAPPING=PRECISE", "FS=MRC", "CURRENCY=USD", "XLFILL=b")</f>
        <v>#NAME?</v>
      </c>
      <c r="J232" t="e" cm="1">
        <f t="array" aca="1" ref="J232" ca="1">BQL("CRWD US Equity", "CB_BS_OTHER_NONCURRENT_LIABS/1M", "FPT=A", "FPO=6A", "ACT_EST_MAPPING=PRECISE", "FS=MRC", "CURRENCY=USD", "XLFILL=b")</f>
        <v>#NAME?</v>
      </c>
      <c r="K232" t="e" cm="1">
        <f t="array" aca="1" ref="K232" ca="1">BQL("CRWD US Equity", "CB_BS_OTHER_NONCURRENT_LIABS/1M", "FPT=A", "FPO=7A", "ACT_EST_MAPPING=PRECISE", "FS=MRC", "CURRENCY=USD", "XLFILL=b")</f>
        <v>#NAME?</v>
      </c>
    </row>
    <row r="233" spans="1:11" x14ac:dyDescent="0.25">
      <c r="A233" t="s">
        <v>167</v>
      </c>
      <c r="B233" t="e" cm="1">
        <f t="array" aca="1" ref="B233" ca="1">BQL("CRWD US Equity", "BS_TOTAL_LIABILITIES/1M", "FPT=A", "FPO=-2A", "ACT_EST_MAPPING=PRECISE", "FS=MRC", "CURRENCY=USD", "XLFILL=b")</f>
        <v>#NAME?</v>
      </c>
      <c r="C233" t="e" cm="1">
        <f t="array" aca="1" ref="C233" ca="1">BQL("CRWD US Equity", "BS_TOTAL_LIABILITIES/1M", "FPT=A", "FPO=-1A", "ACT_EST_MAPPING=PRECISE", "FS=MRC", "CURRENCY=USD", "XLFILL=b")</f>
        <v>#NAME?</v>
      </c>
      <c r="D233" t="e" cm="1">
        <f t="array" aca="1" ref="D233" ca="1">BQL("CRWD US Equity", "BS_TOTAL_LIABILITIES/1M", "FPT=A", "FPO=0A", "ACT_EST_MAPPING=PRECISE", "FS=MRC", "CURRENCY=USD", "XLFILL=b")</f>
        <v>#NAME?</v>
      </c>
      <c r="E233" t="e" cm="1">
        <f t="array" aca="1" ref="E233" ca="1">BQL("CRWD US Equity", "BS_TOTAL_LIABILITIES/1M", "FPT=A", "FPO=1A", "ACT_EST_MAPPING=PRECISE", "FS=MRC", "CURRENCY=USD", "XLFILL=b")</f>
        <v>#NAME?</v>
      </c>
      <c r="F233" t="e" cm="1">
        <f t="array" aca="1" ref="F233" ca="1">BQL("CRWD US Equity", "BS_TOTAL_LIABILITIES/1M", "FPT=A", "FPO=2A", "ACT_EST_MAPPING=PRECISE", "FS=MRC", "CURRENCY=USD", "XLFILL=b")</f>
        <v>#NAME?</v>
      </c>
      <c r="G233" t="e" cm="1">
        <f t="array" aca="1" ref="G233" ca="1">BQL("CRWD US Equity", "BS_TOTAL_LIABILITIES/1M", "FPT=A", "FPO=3A", "ACT_EST_MAPPING=PRECISE", "FS=MRC", "CURRENCY=USD", "XLFILL=b")</f>
        <v>#NAME?</v>
      </c>
      <c r="H233" t="e" cm="1">
        <f t="array" aca="1" ref="H233" ca="1">BQL("CRWD US Equity", "BS_TOTAL_LIABILITIES/1M", "FPT=A", "FPO=4A", "ACT_EST_MAPPING=PRECISE", "FS=MRC", "CURRENCY=USD", "XLFILL=b")</f>
        <v>#NAME?</v>
      </c>
      <c r="I233" t="e" cm="1">
        <f t="array" aca="1" ref="I233" ca="1">BQL("CRWD US Equity", "BS_TOTAL_LIABILITIES/1M", "FPT=A", "FPO=5A", "ACT_EST_MAPPING=PRECISE", "FS=MRC", "CURRENCY=USD", "XLFILL=b")</f>
        <v>#NAME?</v>
      </c>
      <c r="J233" t="e" cm="1">
        <f t="array" aca="1" ref="J233" ca="1">BQL("CRWD US Equity", "BS_TOTAL_LIABILITIES/1M", "FPT=A", "FPO=6A", "ACT_EST_MAPPING=PRECISE", "FS=MRC", "CURRENCY=USD", "XLFILL=b")</f>
        <v>#NAME?</v>
      </c>
      <c r="K233" t="e" cm="1">
        <f t="array" aca="1" ref="K233" ca="1">BQL("CRWD US Equity", "BS_TOTAL_LIABILITIES/1M", "FPT=A", "FPO=7A", "ACT_EST_MAPPING=PRECISE", "FS=MRC", "CURRENCY=USD", "XLFILL=b")</f>
        <v>#NAME?</v>
      </c>
    </row>
    <row r="234" spans="1:11" x14ac:dyDescent="0.25">
      <c r="A234" t="s">
        <v>168</v>
      </c>
      <c r="B234" t="e" cm="1">
        <f t="array" aca="1" ref="B234" ca="1">BQL("CRWD US Equity", "BS_EQTY_BEFORE_MINORITY_INT/1M", "FPT=A", "FPO=-2A", "ACT_EST_MAPPING=PRECISE", "FS=MRC", "CURRENCY=USD", "XLFILL=b")</f>
        <v>#NAME?</v>
      </c>
      <c r="C234" t="e" cm="1">
        <f t="array" aca="1" ref="C234" ca="1">BQL("CRWD US Equity", "BS_EQTY_BEFORE_MINORITY_INT/1M", "FPT=A", "FPO=-1A", "ACT_EST_MAPPING=PRECISE", "FS=MRC", "CURRENCY=USD", "XLFILL=b")</f>
        <v>#NAME?</v>
      </c>
      <c r="D234" t="e" cm="1">
        <f t="array" aca="1" ref="D234" ca="1">BQL("CRWD US Equity", "BS_EQTY_BEFORE_MINORITY_INT/1M", "FPT=A", "FPO=0A", "ACT_EST_MAPPING=PRECISE", "FS=MRC", "CURRENCY=USD", "XLFILL=b")</f>
        <v>#NAME?</v>
      </c>
      <c r="E234" t="e" cm="1">
        <f t="array" aca="1" ref="E234" ca="1">BQL("CRWD US Equity", "BS_EQTY_BEFORE_MINORITY_INT/1M", "FPT=A", "FPO=1A", "ACT_EST_MAPPING=PRECISE", "FS=MRC", "CURRENCY=USD", "XLFILL=b")</f>
        <v>#NAME?</v>
      </c>
      <c r="F234" t="e" cm="1">
        <f t="array" aca="1" ref="F234" ca="1">BQL("CRWD US Equity", "BS_EQTY_BEFORE_MINORITY_INT/1M", "FPT=A", "FPO=2A", "ACT_EST_MAPPING=PRECISE", "FS=MRC", "CURRENCY=USD", "XLFILL=b")</f>
        <v>#NAME?</v>
      </c>
      <c r="G234" t="e" cm="1">
        <f t="array" aca="1" ref="G234" ca="1">BQL("CRWD US Equity", "BS_EQTY_BEFORE_MINORITY_INT/1M", "FPT=A", "FPO=3A", "ACT_EST_MAPPING=PRECISE", "FS=MRC", "CURRENCY=USD", "XLFILL=b")</f>
        <v>#NAME?</v>
      </c>
      <c r="H234" t="e" cm="1">
        <f t="array" aca="1" ref="H234" ca="1">BQL("CRWD US Equity", "BS_EQTY_BEFORE_MINORITY_INT/1M", "FPT=A", "FPO=4A", "ACT_EST_MAPPING=PRECISE", "FS=MRC", "CURRENCY=USD", "XLFILL=b")</f>
        <v>#NAME?</v>
      </c>
      <c r="I234" t="e" cm="1">
        <f t="array" aca="1" ref="I234" ca="1">BQL("CRWD US Equity", "BS_EQTY_BEFORE_MINORITY_INT/1M", "FPT=A", "FPO=5A", "ACT_EST_MAPPING=PRECISE", "FS=MRC", "CURRENCY=USD", "XLFILL=b")</f>
        <v>#NAME?</v>
      </c>
      <c r="J234" t="e" cm="1">
        <f t="array" aca="1" ref="J234" ca="1">BQL("CRWD US Equity", "BS_EQTY_BEFORE_MINORITY_INT/1M", "FPT=A", "FPO=6A", "ACT_EST_MAPPING=PRECISE", "FS=MRC", "CURRENCY=USD", "XLFILL=b")</f>
        <v>#NAME?</v>
      </c>
      <c r="K234" t="e" cm="1">
        <f t="array" aca="1" ref="K234" ca="1">BQL("CRWD US Equity", "BS_EQTY_BEFORE_MINORITY_INT/1M", "FPT=A", "FPO=7A", "ACT_EST_MAPPING=PRECISE", "FS=MRC", "CURRENCY=USD", "XLFILL=b")</f>
        <v>#NAME?</v>
      </c>
    </row>
    <row r="235" spans="1:11" x14ac:dyDescent="0.25">
      <c r="A235" t="s">
        <v>169</v>
      </c>
      <c r="B235" t="e" cm="1">
        <f t="array" aca="1" ref="B235" ca="1">BQL("CRWD US Equity", "CB_BS_MINORITY_NON_CONTROLLING_INT/1M", "FPT=A", "FPO=-2A", "ACT_EST_MAPPING=PRECISE", "FS=MRC", "CURRENCY=USD", "XLFILL=b")</f>
        <v>#NAME?</v>
      </c>
      <c r="C235" t="e" cm="1">
        <f t="array" aca="1" ref="C235" ca="1">BQL("CRWD US Equity", "CB_BS_MINORITY_NON_CONTROLLING_INT/1M", "FPT=A", "FPO=-1A", "ACT_EST_MAPPING=PRECISE", "FS=MRC", "CURRENCY=USD", "XLFILL=b")</f>
        <v>#NAME?</v>
      </c>
      <c r="D235" t="e" cm="1">
        <f t="array" aca="1" ref="D235" ca="1">BQL("CRWD US Equity", "CB_BS_MINORITY_NON_CONTROLLING_INT/1M", "FPT=A", "FPO=0A", "ACT_EST_MAPPING=PRECISE", "FS=MRC", "CURRENCY=USD", "XLFILL=b")</f>
        <v>#NAME?</v>
      </c>
      <c r="E235" t="e" cm="1">
        <f t="array" aca="1" ref="E235" ca="1">BQL("CRWD US Equity", "CB_BS_MINORITY_NON_CONTROLLING_INT/1M", "FPT=A", "FPO=1A", "ACT_EST_MAPPING=PRECISE", "FS=MRC", "CURRENCY=USD", "XLFILL=b")</f>
        <v>#NAME?</v>
      </c>
      <c r="F235" t="e" cm="1">
        <f t="array" aca="1" ref="F235" ca="1">BQL("CRWD US Equity", "CB_BS_MINORITY_NON_CONTROLLING_INT/1M", "FPT=A", "FPO=2A", "ACT_EST_MAPPING=PRECISE", "FS=MRC", "CURRENCY=USD", "XLFILL=b")</f>
        <v>#NAME?</v>
      </c>
      <c r="G235" t="e" cm="1">
        <f t="array" aca="1" ref="G235" ca="1">BQL("CRWD US Equity", "CB_BS_MINORITY_NON_CONTROLLING_INT/1M", "FPT=A", "FPO=3A", "ACT_EST_MAPPING=PRECISE", "FS=MRC", "CURRENCY=USD", "XLFILL=b")</f>
        <v>#NAME?</v>
      </c>
      <c r="H235" t="e" cm="1">
        <f t="array" aca="1" ref="H235" ca="1">BQL("CRWD US Equity", "CB_BS_MINORITY_NON_CONTROLLING_INT/1M", "FPT=A", "FPO=4A", "ACT_EST_MAPPING=PRECISE", "FS=MRC", "CURRENCY=USD", "XLFILL=b")</f>
        <v>#NAME?</v>
      </c>
      <c r="I235" t="e" cm="1">
        <f t="array" aca="1" ref="I235" ca="1">BQL("CRWD US Equity", "CB_BS_MINORITY_NON_CONTROLLING_INT/1M", "FPT=A", "FPO=5A", "ACT_EST_MAPPING=PRECISE", "FS=MRC", "CURRENCY=USD", "XLFILL=b")</f>
        <v>#NAME?</v>
      </c>
      <c r="J235" t="e" cm="1">
        <f t="array" aca="1" ref="J235" ca="1">BQL("CRWD US Equity", "CB_BS_MINORITY_NON_CONTROLLING_INT/1M", "FPT=A", "FPO=6A", "ACT_EST_MAPPING=PRECISE", "FS=MRC", "CURRENCY=USD", "XLFILL=b")</f>
        <v>#NAME?</v>
      </c>
      <c r="K235" t="e" cm="1">
        <f t="array" aca="1" ref="K235" ca="1">BQL("CRWD US Equity", "CB_BS_MINORITY_NON_CONTROLLING_INT/1M", "FPT=A", "FPO=7A", "ACT_EST_MAPPING=PRECISE", "FS=MRC", "CURRENCY=USD", "XLFILL=b")</f>
        <v>#NAME?</v>
      </c>
    </row>
    <row r="236" spans="1:11" x14ac:dyDescent="0.25">
      <c r="A236" t="s">
        <v>170</v>
      </c>
      <c r="B236" t="e" cm="1">
        <f t="array" aca="1" ref="B236" ca="1">BQL("CRWD US Equity", "BS_TOT_EQY/1M", "FPT=A", "FPO=-2A", "ACT_EST_MAPPING=PRECISE", "FS=MRC", "CURRENCY=USD", "XLFILL=b")</f>
        <v>#NAME?</v>
      </c>
      <c r="C236" t="e" cm="1">
        <f t="array" aca="1" ref="C236" ca="1">BQL("CRWD US Equity", "BS_TOT_EQY/1M", "FPT=A", "FPO=-1A", "ACT_EST_MAPPING=PRECISE", "FS=MRC", "CURRENCY=USD", "XLFILL=b")</f>
        <v>#NAME?</v>
      </c>
      <c r="D236" t="e" cm="1">
        <f t="array" aca="1" ref="D236" ca="1">BQL("CRWD US Equity", "BS_TOT_EQY/1M", "FPT=A", "FPO=0A", "ACT_EST_MAPPING=PRECISE", "FS=MRC", "CURRENCY=USD", "XLFILL=b")</f>
        <v>#NAME?</v>
      </c>
      <c r="E236" t="e" cm="1">
        <f t="array" aca="1" ref="E236" ca="1">BQL("CRWD US Equity", "BS_TOT_EQY/1M", "FPT=A", "FPO=1A", "ACT_EST_MAPPING=PRECISE", "FS=MRC", "CURRENCY=USD", "XLFILL=b")</f>
        <v>#NAME?</v>
      </c>
      <c r="F236" t="e" cm="1">
        <f t="array" aca="1" ref="F236" ca="1">BQL("CRWD US Equity", "BS_TOT_EQY/1M", "FPT=A", "FPO=2A", "ACT_EST_MAPPING=PRECISE", "FS=MRC", "CURRENCY=USD", "XLFILL=b")</f>
        <v>#NAME?</v>
      </c>
      <c r="G236" t="e" cm="1">
        <f t="array" aca="1" ref="G236" ca="1">BQL("CRWD US Equity", "BS_TOT_EQY/1M", "FPT=A", "FPO=3A", "ACT_EST_MAPPING=PRECISE", "FS=MRC", "CURRENCY=USD", "XLFILL=b")</f>
        <v>#NAME?</v>
      </c>
      <c r="H236" t="e" cm="1">
        <f t="array" aca="1" ref="H236" ca="1">BQL("CRWD US Equity", "BS_TOT_EQY/1M", "FPT=A", "FPO=4A", "ACT_EST_MAPPING=PRECISE", "FS=MRC", "CURRENCY=USD", "XLFILL=b")</f>
        <v>#NAME?</v>
      </c>
      <c r="I236" t="e" cm="1">
        <f t="array" aca="1" ref="I236" ca="1">BQL("CRWD US Equity", "BS_TOT_EQY/1M", "FPT=A", "FPO=5A", "ACT_EST_MAPPING=PRECISE", "FS=MRC", "CURRENCY=USD", "XLFILL=b")</f>
        <v>#NAME?</v>
      </c>
      <c r="J236" t="e" cm="1">
        <f t="array" aca="1" ref="J236" ca="1">BQL("CRWD US Equity", "BS_TOT_EQY/1M", "FPT=A", "FPO=6A", "ACT_EST_MAPPING=PRECISE", "FS=MRC", "CURRENCY=USD", "XLFILL=b")</f>
        <v>#NAME?</v>
      </c>
      <c r="K236" t="e" cm="1">
        <f t="array" aca="1" ref="K236" ca="1">BQL("CRWD US Equity", "BS_TOT_EQY/1M", "FPT=A", "FPO=7A", "ACT_EST_MAPPING=PRECISE", "FS=MRC", "CURRENCY=USD", "XLFILL=b")</f>
        <v>#NAME?</v>
      </c>
    </row>
    <row r="237" spans="1:11" x14ac:dyDescent="0.25">
      <c r="A237" t="s">
        <v>171</v>
      </c>
      <c r="B237" t="e" cm="1">
        <f t="array" aca="1" ref="B237" ca="1">BQL("CRWD US Equity", "CB_BS_SHARE_CAPITAL/1M", "FPT=A", "FPO=-2A", "ACT_EST_MAPPING=PRECISE", "FS=MRC", "CURRENCY=USD", "XLFILL=b")</f>
        <v>#NAME?</v>
      </c>
      <c r="C237" t="e" cm="1">
        <f t="array" aca="1" ref="C237" ca="1">BQL("CRWD US Equity", "CB_BS_SHARE_CAPITAL/1M", "FPT=A", "FPO=-1A", "ACT_EST_MAPPING=PRECISE", "FS=MRC", "CURRENCY=USD", "XLFILL=b")</f>
        <v>#NAME?</v>
      </c>
      <c r="D237" t="e" cm="1">
        <f t="array" aca="1" ref="D237" ca="1">BQL("CRWD US Equity", "CB_BS_SHARE_CAPITAL/1M", "FPT=A", "FPO=0A", "ACT_EST_MAPPING=PRECISE", "FS=MRC", "CURRENCY=USD", "XLFILL=b")</f>
        <v>#NAME?</v>
      </c>
      <c r="E237" t="e" cm="1">
        <f t="array" aca="1" ref="E237" ca="1">BQL("CRWD US Equity", "CB_BS_SHARE_CAPITAL/1M", "FPT=A", "FPO=1A", "ACT_EST_MAPPING=PRECISE", "FS=MRC", "CURRENCY=USD", "XLFILL=b")</f>
        <v>#NAME?</v>
      </c>
      <c r="F237" t="e" cm="1">
        <f t="array" aca="1" ref="F237" ca="1">BQL("CRWD US Equity", "CB_BS_SHARE_CAPITAL/1M", "FPT=A", "FPO=2A", "ACT_EST_MAPPING=PRECISE", "FS=MRC", "CURRENCY=USD", "XLFILL=b")</f>
        <v>#NAME?</v>
      </c>
      <c r="G237" t="e" cm="1">
        <f t="array" aca="1" ref="G237" ca="1">BQL("CRWD US Equity", "CB_BS_SHARE_CAPITAL/1M", "FPT=A", "FPO=3A", "ACT_EST_MAPPING=PRECISE", "FS=MRC", "CURRENCY=USD", "XLFILL=b")</f>
        <v>#NAME?</v>
      </c>
      <c r="H237" t="e" cm="1">
        <f t="array" aca="1" ref="H237" ca="1">BQL("CRWD US Equity", "CB_BS_SHARE_CAPITAL/1M", "FPT=A", "FPO=4A", "ACT_EST_MAPPING=PRECISE", "FS=MRC", "CURRENCY=USD", "XLFILL=b")</f>
        <v>#NAME?</v>
      </c>
      <c r="I237" t="e" cm="1">
        <f t="array" aca="1" ref="I237" ca="1">BQL("CRWD US Equity", "CB_BS_SHARE_CAPITAL/1M", "FPT=A", "FPO=5A", "ACT_EST_MAPPING=PRECISE", "FS=MRC", "CURRENCY=USD", "XLFILL=b")</f>
        <v>#NAME?</v>
      </c>
      <c r="J237" t="e" cm="1">
        <f t="array" aca="1" ref="J237" ca="1">BQL("CRWD US Equity", "CB_BS_SHARE_CAPITAL/1M", "FPT=A", "FPO=6A", "ACT_EST_MAPPING=PRECISE", "FS=MRC", "CURRENCY=USD", "XLFILL=b")</f>
        <v>#NAME?</v>
      </c>
      <c r="K237" t="e" cm="1">
        <f t="array" aca="1" ref="K237" ca="1">BQL("CRWD US Equity", "CB_BS_SHARE_CAPITAL/1M", "FPT=A", "FPO=7A", "ACT_EST_MAPPING=PRECISE", "FS=MRC", "CURRENCY=USD", "XLFILL=b")</f>
        <v>#NAME?</v>
      </c>
    </row>
    <row r="238" spans="1:11" x14ac:dyDescent="0.25">
      <c r="A238" t="s">
        <v>172</v>
      </c>
      <c r="B238" t="e" cm="1">
        <f t="array" aca="1" ref="B238" ca="1">BQL("CRWD US Equity", "CB_BS_APIC/1M", "FPT=A", "FPO=-2A", "ACT_EST_MAPPING=PRECISE", "FS=MRC", "CURRENCY=USD", "XLFILL=b")</f>
        <v>#NAME?</v>
      </c>
      <c r="C238" t="e" cm="1">
        <f t="array" aca="1" ref="C238" ca="1">BQL("CRWD US Equity", "CB_BS_APIC/1M", "FPT=A", "FPO=-1A", "ACT_EST_MAPPING=PRECISE", "FS=MRC", "CURRENCY=USD", "XLFILL=b")</f>
        <v>#NAME?</v>
      </c>
      <c r="D238" t="e" cm="1">
        <f t="array" aca="1" ref="D238" ca="1">BQL("CRWD US Equity", "CB_BS_APIC/1M", "FPT=A", "FPO=0A", "ACT_EST_MAPPING=PRECISE", "FS=MRC", "CURRENCY=USD", "XLFILL=b")</f>
        <v>#NAME?</v>
      </c>
      <c r="E238" t="e" cm="1">
        <f t="array" aca="1" ref="E238" ca="1">BQL("CRWD US Equity", "CB_BS_APIC/1M", "FPT=A", "FPO=1A", "ACT_EST_MAPPING=PRECISE", "FS=MRC", "CURRENCY=USD", "XLFILL=b")</f>
        <v>#NAME?</v>
      </c>
      <c r="F238" t="e" cm="1">
        <f t="array" aca="1" ref="F238" ca="1">BQL("CRWD US Equity", "CB_BS_APIC/1M", "FPT=A", "FPO=2A", "ACT_EST_MAPPING=PRECISE", "FS=MRC", "CURRENCY=USD", "XLFILL=b")</f>
        <v>#NAME?</v>
      </c>
      <c r="G238" t="e" cm="1">
        <f t="array" aca="1" ref="G238" ca="1">BQL("CRWD US Equity", "CB_BS_APIC/1M", "FPT=A", "FPO=3A", "ACT_EST_MAPPING=PRECISE", "FS=MRC", "CURRENCY=USD", "XLFILL=b")</f>
        <v>#NAME?</v>
      </c>
      <c r="H238" t="e" cm="1">
        <f t="array" aca="1" ref="H238" ca="1">BQL("CRWD US Equity", "CB_BS_APIC/1M", "FPT=A", "FPO=4A", "ACT_EST_MAPPING=PRECISE", "FS=MRC", "CURRENCY=USD", "XLFILL=b")</f>
        <v>#NAME?</v>
      </c>
      <c r="I238" t="e" cm="1">
        <f t="array" aca="1" ref="I238" ca="1">BQL("CRWD US Equity", "CB_BS_APIC/1M", "FPT=A", "FPO=5A", "ACT_EST_MAPPING=PRECISE", "FS=MRC", "CURRENCY=USD", "XLFILL=b")</f>
        <v>#NAME?</v>
      </c>
      <c r="J238" t="e" cm="1">
        <f t="array" aca="1" ref="J238" ca="1">BQL("CRWD US Equity", "CB_BS_APIC/1M", "FPT=A", "FPO=6A", "ACT_EST_MAPPING=PRECISE", "FS=MRC", "CURRENCY=USD", "XLFILL=b")</f>
        <v>#NAME?</v>
      </c>
      <c r="K238" t="e" cm="1">
        <f t="array" aca="1" ref="K238" ca="1">BQL("CRWD US Equity", "CB_BS_APIC/1M", "FPT=A", "FPO=7A", "ACT_EST_MAPPING=PRECISE", "FS=MRC", "CURRENCY=USD", "XLFILL=b")</f>
        <v>#NAME?</v>
      </c>
    </row>
    <row r="239" spans="1:11" x14ac:dyDescent="0.25">
      <c r="A239" t="s">
        <v>173</v>
      </c>
      <c r="B239" t="e" cm="1">
        <f t="array" aca="1" ref="B239" ca="1">BQL("CRWD US Equity", "CB_BS_RETAINED_ERN/1M", "FPT=A", "FPO=-2A", "ACT_EST_MAPPING=PRECISE", "FS=MRC", "CURRENCY=USD", "XLFILL=b")</f>
        <v>#NAME?</v>
      </c>
      <c r="C239" t="e" cm="1">
        <f t="array" aca="1" ref="C239" ca="1">BQL("CRWD US Equity", "CB_BS_RETAINED_ERN/1M", "FPT=A", "FPO=-1A", "ACT_EST_MAPPING=PRECISE", "FS=MRC", "CURRENCY=USD", "XLFILL=b")</f>
        <v>#NAME?</v>
      </c>
      <c r="D239" t="e" cm="1">
        <f t="array" aca="1" ref="D239" ca="1">BQL("CRWD US Equity", "CB_BS_RETAINED_ERN/1M", "FPT=A", "FPO=0A", "ACT_EST_MAPPING=PRECISE", "FS=MRC", "CURRENCY=USD", "XLFILL=b")</f>
        <v>#NAME?</v>
      </c>
      <c r="E239" t="e" cm="1">
        <f t="array" aca="1" ref="E239" ca="1">BQL("CRWD US Equity", "CB_BS_RETAINED_ERN/1M", "FPT=A", "FPO=1A", "ACT_EST_MAPPING=PRECISE", "FS=MRC", "CURRENCY=USD", "XLFILL=b")</f>
        <v>#NAME?</v>
      </c>
      <c r="F239" t="e" cm="1">
        <f t="array" aca="1" ref="F239" ca="1">BQL("CRWD US Equity", "CB_BS_RETAINED_ERN/1M", "FPT=A", "FPO=2A", "ACT_EST_MAPPING=PRECISE", "FS=MRC", "CURRENCY=USD", "XLFILL=b")</f>
        <v>#NAME?</v>
      </c>
      <c r="G239" t="e" cm="1">
        <f t="array" aca="1" ref="G239" ca="1">BQL("CRWD US Equity", "CB_BS_RETAINED_ERN/1M", "FPT=A", "FPO=3A", "ACT_EST_MAPPING=PRECISE", "FS=MRC", "CURRENCY=USD", "XLFILL=b")</f>
        <v>#NAME?</v>
      </c>
      <c r="H239" t="e" cm="1">
        <f t="array" aca="1" ref="H239" ca="1">BQL("CRWD US Equity", "CB_BS_RETAINED_ERN/1M", "FPT=A", "FPO=4A", "ACT_EST_MAPPING=PRECISE", "FS=MRC", "CURRENCY=USD", "XLFILL=b")</f>
        <v>#NAME?</v>
      </c>
      <c r="I239" t="e" cm="1">
        <f t="array" aca="1" ref="I239" ca="1">BQL("CRWD US Equity", "CB_BS_RETAINED_ERN/1M", "FPT=A", "FPO=5A", "ACT_EST_MAPPING=PRECISE", "FS=MRC", "CURRENCY=USD", "XLFILL=b")</f>
        <v>#NAME?</v>
      </c>
      <c r="J239" t="e" cm="1">
        <f t="array" aca="1" ref="J239" ca="1">BQL("CRWD US Equity", "CB_BS_RETAINED_ERN/1M", "FPT=A", "FPO=6A", "ACT_EST_MAPPING=PRECISE", "FS=MRC", "CURRENCY=USD", "XLFILL=b")</f>
        <v>#NAME?</v>
      </c>
      <c r="K239" t="e" cm="1">
        <f t="array" aca="1" ref="K239" ca="1">BQL("CRWD US Equity", "CB_BS_RETAINED_ERN/1M", "FPT=A", "FPO=7A", "ACT_EST_MAPPING=PRECISE", "FS=MRC", "CURRENCY=USD", "XLFILL=b")</f>
        <v>#NAME?</v>
      </c>
    </row>
    <row r="240" spans="1:11" x14ac:dyDescent="0.25">
      <c r="A240" t="s">
        <v>174</v>
      </c>
      <c r="B240" t="e" cm="1">
        <f t="array" aca="1" ref="B240" ca="1">BQL("CRWD US Equity", "BS_ACCUMULATED_OTHER_COMP_INC/1M", "FPT=A", "FPO=-2A", "ACT_EST_MAPPING=PRECISE", "FS=MRC", "CURRENCY=USD", "XLFILL=b")</f>
        <v>#NAME?</v>
      </c>
      <c r="C240" t="e" cm="1">
        <f t="array" aca="1" ref="C240" ca="1">BQL("CRWD US Equity", "BS_ACCUMULATED_OTHER_COMP_INC/1M", "FPT=A", "FPO=-1A", "ACT_EST_MAPPING=PRECISE", "FS=MRC", "CURRENCY=USD", "XLFILL=b")</f>
        <v>#NAME?</v>
      </c>
      <c r="D240" t="e" cm="1">
        <f t="array" aca="1" ref="D240" ca="1">BQL("CRWD US Equity", "BS_ACCUMULATED_OTHER_COMP_INC/1M", "FPT=A", "FPO=0A", "ACT_EST_MAPPING=PRECISE", "FS=MRC", "CURRENCY=USD", "XLFILL=b")</f>
        <v>#NAME?</v>
      </c>
      <c r="E240" t="e" cm="1">
        <f t="array" aca="1" ref="E240" ca="1">BQL("CRWD US Equity", "BS_ACCUMULATED_OTHER_COMP_INC/1M", "FPT=A", "FPO=1A", "ACT_EST_MAPPING=PRECISE", "FS=MRC", "CURRENCY=USD", "XLFILL=b")</f>
        <v>#NAME?</v>
      </c>
      <c r="F240" t="e" cm="1">
        <f t="array" aca="1" ref="F240" ca="1">BQL("CRWD US Equity", "BS_ACCUMULATED_OTHER_COMP_INC/1M", "FPT=A", "FPO=2A", "ACT_EST_MAPPING=PRECISE", "FS=MRC", "CURRENCY=USD", "XLFILL=b")</f>
        <v>#NAME?</v>
      </c>
      <c r="G240" t="e" cm="1">
        <f t="array" aca="1" ref="G240" ca="1">BQL("CRWD US Equity", "BS_ACCUMULATED_OTHER_COMP_INC/1M", "FPT=A", "FPO=3A", "ACT_EST_MAPPING=PRECISE", "FS=MRC", "CURRENCY=USD", "XLFILL=b")</f>
        <v>#NAME?</v>
      </c>
      <c r="H240" t="e" cm="1">
        <f t="array" aca="1" ref="H240" ca="1">BQL("CRWD US Equity", "BS_ACCUMULATED_OTHER_COMP_INC/1M", "FPT=A", "FPO=4A", "ACT_EST_MAPPING=PRECISE", "FS=MRC", "CURRENCY=USD", "XLFILL=b")</f>
        <v>#NAME?</v>
      </c>
      <c r="I240" t="e" cm="1">
        <f t="array" aca="1" ref="I240" ca="1">BQL("CRWD US Equity", "BS_ACCUMULATED_OTHER_COMP_INC/1M", "FPT=A", "FPO=5A", "ACT_EST_MAPPING=PRECISE", "FS=MRC", "CURRENCY=USD", "XLFILL=b")</f>
        <v>#NAME?</v>
      </c>
      <c r="J240" t="e" cm="1">
        <f t="array" aca="1" ref="J240" ca="1">BQL("CRWD US Equity", "BS_ACCUMULATED_OTHER_COMP_INC/1M", "FPT=A", "FPO=6A", "ACT_EST_MAPPING=PRECISE", "FS=MRC", "CURRENCY=USD", "XLFILL=b")</f>
        <v>#NAME?</v>
      </c>
      <c r="K240" t="e" cm="1">
        <f t="array" aca="1" ref="K240" ca="1">BQL("CRWD US Equity", "BS_ACCUMULATED_OTHER_COMP_INC/1M", "FPT=A", "FPO=7A", "ACT_EST_MAPPING=PRECISE", "FS=MRC", "CURRENCY=USD", "XLFILL=b")</f>
        <v>#NAME?</v>
      </c>
    </row>
    <row r="241" spans="1:11" x14ac:dyDescent="0.25">
      <c r="A241" t="s">
        <v>175</v>
      </c>
      <c r="B241" t="e" cm="1">
        <f t="array" aca="1" ref="B241" ca="1">BQL("CRWD US Equity", "BS_TOT_ASSET/1M", "FPT=A", "FPO=-2A", "ACT_EST_MAPPING=PRECISE", "FS=MRC", "CURRENCY=USD", "XLFILL=b")</f>
        <v>#NAME?</v>
      </c>
      <c r="C241" t="e" cm="1">
        <f t="array" aca="1" ref="C241" ca="1">BQL("CRWD US Equity", "BS_TOT_ASSET/1M", "FPT=A", "FPO=-1A", "ACT_EST_MAPPING=PRECISE", "FS=MRC", "CURRENCY=USD", "XLFILL=b")</f>
        <v>#NAME?</v>
      </c>
      <c r="D241" t="e" cm="1">
        <f t="array" aca="1" ref="D241" ca="1">BQL("CRWD US Equity", "BS_TOT_ASSET/1M", "FPT=A", "FPO=0A", "ACT_EST_MAPPING=PRECISE", "FS=MRC", "CURRENCY=USD", "XLFILL=b")</f>
        <v>#NAME?</v>
      </c>
      <c r="E241" t="e" cm="1">
        <f t="array" aca="1" ref="E241" ca="1">BQL("CRWD US Equity", "BS_TOT_ASSET/1M", "FPT=A", "FPO=1A", "ACT_EST_MAPPING=PRECISE", "FS=MRC", "CURRENCY=USD", "XLFILL=b")</f>
        <v>#NAME?</v>
      </c>
      <c r="F241" t="e" cm="1">
        <f t="array" aca="1" ref="F241" ca="1">BQL("CRWD US Equity", "BS_TOT_ASSET/1M", "FPT=A", "FPO=2A", "ACT_EST_MAPPING=PRECISE", "FS=MRC", "CURRENCY=USD", "XLFILL=b")</f>
        <v>#NAME?</v>
      </c>
      <c r="G241" t="e" cm="1">
        <f t="array" aca="1" ref="G241" ca="1">BQL("CRWD US Equity", "BS_TOT_ASSET/1M", "FPT=A", "FPO=3A", "ACT_EST_MAPPING=PRECISE", "FS=MRC", "CURRENCY=USD", "XLFILL=b")</f>
        <v>#NAME?</v>
      </c>
      <c r="H241" t="e" cm="1">
        <f t="array" aca="1" ref="H241" ca="1">BQL("CRWD US Equity", "BS_TOT_ASSET/1M", "FPT=A", "FPO=4A", "ACT_EST_MAPPING=PRECISE", "FS=MRC", "CURRENCY=USD", "XLFILL=b")</f>
        <v>#NAME?</v>
      </c>
      <c r="I241" t="e" cm="1">
        <f t="array" aca="1" ref="I241" ca="1">BQL("CRWD US Equity", "BS_TOT_ASSET/1M", "FPT=A", "FPO=5A", "ACT_EST_MAPPING=PRECISE", "FS=MRC", "CURRENCY=USD", "XLFILL=b")</f>
        <v>#NAME?</v>
      </c>
      <c r="J241" t="e" cm="1">
        <f t="array" aca="1" ref="J241" ca="1">BQL("CRWD US Equity", "BS_TOT_ASSET/1M", "FPT=A", "FPO=6A", "ACT_EST_MAPPING=PRECISE", "FS=MRC", "CURRENCY=USD", "XLFILL=b")</f>
        <v>#NAME?</v>
      </c>
      <c r="K241" t="e" cm="1">
        <f t="array" aca="1" ref="K241" ca="1">BQL("CRWD US Equity", "BS_TOT_ASSET/1M", "FPT=A", "FPO=7A", "ACT_EST_MAPPING=PRECISE", "FS=MRC", "CURRENCY=USD", "XLFILL=b")</f>
        <v>#NAME?</v>
      </c>
    </row>
    <row r="242" spans="1:11" x14ac:dyDescent="0.25">
      <c r="A242" t="s">
        <v>17</v>
      </c>
    </row>
    <row r="243" spans="1:11" x14ac:dyDescent="0.25">
      <c r="A243" t="s">
        <v>176</v>
      </c>
    </row>
    <row r="244" spans="1:11" x14ac:dyDescent="0.25">
      <c r="A244" t="s">
        <v>177</v>
      </c>
      <c r="B244" t="e" cm="1">
        <f t="array" aca="1" ref="B244" ca="1">BQL("CRWD US Equity", "HEADLINE_NET_DEBT/1M", "FPT=A", "FPO=-2A", "ACT_EST_MAPPING=PRECISE", "FS=MRC", "CURRENCY=USD", "XLFILL=b")</f>
        <v>#NAME?</v>
      </c>
      <c r="C244" t="e" cm="1">
        <f t="array" aca="1" ref="C244" ca="1">BQL("CRWD US Equity", "HEADLINE_NET_DEBT/1M", "FPT=A", "FPO=-1A", "ACT_EST_MAPPING=PRECISE", "FS=MRC", "CURRENCY=USD", "XLFILL=b")</f>
        <v>#NAME?</v>
      </c>
      <c r="D244" t="e" cm="1">
        <f t="array" aca="1" ref="D244" ca="1">BQL("CRWD US Equity", "HEADLINE_NET_DEBT/1M", "FPT=A", "FPO=0A", "ACT_EST_MAPPING=PRECISE", "FS=MRC", "CURRENCY=USD", "XLFILL=b")</f>
        <v>#NAME?</v>
      </c>
      <c r="E244" t="e" cm="1">
        <f t="array" aca="1" ref="E244" ca="1">BQL("CRWD US Equity", "HEADLINE_NET_DEBT/1M", "FPT=A", "FPO=1A", "ACT_EST_MAPPING=PRECISE", "FS=MRC", "CURRENCY=USD", "XLFILL=b")</f>
        <v>#NAME?</v>
      </c>
      <c r="F244" t="e" cm="1">
        <f t="array" aca="1" ref="F244" ca="1">BQL("CRWD US Equity", "HEADLINE_NET_DEBT/1M", "FPT=A", "FPO=2A", "ACT_EST_MAPPING=PRECISE", "FS=MRC", "CURRENCY=USD", "XLFILL=b")</f>
        <v>#NAME?</v>
      </c>
      <c r="G244" t="e" cm="1">
        <f t="array" aca="1" ref="G244" ca="1">BQL("CRWD US Equity", "HEADLINE_NET_DEBT/1M", "FPT=A", "FPO=3A", "ACT_EST_MAPPING=PRECISE", "FS=MRC", "CURRENCY=USD", "XLFILL=b")</f>
        <v>#NAME?</v>
      </c>
      <c r="H244" t="e" cm="1">
        <f t="array" aca="1" ref="H244" ca="1">BQL("CRWD US Equity", "HEADLINE_NET_DEBT/1M", "FPT=A", "FPO=4A", "ACT_EST_MAPPING=PRECISE", "FS=MRC", "CURRENCY=USD", "XLFILL=b")</f>
        <v>#NAME?</v>
      </c>
      <c r="I244" t="e" cm="1">
        <f t="array" aca="1" ref="I244" ca="1">BQL("CRWD US Equity", "HEADLINE_NET_DEBT/1M", "FPT=A", "FPO=5A", "ACT_EST_MAPPING=PRECISE", "FS=MRC", "CURRENCY=USD", "XLFILL=b")</f>
        <v>#NAME?</v>
      </c>
      <c r="J244" t="e" cm="1">
        <f t="array" aca="1" ref="J244" ca="1">BQL("CRWD US Equity", "HEADLINE_NET_DEBT/1M", "FPT=A", "FPO=6A", "ACT_EST_MAPPING=PRECISE", "FS=MRC", "CURRENCY=USD", "XLFILL=b")</f>
        <v>#NAME?</v>
      </c>
      <c r="K244" t="e" cm="1">
        <f t="array" aca="1" ref="K244" ca="1">BQL("CRWD US Equity", "HEADLINE_NET_DEBT/1M", "FPT=A", "FPO=7A", "ACT_EST_MAPPING=PRECISE", "FS=MRC", "CURRENCY=USD", "XLFILL=b")</f>
        <v>#NAME?</v>
      </c>
    </row>
    <row r="245" spans="1:11" x14ac:dyDescent="0.25">
      <c r="A245" t="s">
        <v>178</v>
      </c>
    </row>
    <row r="246" spans="1:11" x14ac:dyDescent="0.25">
      <c r="A246" t="s">
        <v>179</v>
      </c>
      <c r="B246" t="e" cm="1">
        <f t="array" aca="1" ref="B246" ca="1">BQL("CRWD US Equity", "HEADLINE_ROA", "FPT=A", "FPO=-2A", "ACT_EST_MAPPING=PRECISE", "FS=MRC", "CURRENCY=USD", "XLFILL=b")</f>
        <v>#NAME?</v>
      </c>
      <c r="C246" t="e" cm="1">
        <f t="array" aca="1" ref="C246" ca="1">BQL("CRWD US Equity", "HEADLINE_ROA", "FPT=A", "FPO=-1A", "ACT_EST_MAPPING=PRECISE", "FS=MRC", "CURRENCY=USD", "XLFILL=b")</f>
        <v>#NAME?</v>
      </c>
      <c r="D246" t="e" cm="1">
        <f t="array" aca="1" ref="D246" ca="1">BQL("CRWD US Equity", "HEADLINE_ROA", "FPT=A", "FPO=0A", "ACT_EST_MAPPING=PRECISE", "FS=MRC", "CURRENCY=USD", "XLFILL=b")</f>
        <v>#NAME?</v>
      </c>
      <c r="E246" t="e" cm="1">
        <f t="array" aca="1" ref="E246" ca="1">BQL("CRWD US Equity", "HEADLINE_ROA", "FPT=A", "FPO=1A", "ACT_EST_MAPPING=PRECISE", "FS=MRC", "CURRENCY=USD", "XLFILL=b")</f>
        <v>#NAME?</v>
      </c>
      <c r="F246" t="e" cm="1">
        <f t="array" aca="1" ref="F246" ca="1">BQL("CRWD US Equity", "HEADLINE_ROA", "FPT=A", "FPO=2A", "ACT_EST_MAPPING=PRECISE", "FS=MRC", "CURRENCY=USD", "XLFILL=b")</f>
        <v>#NAME?</v>
      </c>
      <c r="G246" t="e" cm="1">
        <f t="array" aca="1" ref="G246" ca="1">BQL("CRWD US Equity", "HEADLINE_ROA", "FPT=A", "FPO=3A", "ACT_EST_MAPPING=PRECISE", "FS=MRC", "CURRENCY=USD", "XLFILL=b")</f>
        <v>#NAME?</v>
      </c>
      <c r="H246" t="e" cm="1">
        <f t="array" aca="1" ref="H246" ca="1">BQL("CRWD US Equity", "HEADLINE_ROA", "FPT=A", "FPO=4A", "ACT_EST_MAPPING=PRECISE", "FS=MRC", "CURRENCY=USD", "XLFILL=b")</f>
        <v>#NAME?</v>
      </c>
      <c r="I246" t="e" cm="1">
        <f t="array" aca="1" ref="I246" ca="1">BQL("CRWD US Equity", "HEADLINE_ROA", "FPT=A", "FPO=5A", "ACT_EST_MAPPING=PRECISE", "FS=MRC", "CURRENCY=USD", "XLFILL=b")</f>
        <v>#NAME?</v>
      </c>
      <c r="J246" t="e" cm="1">
        <f t="array" aca="1" ref="J246" ca="1">BQL("CRWD US Equity", "HEADLINE_ROA", "FPT=A", "FPO=6A", "ACT_EST_MAPPING=PRECISE", "FS=MRC", "CURRENCY=USD", "XLFILL=b")</f>
        <v>#NAME?</v>
      </c>
      <c r="K246" t="e" cm="1">
        <f t="array" aca="1" ref="K246" ca="1">BQL("CRWD US Equity", "HEADLINE_ROA", "FPT=A", "FPO=7A", "ACT_EST_MAPPING=PRECISE", "FS=MRC", "CURRENCY=USD", "XLFILL=b")</f>
        <v>#NAME?</v>
      </c>
    </row>
    <row r="247" spans="1:11" x14ac:dyDescent="0.25">
      <c r="A247" t="s">
        <v>180</v>
      </c>
      <c r="B247" t="e" cm="1">
        <f t="array" aca="1" ref="B247" ca="1">BQL("CRWD US Equity", "HEADLINE_ROE", "FPT=A", "FPO=-2A", "ACT_EST_MAPPING=PRECISE", "FS=MRC", "CURRENCY=USD", "XLFILL=b")</f>
        <v>#NAME?</v>
      </c>
      <c r="C247" t="e" cm="1">
        <f t="array" aca="1" ref="C247" ca="1">BQL("CRWD US Equity", "HEADLINE_ROE", "FPT=A", "FPO=-1A", "ACT_EST_MAPPING=PRECISE", "FS=MRC", "CURRENCY=USD", "XLFILL=b")</f>
        <v>#NAME?</v>
      </c>
      <c r="D247" t="e" cm="1">
        <f t="array" aca="1" ref="D247" ca="1">BQL("CRWD US Equity", "HEADLINE_ROE", "FPT=A", "FPO=0A", "ACT_EST_MAPPING=PRECISE", "FS=MRC", "CURRENCY=USD", "XLFILL=b")</f>
        <v>#NAME?</v>
      </c>
      <c r="E247" t="e" cm="1">
        <f t="array" aca="1" ref="E247" ca="1">BQL("CRWD US Equity", "HEADLINE_ROE", "FPT=A", "FPO=1A", "ACT_EST_MAPPING=PRECISE", "FS=MRC", "CURRENCY=USD", "XLFILL=b")</f>
        <v>#NAME?</v>
      </c>
      <c r="F247" t="e" cm="1">
        <f t="array" aca="1" ref="F247" ca="1">BQL("CRWD US Equity", "HEADLINE_ROE", "FPT=A", "FPO=2A", "ACT_EST_MAPPING=PRECISE", "FS=MRC", "CURRENCY=USD", "XLFILL=b")</f>
        <v>#NAME?</v>
      </c>
      <c r="G247" t="e" cm="1">
        <f t="array" aca="1" ref="G247" ca="1">BQL("CRWD US Equity", "HEADLINE_ROE", "FPT=A", "FPO=3A", "ACT_EST_MAPPING=PRECISE", "FS=MRC", "CURRENCY=USD", "XLFILL=b")</f>
        <v>#NAME?</v>
      </c>
      <c r="H247" t="e" cm="1">
        <f t="array" aca="1" ref="H247" ca="1">BQL("CRWD US Equity", "HEADLINE_ROE", "FPT=A", "FPO=4A", "ACT_EST_MAPPING=PRECISE", "FS=MRC", "CURRENCY=USD", "XLFILL=b")</f>
        <v>#NAME?</v>
      </c>
      <c r="I247" t="e" cm="1">
        <f t="array" aca="1" ref="I247" ca="1">BQL("CRWD US Equity", "HEADLINE_ROE", "FPT=A", "FPO=5A", "ACT_EST_MAPPING=PRECISE", "FS=MRC", "CURRENCY=USD", "XLFILL=b")</f>
        <v>#NAME?</v>
      </c>
      <c r="J247" t="e" cm="1">
        <f t="array" aca="1" ref="J247" ca="1">BQL("CRWD US Equity", "HEADLINE_ROE", "FPT=A", "FPO=6A", "ACT_EST_MAPPING=PRECISE", "FS=MRC", "CURRENCY=USD", "XLFILL=b")</f>
        <v>#NAME?</v>
      </c>
      <c r="K247" t="e" cm="1">
        <f t="array" aca="1" ref="K247" ca="1">BQL("CRWD US Equity", "HEADLINE_ROE", "FPT=A", "FPO=7A", "ACT_EST_MAPPING=PRECISE", "FS=MRC", "CURRENCY=USD", "XLFILL=b")</f>
        <v>#NAME?</v>
      </c>
    </row>
    <row r="248" spans="1:11" x14ac:dyDescent="0.25">
      <c r="A248" t="s">
        <v>181</v>
      </c>
      <c r="B248" t="e" cm="1">
        <f t="array" aca="1" ref="B248" ca="1">BQL("CRWD US Equity", "DEFERRED_REV/1M", "FPT=A", "FPO=-2A", "ACT_EST_MAPPING=PRECISE", "FS=MRC", "CURRENCY=USD", "XLFILL=b")</f>
        <v>#NAME?</v>
      </c>
      <c r="C248" t="e" cm="1">
        <f t="array" aca="1" ref="C248" ca="1">BQL("CRWD US Equity", "DEFERRED_REV/1M", "FPT=A", "FPO=-1A", "ACT_EST_MAPPING=PRECISE", "FS=MRC", "CURRENCY=USD", "XLFILL=b")</f>
        <v>#NAME?</v>
      </c>
      <c r="D248" t="e" cm="1">
        <f t="array" aca="1" ref="D248" ca="1">BQL("CRWD US Equity", "DEFERRED_REV/1M", "FPT=A", "FPO=0A", "ACT_EST_MAPPING=PRECISE", "FS=MRC", "CURRENCY=USD", "XLFILL=b")</f>
        <v>#NAME?</v>
      </c>
      <c r="E248" t="e" cm="1">
        <f t="array" aca="1" ref="E248" ca="1">BQL("CRWD US Equity", "DEFERRED_REV/1M", "FPT=A", "FPO=1A", "ACT_EST_MAPPING=PRECISE", "FS=MRC", "CURRENCY=USD", "XLFILL=b")</f>
        <v>#NAME?</v>
      </c>
      <c r="F248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0872-C8F3-4CC2-B105-406CE51F213B}">
  <dimension ref="A1:K304"/>
  <sheetViews>
    <sheetView workbookViewId="0">
      <selection sqref="A1:L1048576"/>
    </sheetView>
  </sheetViews>
  <sheetFormatPr defaultRowHeight="15" x14ac:dyDescent="0.25"/>
  <cols>
    <col min="1" max="1" width="84.42578125" bestFit="1" customWidth="1"/>
    <col min="2" max="4" width="11.7109375" bestFit="1" customWidth="1"/>
    <col min="5" max="11" width="12" bestFit="1" customWidth="1"/>
  </cols>
  <sheetData>
    <row r="1" spans="1:11" x14ac:dyDescent="0.25">
      <c r="A1" t="s">
        <v>233</v>
      </c>
    </row>
    <row r="2" spans="1:11" x14ac:dyDescent="0.25">
      <c r="A2" t="s">
        <v>234</v>
      </c>
    </row>
    <row r="3" spans="1:11" x14ac:dyDescent="0.25">
      <c r="A3" t="s">
        <v>2</v>
      </c>
      <c r="B3" t="s">
        <v>235</v>
      </c>
      <c r="C3" t="s">
        <v>3</v>
      </c>
      <c r="D3" t="s">
        <v>4</v>
      </c>
      <c r="E3" t="s">
        <v>236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13</v>
      </c>
      <c r="B4" s="1">
        <v>45169</v>
      </c>
      <c r="C4" s="1">
        <v>45533</v>
      </c>
      <c r="D4" s="1">
        <v>45897</v>
      </c>
      <c r="E4" s="1">
        <v>46268</v>
      </c>
      <c r="F4" s="1">
        <v>46632</v>
      </c>
      <c r="G4" s="1">
        <v>46996</v>
      </c>
      <c r="H4" s="1">
        <v>47360</v>
      </c>
      <c r="I4" s="1">
        <v>47724</v>
      </c>
      <c r="J4" s="1">
        <v>48088</v>
      </c>
      <c r="K4" s="1">
        <v>48459</v>
      </c>
    </row>
    <row r="5" spans="1:11" x14ac:dyDescent="0.25">
      <c r="A5" t="s">
        <v>14</v>
      </c>
    </row>
    <row r="6" spans="1:11" x14ac:dyDescent="0.25">
      <c r="A6" t="s">
        <v>15</v>
      </c>
      <c r="B6">
        <v>-4.45</v>
      </c>
      <c r="C6">
        <v>1.3</v>
      </c>
      <c r="D6">
        <v>8.2899999999999991</v>
      </c>
      <c r="E6">
        <v>73.16</v>
      </c>
      <c r="F6">
        <v>156.5</v>
      </c>
      <c r="G6">
        <v>178.78</v>
      </c>
      <c r="H6">
        <v>173.69</v>
      </c>
      <c r="I6">
        <v>137.88</v>
      </c>
    </row>
    <row r="7" spans="1:11" x14ac:dyDescent="0.25">
      <c r="A7" t="s">
        <v>16</v>
      </c>
      <c r="B7" s="2">
        <v>15540</v>
      </c>
      <c r="C7" s="2">
        <v>25111</v>
      </c>
      <c r="D7" s="2">
        <v>37378</v>
      </c>
      <c r="E7" s="2">
        <v>129849.69</v>
      </c>
      <c r="F7" s="2">
        <v>253970.37</v>
      </c>
      <c r="G7" s="2">
        <v>285284.05</v>
      </c>
      <c r="H7" s="2">
        <v>305965.09999999998</v>
      </c>
      <c r="I7" s="2">
        <v>306225.5</v>
      </c>
      <c r="J7">
        <v>183</v>
      </c>
      <c r="K7">
        <v>208</v>
      </c>
    </row>
    <row r="8" spans="1:11" x14ac:dyDescent="0.25">
      <c r="A8" t="s">
        <v>17</v>
      </c>
    </row>
    <row r="9" spans="1:11" x14ac:dyDescent="0.25">
      <c r="A9" t="s">
        <v>32</v>
      </c>
    </row>
    <row r="10" spans="1:11" x14ac:dyDescent="0.25">
      <c r="A10" t="s">
        <v>237</v>
      </c>
      <c r="B10" s="2">
        <v>10978</v>
      </c>
      <c r="C10" s="2">
        <v>17603</v>
      </c>
      <c r="D10" s="2">
        <v>28578</v>
      </c>
      <c r="E10" s="2">
        <v>98805.04</v>
      </c>
      <c r="F10" s="2">
        <v>193035.95</v>
      </c>
      <c r="G10" s="2">
        <v>220705.03</v>
      </c>
      <c r="H10" s="2">
        <v>253077.03</v>
      </c>
      <c r="I10" s="2">
        <v>281797.06</v>
      </c>
    </row>
    <row r="11" spans="1:11" x14ac:dyDescent="0.25">
      <c r="A11" t="s">
        <v>238</v>
      </c>
      <c r="B11" s="2">
        <v>4206</v>
      </c>
      <c r="C11" s="2">
        <v>7227</v>
      </c>
      <c r="D11" s="2">
        <v>8503</v>
      </c>
      <c r="E11" s="2">
        <v>29785.06</v>
      </c>
      <c r="F11" s="2">
        <v>61185.15</v>
      </c>
      <c r="G11" s="2">
        <v>66195.11</v>
      </c>
      <c r="H11" s="2">
        <v>67503.59</v>
      </c>
      <c r="I11" s="2">
        <v>60994.9</v>
      </c>
    </row>
    <row r="12" spans="1:11" x14ac:dyDescent="0.25">
      <c r="A12" t="s">
        <v>212</v>
      </c>
      <c r="B12">
        <v>356</v>
      </c>
      <c r="C12">
        <v>281</v>
      </c>
      <c r="D12">
        <v>297</v>
      </c>
      <c r="E12">
        <v>498.44</v>
      </c>
      <c r="F12">
        <v>625.80999999999995</v>
      </c>
      <c r="G12">
        <v>663.52</v>
      </c>
      <c r="H12">
        <v>649.35</v>
      </c>
      <c r="I12">
        <v>632.37</v>
      </c>
    </row>
    <row r="13" spans="1:11" x14ac:dyDescent="0.25">
      <c r="A13" t="s">
        <v>17</v>
      </c>
    </row>
    <row r="14" spans="1:11" x14ac:dyDescent="0.25">
      <c r="A14" t="s">
        <v>30</v>
      </c>
      <c r="B14">
        <v>-7.7</v>
      </c>
      <c r="C14">
        <v>23.7</v>
      </c>
      <c r="D14">
        <v>40.9</v>
      </c>
      <c r="E14">
        <v>80.7</v>
      </c>
      <c r="F14">
        <v>86.54</v>
      </c>
      <c r="G14">
        <v>83.71</v>
      </c>
      <c r="H14">
        <v>78.12</v>
      </c>
      <c r="I14">
        <v>70.45</v>
      </c>
      <c r="J14">
        <v>57</v>
      </c>
      <c r="K14">
        <v>57</v>
      </c>
    </row>
    <row r="15" spans="1:11" x14ac:dyDescent="0.25">
      <c r="A15" t="s">
        <v>239</v>
      </c>
      <c r="B15" s="2">
        <v>2888</v>
      </c>
      <c r="C15" s="2">
        <v>3148</v>
      </c>
      <c r="D15" s="2">
        <v>3450</v>
      </c>
      <c r="E15" s="2">
        <v>4693.7299999999996</v>
      </c>
      <c r="F15" s="2">
        <v>6183.67</v>
      </c>
      <c r="G15" s="2">
        <v>7572.39</v>
      </c>
      <c r="H15" s="2">
        <v>7203.53</v>
      </c>
      <c r="I15" s="2">
        <v>9382.1200000000008</v>
      </c>
    </row>
    <row r="16" spans="1:11" x14ac:dyDescent="0.25">
      <c r="A16" t="s">
        <v>83</v>
      </c>
      <c r="B16">
        <v>18.579999999999998</v>
      </c>
      <c r="C16">
        <v>12.54</v>
      </c>
      <c r="D16">
        <v>9.23</v>
      </c>
      <c r="E16">
        <v>3.62</v>
      </c>
      <c r="F16">
        <v>2.74</v>
      </c>
      <c r="G16">
        <v>3.27</v>
      </c>
      <c r="H16">
        <v>2.44</v>
      </c>
      <c r="I16">
        <v>3.61</v>
      </c>
    </row>
    <row r="17" spans="1:11" x14ac:dyDescent="0.25">
      <c r="A17" t="s">
        <v>29</v>
      </c>
      <c r="B17" s="2">
        <v>-4819</v>
      </c>
      <c r="C17" s="2">
        <v>1935</v>
      </c>
      <c r="D17" s="2">
        <v>10846</v>
      </c>
      <c r="E17" s="2">
        <v>98781.48</v>
      </c>
      <c r="F17" s="2">
        <v>210732.63</v>
      </c>
      <c r="G17" s="2">
        <v>222008.85</v>
      </c>
      <c r="H17" s="2">
        <v>216772.78</v>
      </c>
      <c r="I17" s="2">
        <v>180435.29</v>
      </c>
      <c r="J17" s="2">
        <v>223751</v>
      </c>
      <c r="K17" s="2">
        <v>268502</v>
      </c>
    </row>
    <row r="18" spans="1:11" x14ac:dyDescent="0.25">
      <c r="A18" t="s">
        <v>240</v>
      </c>
      <c r="B18">
        <v>-31.01</v>
      </c>
      <c r="C18">
        <v>7.71</v>
      </c>
      <c r="D18">
        <v>29.02</v>
      </c>
      <c r="E18">
        <v>76.22</v>
      </c>
      <c r="F18">
        <v>83.74</v>
      </c>
      <c r="G18">
        <v>80.099999999999994</v>
      </c>
      <c r="H18">
        <v>74.69</v>
      </c>
      <c r="I18">
        <v>64.89</v>
      </c>
    </row>
    <row r="19" spans="1:11" x14ac:dyDescent="0.25">
      <c r="A19" t="s">
        <v>241</v>
      </c>
      <c r="B19">
        <v>-31.29</v>
      </c>
      <c r="C19">
        <v>5.86</v>
      </c>
      <c r="D19">
        <v>25.34</v>
      </c>
      <c r="E19">
        <v>65.11</v>
      </c>
      <c r="F19">
        <v>71.16</v>
      </c>
      <c r="G19">
        <v>68.62</v>
      </c>
      <c r="H19">
        <v>65.92</v>
      </c>
      <c r="I19">
        <v>53.9</v>
      </c>
    </row>
    <row r="20" spans="1:11" x14ac:dyDescent="0.25">
      <c r="A20" t="s">
        <v>17</v>
      </c>
    </row>
    <row r="21" spans="1:11" x14ac:dyDescent="0.25">
      <c r="A21" t="s">
        <v>242</v>
      </c>
      <c r="B21" s="2">
        <v>-7676</v>
      </c>
      <c r="C21" s="2">
        <v>-8386</v>
      </c>
      <c r="D21" s="2">
        <v>-15857</v>
      </c>
      <c r="E21" s="2">
        <v>-28179.279999999999</v>
      </c>
      <c r="F21" s="2">
        <v>-46284.67</v>
      </c>
      <c r="G21" s="2">
        <v>-48932.04</v>
      </c>
      <c r="H21" s="2">
        <v>-59012.88</v>
      </c>
      <c r="I21" s="2">
        <v>-47593.71</v>
      </c>
      <c r="J21" s="2">
        <v>-27932</v>
      </c>
      <c r="K21" s="2">
        <v>-33492</v>
      </c>
    </row>
    <row r="22" spans="1:11" x14ac:dyDescent="0.25">
      <c r="A22" t="s">
        <v>83</v>
      </c>
      <c r="B22">
        <v>49.4</v>
      </c>
      <c r="C22">
        <v>33.4</v>
      </c>
      <c r="D22">
        <v>42.42</v>
      </c>
      <c r="E22">
        <v>22.29</v>
      </c>
      <c r="F22">
        <v>19.78</v>
      </c>
      <c r="G22">
        <v>18.350000000000001</v>
      </c>
      <c r="H22">
        <v>45.17</v>
      </c>
      <c r="I22">
        <v>18.760000000000002</v>
      </c>
    </row>
    <row r="23" spans="1:11" x14ac:dyDescent="0.25">
      <c r="A23" t="s">
        <v>36</v>
      </c>
      <c r="B23" s="2">
        <v>-6117</v>
      </c>
      <c r="C23">
        <v>121</v>
      </c>
      <c r="D23" s="2">
        <v>1668</v>
      </c>
      <c r="E23" s="2">
        <v>50680.93</v>
      </c>
      <c r="F23" s="2">
        <v>137173.51999999999</v>
      </c>
      <c r="G23" s="2">
        <v>162829.95000000001</v>
      </c>
      <c r="H23" s="2">
        <v>158182.9</v>
      </c>
      <c r="I23" s="2">
        <v>83248.679999999993</v>
      </c>
      <c r="J23">
        <v>64</v>
      </c>
      <c r="K23">
        <v>73</v>
      </c>
    </row>
    <row r="24" spans="1:11" x14ac:dyDescent="0.25">
      <c r="A24" t="s">
        <v>83</v>
      </c>
      <c r="B24">
        <v>-39.36</v>
      </c>
      <c r="C24">
        <v>0.48</v>
      </c>
      <c r="D24">
        <v>4.46</v>
      </c>
      <c r="E24">
        <v>39.229999999999997</v>
      </c>
      <c r="F24">
        <v>52.28</v>
      </c>
      <c r="G24">
        <v>55.48</v>
      </c>
      <c r="H24">
        <v>51.92</v>
      </c>
      <c r="I24">
        <v>37.46</v>
      </c>
    </row>
    <row r="25" spans="1:11" x14ac:dyDescent="0.25">
      <c r="A25" t="s">
        <v>243</v>
      </c>
      <c r="B25" s="2">
        <v>-5453</v>
      </c>
      <c r="C25">
        <v>386</v>
      </c>
      <c r="D25" s="2">
        <v>3721</v>
      </c>
      <c r="E25" s="2">
        <v>53283.61</v>
      </c>
      <c r="F25" s="2">
        <v>145558.60999999999</v>
      </c>
      <c r="G25" s="2">
        <v>152034.32</v>
      </c>
    </row>
    <row r="26" spans="1:11" x14ac:dyDescent="0.25">
      <c r="A26" t="s">
        <v>17</v>
      </c>
    </row>
    <row r="27" spans="1:11" x14ac:dyDescent="0.25">
      <c r="A27" t="s">
        <v>37</v>
      </c>
    </row>
    <row r="28" spans="1:11" x14ac:dyDescent="0.25">
      <c r="A28" t="s">
        <v>244</v>
      </c>
    </row>
    <row r="29" spans="1:11" x14ac:dyDescent="0.25">
      <c r="A29" t="s">
        <v>245</v>
      </c>
    </row>
    <row r="30" spans="1:11" x14ac:dyDescent="0.25">
      <c r="A30" t="s">
        <v>246</v>
      </c>
      <c r="E30">
        <v>23.28</v>
      </c>
      <c r="F30">
        <v>18.8</v>
      </c>
      <c r="G30">
        <v>12.02</v>
      </c>
    </row>
    <row r="31" spans="1:11" x14ac:dyDescent="0.25">
      <c r="A31" t="s">
        <v>247</v>
      </c>
      <c r="E31">
        <v>0.81</v>
      </c>
      <c r="F31">
        <v>1.19</v>
      </c>
      <c r="G31">
        <v>0.84</v>
      </c>
      <c r="H31">
        <v>0.14000000000000001</v>
      </c>
    </row>
    <row r="32" spans="1:11" x14ac:dyDescent="0.25">
      <c r="A32" t="s">
        <v>248</v>
      </c>
      <c r="E32">
        <v>202.01</v>
      </c>
      <c r="F32">
        <v>56.27</v>
      </c>
      <c r="G32">
        <v>-17.41</v>
      </c>
      <c r="H32">
        <v>-34.22</v>
      </c>
      <c r="I32">
        <v>-34.19</v>
      </c>
    </row>
    <row r="33" spans="1:9" x14ac:dyDescent="0.25">
      <c r="A33" t="s">
        <v>249</v>
      </c>
    </row>
    <row r="34" spans="1:9" x14ac:dyDescent="0.25">
      <c r="A34" t="s">
        <v>245</v>
      </c>
    </row>
    <row r="35" spans="1:9" x14ac:dyDescent="0.25">
      <c r="A35" t="s">
        <v>246</v>
      </c>
      <c r="E35">
        <v>20.32</v>
      </c>
      <c r="F35">
        <v>17.54</v>
      </c>
      <c r="G35">
        <v>15.85</v>
      </c>
      <c r="H35">
        <v>33.01</v>
      </c>
      <c r="I35">
        <v>17.8</v>
      </c>
    </row>
    <row r="36" spans="1:9" x14ac:dyDescent="0.25">
      <c r="A36" t="s">
        <v>247</v>
      </c>
      <c r="E36">
        <v>0.21</v>
      </c>
      <c r="F36">
        <v>0.36</v>
      </c>
      <c r="G36">
        <v>0.33</v>
      </c>
      <c r="H36">
        <v>0.26</v>
      </c>
      <c r="I36">
        <v>7.0000000000000007E-2</v>
      </c>
    </row>
    <row r="37" spans="1:9" x14ac:dyDescent="0.25">
      <c r="A37" t="s">
        <v>248</v>
      </c>
      <c r="E37">
        <v>218.32</v>
      </c>
      <c r="F37">
        <v>68.69</v>
      </c>
      <c r="G37">
        <v>-15.51</v>
      </c>
      <c r="H37">
        <v>-42.95</v>
      </c>
      <c r="I37">
        <v>-42.21</v>
      </c>
    </row>
    <row r="38" spans="1:9" x14ac:dyDescent="0.25">
      <c r="A38" t="s">
        <v>17</v>
      </c>
    </row>
    <row r="39" spans="1:9" x14ac:dyDescent="0.25">
      <c r="A39" t="s">
        <v>250</v>
      </c>
    </row>
    <row r="40" spans="1:9" x14ac:dyDescent="0.25">
      <c r="A40" t="s">
        <v>60</v>
      </c>
      <c r="E40" s="2">
        <v>13330.54</v>
      </c>
      <c r="F40" s="2">
        <v>24592.55</v>
      </c>
      <c r="G40" s="2">
        <v>39275.440000000002</v>
      </c>
      <c r="H40" s="2">
        <v>37119.31</v>
      </c>
      <c r="I40" s="2">
        <v>33989.81</v>
      </c>
    </row>
    <row r="41" spans="1:9" x14ac:dyDescent="0.25">
      <c r="A41" t="s">
        <v>62</v>
      </c>
      <c r="E41" s="2">
        <v>3941.64</v>
      </c>
      <c r="F41" s="2">
        <v>6324.13</v>
      </c>
      <c r="G41" s="2">
        <v>8998.82</v>
      </c>
      <c r="H41" s="2">
        <v>11656.86</v>
      </c>
    </row>
    <row r="42" spans="1:9" x14ac:dyDescent="0.25">
      <c r="A42" t="s">
        <v>63</v>
      </c>
      <c r="E42" s="2">
        <v>10039.39</v>
      </c>
      <c r="F42" s="2">
        <v>18865.580000000002</v>
      </c>
      <c r="G42" s="2">
        <v>27871.72</v>
      </c>
    </row>
    <row r="43" spans="1:9" x14ac:dyDescent="0.25">
      <c r="A43" t="s">
        <v>64</v>
      </c>
    </row>
    <row r="44" spans="1:9" x14ac:dyDescent="0.25">
      <c r="A44" t="s">
        <v>245</v>
      </c>
      <c r="E44" s="2">
        <v>728523.69</v>
      </c>
      <c r="F44" s="2">
        <v>1119408.69</v>
      </c>
      <c r="G44" s="2">
        <v>1609774.38</v>
      </c>
    </row>
    <row r="45" spans="1:9" x14ac:dyDescent="0.25">
      <c r="A45" t="s">
        <v>247</v>
      </c>
      <c r="E45">
        <v>16.809999999999999</v>
      </c>
      <c r="F45">
        <v>20.190000000000001</v>
      </c>
      <c r="G45">
        <v>20.43</v>
      </c>
      <c r="H45">
        <v>18.04</v>
      </c>
    </row>
    <row r="46" spans="1:9" x14ac:dyDescent="0.25">
      <c r="A46" t="s">
        <v>17</v>
      </c>
    </row>
    <row r="47" spans="1:9" x14ac:dyDescent="0.25">
      <c r="A47" t="s">
        <v>251</v>
      </c>
    </row>
    <row r="48" spans="1:9" x14ac:dyDescent="0.25">
      <c r="A48" t="s">
        <v>60</v>
      </c>
      <c r="E48" s="2">
        <v>86966.61</v>
      </c>
      <c r="F48" s="2">
        <v>154299.47</v>
      </c>
      <c r="G48" s="2">
        <v>183071.98</v>
      </c>
      <c r="H48" s="2">
        <v>204179.69</v>
      </c>
      <c r="I48" s="2">
        <v>187806.03</v>
      </c>
    </row>
    <row r="49" spans="1:10" x14ac:dyDescent="0.25">
      <c r="A49" t="s">
        <v>62</v>
      </c>
      <c r="E49" s="2">
        <v>13418.46</v>
      </c>
      <c r="F49" s="2">
        <v>16096.09</v>
      </c>
      <c r="G49" s="2">
        <v>20694.77</v>
      </c>
    </row>
    <row r="50" spans="1:10" x14ac:dyDescent="0.25">
      <c r="A50" t="s">
        <v>85</v>
      </c>
    </row>
    <row r="51" spans="1:10" x14ac:dyDescent="0.25">
      <c r="A51" t="s">
        <v>245</v>
      </c>
    </row>
    <row r="52" spans="1:10" x14ac:dyDescent="0.25">
      <c r="A52" t="s">
        <v>247</v>
      </c>
      <c r="E52">
        <v>9.61</v>
      </c>
      <c r="F52">
        <v>15.25</v>
      </c>
      <c r="G52">
        <v>13.42</v>
      </c>
      <c r="H52">
        <v>17.41</v>
      </c>
    </row>
    <row r="53" spans="1:10" x14ac:dyDescent="0.25">
      <c r="A53" t="s">
        <v>17</v>
      </c>
    </row>
    <row r="54" spans="1:10" x14ac:dyDescent="0.25">
      <c r="A54" t="s">
        <v>252</v>
      </c>
    </row>
    <row r="55" spans="1:10" x14ac:dyDescent="0.25">
      <c r="A55" t="s">
        <v>253</v>
      </c>
      <c r="B55">
        <v>180.05</v>
      </c>
      <c r="C55">
        <v>165.68</v>
      </c>
      <c r="D55">
        <v>135.13999999999999</v>
      </c>
      <c r="E55">
        <v>136.97999999999999</v>
      </c>
      <c r="F55">
        <v>138.28</v>
      </c>
      <c r="G55">
        <v>138.78</v>
      </c>
      <c r="H55">
        <v>109.43</v>
      </c>
      <c r="I55">
        <v>120.2</v>
      </c>
    </row>
    <row r="56" spans="1:10" x14ac:dyDescent="0.25">
      <c r="A56" t="s">
        <v>254</v>
      </c>
      <c r="B56">
        <v>47.97</v>
      </c>
      <c r="C56">
        <v>78.55</v>
      </c>
      <c r="D56">
        <v>69.760000000000005</v>
      </c>
      <c r="E56">
        <v>93.58</v>
      </c>
      <c r="F56">
        <v>71.62</v>
      </c>
      <c r="G56">
        <v>71.41</v>
      </c>
      <c r="H56">
        <v>75.7</v>
      </c>
      <c r="I56">
        <v>76.14</v>
      </c>
    </row>
    <row r="57" spans="1:10" x14ac:dyDescent="0.25">
      <c r="A57" t="s">
        <v>255</v>
      </c>
      <c r="B57">
        <v>37.68</v>
      </c>
      <c r="C57">
        <v>40.53</v>
      </c>
      <c r="D57">
        <v>48.49</v>
      </c>
    </row>
    <row r="58" spans="1:10" x14ac:dyDescent="0.25">
      <c r="A58" t="s">
        <v>256</v>
      </c>
      <c r="B58">
        <v>203.66</v>
      </c>
      <c r="C58">
        <v>174.72</v>
      </c>
      <c r="D58">
        <v>152.11000000000001</v>
      </c>
    </row>
    <row r="59" spans="1:10" x14ac:dyDescent="0.25">
      <c r="A59" t="s">
        <v>257</v>
      </c>
      <c r="B59">
        <v>2.44</v>
      </c>
      <c r="C59">
        <v>1.46</v>
      </c>
      <c r="D59">
        <v>1.53</v>
      </c>
      <c r="E59">
        <v>5.08</v>
      </c>
      <c r="F59">
        <v>9.5299999999999994</v>
      </c>
      <c r="G59">
        <v>13.71</v>
      </c>
      <c r="H59">
        <v>400.61</v>
      </c>
      <c r="I59">
        <v>400.61</v>
      </c>
      <c r="J59">
        <v>400.61</v>
      </c>
    </row>
    <row r="60" spans="1:10" x14ac:dyDescent="0.25">
      <c r="A60" t="s">
        <v>17</v>
      </c>
    </row>
    <row r="61" spans="1:10" x14ac:dyDescent="0.25">
      <c r="A61" t="s">
        <v>258</v>
      </c>
    </row>
    <row r="62" spans="1:10" x14ac:dyDescent="0.25">
      <c r="A62" t="s">
        <v>244</v>
      </c>
    </row>
    <row r="63" spans="1:10" x14ac:dyDescent="0.25">
      <c r="A63" t="s">
        <v>60</v>
      </c>
      <c r="B63" s="2">
        <v>10978</v>
      </c>
      <c r="C63" s="2">
        <v>17603</v>
      </c>
      <c r="D63" s="2">
        <v>28578</v>
      </c>
      <c r="E63" s="2">
        <v>98805.04</v>
      </c>
      <c r="F63" s="2">
        <v>193035.95</v>
      </c>
      <c r="G63" s="2">
        <v>220705.03</v>
      </c>
      <c r="H63" s="2">
        <v>253077.03</v>
      </c>
      <c r="I63" s="2">
        <v>281797.06</v>
      </c>
    </row>
    <row r="64" spans="1:10" x14ac:dyDescent="0.25">
      <c r="A64" t="s">
        <v>61</v>
      </c>
      <c r="B64">
        <v>71</v>
      </c>
      <c r="C64">
        <v>70</v>
      </c>
      <c r="D64">
        <v>76</v>
      </c>
      <c r="E64">
        <v>76.52</v>
      </c>
      <c r="F64">
        <v>75.52</v>
      </c>
      <c r="G64">
        <v>75.569999999999993</v>
      </c>
      <c r="H64">
        <v>73.22</v>
      </c>
      <c r="I64">
        <v>67.05</v>
      </c>
    </row>
    <row r="65" spans="1:9" x14ac:dyDescent="0.25">
      <c r="A65" t="s">
        <v>62</v>
      </c>
      <c r="E65" s="2">
        <v>15976.56</v>
      </c>
      <c r="F65" s="2">
        <v>20530.95</v>
      </c>
      <c r="G65" s="2">
        <v>24210.51</v>
      </c>
      <c r="H65" s="2">
        <v>23395.55</v>
      </c>
      <c r="I65" s="2">
        <v>23828.63</v>
      </c>
    </row>
    <row r="66" spans="1:9" x14ac:dyDescent="0.25">
      <c r="A66" t="s">
        <v>63</v>
      </c>
      <c r="E66" s="2">
        <v>82339.7</v>
      </c>
      <c r="F66" s="2">
        <v>166198.76999999999</v>
      </c>
      <c r="G66" s="2">
        <v>182907.05</v>
      </c>
      <c r="H66" s="2">
        <v>211670.48</v>
      </c>
    </row>
    <row r="67" spans="1:9" x14ac:dyDescent="0.25">
      <c r="A67" t="s">
        <v>64</v>
      </c>
    </row>
    <row r="68" spans="1:9" x14ac:dyDescent="0.25">
      <c r="A68" t="s">
        <v>259</v>
      </c>
      <c r="E68" s="2">
        <v>5177.6499999999996</v>
      </c>
      <c r="F68" s="2">
        <v>6032.13</v>
      </c>
    </row>
    <row r="69" spans="1:9" x14ac:dyDescent="0.25">
      <c r="A69" t="s">
        <v>92</v>
      </c>
      <c r="E69">
        <v>80.75</v>
      </c>
      <c r="F69">
        <v>86.79</v>
      </c>
      <c r="G69">
        <v>82.2</v>
      </c>
      <c r="H69">
        <v>69.3</v>
      </c>
      <c r="I69">
        <v>63.24</v>
      </c>
    </row>
    <row r="70" spans="1:9" x14ac:dyDescent="0.25">
      <c r="A70" t="s">
        <v>249</v>
      </c>
    </row>
    <row r="71" spans="1:9" x14ac:dyDescent="0.25">
      <c r="A71" t="s">
        <v>60</v>
      </c>
      <c r="B71" s="2">
        <v>4206</v>
      </c>
      <c r="C71" s="2">
        <v>7227</v>
      </c>
      <c r="D71" s="2">
        <v>8503</v>
      </c>
      <c r="E71" s="2">
        <v>29785.06</v>
      </c>
      <c r="F71" s="2">
        <v>61185.15</v>
      </c>
      <c r="G71" s="2">
        <v>66195.11</v>
      </c>
      <c r="H71" s="2">
        <v>67503.59</v>
      </c>
      <c r="I71" s="2">
        <v>60994.9</v>
      </c>
    </row>
    <row r="72" spans="1:9" x14ac:dyDescent="0.25">
      <c r="A72" t="s">
        <v>61</v>
      </c>
      <c r="B72">
        <v>27</v>
      </c>
      <c r="C72">
        <v>29</v>
      </c>
      <c r="D72">
        <v>23</v>
      </c>
      <c r="E72">
        <v>22.44</v>
      </c>
      <c r="F72">
        <v>23.29</v>
      </c>
      <c r="G72">
        <v>23.91</v>
      </c>
      <c r="H72">
        <v>24.95</v>
      </c>
      <c r="I72">
        <v>25.62</v>
      </c>
    </row>
    <row r="73" spans="1:9" x14ac:dyDescent="0.25">
      <c r="A73" t="s">
        <v>62</v>
      </c>
      <c r="E73" s="2">
        <v>7536.57</v>
      </c>
      <c r="F73" s="2">
        <v>9643.36</v>
      </c>
      <c r="G73" s="2">
        <v>10682.46</v>
      </c>
      <c r="H73" s="2">
        <v>11224.85</v>
      </c>
      <c r="I73" s="2">
        <v>12219.42</v>
      </c>
    </row>
    <row r="74" spans="1:9" x14ac:dyDescent="0.25">
      <c r="A74" t="s">
        <v>63</v>
      </c>
      <c r="E74" s="2">
        <v>21606.03</v>
      </c>
      <c r="F74" s="2">
        <v>50738.74</v>
      </c>
      <c r="G74" s="2">
        <v>55355.15</v>
      </c>
      <c r="H74" s="2">
        <v>60538.57</v>
      </c>
    </row>
    <row r="75" spans="1:9" x14ac:dyDescent="0.25">
      <c r="A75" t="s">
        <v>64</v>
      </c>
    </row>
    <row r="76" spans="1:9" x14ac:dyDescent="0.25">
      <c r="A76" t="s">
        <v>259</v>
      </c>
    </row>
    <row r="77" spans="1:9" x14ac:dyDescent="0.25">
      <c r="A77" t="s">
        <v>92</v>
      </c>
      <c r="E77">
        <v>64.3</v>
      </c>
      <c r="F77">
        <v>78</v>
      </c>
      <c r="G77">
        <v>76.099999999999994</v>
      </c>
    </row>
    <row r="78" spans="1:9" x14ac:dyDescent="0.25">
      <c r="A78" t="s">
        <v>260</v>
      </c>
    </row>
    <row r="79" spans="1:9" x14ac:dyDescent="0.25">
      <c r="A79" t="s">
        <v>60</v>
      </c>
      <c r="B79">
        <v>356</v>
      </c>
      <c r="C79">
        <v>281</v>
      </c>
      <c r="D79">
        <v>297</v>
      </c>
      <c r="E79">
        <v>498.44</v>
      </c>
      <c r="F79">
        <v>625.80999999999995</v>
      </c>
      <c r="G79">
        <v>663.52</v>
      </c>
      <c r="H79">
        <v>649.35</v>
      </c>
      <c r="I79">
        <v>632.37</v>
      </c>
    </row>
    <row r="80" spans="1:9" x14ac:dyDescent="0.25">
      <c r="A80" t="s">
        <v>17</v>
      </c>
    </row>
    <row r="81" spans="1:6" x14ac:dyDescent="0.25">
      <c r="A81" t="s">
        <v>261</v>
      </c>
    </row>
    <row r="82" spans="1:6" x14ac:dyDescent="0.25">
      <c r="A82" t="s">
        <v>17</v>
      </c>
    </row>
    <row r="83" spans="1:6" x14ac:dyDescent="0.25">
      <c r="A83" t="s">
        <v>262</v>
      </c>
    </row>
    <row r="84" spans="1:6" x14ac:dyDescent="0.25">
      <c r="A84" t="s">
        <v>263</v>
      </c>
    </row>
    <row r="85" spans="1:6" x14ac:dyDescent="0.25">
      <c r="A85" t="s">
        <v>17</v>
      </c>
    </row>
    <row r="86" spans="1:6" x14ac:dyDescent="0.25">
      <c r="A86" t="s">
        <v>58</v>
      </c>
    </row>
    <row r="87" spans="1:6" x14ac:dyDescent="0.25">
      <c r="A87" t="s">
        <v>16</v>
      </c>
    </row>
    <row r="88" spans="1:6" x14ac:dyDescent="0.25">
      <c r="A88" t="s">
        <v>264</v>
      </c>
      <c r="D88" s="2">
        <v>13524</v>
      </c>
      <c r="E88" s="2">
        <v>26625.71</v>
      </c>
      <c r="F88" s="2">
        <v>60723.4</v>
      </c>
    </row>
    <row r="89" spans="1:6" x14ac:dyDescent="0.25">
      <c r="A89" t="s">
        <v>265</v>
      </c>
      <c r="D89" s="2">
        <v>7229</v>
      </c>
      <c r="E89" s="2">
        <v>18565.98</v>
      </c>
      <c r="F89" s="2">
        <v>46641.72</v>
      </c>
    </row>
    <row r="90" spans="1:6" x14ac:dyDescent="0.25">
      <c r="A90" t="s">
        <v>266</v>
      </c>
      <c r="D90" s="2">
        <v>11859</v>
      </c>
      <c r="E90" s="2">
        <v>21412.36</v>
      </c>
      <c r="F90" s="2">
        <v>43667.05</v>
      </c>
    </row>
    <row r="91" spans="1:6" x14ac:dyDescent="0.25">
      <c r="A91" t="s">
        <v>267</v>
      </c>
      <c r="D91" s="2">
        <v>4753</v>
      </c>
      <c r="E91" s="2">
        <v>7887.44</v>
      </c>
      <c r="F91" s="2">
        <v>18076.580000000002</v>
      </c>
    </row>
    <row r="92" spans="1:6" x14ac:dyDescent="0.25">
      <c r="A92" t="s">
        <v>17</v>
      </c>
    </row>
    <row r="93" spans="1:6" x14ac:dyDescent="0.25">
      <c r="A93" t="s">
        <v>51</v>
      </c>
    </row>
    <row r="94" spans="1:6" x14ac:dyDescent="0.25">
      <c r="A94" t="s">
        <v>268</v>
      </c>
    </row>
    <row r="95" spans="1:6" x14ac:dyDescent="0.25">
      <c r="A95" t="s">
        <v>60</v>
      </c>
      <c r="B95" s="2">
        <v>5710</v>
      </c>
      <c r="C95" s="2">
        <v>9513</v>
      </c>
      <c r="E95" s="2">
        <v>49982.84</v>
      </c>
      <c r="F95" s="2">
        <v>93168.02</v>
      </c>
    </row>
    <row r="96" spans="1:6" x14ac:dyDescent="0.25">
      <c r="A96" t="s">
        <v>61</v>
      </c>
      <c r="B96">
        <v>37</v>
      </c>
      <c r="C96">
        <v>38</v>
      </c>
      <c r="E96">
        <v>38.61</v>
      </c>
      <c r="F96">
        <v>36.479999999999997</v>
      </c>
    </row>
    <row r="97" spans="1:6" x14ac:dyDescent="0.25">
      <c r="A97" t="s">
        <v>116</v>
      </c>
      <c r="B97">
        <v>-585</v>
      </c>
      <c r="C97">
        <v>980</v>
      </c>
    </row>
    <row r="98" spans="1:6" x14ac:dyDescent="0.25">
      <c r="A98" t="s">
        <v>269</v>
      </c>
      <c r="B98">
        <v>-10</v>
      </c>
      <c r="C98">
        <v>10</v>
      </c>
    </row>
    <row r="99" spans="1:6" x14ac:dyDescent="0.25">
      <c r="A99" t="s">
        <v>270</v>
      </c>
    </row>
    <row r="100" spans="1:6" x14ac:dyDescent="0.25">
      <c r="A100" t="s">
        <v>60</v>
      </c>
      <c r="B100" s="2">
        <v>3630</v>
      </c>
      <c r="C100" s="2">
        <v>6354</v>
      </c>
      <c r="E100" s="2">
        <v>11645.74</v>
      </c>
      <c r="F100" s="2">
        <v>19852.759999999998</v>
      </c>
    </row>
    <row r="101" spans="1:6" x14ac:dyDescent="0.25">
      <c r="A101" t="s">
        <v>61</v>
      </c>
      <c r="B101">
        <v>23</v>
      </c>
      <c r="C101">
        <v>25</v>
      </c>
      <c r="E101">
        <v>9.48</v>
      </c>
      <c r="F101">
        <v>8.61</v>
      </c>
    </row>
    <row r="102" spans="1:6" x14ac:dyDescent="0.25">
      <c r="A102" t="s">
        <v>116</v>
      </c>
      <c r="B102" s="2">
        <v>-1750</v>
      </c>
      <c r="C102">
        <v>114</v>
      </c>
    </row>
    <row r="103" spans="1:6" x14ac:dyDescent="0.25">
      <c r="A103" t="s">
        <v>269</v>
      </c>
      <c r="B103">
        <v>-48</v>
      </c>
      <c r="C103">
        <v>2</v>
      </c>
    </row>
    <row r="104" spans="1:6" x14ac:dyDescent="0.25">
      <c r="A104" t="s">
        <v>271</v>
      </c>
    </row>
    <row r="105" spans="1:6" x14ac:dyDescent="0.25">
      <c r="A105" t="s">
        <v>60</v>
      </c>
      <c r="B105" s="2">
        <v>2553</v>
      </c>
      <c r="C105" s="2">
        <v>4592</v>
      </c>
      <c r="E105" s="2">
        <v>10734.33</v>
      </c>
      <c r="F105" s="2">
        <v>16930.919999999998</v>
      </c>
    </row>
    <row r="106" spans="1:6" x14ac:dyDescent="0.25">
      <c r="A106" t="s">
        <v>61</v>
      </c>
      <c r="B106">
        <v>16</v>
      </c>
      <c r="C106">
        <v>18</v>
      </c>
      <c r="E106">
        <v>8.2799999999999994</v>
      </c>
      <c r="F106">
        <v>6.6</v>
      </c>
    </row>
    <row r="107" spans="1:6" x14ac:dyDescent="0.25">
      <c r="A107" t="s">
        <v>116</v>
      </c>
      <c r="B107" s="2">
        <v>-1887</v>
      </c>
      <c r="C107">
        <v>-362</v>
      </c>
    </row>
    <row r="108" spans="1:6" x14ac:dyDescent="0.25">
      <c r="A108" t="s">
        <v>269</v>
      </c>
      <c r="B108">
        <v>-74</v>
      </c>
      <c r="C108">
        <v>-8</v>
      </c>
    </row>
    <row r="109" spans="1:6" x14ac:dyDescent="0.25">
      <c r="A109" t="s">
        <v>272</v>
      </c>
    </row>
    <row r="110" spans="1:6" x14ac:dyDescent="0.25">
      <c r="A110" t="s">
        <v>60</v>
      </c>
      <c r="B110" s="2">
        <v>3637</v>
      </c>
      <c r="C110" s="2">
        <v>4614</v>
      </c>
      <c r="E110" s="2">
        <v>10882.77</v>
      </c>
      <c r="F110" s="2">
        <v>19133.66</v>
      </c>
    </row>
    <row r="111" spans="1:6" x14ac:dyDescent="0.25">
      <c r="A111" t="s">
        <v>61</v>
      </c>
      <c r="B111">
        <v>23</v>
      </c>
      <c r="C111">
        <v>18</v>
      </c>
      <c r="E111">
        <v>8.4</v>
      </c>
      <c r="F111">
        <v>7.51</v>
      </c>
    </row>
    <row r="112" spans="1:6" x14ac:dyDescent="0.25">
      <c r="A112" t="s">
        <v>116</v>
      </c>
      <c r="B112">
        <v>382</v>
      </c>
      <c r="C112">
        <v>199</v>
      </c>
    </row>
    <row r="113" spans="1:11" x14ac:dyDescent="0.25">
      <c r="A113" t="s">
        <v>269</v>
      </c>
      <c r="B113">
        <v>11</v>
      </c>
      <c r="C113">
        <v>4</v>
      </c>
    </row>
    <row r="114" spans="1:11" x14ac:dyDescent="0.25">
      <c r="A114" t="s">
        <v>273</v>
      </c>
    </row>
    <row r="115" spans="1:11" x14ac:dyDescent="0.25">
      <c r="A115" t="s">
        <v>60</v>
      </c>
      <c r="B115">
        <v>10</v>
      </c>
      <c r="C115">
        <v>38</v>
      </c>
      <c r="D115">
        <v>13</v>
      </c>
    </row>
    <row r="116" spans="1:11" x14ac:dyDescent="0.25">
      <c r="A116" t="s">
        <v>61</v>
      </c>
      <c r="B116">
        <v>0</v>
      </c>
      <c r="C116">
        <v>0</v>
      </c>
      <c r="D116">
        <v>0</v>
      </c>
    </row>
    <row r="117" spans="1:11" x14ac:dyDescent="0.25">
      <c r="A117" t="s">
        <v>116</v>
      </c>
      <c r="B117">
        <v>8</v>
      </c>
      <c r="C117">
        <v>17</v>
      </c>
      <c r="D117">
        <v>-1</v>
      </c>
    </row>
    <row r="118" spans="1:11" x14ac:dyDescent="0.25">
      <c r="A118" t="s">
        <v>269</v>
      </c>
      <c r="B118">
        <v>80</v>
      </c>
      <c r="C118">
        <v>45</v>
      </c>
      <c r="D118">
        <v>-8</v>
      </c>
    </row>
    <row r="119" spans="1:11" x14ac:dyDescent="0.25">
      <c r="A119" t="s">
        <v>17</v>
      </c>
    </row>
    <row r="120" spans="1:11" x14ac:dyDescent="0.25">
      <c r="A120" t="s">
        <v>274</v>
      </c>
    </row>
    <row r="121" spans="1:11" x14ac:dyDescent="0.25">
      <c r="A121" t="s">
        <v>80</v>
      </c>
      <c r="B121" s="2">
        <v>15540</v>
      </c>
      <c r="C121" s="2">
        <v>25111</v>
      </c>
      <c r="D121" s="2">
        <v>37378</v>
      </c>
      <c r="E121" s="2">
        <v>129849.69</v>
      </c>
      <c r="F121" s="2">
        <v>253970.37</v>
      </c>
      <c r="G121" s="2">
        <v>285284.05</v>
      </c>
      <c r="H121" s="2">
        <v>305965.09999999998</v>
      </c>
      <c r="I121" s="2">
        <v>306225.5</v>
      </c>
      <c r="J121">
        <v>183</v>
      </c>
      <c r="K121">
        <v>208</v>
      </c>
    </row>
    <row r="122" spans="1:11" x14ac:dyDescent="0.25">
      <c r="A122" t="s">
        <v>17</v>
      </c>
    </row>
    <row r="123" spans="1:11" x14ac:dyDescent="0.25">
      <c r="A123" t="s">
        <v>82</v>
      </c>
      <c r="B123" s="2">
        <v>16736</v>
      </c>
      <c r="C123" s="2">
        <v>19168</v>
      </c>
      <c r="D123" s="2">
        <v>22092</v>
      </c>
      <c r="E123" s="2">
        <v>25131.96</v>
      </c>
      <c r="F123" s="2">
        <v>33619.72</v>
      </c>
      <c r="G123" s="2">
        <v>47191.33</v>
      </c>
      <c r="H123" s="2">
        <v>57780.88</v>
      </c>
      <c r="I123" s="2">
        <v>74297.289999999994</v>
      </c>
    </row>
    <row r="124" spans="1:11" x14ac:dyDescent="0.25">
      <c r="A124" t="s">
        <v>84</v>
      </c>
      <c r="B124" s="2">
        <v>-1196</v>
      </c>
      <c r="C124" s="2">
        <v>5943</v>
      </c>
      <c r="D124" s="2">
        <v>15286</v>
      </c>
      <c r="E124" s="2">
        <v>105168.88</v>
      </c>
      <c r="F124" s="2">
        <v>222558.05</v>
      </c>
      <c r="G124" s="2">
        <v>239654.25</v>
      </c>
      <c r="H124" s="2">
        <v>245676.76</v>
      </c>
      <c r="I124" s="2">
        <v>228044.04</v>
      </c>
    </row>
    <row r="125" spans="1:11" x14ac:dyDescent="0.25">
      <c r="A125" t="s">
        <v>85</v>
      </c>
      <c r="B125">
        <v>-7.7</v>
      </c>
      <c r="C125">
        <v>23.7</v>
      </c>
      <c r="D125">
        <v>40.9</v>
      </c>
      <c r="E125">
        <v>80.7</v>
      </c>
      <c r="F125">
        <v>86.54</v>
      </c>
      <c r="G125">
        <v>83.71</v>
      </c>
      <c r="H125">
        <v>78.12</v>
      </c>
      <c r="I125">
        <v>70.45</v>
      </c>
      <c r="J125">
        <v>57</v>
      </c>
      <c r="K125">
        <v>57</v>
      </c>
    </row>
    <row r="126" spans="1:11" x14ac:dyDescent="0.25">
      <c r="A126" t="s">
        <v>17</v>
      </c>
    </row>
    <row r="127" spans="1:11" x14ac:dyDescent="0.25">
      <c r="A127" t="s">
        <v>275</v>
      </c>
      <c r="B127" s="2">
        <v>3623</v>
      </c>
      <c r="C127" s="2">
        <v>4008</v>
      </c>
      <c r="D127" s="2">
        <v>4440</v>
      </c>
      <c r="E127" s="2">
        <v>6043.31</v>
      </c>
      <c r="F127" s="2">
        <v>7842.21</v>
      </c>
      <c r="G127" s="2">
        <v>9796.99</v>
      </c>
      <c r="H127" s="2">
        <v>9603.91</v>
      </c>
      <c r="I127" s="2">
        <v>12262.68</v>
      </c>
    </row>
    <row r="128" spans="1:11" x14ac:dyDescent="0.25">
      <c r="A128" t="s">
        <v>89</v>
      </c>
      <c r="B128" s="2">
        <v>2888</v>
      </c>
      <c r="C128" s="2">
        <v>3148</v>
      </c>
      <c r="D128" s="2">
        <v>3450</v>
      </c>
      <c r="E128" s="2">
        <v>4693.7299999999996</v>
      </c>
      <c r="F128" s="2">
        <v>6183.67</v>
      </c>
      <c r="G128" s="2">
        <v>7572.39</v>
      </c>
      <c r="H128" s="2">
        <v>7203.53</v>
      </c>
      <c r="I128" s="2">
        <v>9382.1200000000008</v>
      </c>
    </row>
    <row r="129" spans="1:11" x14ac:dyDescent="0.25">
      <c r="A129" t="s">
        <v>61</v>
      </c>
      <c r="B129">
        <v>18.579999999999998</v>
      </c>
      <c r="C129">
        <v>12.54</v>
      </c>
      <c r="D129">
        <v>9.23</v>
      </c>
      <c r="E129">
        <v>3.62</v>
      </c>
      <c r="F129">
        <v>2.74</v>
      </c>
      <c r="G129">
        <v>3.27</v>
      </c>
      <c r="H129">
        <v>2.44</v>
      </c>
      <c r="I129">
        <v>3.61</v>
      </c>
    </row>
    <row r="130" spans="1:11" x14ac:dyDescent="0.25">
      <c r="A130" t="s">
        <v>276</v>
      </c>
      <c r="B130">
        <v>783</v>
      </c>
      <c r="C130">
        <v>916</v>
      </c>
      <c r="D130">
        <v>986</v>
      </c>
      <c r="E130" s="2">
        <v>1290.68</v>
      </c>
      <c r="F130" s="2">
        <v>1741.82</v>
      </c>
      <c r="G130" s="2">
        <v>2446.92</v>
      </c>
      <c r="H130" s="2">
        <v>2530.9699999999998</v>
      </c>
      <c r="I130" s="2">
        <v>3628.16</v>
      </c>
    </row>
    <row r="131" spans="1:11" x14ac:dyDescent="0.25">
      <c r="A131" t="s">
        <v>61</v>
      </c>
      <c r="B131">
        <v>5.04</v>
      </c>
      <c r="C131">
        <v>3.65</v>
      </c>
      <c r="D131">
        <v>2.64</v>
      </c>
      <c r="E131">
        <v>0.99</v>
      </c>
      <c r="F131">
        <v>0.86</v>
      </c>
      <c r="G131">
        <v>1.03</v>
      </c>
      <c r="H131">
        <v>0.9</v>
      </c>
      <c r="I131">
        <v>1.54</v>
      </c>
    </row>
    <row r="132" spans="1:11" x14ac:dyDescent="0.25">
      <c r="A132" t="s">
        <v>17</v>
      </c>
    </row>
    <row r="133" spans="1:11" x14ac:dyDescent="0.25">
      <c r="A133" t="s">
        <v>91</v>
      </c>
      <c r="B133" s="2">
        <v>-4819</v>
      </c>
      <c r="C133" s="2">
        <v>1935</v>
      </c>
      <c r="D133" s="2">
        <v>10846</v>
      </c>
      <c r="E133" s="2">
        <v>98781.48</v>
      </c>
      <c r="F133" s="2">
        <v>210732.63</v>
      </c>
      <c r="G133" s="2">
        <v>222008.85</v>
      </c>
      <c r="H133" s="2">
        <v>216772.78</v>
      </c>
      <c r="I133" s="2">
        <v>180435.29</v>
      </c>
      <c r="J133" s="2">
        <v>223751</v>
      </c>
      <c r="K133" s="2">
        <v>268502</v>
      </c>
    </row>
    <row r="134" spans="1:11" x14ac:dyDescent="0.25">
      <c r="A134" t="s">
        <v>92</v>
      </c>
      <c r="B134">
        <v>-31.01</v>
      </c>
      <c r="C134">
        <v>7.71</v>
      </c>
      <c r="D134">
        <v>29.02</v>
      </c>
      <c r="E134">
        <v>76.22</v>
      </c>
      <c r="F134">
        <v>83.74</v>
      </c>
      <c r="G134">
        <v>80.099999999999994</v>
      </c>
      <c r="H134">
        <v>74.69</v>
      </c>
      <c r="I134">
        <v>64.89</v>
      </c>
    </row>
    <row r="135" spans="1:11" x14ac:dyDescent="0.25">
      <c r="A135" t="s">
        <v>17</v>
      </c>
    </row>
    <row r="136" spans="1:11" x14ac:dyDescent="0.25">
      <c r="A136" t="s">
        <v>93</v>
      </c>
      <c r="B136" s="2">
        <v>7756</v>
      </c>
      <c r="C136" s="2">
        <v>7780</v>
      </c>
      <c r="D136" s="2">
        <v>8352</v>
      </c>
      <c r="E136" s="2">
        <v>9743.65</v>
      </c>
      <c r="F136" s="2">
        <v>13612.83</v>
      </c>
      <c r="G136" s="2">
        <v>18461.64</v>
      </c>
      <c r="H136" s="2">
        <v>24970.65</v>
      </c>
      <c r="I136" s="2">
        <v>29608.63</v>
      </c>
    </row>
    <row r="137" spans="1:11" x14ac:dyDescent="0.25">
      <c r="A137" t="s">
        <v>277</v>
      </c>
      <c r="B137" s="2">
        <v>2937</v>
      </c>
      <c r="C137" s="2">
        <v>9715</v>
      </c>
      <c r="D137" s="2">
        <v>19198</v>
      </c>
      <c r="E137" s="2">
        <v>107776.12</v>
      </c>
      <c r="F137" s="2">
        <v>218186.3</v>
      </c>
      <c r="G137" s="2">
        <v>245505</v>
      </c>
      <c r="H137" s="2">
        <v>266647.2</v>
      </c>
      <c r="I137" s="2">
        <v>235618</v>
      </c>
    </row>
    <row r="138" spans="1:11" x14ac:dyDescent="0.25">
      <c r="A138" t="s">
        <v>17</v>
      </c>
    </row>
    <row r="139" spans="1:11" x14ac:dyDescent="0.25">
      <c r="A139" t="s">
        <v>100</v>
      </c>
      <c r="B139" s="2">
        <v>-5658</v>
      </c>
      <c r="C139" s="2">
        <v>1240</v>
      </c>
      <c r="D139" s="2">
        <v>9654</v>
      </c>
      <c r="E139" s="2">
        <v>99114.9</v>
      </c>
      <c r="F139" s="2">
        <v>211910.95</v>
      </c>
      <c r="G139" s="2">
        <v>222950.5</v>
      </c>
      <c r="H139" s="2">
        <v>228234.25</v>
      </c>
      <c r="I139" s="2">
        <v>154012.5</v>
      </c>
    </row>
    <row r="140" spans="1:11" x14ac:dyDescent="0.25">
      <c r="A140" t="s">
        <v>17</v>
      </c>
    </row>
    <row r="141" spans="1:11" x14ac:dyDescent="0.25">
      <c r="A141" t="s">
        <v>101</v>
      </c>
      <c r="B141">
        <v>142</v>
      </c>
      <c r="C141">
        <v>379</v>
      </c>
      <c r="D141" s="2">
        <v>1324</v>
      </c>
      <c r="E141" s="2">
        <v>15124.86</v>
      </c>
      <c r="F141" s="2">
        <v>33364.6</v>
      </c>
      <c r="G141" s="2">
        <v>34814.370000000003</v>
      </c>
      <c r="H141" s="2">
        <v>34201.25</v>
      </c>
      <c r="I141" s="2">
        <v>24703.59</v>
      </c>
    </row>
    <row r="142" spans="1:11" x14ac:dyDescent="0.25">
      <c r="A142" t="s">
        <v>278</v>
      </c>
      <c r="B142">
        <v>-3.1</v>
      </c>
      <c r="C142">
        <v>36.4</v>
      </c>
      <c r="D142">
        <v>11.6</v>
      </c>
      <c r="E142">
        <v>14.99</v>
      </c>
      <c r="F142">
        <v>15.47</v>
      </c>
      <c r="G142">
        <v>15.57</v>
      </c>
      <c r="H142">
        <v>15.88</v>
      </c>
      <c r="I142">
        <v>16.75</v>
      </c>
    </row>
    <row r="143" spans="1:11" x14ac:dyDescent="0.25">
      <c r="A143" t="s">
        <v>279</v>
      </c>
      <c r="B143">
        <v>-2</v>
      </c>
      <c r="C143">
        <v>11</v>
      </c>
      <c r="D143">
        <v>-9</v>
      </c>
      <c r="E143">
        <v>-16.41</v>
      </c>
      <c r="F143">
        <v>-19.89</v>
      </c>
      <c r="G143">
        <v>-26.84</v>
      </c>
      <c r="H143">
        <v>-55</v>
      </c>
      <c r="I143">
        <v>-63</v>
      </c>
    </row>
    <row r="144" spans="1:11" x14ac:dyDescent="0.25">
      <c r="A144" t="s">
        <v>17</v>
      </c>
    </row>
    <row r="145" spans="1:10" x14ac:dyDescent="0.25">
      <c r="A145" t="s">
        <v>106</v>
      </c>
      <c r="B145" s="2">
        <v>-4862</v>
      </c>
      <c r="C145" s="2">
        <v>1472</v>
      </c>
      <c r="D145" s="2">
        <v>9470</v>
      </c>
      <c r="E145" s="2">
        <v>84678.61</v>
      </c>
      <c r="F145" s="2">
        <v>180911.75</v>
      </c>
      <c r="G145" s="2">
        <v>197112.25</v>
      </c>
      <c r="H145" s="2">
        <v>200044.86</v>
      </c>
      <c r="I145" s="2">
        <v>175851.8</v>
      </c>
    </row>
    <row r="146" spans="1:10" x14ac:dyDescent="0.25">
      <c r="A146" t="s">
        <v>280</v>
      </c>
      <c r="B146">
        <v>-31.29</v>
      </c>
      <c r="C146">
        <v>5.86</v>
      </c>
      <c r="D146">
        <v>25.34</v>
      </c>
      <c r="E146">
        <v>65.11</v>
      </c>
      <c r="F146">
        <v>71.16</v>
      </c>
      <c r="G146">
        <v>68.62</v>
      </c>
      <c r="H146">
        <v>65.92</v>
      </c>
      <c r="I146">
        <v>53.9</v>
      </c>
    </row>
    <row r="147" spans="1:10" x14ac:dyDescent="0.25">
      <c r="A147" t="s">
        <v>17</v>
      </c>
    </row>
    <row r="148" spans="1:10" x14ac:dyDescent="0.25">
      <c r="A148" t="s">
        <v>109</v>
      </c>
      <c r="B148" s="2">
        <v>1093</v>
      </c>
      <c r="C148" s="2">
        <v>1134</v>
      </c>
      <c r="D148" s="2">
        <v>1143</v>
      </c>
      <c r="E148" s="2">
        <v>1144.93</v>
      </c>
      <c r="F148" s="2">
        <v>1136.3499999999999</v>
      </c>
      <c r="G148" s="2">
        <v>1117.0899999999999</v>
      </c>
      <c r="H148">
        <v>876.45</v>
      </c>
      <c r="I148">
        <v>790.11</v>
      </c>
      <c r="J148">
        <v>1</v>
      </c>
    </row>
    <row r="149" spans="1:10" x14ac:dyDescent="0.25">
      <c r="A149" t="s">
        <v>110</v>
      </c>
      <c r="B149">
        <v>-4.45</v>
      </c>
      <c r="C149">
        <v>1.3</v>
      </c>
      <c r="D149">
        <v>8.2899999999999991</v>
      </c>
      <c r="E149">
        <v>73.16</v>
      </c>
      <c r="F149">
        <v>156.5</v>
      </c>
      <c r="G149">
        <v>178.78</v>
      </c>
      <c r="H149">
        <v>173.69</v>
      </c>
      <c r="I149">
        <v>137.88</v>
      </c>
    </row>
    <row r="150" spans="1:10" x14ac:dyDescent="0.25">
      <c r="A150" t="s">
        <v>17</v>
      </c>
    </row>
    <row r="151" spans="1:10" x14ac:dyDescent="0.25">
      <c r="A151" t="s">
        <v>281</v>
      </c>
      <c r="B151">
        <v>0.46</v>
      </c>
      <c r="C151">
        <v>0.12</v>
      </c>
      <c r="D151">
        <v>0.46</v>
      </c>
      <c r="E151">
        <v>0.95</v>
      </c>
      <c r="F151">
        <v>2.11</v>
      </c>
      <c r="G151">
        <v>2.67</v>
      </c>
      <c r="H151">
        <v>0.82</v>
      </c>
      <c r="I151">
        <v>1.2</v>
      </c>
    </row>
    <row r="152" spans="1:10" x14ac:dyDescent="0.25">
      <c r="A152" t="s">
        <v>17</v>
      </c>
    </row>
    <row r="153" spans="1:10" x14ac:dyDescent="0.25">
      <c r="A153" t="s">
        <v>282</v>
      </c>
    </row>
    <row r="154" spans="1:10" x14ac:dyDescent="0.25">
      <c r="A154" t="s">
        <v>62</v>
      </c>
      <c r="B154" s="2">
        <v>16956</v>
      </c>
      <c r="C154" s="2">
        <v>19498</v>
      </c>
      <c r="D154" s="2">
        <v>22505</v>
      </c>
      <c r="E154" s="2">
        <v>25613.53</v>
      </c>
      <c r="F154" s="2">
        <v>34069.51</v>
      </c>
      <c r="G154" s="2">
        <v>46702.62</v>
      </c>
      <c r="H154" s="2">
        <v>59177.64</v>
      </c>
      <c r="I154" s="2">
        <v>78707.199999999997</v>
      </c>
    </row>
    <row r="155" spans="1:10" x14ac:dyDescent="0.25">
      <c r="A155" t="s">
        <v>63</v>
      </c>
      <c r="B155" s="2">
        <v>-1416</v>
      </c>
      <c r="C155" s="2">
        <v>5613</v>
      </c>
      <c r="D155" s="2">
        <v>14873</v>
      </c>
      <c r="E155" s="2">
        <v>102330.31</v>
      </c>
      <c r="F155" s="2">
        <v>207185.48</v>
      </c>
      <c r="G155" s="2">
        <v>238852.78</v>
      </c>
      <c r="H155" s="2">
        <v>224899.26</v>
      </c>
      <c r="I155" s="2">
        <v>198946.92</v>
      </c>
    </row>
    <row r="156" spans="1:10" x14ac:dyDescent="0.25">
      <c r="A156" t="s">
        <v>64</v>
      </c>
      <c r="B156">
        <v>-9</v>
      </c>
      <c r="C156">
        <v>22</v>
      </c>
      <c r="D156">
        <v>39.799999999999997</v>
      </c>
      <c r="E156">
        <v>79.010000000000005</v>
      </c>
      <c r="F156">
        <v>84.75</v>
      </c>
      <c r="G156">
        <v>83.02</v>
      </c>
      <c r="H156">
        <v>78.98</v>
      </c>
      <c r="I156">
        <v>70.760000000000005</v>
      </c>
    </row>
    <row r="157" spans="1:10" x14ac:dyDescent="0.25">
      <c r="A157" t="s">
        <v>283</v>
      </c>
      <c r="B157" s="2">
        <v>4329</v>
      </c>
      <c r="C157" s="2">
        <v>4309</v>
      </c>
      <c r="D157" s="2">
        <v>5103</v>
      </c>
      <c r="E157" s="2">
        <v>6886.74</v>
      </c>
      <c r="F157" s="2">
        <v>8768</v>
      </c>
      <c r="G157" s="2">
        <v>10530.24</v>
      </c>
      <c r="H157" s="2">
        <v>8432.5499999999993</v>
      </c>
      <c r="I157" s="2">
        <v>9409.93</v>
      </c>
    </row>
    <row r="158" spans="1:10" x14ac:dyDescent="0.25">
      <c r="A158" t="s">
        <v>61</v>
      </c>
      <c r="B158">
        <v>27.86</v>
      </c>
      <c r="C158">
        <v>17.16</v>
      </c>
      <c r="D158">
        <v>13.65</v>
      </c>
      <c r="E158">
        <v>4.6399999999999997</v>
      </c>
      <c r="F158">
        <v>3.14</v>
      </c>
      <c r="G158">
        <v>2.8</v>
      </c>
      <c r="H158">
        <v>4.07</v>
      </c>
      <c r="I158">
        <v>6.17</v>
      </c>
    </row>
    <row r="159" spans="1:10" x14ac:dyDescent="0.25">
      <c r="A159" t="s">
        <v>284</v>
      </c>
      <c r="B159">
        <v>920</v>
      </c>
      <c r="C159" s="2">
        <v>1129</v>
      </c>
      <c r="D159" s="2">
        <v>1205</v>
      </c>
      <c r="E159" s="2">
        <v>1526.87</v>
      </c>
      <c r="F159" s="2">
        <v>1996.51</v>
      </c>
      <c r="G159" s="2">
        <v>2316.16</v>
      </c>
      <c r="H159" s="2">
        <v>2984.04</v>
      </c>
      <c r="I159" s="2">
        <v>3570.85</v>
      </c>
    </row>
    <row r="160" spans="1:10" x14ac:dyDescent="0.25">
      <c r="A160" t="s">
        <v>76</v>
      </c>
      <c r="B160">
        <v>5.92</v>
      </c>
      <c r="C160">
        <v>4.5</v>
      </c>
      <c r="D160">
        <v>3.22</v>
      </c>
      <c r="E160">
        <v>1.24</v>
      </c>
      <c r="F160">
        <v>0.86</v>
      </c>
      <c r="G160">
        <v>0.91</v>
      </c>
      <c r="H160">
        <v>1.5</v>
      </c>
      <c r="I160">
        <v>1.5</v>
      </c>
    </row>
    <row r="161" spans="1:9" x14ac:dyDescent="0.25">
      <c r="A161" t="s">
        <v>114</v>
      </c>
      <c r="B161" s="2">
        <v>3114</v>
      </c>
      <c r="C161" s="2">
        <v>3430</v>
      </c>
      <c r="D161" s="2">
        <v>3798</v>
      </c>
      <c r="E161" s="2">
        <v>5287.48</v>
      </c>
      <c r="F161" s="2">
        <v>6739.75</v>
      </c>
      <c r="G161" s="2">
        <v>8350.7099999999991</v>
      </c>
      <c r="H161" s="2">
        <v>7926.1</v>
      </c>
      <c r="I161" s="2">
        <v>9489.06</v>
      </c>
    </row>
    <row r="162" spans="1:9" x14ac:dyDescent="0.25">
      <c r="A162" t="s">
        <v>61</v>
      </c>
      <c r="B162">
        <v>20.04</v>
      </c>
      <c r="C162">
        <v>13.66</v>
      </c>
      <c r="D162">
        <v>10.16</v>
      </c>
      <c r="E162">
        <v>4.17</v>
      </c>
      <c r="F162">
        <v>2.78</v>
      </c>
      <c r="G162">
        <v>3.11</v>
      </c>
      <c r="H162">
        <v>3</v>
      </c>
      <c r="I162">
        <v>3</v>
      </c>
    </row>
    <row r="163" spans="1:9" x14ac:dyDescent="0.25">
      <c r="A163" t="s">
        <v>285</v>
      </c>
      <c r="B163">
        <v>295</v>
      </c>
      <c r="C163">
        <v>-250</v>
      </c>
      <c r="D163">
        <v>100</v>
      </c>
      <c r="E163">
        <v>48.2</v>
      </c>
      <c r="F163">
        <v>132.29</v>
      </c>
      <c r="G163">
        <v>117</v>
      </c>
      <c r="H163">
        <v>67</v>
      </c>
      <c r="I163">
        <v>75</v>
      </c>
    </row>
    <row r="164" spans="1:9" x14ac:dyDescent="0.25">
      <c r="A164" t="s">
        <v>116</v>
      </c>
      <c r="B164" s="2">
        <v>-5745</v>
      </c>
      <c r="C164" s="2">
        <v>1304</v>
      </c>
      <c r="D164" s="2">
        <v>9770</v>
      </c>
      <c r="E164" s="2">
        <v>96414.720000000001</v>
      </c>
      <c r="F164" s="2">
        <v>201902.56</v>
      </c>
      <c r="G164" s="2">
        <v>221004.55</v>
      </c>
      <c r="H164" s="2">
        <v>212009.58</v>
      </c>
      <c r="I164" s="2">
        <v>185690.66</v>
      </c>
    </row>
    <row r="165" spans="1:9" x14ac:dyDescent="0.25">
      <c r="A165" t="s">
        <v>269</v>
      </c>
      <c r="B165">
        <v>-36.97</v>
      </c>
      <c r="C165">
        <v>5.19</v>
      </c>
      <c r="D165">
        <v>26.14</v>
      </c>
      <c r="E165">
        <v>75.489999999999995</v>
      </c>
      <c r="F165">
        <v>82.75</v>
      </c>
      <c r="G165">
        <v>79.209999999999994</v>
      </c>
      <c r="H165">
        <v>70.930000000000007</v>
      </c>
      <c r="I165">
        <v>65.33</v>
      </c>
    </row>
    <row r="166" spans="1:9" x14ac:dyDescent="0.25">
      <c r="A166" t="s">
        <v>117</v>
      </c>
      <c r="B166" s="2">
        <v>2148</v>
      </c>
      <c r="C166" s="2">
        <v>9224</v>
      </c>
      <c r="D166" s="2">
        <v>18275</v>
      </c>
      <c r="E166" s="2">
        <v>107824.73</v>
      </c>
      <c r="F166" s="2">
        <v>223402.08</v>
      </c>
      <c r="G166" s="2">
        <v>255050.53</v>
      </c>
      <c r="H166" s="2">
        <v>254229.18</v>
      </c>
      <c r="I166" s="2">
        <v>234680.73</v>
      </c>
    </row>
    <row r="167" spans="1:9" x14ac:dyDescent="0.25">
      <c r="A167" t="s">
        <v>286</v>
      </c>
      <c r="B167">
        <v>13.82</v>
      </c>
      <c r="C167">
        <v>36.729999999999997</v>
      </c>
      <c r="D167">
        <v>48.89</v>
      </c>
      <c r="E167">
        <v>80.3</v>
      </c>
      <c r="F167">
        <v>85.04</v>
      </c>
      <c r="G167">
        <v>82.47</v>
      </c>
      <c r="H167">
        <v>82.76</v>
      </c>
      <c r="I167">
        <v>73.510000000000005</v>
      </c>
    </row>
    <row r="168" spans="1:9" x14ac:dyDescent="0.25">
      <c r="A168" t="s">
        <v>287</v>
      </c>
      <c r="B168">
        <v>-87</v>
      </c>
      <c r="C168">
        <v>64</v>
      </c>
      <c r="D168">
        <v>116</v>
      </c>
      <c r="E168">
        <v>158</v>
      </c>
      <c r="F168" s="2">
        <v>-1111.08</v>
      </c>
      <c r="G168" s="2">
        <v>-2081.6799999999998</v>
      </c>
    </row>
    <row r="169" spans="1:9" x14ac:dyDescent="0.25">
      <c r="A169" t="s">
        <v>288</v>
      </c>
      <c r="B169">
        <v>80</v>
      </c>
      <c r="C169">
        <v>33</v>
      </c>
      <c r="E169">
        <v>-611.48</v>
      </c>
      <c r="F169" s="2">
        <v>-1520.21</v>
      </c>
      <c r="G169" s="2">
        <v>-3650.68</v>
      </c>
      <c r="H169" s="2">
        <v>-10133.129999999999</v>
      </c>
      <c r="I169" s="2">
        <v>-4900.78</v>
      </c>
    </row>
    <row r="170" spans="1:9" x14ac:dyDescent="0.25">
      <c r="A170" t="s">
        <v>289</v>
      </c>
      <c r="B170">
        <v>388</v>
      </c>
      <c r="C170">
        <v>562</v>
      </c>
      <c r="D170">
        <v>477</v>
      </c>
      <c r="E170">
        <v>205.06</v>
      </c>
      <c r="F170">
        <v>298.49</v>
      </c>
      <c r="G170">
        <v>456.9</v>
      </c>
    </row>
    <row r="171" spans="1:9" x14ac:dyDescent="0.25">
      <c r="A171" t="s">
        <v>290</v>
      </c>
      <c r="B171">
        <v>468</v>
      </c>
      <c r="C171">
        <v>529</v>
      </c>
      <c r="D171">
        <v>496</v>
      </c>
      <c r="E171">
        <v>728.57</v>
      </c>
      <c r="F171" s="2">
        <v>2375.38</v>
      </c>
      <c r="G171" s="2">
        <v>4662.72</v>
      </c>
      <c r="H171" s="2">
        <v>10210.01</v>
      </c>
      <c r="I171" s="2">
        <v>12335.13</v>
      </c>
    </row>
    <row r="172" spans="1:9" x14ac:dyDescent="0.25">
      <c r="A172" t="s">
        <v>291</v>
      </c>
      <c r="B172">
        <v>-7</v>
      </c>
      <c r="C172">
        <v>31</v>
      </c>
      <c r="D172">
        <v>135</v>
      </c>
      <c r="E172">
        <v>510.63</v>
      </c>
      <c r="F172">
        <v>752.63</v>
      </c>
      <c r="G172">
        <v>919.57</v>
      </c>
      <c r="H172" s="2">
        <v>3499.52</v>
      </c>
      <c r="I172" s="2">
        <v>4242.21</v>
      </c>
    </row>
    <row r="173" spans="1:9" x14ac:dyDescent="0.25">
      <c r="A173" t="s">
        <v>119</v>
      </c>
      <c r="B173" s="2">
        <v>-5658</v>
      </c>
      <c r="C173" s="2">
        <v>1240</v>
      </c>
      <c r="D173" s="2">
        <v>9654</v>
      </c>
      <c r="E173" s="2">
        <v>96699.16</v>
      </c>
      <c r="F173" s="2">
        <v>205232.42</v>
      </c>
      <c r="G173" s="2">
        <v>228646.98</v>
      </c>
      <c r="H173" s="2">
        <v>208630.37</v>
      </c>
      <c r="I173" s="2">
        <v>181025.85</v>
      </c>
    </row>
    <row r="174" spans="1:9" x14ac:dyDescent="0.25">
      <c r="A174" t="s">
        <v>292</v>
      </c>
      <c r="B174">
        <v>-36.409999999999997</v>
      </c>
      <c r="C174">
        <v>4.9400000000000004</v>
      </c>
      <c r="D174">
        <v>25.83</v>
      </c>
      <c r="E174">
        <v>74.260000000000005</v>
      </c>
      <c r="F174">
        <v>80.92</v>
      </c>
      <c r="G174">
        <v>78.400000000000006</v>
      </c>
      <c r="H174">
        <v>66.349999999999994</v>
      </c>
      <c r="I174">
        <v>60.81</v>
      </c>
    </row>
    <row r="175" spans="1:9" x14ac:dyDescent="0.25">
      <c r="A175" t="s">
        <v>120</v>
      </c>
      <c r="B175">
        <v>177</v>
      </c>
      <c r="C175">
        <v>451</v>
      </c>
      <c r="D175" s="2">
        <v>1124</v>
      </c>
      <c r="E175" s="2">
        <v>13724.63</v>
      </c>
      <c r="F175" s="2">
        <v>31867.01</v>
      </c>
      <c r="G175" s="2">
        <v>35870.480000000003</v>
      </c>
      <c r="H175" s="2">
        <v>34540.03</v>
      </c>
      <c r="I175" s="2">
        <v>28954.080000000002</v>
      </c>
    </row>
    <row r="176" spans="1:9" x14ac:dyDescent="0.25">
      <c r="A176" t="s">
        <v>293</v>
      </c>
      <c r="C176">
        <v>36.369999999999997</v>
      </c>
      <c r="D176">
        <v>11.64</v>
      </c>
      <c r="E176">
        <v>14.86</v>
      </c>
      <c r="F176">
        <v>16.010000000000002</v>
      </c>
      <c r="G176">
        <v>15.82</v>
      </c>
      <c r="H176">
        <v>16.82</v>
      </c>
      <c r="I176">
        <v>17.149999999999999</v>
      </c>
    </row>
    <row r="177" spans="1:10" x14ac:dyDescent="0.25">
      <c r="A177" t="s">
        <v>294</v>
      </c>
      <c r="B177" s="2">
        <v>-5833</v>
      </c>
      <c r="C177">
        <v>778</v>
      </c>
      <c r="D177" s="2">
        <v>8539</v>
      </c>
      <c r="E177" s="2">
        <v>83039.63</v>
      </c>
      <c r="F177" s="2">
        <v>177803.59</v>
      </c>
      <c r="G177" s="2">
        <v>183868.64</v>
      </c>
      <c r="H177" s="2">
        <v>149786.59</v>
      </c>
      <c r="I177" s="2">
        <v>129314.14</v>
      </c>
    </row>
    <row r="178" spans="1:10" x14ac:dyDescent="0.25">
      <c r="A178" t="s">
        <v>295</v>
      </c>
      <c r="B178">
        <v>-2</v>
      </c>
      <c r="C178">
        <v>11</v>
      </c>
      <c r="D178">
        <v>-9</v>
      </c>
      <c r="E178">
        <v>-16.41</v>
      </c>
      <c r="F178">
        <v>-19.89</v>
      </c>
      <c r="G178">
        <v>-26.84</v>
      </c>
      <c r="H178">
        <v>-55</v>
      </c>
      <c r="I178">
        <v>-63</v>
      </c>
    </row>
    <row r="179" spans="1:10" x14ac:dyDescent="0.25">
      <c r="A179" t="s">
        <v>121</v>
      </c>
      <c r="B179" s="2">
        <v>-5833</v>
      </c>
      <c r="C179">
        <v>778</v>
      </c>
      <c r="D179" s="2">
        <v>8539</v>
      </c>
      <c r="E179" s="2">
        <v>83360.44</v>
      </c>
      <c r="F179" s="2">
        <v>177869.18</v>
      </c>
      <c r="G179" s="2">
        <v>199813.63</v>
      </c>
      <c r="H179" s="2">
        <v>203753.75</v>
      </c>
      <c r="I179" s="2">
        <v>160074.79999999999</v>
      </c>
    </row>
    <row r="180" spans="1:10" x14ac:dyDescent="0.25">
      <c r="A180" t="s">
        <v>122</v>
      </c>
      <c r="B180">
        <v>-37.54</v>
      </c>
      <c r="C180">
        <v>3.1</v>
      </c>
      <c r="D180">
        <v>22.84</v>
      </c>
      <c r="E180">
        <v>63.5</v>
      </c>
      <c r="F180">
        <v>68.209999999999994</v>
      </c>
      <c r="G180">
        <v>66.39</v>
      </c>
      <c r="H180">
        <v>55.93</v>
      </c>
      <c r="I180">
        <v>51.28</v>
      </c>
    </row>
    <row r="181" spans="1:10" x14ac:dyDescent="0.25">
      <c r="A181" t="s">
        <v>296</v>
      </c>
      <c r="B181" s="2">
        <v>1093</v>
      </c>
      <c r="C181" s="2">
        <v>1105</v>
      </c>
      <c r="D181" s="2">
        <v>1116</v>
      </c>
      <c r="E181" s="2">
        <v>1131.98</v>
      </c>
      <c r="F181" s="2">
        <v>1125.1600000000001</v>
      </c>
      <c r="G181" s="2">
        <v>1100.97</v>
      </c>
      <c r="H181">
        <v>896.47</v>
      </c>
      <c r="I181">
        <v>768.42</v>
      </c>
      <c r="J181">
        <v>1</v>
      </c>
    </row>
    <row r="182" spans="1:10" x14ac:dyDescent="0.25">
      <c r="A182" t="s">
        <v>297</v>
      </c>
      <c r="B182">
        <v>-5.34</v>
      </c>
      <c r="C182">
        <v>0.7</v>
      </c>
      <c r="D182">
        <v>7.65</v>
      </c>
      <c r="E182">
        <v>72.62</v>
      </c>
      <c r="F182">
        <v>154.91999999999999</v>
      </c>
      <c r="G182">
        <v>170.54</v>
      </c>
      <c r="H182">
        <v>135.99</v>
      </c>
      <c r="I182">
        <v>133.86000000000001</v>
      </c>
    </row>
    <row r="183" spans="1:10" x14ac:dyDescent="0.25">
      <c r="A183" t="s">
        <v>123</v>
      </c>
      <c r="B183" s="2">
        <v>1093</v>
      </c>
      <c r="C183" s="2">
        <v>1118</v>
      </c>
      <c r="D183" s="2">
        <v>1125</v>
      </c>
      <c r="E183" s="2">
        <v>1142.54</v>
      </c>
      <c r="F183" s="2">
        <v>1137.55</v>
      </c>
      <c r="G183" s="2">
        <v>1114.55</v>
      </c>
      <c r="H183">
        <v>862.64</v>
      </c>
      <c r="I183">
        <v>761.03</v>
      </c>
      <c r="J183">
        <v>1</v>
      </c>
    </row>
    <row r="184" spans="1:10" x14ac:dyDescent="0.25">
      <c r="A184" t="s">
        <v>124</v>
      </c>
      <c r="B184">
        <v>-5.34</v>
      </c>
      <c r="C184">
        <v>0.7</v>
      </c>
      <c r="D184">
        <v>7.59</v>
      </c>
      <c r="E184">
        <v>73.3</v>
      </c>
      <c r="F184">
        <v>160.61000000000001</v>
      </c>
      <c r="G184">
        <v>184.88</v>
      </c>
      <c r="H184">
        <v>189.78</v>
      </c>
      <c r="I184">
        <v>163.44999999999999</v>
      </c>
    </row>
    <row r="185" spans="1:10" x14ac:dyDescent="0.25">
      <c r="A185" t="s">
        <v>17</v>
      </c>
    </row>
    <row r="186" spans="1:10" x14ac:dyDescent="0.25">
      <c r="A186" t="s">
        <v>125</v>
      </c>
    </row>
    <row r="187" spans="1:10" x14ac:dyDescent="0.25">
      <c r="A187" t="s">
        <v>67</v>
      </c>
      <c r="B187">
        <v>596</v>
      </c>
      <c r="C187">
        <v>833</v>
      </c>
      <c r="D187">
        <v>972</v>
      </c>
      <c r="E187" s="2">
        <v>1340.87</v>
      </c>
      <c r="F187" s="2">
        <v>1936.1</v>
      </c>
      <c r="G187" s="2">
        <v>1978.08</v>
      </c>
      <c r="H187" s="2">
        <v>2084.4</v>
      </c>
      <c r="I187" s="2">
        <v>2328.41</v>
      </c>
    </row>
    <row r="188" spans="1:10" x14ac:dyDescent="0.25">
      <c r="A188" t="s">
        <v>61</v>
      </c>
      <c r="B188">
        <v>3.58</v>
      </c>
      <c r="C188">
        <v>3.27</v>
      </c>
      <c r="D188">
        <v>2.6</v>
      </c>
      <c r="E188">
        <v>0.99</v>
      </c>
      <c r="F188">
        <v>1.1000000000000001</v>
      </c>
      <c r="G188">
        <v>0.82</v>
      </c>
      <c r="H188">
        <v>1</v>
      </c>
    </row>
    <row r="189" spans="1:10" x14ac:dyDescent="0.25">
      <c r="A189" t="s">
        <v>128</v>
      </c>
      <c r="B189">
        <v>201</v>
      </c>
      <c r="C189">
        <v>312</v>
      </c>
      <c r="D189">
        <v>409</v>
      </c>
      <c r="E189">
        <v>536.76</v>
      </c>
      <c r="F189">
        <v>683.41</v>
      </c>
      <c r="G189">
        <v>901.62</v>
      </c>
      <c r="H189" s="2">
        <v>1128.81</v>
      </c>
      <c r="I189" s="2">
        <v>1189.55</v>
      </c>
    </row>
    <row r="190" spans="1:10" x14ac:dyDescent="0.25">
      <c r="A190" t="s">
        <v>114</v>
      </c>
      <c r="B190">
        <v>226</v>
      </c>
      <c r="C190">
        <v>296</v>
      </c>
      <c r="D190">
        <v>347</v>
      </c>
      <c r="E190">
        <v>458.8</v>
      </c>
      <c r="F190">
        <v>608.74</v>
      </c>
      <c r="G190">
        <v>734.97</v>
      </c>
    </row>
    <row r="191" spans="1:10" x14ac:dyDescent="0.25">
      <c r="A191" t="s">
        <v>298</v>
      </c>
      <c r="B191">
        <v>137</v>
      </c>
      <c r="C191">
        <v>213</v>
      </c>
      <c r="D191">
        <v>219</v>
      </c>
      <c r="E191">
        <v>241.75</v>
      </c>
      <c r="F191">
        <v>364.6</v>
      </c>
      <c r="G191">
        <v>566.83000000000004</v>
      </c>
    </row>
    <row r="192" spans="1:10" x14ac:dyDescent="0.25">
      <c r="A192" t="s">
        <v>299</v>
      </c>
      <c r="B192">
        <v>35</v>
      </c>
      <c r="C192">
        <v>72</v>
      </c>
      <c r="D192">
        <v>-200</v>
      </c>
      <c r="E192">
        <v>-326.63</v>
      </c>
      <c r="F192">
        <v>-222.63</v>
      </c>
      <c r="G192">
        <v>-165.44</v>
      </c>
    </row>
    <row r="193" spans="1:10" x14ac:dyDescent="0.25">
      <c r="A193" t="s">
        <v>17</v>
      </c>
    </row>
    <row r="194" spans="1:10" x14ac:dyDescent="0.25">
      <c r="A194" t="s">
        <v>134</v>
      </c>
    </row>
    <row r="195" spans="1:10" x14ac:dyDescent="0.25">
      <c r="A195" t="s">
        <v>135</v>
      </c>
    </row>
    <row r="196" spans="1:10" x14ac:dyDescent="0.25">
      <c r="A196" t="s">
        <v>136</v>
      </c>
      <c r="B196" s="2">
        <v>21244</v>
      </c>
      <c r="C196" s="2">
        <v>24372</v>
      </c>
      <c r="D196" s="2">
        <v>28841</v>
      </c>
      <c r="E196" s="2">
        <v>93630.23</v>
      </c>
      <c r="F196" s="2">
        <v>224279.75</v>
      </c>
      <c r="G196" s="2">
        <v>344302.35</v>
      </c>
      <c r="H196" s="2">
        <v>368421.53</v>
      </c>
      <c r="I196" s="2">
        <v>322276.28000000003</v>
      </c>
      <c r="J196" s="2">
        <v>233157.68</v>
      </c>
    </row>
    <row r="197" spans="1:10" x14ac:dyDescent="0.25">
      <c r="A197" t="s">
        <v>300</v>
      </c>
      <c r="B197" s="2">
        <v>9594</v>
      </c>
      <c r="C197" s="2">
        <v>8106</v>
      </c>
      <c r="D197" s="2">
        <v>10307</v>
      </c>
      <c r="E197" s="2">
        <v>47829.42</v>
      </c>
      <c r="F197" s="2">
        <v>157582.35999999999</v>
      </c>
      <c r="G197" s="2">
        <v>236238.92</v>
      </c>
      <c r="H197" s="2">
        <v>141053.70000000001</v>
      </c>
      <c r="I197" s="2">
        <v>164007.25</v>
      </c>
    </row>
    <row r="198" spans="1:10" x14ac:dyDescent="0.25">
      <c r="A198" t="s">
        <v>139</v>
      </c>
      <c r="B198" s="2">
        <v>8577</v>
      </c>
      <c r="C198" s="2">
        <v>7041</v>
      </c>
      <c r="D198" s="2">
        <v>9642</v>
      </c>
      <c r="E198" s="2">
        <v>45318.19</v>
      </c>
      <c r="F198" s="2">
        <v>156489.76</v>
      </c>
      <c r="G198" s="2">
        <v>276792.68</v>
      </c>
      <c r="H198" s="2">
        <v>333906.92</v>
      </c>
      <c r="I198" s="2">
        <v>170998.34</v>
      </c>
      <c r="J198" s="2">
        <v>232130.68</v>
      </c>
    </row>
    <row r="199" spans="1:10" x14ac:dyDescent="0.25">
      <c r="A199" t="s">
        <v>301</v>
      </c>
      <c r="B199" s="2">
        <v>1017</v>
      </c>
      <c r="C199" s="2">
        <v>1065</v>
      </c>
      <c r="D199">
        <v>665</v>
      </c>
      <c r="E199" s="2">
        <v>1271.24</v>
      </c>
      <c r="F199" s="2">
        <v>1646.4</v>
      </c>
      <c r="G199" s="2">
        <v>2261.27</v>
      </c>
      <c r="H199" s="2">
        <v>1040.76</v>
      </c>
      <c r="I199" s="2">
        <v>1027</v>
      </c>
      <c r="J199" s="2">
        <v>1027</v>
      </c>
    </row>
    <row r="200" spans="1:10" x14ac:dyDescent="0.25">
      <c r="A200" t="s">
        <v>141</v>
      </c>
      <c r="B200" s="2">
        <v>2443</v>
      </c>
      <c r="C200" s="2">
        <v>6615</v>
      </c>
      <c r="D200" s="2">
        <v>9265</v>
      </c>
      <c r="E200" s="2">
        <v>35063.86</v>
      </c>
      <c r="F200" s="2">
        <v>49640.75</v>
      </c>
      <c r="G200" s="2">
        <v>51244.68</v>
      </c>
      <c r="H200" s="2">
        <v>64185.03</v>
      </c>
      <c r="I200" s="2">
        <v>63499.25</v>
      </c>
    </row>
    <row r="201" spans="1:10" x14ac:dyDescent="0.25">
      <c r="A201" t="s">
        <v>302</v>
      </c>
      <c r="B201" s="2">
        <v>8387</v>
      </c>
      <c r="C201" s="2">
        <v>8875</v>
      </c>
      <c r="D201" s="2">
        <v>8355</v>
      </c>
      <c r="E201" s="2">
        <v>9890.42</v>
      </c>
      <c r="F201" s="2">
        <v>13459.89</v>
      </c>
      <c r="G201" s="2">
        <v>19332.5</v>
      </c>
      <c r="H201" s="2">
        <v>19978.259999999998</v>
      </c>
      <c r="I201" s="2">
        <v>28369.96</v>
      </c>
    </row>
    <row r="202" spans="1:10" x14ac:dyDescent="0.25">
      <c r="A202" t="s">
        <v>303</v>
      </c>
      <c r="B202" s="2">
        <v>1616</v>
      </c>
      <c r="C202" s="2">
        <v>1308</v>
      </c>
      <c r="D202" s="2">
        <v>1094</v>
      </c>
      <c r="E202" s="2">
        <v>1510.94</v>
      </c>
      <c r="F202" s="2">
        <v>1927.12</v>
      </c>
      <c r="G202" s="2">
        <v>2341.88</v>
      </c>
    </row>
    <row r="203" spans="1:10" x14ac:dyDescent="0.25">
      <c r="A203" t="s">
        <v>304</v>
      </c>
      <c r="B203" s="2">
        <v>6111</v>
      </c>
      <c r="C203" s="2">
        <v>6774</v>
      </c>
      <c r="D203" s="2">
        <v>6401</v>
      </c>
      <c r="E203" s="2">
        <v>6799.22</v>
      </c>
      <c r="F203" s="2">
        <v>8672.0499999999993</v>
      </c>
      <c r="G203" s="2">
        <v>10538.46</v>
      </c>
    </row>
    <row r="204" spans="1:10" x14ac:dyDescent="0.25">
      <c r="A204" t="s">
        <v>305</v>
      </c>
      <c r="B204">
        <v>660</v>
      </c>
      <c r="C204">
        <v>793</v>
      </c>
      <c r="D204">
        <v>860</v>
      </c>
      <c r="E204">
        <v>755.47</v>
      </c>
      <c r="F204">
        <v>963.56</v>
      </c>
      <c r="G204" s="2">
        <v>1170.94</v>
      </c>
    </row>
    <row r="205" spans="1:10" x14ac:dyDescent="0.25">
      <c r="A205" t="s">
        <v>145</v>
      </c>
      <c r="B205">
        <v>820</v>
      </c>
      <c r="C205">
        <v>776</v>
      </c>
      <c r="D205">
        <v>914</v>
      </c>
      <c r="E205" s="2">
        <v>1232.25</v>
      </c>
      <c r="F205" s="2">
        <v>1688.55</v>
      </c>
      <c r="G205" s="2">
        <v>2054.34</v>
      </c>
      <c r="H205" s="2">
        <v>1123</v>
      </c>
      <c r="I205" s="2">
        <v>1123</v>
      </c>
    </row>
    <row r="206" spans="1:10" x14ac:dyDescent="0.25">
      <c r="A206" t="s">
        <v>146</v>
      </c>
      <c r="B206" s="2">
        <v>43010</v>
      </c>
      <c r="C206" s="2">
        <v>45044</v>
      </c>
      <c r="D206" s="2">
        <v>53957</v>
      </c>
      <c r="E206" s="2">
        <v>74277.490000000005</v>
      </c>
      <c r="F206" s="2">
        <v>113208.73</v>
      </c>
      <c r="G206" s="2">
        <v>152520.54</v>
      </c>
    </row>
    <row r="207" spans="1:10" x14ac:dyDescent="0.25">
      <c r="A207" t="s">
        <v>306</v>
      </c>
      <c r="B207">
        <v>844</v>
      </c>
      <c r="C207" s="2">
        <v>1046</v>
      </c>
      <c r="D207" s="2">
        <v>1629</v>
      </c>
      <c r="E207" s="2">
        <v>3925.8</v>
      </c>
      <c r="F207" s="2">
        <v>4326</v>
      </c>
      <c r="G207" s="2">
        <v>5319.71</v>
      </c>
      <c r="H207" s="2">
        <v>4106</v>
      </c>
      <c r="I207" s="2">
        <v>4106</v>
      </c>
      <c r="J207" s="2">
        <v>4106</v>
      </c>
    </row>
    <row r="208" spans="1:10" x14ac:dyDescent="0.25">
      <c r="A208" t="s">
        <v>307</v>
      </c>
      <c r="B208" s="2">
        <v>37928</v>
      </c>
      <c r="C208" s="2">
        <v>39749</v>
      </c>
      <c r="D208" s="2">
        <v>46590</v>
      </c>
      <c r="E208" s="2">
        <v>63686.99</v>
      </c>
      <c r="F208" s="2">
        <v>97548.93</v>
      </c>
      <c r="G208" s="2">
        <v>129238.49</v>
      </c>
      <c r="H208" s="2">
        <v>131349.51999999999</v>
      </c>
      <c r="I208" s="2">
        <v>121355.27</v>
      </c>
      <c r="J208" s="2">
        <v>143034</v>
      </c>
    </row>
    <row r="209" spans="1:10" x14ac:dyDescent="0.25">
      <c r="A209" t="s">
        <v>308</v>
      </c>
      <c r="B209" s="2">
        <v>87585</v>
      </c>
      <c r="C209" s="2">
        <v>96047</v>
      </c>
      <c r="D209" s="2">
        <v>109696</v>
      </c>
      <c r="E209" s="2">
        <v>138527.85999999999</v>
      </c>
      <c r="F209" s="2">
        <v>193387.02</v>
      </c>
      <c r="G209" s="2">
        <v>247330.87</v>
      </c>
      <c r="H209" s="2">
        <v>188956.88</v>
      </c>
      <c r="I209" s="2">
        <v>196099.91</v>
      </c>
    </row>
    <row r="210" spans="1:10" x14ac:dyDescent="0.25">
      <c r="A210" t="s">
        <v>309</v>
      </c>
      <c r="B210" s="2">
        <v>49657</v>
      </c>
      <c r="C210" s="2">
        <v>56298</v>
      </c>
      <c r="D210" s="2">
        <v>63106</v>
      </c>
      <c r="E210" s="2">
        <v>75651.55</v>
      </c>
      <c r="F210" s="2">
        <v>92417.05</v>
      </c>
      <c r="G210" s="2">
        <v>117296.75</v>
      </c>
    </row>
    <row r="211" spans="1:10" x14ac:dyDescent="0.25">
      <c r="A211" t="s">
        <v>310</v>
      </c>
      <c r="B211">
        <v>666</v>
      </c>
      <c r="C211">
        <v>645</v>
      </c>
      <c r="D211">
        <v>736</v>
      </c>
      <c r="E211">
        <v>736</v>
      </c>
      <c r="F211">
        <v>736</v>
      </c>
      <c r="G211">
        <v>693.8</v>
      </c>
      <c r="H211">
        <v>683</v>
      </c>
      <c r="I211">
        <v>683</v>
      </c>
    </row>
    <row r="212" spans="1:10" x14ac:dyDescent="0.25">
      <c r="A212" t="s">
        <v>311</v>
      </c>
      <c r="B212">
        <v>756</v>
      </c>
      <c r="C212">
        <v>520</v>
      </c>
      <c r="D212">
        <v>616</v>
      </c>
      <c r="E212">
        <v>690.55</v>
      </c>
      <c r="F212">
        <v>690.55</v>
      </c>
      <c r="G212">
        <v>685.14</v>
      </c>
      <c r="H212">
        <v>700</v>
      </c>
      <c r="I212">
        <v>700</v>
      </c>
      <c r="J212">
        <v>700</v>
      </c>
    </row>
    <row r="213" spans="1:10" x14ac:dyDescent="0.25">
      <c r="A213" t="s">
        <v>312</v>
      </c>
      <c r="B213" s="2">
        <v>1554</v>
      </c>
      <c r="C213" s="2">
        <v>1566</v>
      </c>
      <c r="D213" s="2">
        <v>1603</v>
      </c>
      <c r="E213" s="2">
        <v>1611.56</v>
      </c>
      <c r="F213" s="2">
        <v>1612.69</v>
      </c>
      <c r="G213" s="2">
        <v>1611.63</v>
      </c>
      <c r="H213" s="2">
        <v>1623</v>
      </c>
      <c r="I213" s="2">
        <v>1623</v>
      </c>
    </row>
    <row r="214" spans="1:10" x14ac:dyDescent="0.25">
      <c r="A214" t="s">
        <v>152</v>
      </c>
      <c r="B214" s="2">
        <v>1150</v>
      </c>
      <c r="C214" s="2">
        <v>1150</v>
      </c>
      <c r="D214" s="2">
        <v>1150</v>
      </c>
      <c r="E214" s="2">
        <v>1149.31</v>
      </c>
      <c r="F214" s="2">
        <v>1147.3399999999999</v>
      </c>
      <c r="G214" s="2">
        <v>1137.99</v>
      </c>
      <c r="H214" s="2">
        <v>1150</v>
      </c>
      <c r="I214" s="2">
        <v>1150</v>
      </c>
      <c r="J214" s="2">
        <v>1150</v>
      </c>
    </row>
    <row r="215" spans="1:10" x14ac:dyDescent="0.25">
      <c r="A215" t="s">
        <v>151</v>
      </c>
      <c r="B215">
        <v>404</v>
      </c>
      <c r="C215">
        <v>416</v>
      </c>
      <c r="D215">
        <v>453</v>
      </c>
      <c r="E215">
        <v>476.31</v>
      </c>
      <c r="F215">
        <v>530</v>
      </c>
      <c r="G215">
        <v>654.6</v>
      </c>
      <c r="H215">
        <v>337.5</v>
      </c>
      <c r="I215">
        <v>367</v>
      </c>
      <c r="J215">
        <v>473</v>
      </c>
    </row>
    <row r="216" spans="1:10" x14ac:dyDescent="0.25">
      <c r="A216" t="s">
        <v>78</v>
      </c>
      <c r="B216" s="2">
        <v>1262</v>
      </c>
      <c r="C216" s="2">
        <v>1518</v>
      </c>
      <c r="D216" s="2">
        <v>2783</v>
      </c>
      <c r="E216" s="2">
        <v>3626.2</v>
      </c>
      <c r="F216" s="2">
        <v>7875.17</v>
      </c>
      <c r="G216" s="2">
        <v>3573.5</v>
      </c>
      <c r="H216" s="2">
        <v>3837</v>
      </c>
      <c r="I216" s="2">
        <v>3837</v>
      </c>
      <c r="J216" s="2">
        <v>3837</v>
      </c>
    </row>
    <row r="217" spans="1:10" x14ac:dyDescent="0.25">
      <c r="A217" t="s">
        <v>155</v>
      </c>
      <c r="B217" s="2">
        <v>64254</v>
      </c>
      <c r="C217" s="2">
        <v>69416</v>
      </c>
      <c r="D217" s="2">
        <v>82798</v>
      </c>
      <c r="E217" s="2">
        <v>167759.38</v>
      </c>
      <c r="F217" s="2">
        <v>333285.94</v>
      </c>
      <c r="G217" s="2">
        <v>484897.81</v>
      </c>
      <c r="H217" s="2">
        <v>526617.28</v>
      </c>
      <c r="I217" s="2">
        <v>482807.96</v>
      </c>
      <c r="J217" s="2">
        <v>386457.68</v>
      </c>
    </row>
    <row r="218" spans="1:10" x14ac:dyDescent="0.25">
      <c r="A218" t="s">
        <v>17</v>
      </c>
    </row>
    <row r="219" spans="1:10" x14ac:dyDescent="0.25">
      <c r="A219" t="s">
        <v>156</v>
      </c>
    </row>
    <row r="220" spans="1:10" x14ac:dyDescent="0.25">
      <c r="A220" t="s">
        <v>157</v>
      </c>
      <c r="B220" s="2">
        <v>4765</v>
      </c>
      <c r="C220" s="2">
        <v>9248</v>
      </c>
      <c r="D220" s="2">
        <v>11454</v>
      </c>
      <c r="E220" s="2">
        <v>16642.189999999999</v>
      </c>
      <c r="F220" s="2">
        <v>20806.82</v>
      </c>
      <c r="G220" s="2">
        <v>25067.59</v>
      </c>
      <c r="H220" s="2">
        <v>24471.45</v>
      </c>
      <c r="I220" s="2">
        <v>23466.78</v>
      </c>
      <c r="J220">
        <v>582</v>
      </c>
    </row>
    <row r="221" spans="1:10" x14ac:dyDescent="0.25">
      <c r="A221" t="s">
        <v>158</v>
      </c>
      <c r="B221" s="2">
        <v>3958</v>
      </c>
      <c r="C221" s="2">
        <v>7299</v>
      </c>
      <c r="D221" s="2">
        <v>9649</v>
      </c>
      <c r="E221" s="2">
        <v>13255.8</v>
      </c>
      <c r="F221" s="2">
        <v>17163.02</v>
      </c>
      <c r="G221" s="2">
        <v>22187.23</v>
      </c>
      <c r="H221" s="2">
        <v>28475.78</v>
      </c>
      <c r="I221" s="2">
        <v>33286.78</v>
      </c>
    </row>
    <row r="222" spans="1:10" x14ac:dyDescent="0.25">
      <c r="A222" t="s">
        <v>313</v>
      </c>
      <c r="B222">
        <v>278</v>
      </c>
      <c r="C222">
        <v>431</v>
      </c>
      <c r="D222">
        <v>560</v>
      </c>
      <c r="E222">
        <v>622.64</v>
      </c>
      <c r="F222">
        <v>682.35</v>
      </c>
      <c r="G222">
        <v>777.32</v>
      </c>
      <c r="H222">
        <v>582</v>
      </c>
      <c r="I222">
        <v>582</v>
      </c>
      <c r="J222">
        <v>582</v>
      </c>
    </row>
    <row r="223" spans="1:10" x14ac:dyDescent="0.25">
      <c r="A223" t="s">
        <v>17</v>
      </c>
    </row>
    <row r="224" spans="1:10" x14ac:dyDescent="0.25">
      <c r="A224" t="s">
        <v>314</v>
      </c>
      <c r="B224">
        <v>529</v>
      </c>
      <c r="C224" s="2">
        <v>1518</v>
      </c>
      <c r="D224" s="2">
        <v>1245</v>
      </c>
      <c r="E224" s="2">
        <v>3369.25</v>
      </c>
      <c r="F224" s="2">
        <v>3724.09</v>
      </c>
      <c r="G224" s="2">
        <v>3752.22</v>
      </c>
      <c r="H224" s="2">
        <v>3385</v>
      </c>
      <c r="I224" s="2">
        <v>3385</v>
      </c>
    </row>
    <row r="225" spans="1:10" x14ac:dyDescent="0.25">
      <c r="A225" t="s">
        <v>164</v>
      </c>
      <c r="B225" s="2">
        <v>15369</v>
      </c>
      <c r="C225" s="2">
        <v>15037</v>
      </c>
      <c r="D225" s="2">
        <v>17179</v>
      </c>
      <c r="E225" s="2">
        <v>17873.060000000001</v>
      </c>
      <c r="F225" s="2">
        <v>19062.21</v>
      </c>
      <c r="G225" s="2">
        <v>23977.97</v>
      </c>
    </row>
    <row r="226" spans="1:10" x14ac:dyDescent="0.25">
      <c r="A226" t="s">
        <v>315</v>
      </c>
      <c r="B226" s="2">
        <v>13052</v>
      </c>
      <c r="C226" s="2">
        <v>12966</v>
      </c>
      <c r="D226" s="2">
        <v>14017</v>
      </c>
      <c r="E226" s="2">
        <v>6065.42</v>
      </c>
      <c r="F226" s="2">
        <v>6530.82</v>
      </c>
      <c r="G226" s="2">
        <v>9808.5300000000007</v>
      </c>
      <c r="H226" s="2">
        <v>3640</v>
      </c>
      <c r="I226" s="2">
        <v>5140</v>
      </c>
      <c r="J226" s="2">
        <v>5140</v>
      </c>
    </row>
    <row r="227" spans="1:10" x14ac:dyDescent="0.25">
      <c r="A227" t="s">
        <v>202</v>
      </c>
      <c r="B227">
        <v>603</v>
      </c>
      <c r="C227">
        <v>610</v>
      </c>
      <c r="D227">
        <v>701</v>
      </c>
      <c r="E227">
        <v>677.83</v>
      </c>
      <c r="F227">
        <v>677.83</v>
      </c>
      <c r="G227">
        <v>665.75</v>
      </c>
      <c r="H227">
        <v>654</v>
      </c>
      <c r="I227">
        <v>654</v>
      </c>
    </row>
    <row r="228" spans="1:10" x14ac:dyDescent="0.25">
      <c r="A228" t="s">
        <v>316</v>
      </c>
      <c r="B228" s="2">
        <v>1714</v>
      </c>
      <c r="C228" s="2">
        <v>1461</v>
      </c>
      <c r="D228" s="2">
        <v>2461</v>
      </c>
      <c r="E228" s="2">
        <v>9022.33</v>
      </c>
      <c r="F228" s="2">
        <v>12434.37</v>
      </c>
      <c r="G228" s="2">
        <v>15815.83</v>
      </c>
      <c r="H228" s="2">
        <v>11500</v>
      </c>
      <c r="I228" s="2">
        <v>9000</v>
      </c>
    </row>
    <row r="229" spans="1:10" x14ac:dyDescent="0.25">
      <c r="A229" t="s">
        <v>317</v>
      </c>
      <c r="B229">
        <v>727</v>
      </c>
      <c r="C229">
        <v>550</v>
      </c>
      <c r="D229" s="2">
        <v>1018</v>
      </c>
      <c r="E229" s="2">
        <v>1020</v>
      </c>
      <c r="F229" s="2">
        <v>1020</v>
      </c>
      <c r="G229" s="2">
        <v>1020</v>
      </c>
      <c r="H229" s="2">
        <v>1020</v>
      </c>
      <c r="I229" s="2">
        <v>1020</v>
      </c>
    </row>
    <row r="230" spans="1:10" x14ac:dyDescent="0.25">
      <c r="A230" t="s">
        <v>318</v>
      </c>
      <c r="B230">
        <v>987</v>
      </c>
      <c r="C230">
        <v>911</v>
      </c>
      <c r="D230" s="2">
        <v>1443</v>
      </c>
      <c r="E230" s="2">
        <v>7086</v>
      </c>
      <c r="F230" s="2">
        <v>7086</v>
      </c>
      <c r="G230" s="2">
        <v>7086</v>
      </c>
    </row>
    <row r="231" spans="1:10" x14ac:dyDescent="0.25">
      <c r="A231" t="s">
        <v>167</v>
      </c>
      <c r="B231" s="2">
        <v>20134</v>
      </c>
      <c r="C231" s="2">
        <v>24285</v>
      </c>
      <c r="D231" s="2">
        <v>28633</v>
      </c>
      <c r="E231" s="2">
        <v>31170.34</v>
      </c>
      <c r="F231" s="2">
        <v>36224.94</v>
      </c>
      <c r="G231" s="2">
        <v>42806.34</v>
      </c>
      <c r="H231" s="2">
        <v>35370.449999999997</v>
      </c>
      <c r="I231" s="2">
        <v>34115.279999999999</v>
      </c>
      <c r="J231" s="2">
        <v>14482</v>
      </c>
    </row>
    <row r="232" spans="1:10" x14ac:dyDescent="0.25">
      <c r="A232" t="s">
        <v>319</v>
      </c>
      <c r="B232" s="2">
        <v>44120</v>
      </c>
      <c r="C232" s="2">
        <v>45131</v>
      </c>
      <c r="D232" s="2">
        <v>54165</v>
      </c>
      <c r="E232" s="2">
        <v>135308.72</v>
      </c>
      <c r="F232" s="2">
        <v>288310.40000000002</v>
      </c>
      <c r="G232" s="2">
        <v>424446.06</v>
      </c>
      <c r="H232" s="2">
        <v>440760.83</v>
      </c>
      <c r="I232" s="2">
        <v>450204</v>
      </c>
      <c r="J232" s="2">
        <v>371976</v>
      </c>
    </row>
    <row r="233" spans="1:10" x14ac:dyDescent="0.25">
      <c r="A233" t="s">
        <v>171</v>
      </c>
      <c r="B233">
        <v>124</v>
      </c>
      <c r="C233">
        <v>125</v>
      </c>
      <c r="D233">
        <v>127</v>
      </c>
      <c r="E233">
        <v>-622.5</v>
      </c>
      <c r="F233" s="2">
        <v>-1372.38</v>
      </c>
      <c r="G233" s="2">
        <v>-2872.17</v>
      </c>
      <c r="H233">
        <v>128</v>
      </c>
      <c r="I233">
        <v>128</v>
      </c>
    </row>
    <row r="234" spans="1:10" x14ac:dyDescent="0.25">
      <c r="A234" t="s">
        <v>172</v>
      </c>
      <c r="B234" s="2">
        <v>11036</v>
      </c>
      <c r="C234" s="2">
        <v>12115</v>
      </c>
      <c r="D234" s="2">
        <v>13339</v>
      </c>
      <c r="E234" s="2">
        <v>14358.64</v>
      </c>
      <c r="F234" s="2">
        <v>15718.94</v>
      </c>
      <c r="G234" s="2">
        <v>14637.23</v>
      </c>
      <c r="H234" s="2">
        <v>19757.75</v>
      </c>
      <c r="I234" s="2">
        <v>21688.37</v>
      </c>
    </row>
    <row r="235" spans="1:10" x14ac:dyDescent="0.25">
      <c r="A235" t="s">
        <v>320</v>
      </c>
      <c r="B235" s="2">
        <v>40824</v>
      </c>
      <c r="C235" s="2">
        <v>40877</v>
      </c>
      <c r="D235" s="2">
        <v>48583</v>
      </c>
      <c r="E235" s="2">
        <v>131666.59</v>
      </c>
      <c r="F235" s="2">
        <v>301386.89</v>
      </c>
      <c r="G235" s="2">
        <v>465160.39</v>
      </c>
      <c r="H235" s="2">
        <v>445825.7</v>
      </c>
      <c r="I235" s="2">
        <v>460831.43</v>
      </c>
      <c r="J235" s="2">
        <v>507249.68</v>
      </c>
    </row>
    <row r="236" spans="1:10" x14ac:dyDescent="0.25">
      <c r="A236" t="s">
        <v>321</v>
      </c>
      <c r="B236">
        <v>-312</v>
      </c>
      <c r="C236">
        <v>-134</v>
      </c>
      <c r="D236">
        <v>-32</v>
      </c>
      <c r="E236">
        <v>-28</v>
      </c>
      <c r="F236">
        <v>-35.71</v>
      </c>
      <c r="G236">
        <v>-46.67</v>
      </c>
      <c r="H236">
        <v>-26</v>
      </c>
      <c r="I236">
        <v>-26</v>
      </c>
      <c r="J236">
        <v>-26</v>
      </c>
    </row>
    <row r="237" spans="1:10" x14ac:dyDescent="0.25">
      <c r="A237" t="s">
        <v>322</v>
      </c>
      <c r="B237" s="2">
        <v>44120</v>
      </c>
      <c r="C237" s="2">
        <v>45131</v>
      </c>
      <c r="D237" s="2">
        <v>54165</v>
      </c>
      <c r="E237" s="2">
        <v>137480.95000000001</v>
      </c>
      <c r="F237" s="2">
        <v>297990.36</v>
      </c>
      <c r="G237" s="2">
        <v>444925.11</v>
      </c>
      <c r="H237" s="2">
        <v>435082.63</v>
      </c>
      <c r="I237" s="2">
        <v>328992.55</v>
      </c>
      <c r="J237" s="2">
        <v>371975.67999999999</v>
      </c>
    </row>
    <row r="238" spans="1:10" x14ac:dyDescent="0.25">
      <c r="A238" t="s">
        <v>323</v>
      </c>
      <c r="B238">
        <v>0</v>
      </c>
      <c r="C238">
        <v>0</v>
      </c>
      <c r="D238">
        <v>0</v>
      </c>
    </row>
    <row r="239" spans="1:10" x14ac:dyDescent="0.25">
      <c r="A239" t="s">
        <v>324</v>
      </c>
      <c r="B239" s="2">
        <v>44120</v>
      </c>
      <c r="C239" s="2">
        <v>45131</v>
      </c>
      <c r="D239" s="2">
        <v>54165</v>
      </c>
      <c r="E239" s="2">
        <v>135399.82</v>
      </c>
      <c r="F239" s="2">
        <v>290002.83</v>
      </c>
      <c r="G239" s="2">
        <v>429298.22</v>
      </c>
      <c r="H239" s="2">
        <v>441431</v>
      </c>
      <c r="I239" s="2">
        <v>450204.04</v>
      </c>
      <c r="J239" s="2">
        <v>371975.67999999999</v>
      </c>
    </row>
    <row r="240" spans="1:10" x14ac:dyDescent="0.25">
      <c r="A240" t="s">
        <v>325</v>
      </c>
      <c r="B240" s="2">
        <v>7552</v>
      </c>
      <c r="C240" s="2">
        <v>7852</v>
      </c>
      <c r="D240" s="2">
        <v>7852</v>
      </c>
      <c r="E240" s="2">
        <v>8645.17</v>
      </c>
      <c r="F240" s="2">
        <v>7823.83</v>
      </c>
      <c r="G240" s="2">
        <v>8068.67</v>
      </c>
    </row>
    <row r="241" spans="1:10" x14ac:dyDescent="0.25">
      <c r="A241" t="s">
        <v>326</v>
      </c>
      <c r="B241" s="2">
        <v>64254</v>
      </c>
      <c r="C241" s="2">
        <v>69416</v>
      </c>
      <c r="D241" s="2">
        <v>82798</v>
      </c>
      <c r="E241" s="2">
        <v>167759.38</v>
      </c>
      <c r="F241" s="2">
        <v>333285.94</v>
      </c>
      <c r="G241" s="2">
        <v>484897.81</v>
      </c>
      <c r="H241" s="2">
        <v>526617.28</v>
      </c>
      <c r="I241" s="2">
        <v>482807.96</v>
      </c>
      <c r="J241" s="2">
        <v>386457.68</v>
      </c>
    </row>
    <row r="242" spans="1:10" x14ac:dyDescent="0.25">
      <c r="A242" t="s">
        <v>17</v>
      </c>
    </row>
    <row r="243" spans="1:10" x14ac:dyDescent="0.25">
      <c r="A243" t="s">
        <v>176</v>
      </c>
    </row>
    <row r="244" spans="1:10" x14ac:dyDescent="0.25">
      <c r="A244" t="s">
        <v>179</v>
      </c>
      <c r="B244">
        <v>-8.94</v>
      </c>
      <c r="C244">
        <v>1.1599999999999999</v>
      </c>
      <c r="D244">
        <v>11.22</v>
      </c>
      <c r="E244">
        <v>60.74</v>
      </c>
      <c r="F244">
        <v>63.69</v>
      </c>
      <c r="G244">
        <v>48.86</v>
      </c>
      <c r="H244">
        <v>37.299999999999997</v>
      </c>
      <c r="I244">
        <v>38.19</v>
      </c>
    </row>
    <row r="245" spans="1:10" x14ac:dyDescent="0.25">
      <c r="A245" t="s">
        <v>180</v>
      </c>
      <c r="B245">
        <v>-12.41</v>
      </c>
      <c r="C245">
        <v>1.74</v>
      </c>
      <c r="D245">
        <v>17.2</v>
      </c>
      <c r="E245">
        <v>77.010000000000005</v>
      </c>
      <c r="F245">
        <v>75.73</v>
      </c>
      <c r="G245">
        <v>54.23</v>
      </c>
      <c r="H245">
        <v>39.81</v>
      </c>
      <c r="I245">
        <v>24.35</v>
      </c>
    </row>
    <row r="246" spans="1:10" x14ac:dyDescent="0.25">
      <c r="A246" t="s">
        <v>327</v>
      </c>
      <c r="B246">
        <v>0.24</v>
      </c>
      <c r="C246">
        <v>0.38</v>
      </c>
      <c r="D246">
        <v>0.49</v>
      </c>
      <c r="E246">
        <v>1.03</v>
      </c>
      <c r="F246">
        <v>1</v>
      </c>
      <c r="G246">
        <v>0.68</v>
      </c>
    </row>
    <row r="247" spans="1:10" x14ac:dyDescent="0.25">
      <c r="A247" t="s">
        <v>328</v>
      </c>
      <c r="B247">
        <v>23.52</v>
      </c>
      <c r="C247">
        <v>22.93</v>
      </c>
      <c r="D247">
        <v>21.17</v>
      </c>
      <c r="E247">
        <v>2.57</v>
      </c>
      <c r="F247">
        <v>1.29</v>
      </c>
      <c r="G247">
        <v>0.77</v>
      </c>
      <c r="H247">
        <v>1.36</v>
      </c>
      <c r="I247">
        <v>1.36</v>
      </c>
      <c r="J247">
        <v>1.36</v>
      </c>
    </row>
    <row r="248" spans="1:10" x14ac:dyDescent="0.25">
      <c r="A248" t="s">
        <v>186</v>
      </c>
      <c r="B248">
        <v>4.46</v>
      </c>
      <c r="C248">
        <v>2.64</v>
      </c>
      <c r="D248">
        <v>2.52</v>
      </c>
      <c r="E248">
        <v>5.77</v>
      </c>
      <c r="F248">
        <v>10.37</v>
      </c>
      <c r="G248">
        <v>14.37</v>
      </c>
      <c r="H248">
        <v>207.8</v>
      </c>
      <c r="I248">
        <v>400.61</v>
      </c>
      <c r="J248">
        <v>400.61</v>
      </c>
    </row>
    <row r="249" spans="1:10" x14ac:dyDescent="0.25">
      <c r="A249" t="s">
        <v>182</v>
      </c>
      <c r="B249">
        <v>40.369999999999997</v>
      </c>
      <c r="C249">
        <v>40.369999999999997</v>
      </c>
      <c r="D249">
        <v>48.15</v>
      </c>
      <c r="E249">
        <v>118.92</v>
      </c>
      <c r="F249">
        <v>260.95</v>
      </c>
      <c r="G249">
        <v>421.12</v>
      </c>
      <c r="H249">
        <v>601.85</v>
      </c>
      <c r="I249">
        <v>591.58000000000004</v>
      </c>
      <c r="J249" s="2">
        <v>371975.67999999999</v>
      </c>
    </row>
    <row r="250" spans="1:10" x14ac:dyDescent="0.25">
      <c r="A250" t="s">
        <v>329</v>
      </c>
      <c r="B250">
        <v>8.74</v>
      </c>
      <c r="C250">
        <v>7.31</v>
      </c>
      <c r="D250">
        <v>9.19</v>
      </c>
      <c r="E250">
        <v>47.79</v>
      </c>
      <c r="F250">
        <v>171.35</v>
      </c>
      <c r="G250">
        <v>321.17</v>
      </c>
      <c r="H250">
        <v>439.34</v>
      </c>
    </row>
    <row r="251" spans="1:10" x14ac:dyDescent="0.25">
      <c r="A251" t="s">
        <v>330</v>
      </c>
      <c r="B251">
        <v>8.6</v>
      </c>
      <c r="C251">
        <v>3.55</v>
      </c>
      <c r="D251">
        <v>0.27</v>
      </c>
    </row>
    <row r="252" spans="1:10" x14ac:dyDescent="0.25">
      <c r="A252" t="s">
        <v>177</v>
      </c>
      <c r="B252" s="2">
        <v>3495</v>
      </c>
      <c r="C252" s="2">
        <v>4926</v>
      </c>
      <c r="D252" s="2">
        <v>3416</v>
      </c>
      <c r="E252" s="2">
        <v>-37184.97</v>
      </c>
      <c r="F252" s="2">
        <v>-116427.38</v>
      </c>
      <c r="G252" s="2">
        <v>-209300.48000000001</v>
      </c>
      <c r="H252" s="2">
        <v>-211789</v>
      </c>
      <c r="I252" s="2">
        <v>-300634.37</v>
      </c>
      <c r="J252" s="2">
        <v>-227435.68</v>
      </c>
    </row>
    <row r="253" spans="1:10" x14ac:dyDescent="0.25">
      <c r="A253" t="s">
        <v>331</v>
      </c>
      <c r="B253" s="2">
        <v>13330</v>
      </c>
      <c r="C253" s="2">
        <v>13397</v>
      </c>
      <c r="D253" s="2">
        <v>11533</v>
      </c>
      <c r="E253" s="2">
        <v>5712.44</v>
      </c>
      <c r="F253" s="2">
        <v>4971.62</v>
      </c>
      <c r="G253" s="2">
        <v>3181.25</v>
      </c>
      <c r="H253" s="2">
        <v>5722</v>
      </c>
      <c r="I253" s="2">
        <v>5722</v>
      </c>
    </row>
    <row r="254" spans="1:10" x14ac:dyDescent="0.25">
      <c r="A254" t="s">
        <v>332</v>
      </c>
      <c r="B254" s="2">
        <v>10517</v>
      </c>
      <c r="C254" s="2">
        <v>9163</v>
      </c>
      <c r="D254" s="2">
        <v>9646</v>
      </c>
      <c r="E254" s="2">
        <v>44336.94</v>
      </c>
      <c r="F254" s="2">
        <v>164696.34</v>
      </c>
      <c r="G254" s="2">
        <v>306584.33</v>
      </c>
    </row>
    <row r="255" spans="1:10" x14ac:dyDescent="0.25">
      <c r="A255" t="s">
        <v>187</v>
      </c>
      <c r="B255">
        <v>209</v>
      </c>
      <c r="C255">
        <v>278</v>
      </c>
      <c r="D255">
        <v>217</v>
      </c>
      <c r="E255">
        <v>290</v>
      </c>
      <c r="F255">
        <v>355</v>
      </c>
      <c r="G255">
        <v>417</v>
      </c>
      <c r="H255">
        <v>472</v>
      </c>
      <c r="I255">
        <v>529</v>
      </c>
    </row>
    <row r="256" spans="1:10" x14ac:dyDescent="0.25">
      <c r="A256" t="s">
        <v>333</v>
      </c>
      <c r="B256" s="2">
        <v>16479</v>
      </c>
      <c r="C256" s="2">
        <v>15124</v>
      </c>
      <c r="D256" s="2">
        <v>17387</v>
      </c>
      <c r="E256" s="2">
        <v>76505.11</v>
      </c>
      <c r="F256" s="2">
        <v>186455.73</v>
      </c>
      <c r="G256" s="2">
        <v>364060.63</v>
      </c>
      <c r="H256" s="2">
        <v>343950.08000000002</v>
      </c>
      <c r="I256" s="2">
        <v>298809.5</v>
      </c>
      <c r="J256" s="2">
        <v>232575.68</v>
      </c>
    </row>
    <row r="257" spans="1:9" x14ac:dyDescent="0.25">
      <c r="A257" t="s">
        <v>334</v>
      </c>
      <c r="B257">
        <v>38.770000000000003</v>
      </c>
      <c r="C257">
        <v>39.28</v>
      </c>
      <c r="D257">
        <v>46.85</v>
      </c>
      <c r="E257">
        <v>115.17</v>
      </c>
      <c r="F257">
        <v>246.89</v>
      </c>
      <c r="G257">
        <v>422.53</v>
      </c>
      <c r="H257">
        <v>628.9</v>
      </c>
    </row>
    <row r="258" spans="1:9" x14ac:dyDescent="0.25">
      <c r="A258" t="s">
        <v>17</v>
      </c>
    </row>
    <row r="259" spans="1:9" x14ac:dyDescent="0.25">
      <c r="A259" t="s">
        <v>188</v>
      </c>
    </row>
    <row r="260" spans="1:9" x14ac:dyDescent="0.25">
      <c r="A260" t="s">
        <v>189</v>
      </c>
    </row>
    <row r="261" spans="1:9" x14ac:dyDescent="0.25">
      <c r="A261" t="s">
        <v>121</v>
      </c>
      <c r="B261" s="2">
        <v>-5833</v>
      </c>
      <c r="C261">
        <v>778</v>
      </c>
      <c r="D261" s="2">
        <v>8539</v>
      </c>
      <c r="E261" s="2">
        <v>83039.63</v>
      </c>
      <c r="F261" s="2">
        <v>177803.59</v>
      </c>
      <c r="G261" s="2">
        <v>183868.64</v>
      </c>
      <c r="H261" s="2">
        <v>149786.59</v>
      </c>
      <c r="I261" s="2">
        <v>129314.14</v>
      </c>
    </row>
    <row r="262" spans="1:9" x14ac:dyDescent="0.25">
      <c r="A262" t="s">
        <v>190</v>
      </c>
      <c r="B262" s="2">
        <v>7756</v>
      </c>
      <c r="C262" s="2">
        <v>7780</v>
      </c>
      <c r="D262" s="2">
        <v>8352</v>
      </c>
      <c r="E262" s="2">
        <v>9743.65</v>
      </c>
      <c r="F262" s="2">
        <v>13612.83</v>
      </c>
      <c r="G262" s="2">
        <v>18461.64</v>
      </c>
      <c r="H262" s="2">
        <v>24970.65</v>
      </c>
      <c r="I262" s="2">
        <v>29608.63</v>
      </c>
    </row>
    <row r="263" spans="1:9" x14ac:dyDescent="0.25">
      <c r="A263" t="s">
        <v>335</v>
      </c>
      <c r="B263">
        <v>596</v>
      </c>
      <c r="C263">
        <v>833</v>
      </c>
      <c r="D263">
        <v>972</v>
      </c>
      <c r="E263" s="2">
        <v>1340.87</v>
      </c>
      <c r="F263" s="2">
        <v>1936.1</v>
      </c>
      <c r="G263" s="2">
        <v>1978.08</v>
      </c>
      <c r="H263" s="2">
        <v>2084.4</v>
      </c>
      <c r="I263" s="2">
        <v>2328.41</v>
      </c>
    </row>
    <row r="264" spans="1:9" x14ac:dyDescent="0.25">
      <c r="A264" t="s">
        <v>336</v>
      </c>
      <c r="E264">
        <v>-930</v>
      </c>
      <c r="F264">
        <v>-195</v>
      </c>
    </row>
    <row r="265" spans="1:9" x14ac:dyDescent="0.25">
      <c r="A265" t="s">
        <v>337</v>
      </c>
      <c r="B265">
        <v>0</v>
      </c>
      <c r="D265">
        <v>59</v>
      </c>
      <c r="E265">
        <v>534.83000000000004</v>
      </c>
      <c r="F265" s="2">
        <v>1071</v>
      </c>
      <c r="G265">
        <v>188</v>
      </c>
    </row>
    <row r="266" spans="1:9" x14ac:dyDescent="0.25">
      <c r="A266" t="s">
        <v>338</v>
      </c>
      <c r="B266" s="2">
        <v>-2896</v>
      </c>
      <c r="C266" s="2">
        <v>-1165</v>
      </c>
      <c r="D266">
        <v>-666</v>
      </c>
      <c r="E266" s="2">
        <v>-17566.82</v>
      </c>
      <c r="F266" s="2">
        <v>-16887.349999999999</v>
      </c>
      <c r="G266" s="2">
        <v>-5470.7</v>
      </c>
      <c r="H266" s="2">
        <v>21629.01</v>
      </c>
    </row>
    <row r="267" spans="1:9" x14ac:dyDescent="0.25">
      <c r="A267" t="s">
        <v>339</v>
      </c>
      <c r="B267" s="2">
        <v>2763</v>
      </c>
      <c r="C267" s="2">
        <v>-3581</v>
      </c>
      <c r="D267" s="2">
        <v>-1776</v>
      </c>
      <c r="E267" s="2">
        <v>-23117.68</v>
      </c>
      <c r="F267" s="2">
        <v>-14415.88</v>
      </c>
      <c r="G267" s="2">
        <v>-2928.66</v>
      </c>
      <c r="H267" s="2">
        <v>-1564.33</v>
      </c>
    </row>
    <row r="268" spans="1:9" x14ac:dyDescent="0.25">
      <c r="A268" t="s">
        <v>340</v>
      </c>
      <c r="B268" s="2">
        <v>-3555</v>
      </c>
      <c r="C268">
        <v>-488</v>
      </c>
      <c r="D268">
        <v>520</v>
      </c>
      <c r="E268" s="2">
        <v>-2142.58</v>
      </c>
      <c r="F268" s="2">
        <v>-3689.1</v>
      </c>
      <c r="G268" s="2">
        <v>-6279.5</v>
      </c>
      <c r="H268" s="2">
        <v>-3657.54</v>
      </c>
      <c r="I268" s="2">
        <v>-8365.74</v>
      </c>
    </row>
    <row r="269" spans="1:9" x14ac:dyDescent="0.25">
      <c r="A269" t="s">
        <v>158</v>
      </c>
      <c r="B269" s="2">
        <v>-2104</v>
      </c>
      <c r="C269" s="2">
        <v>1915</v>
      </c>
      <c r="D269">
        <v>862</v>
      </c>
      <c r="E269" s="2">
        <v>2408.9299999999998</v>
      </c>
      <c r="F269" s="2">
        <v>3493.43</v>
      </c>
      <c r="G269" s="2">
        <v>3880.15</v>
      </c>
      <c r="H269" s="2">
        <v>2542.7199999999998</v>
      </c>
    </row>
    <row r="270" spans="1:9" x14ac:dyDescent="0.25">
      <c r="A270" t="s">
        <v>341</v>
      </c>
      <c r="E270" s="2">
        <v>3782.5</v>
      </c>
      <c r="F270" s="2">
        <v>-1454</v>
      </c>
    </row>
    <row r="271" spans="1:9" x14ac:dyDescent="0.25">
      <c r="A271" t="s">
        <v>342</v>
      </c>
      <c r="B271" s="2">
        <v>-2896</v>
      </c>
      <c r="C271" s="2">
        <v>-1165</v>
      </c>
      <c r="D271">
        <v>-666</v>
      </c>
      <c r="E271" s="2">
        <v>-17566.82</v>
      </c>
      <c r="F271" s="2">
        <v>-16887.349999999999</v>
      </c>
      <c r="G271" s="2">
        <v>-5470.7</v>
      </c>
      <c r="H271" s="2">
        <v>21629.01</v>
      </c>
    </row>
    <row r="272" spans="1:9" x14ac:dyDescent="0.25">
      <c r="A272" t="s">
        <v>204</v>
      </c>
      <c r="B272" s="2">
        <v>1559</v>
      </c>
      <c r="C272" s="2">
        <v>8507</v>
      </c>
      <c r="D272" s="2">
        <v>17525</v>
      </c>
      <c r="E272" s="2">
        <v>77609.52</v>
      </c>
      <c r="F272" s="2">
        <v>183606.37</v>
      </c>
      <c r="G272" s="2">
        <v>214348.59</v>
      </c>
      <c r="H272" s="2">
        <v>231497.55</v>
      </c>
      <c r="I272" s="2">
        <v>221798.61</v>
      </c>
    </row>
    <row r="273" spans="1:11" x14ac:dyDescent="0.25">
      <c r="A273" t="s">
        <v>17</v>
      </c>
    </row>
    <row r="274" spans="1:11" x14ac:dyDescent="0.25">
      <c r="A274" t="s">
        <v>205</v>
      </c>
    </row>
    <row r="275" spans="1:11" x14ac:dyDescent="0.25">
      <c r="A275" t="s">
        <v>206</v>
      </c>
      <c r="B275" s="2">
        <v>-7676</v>
      </c>
      <c r="C275" s="2">
        <v>-8386</v>
      </c>
      <c r="D275" s="2">
        <v>-15857</v>
      </c>
      <c r="E275" s="2">
        <v>-28179.279999999999</v>
      </c>
      <c r="F275" s="2">
        <v>-46284.67</v>
      </c>
      <c r="G275" s="2">
        <v>-48932.04</v>
      </c>
      <c r="H275" s="2">
        <v>-59012.88</v>
      </c>
      <c r="I275" s="2">
        <v>-47593.71</v>
      </c>
      <c r="J275" s="2">
        <v>-27932</v>
      </c>
      <c r="K275" s="2">
        <v>-33492</v>
      </c>
    </row>
    <row r="276" spans="1:11" x14ac:dyDescent="0.25">
      <c r="A276" t="s">
        <v>61</v>
      </c>
      <c r="B276">
        <v>49.4</v>
      </c>
      <c r="C276">
        <v>33.4</v>
      </c>
      <c r="D276">
        <v>42.42</v>
      </c>
      <c r="E276">
        <v>22.29</v>
      </c>
      <c r="F276">
        <v>19.78</v>
      </c>
      <c r="G276">
        <v>18.350000000000001</v>
      </c>
      <c r="H276">
        <v>45.17</v>
      </c>
      <c r="I276">
        <v>18.760000000000002</v>
      </c>
    </row>
    <row r="277" spans="1:11" x14ac:dyDescent="0.25">
      <c r="A277" t="s">
        <v>343</v>
      </c>
      <c r="B277">
        <v>868</v>
      </c>
      <c r="C277">
        <v>110</v>
      </c>
      <c r="D277" s="2">
        <v>1813</v>
      </c>
      <c r="E277" s="2">
        <v>-3412.21</v>
      </c>
      <c r="F277" s="2">
        <v>-1640.14</v>
      </c>
      <c r="G277" s="2">
        <v>-1652.57</v>
      </c>
    </row>
    <row r="278" spans="1:11" x14ac:dyDescent="0.25">
      <c r="A278" t="s">
        <v>344</v>
      </c>
      <c r="B278" s="2">
        <v>1591</v>
      </c>
      <c r="C278" s="2">
        <v>2109</v>
      </c>
      <c r="D278" s="2">
        <v>3703</v>
      </c>
      <c r="E278" s="2">
        <v>1233</v>
      </c>
      <c r="F278">
        <v>0</v>
      </c>
      <c r="G278">
        <v>0</v>
      </c>
    </row>
    <row r="279" spans="1:11" x14ac:dyDescent="0.25">
      <c r="A279" t="s">
        <v>345</v>
      </c>
      <c r="B279">
        <v>-723</v>
      </c>
      <c r="C279" s="2">
        <v>-1999</v>
      </c>
      <c r="D279" s="2">
        <v>-1890</v>
      </c>
      <c r="E279" s="2">
        <v>-4726.67</v>
      </c>
      <c r="F279" s="2">
        <v>-4000</v>
      </c>
      <c r="G279" s="2">
        <v>-4000</v>
      </c>
    </row>
    <row r="280" spans="1:11" x14ac:dyDescent="0.25">
      <c r="A280" t="s">
        <v>346</v>
      </c>
      <c r="B280">
        <v>617</v>
      </c>
      <c r="C280">
        <v>-33</v>
      </c>
      <c r="D280">
        <v>-43</v>
      </c>
      <c r="E280" s="2">
        <v>3325.6</v>
      </c>
      <c r="F280" s="2">
        <v>2309.02</v>
      </c>
      <c r="G280" s="2">
        <v>2474.48</v>
      </c>
    </row>
    <row r="281" spans="1:11" x14ac:dyDescent="0.25">
      <c r="A281" t="s">
        <v>213</v>
      </c>
      <c r="B281" s="2">
        <v>-6191</v>
      </c>
      <c r="C281" s="2">
        <v>-8309</v>
      </c>
      <c r="D281" s="2">
        <v>-14087</v>
      </c>
      <c r="E281" s="2">
        <v>-29775.08</v>
      </c>
      <c r="F281" s="2">
        <v>-50569.04</v>
      </c>
      <c r="G281" s="2">
        <v>-57669.45</v>
      </c>
      <c r="H281" s="2">
        <v>-65807.320000000007</v>
      </c>
      <c r="I281" s="2">
        <v>-31339.99</v>
      </c>
    </row>
    <row r="282" spans="1:11" x14ac:dyDescent="0.25">
      <c r="A282" t="s">
        <v>17</v>
      </c>
    </row>
    <row r="283" spans="1:11" x14ac:dyDescent="0.25">
      <c r="A283" t="s">
        <v>214</v>
      </c>
    </row>
    <row r="284" spans="1:11" x14ac:dyDescent="0.25">
      <c r="A284" t="s">
        <v>347</v>
      </c>
      <c r="B284">
        <v>-504</v>
      </c>
      <c r="C284">
        <v>-513</v>
      </c>
      <c r="D284">
        <v>-522</v>
      </c>
      <c r="E284" s="2">
        <v>-1000.01</v>
      </c>
      <c r="F284" s="2">
        <v>-6245.12</v>
      </c>
      <c r="G284" s="2">
        <v>-9987.7999999999993</v>
      </c>
      <c r="H284" s="2">
        <v>-35141.89</v>
      </c>
      <c r="I284" s="2">
        <v>-71117.929999999993</v>
      </c>
    </row>
    <row r="285" spans="1:11" x14ac:dyDescent="0.25">
      <c r="A285" t="s">
        <v>348</v>
      </c>
      <c r="B285">
        <v>-761</v>
      </c>
      <c r="C285" s="2">
        <v>-1897</v>
      </c>
      <c r="D285" s="2">
        <v>-4619</v>
      </c>
      <c r="E285" s="2">
        <v>-7839.09</v>
      </c>
      <c r="F285" s="2">
        <v>-3360.39</v>
      </c>
      <c r="G285" s="2">
        <v>-3774</v>
      </c>
    </row>
    <row r="286" spans="1:11" x14ac:dyDescent="0.25">
      <c r="A286" t="s">
        <v>349</v>
      </c>
      <c r="B286" s="2">
        <v>5955</v>
      </c>
      <c r="C286">
        <v>-898</v>
      </c>
      <c r="D286">
        <v>-189</v>
      </c>
      <c r="E286" s="2">
        <v>-9263.4</v>
      </c>
      <c r="F286" s="2">
        <v>-1213.04</v>
      </c>
      <c r="G286" s="2">
        <v>-1957.33</v>
      </c>
      <c r="H286" s="2">
        <v>-4622</v>
      </c>
      <c r="I286" s="2">
        <v>-7244</v>
      </c>
    </row>
    <row r="287" spans="1:11" x14ac:dyDescent="0.25">
      <c r="A287" t="s">
        <v>350</v>
      </c>
      <c r="B287">
        <v>-425</v>
      </c>
      <c r="C287">
        <v>-300</v>
      </c>
      <c r="D287">
        <v>0</v>
      </c>
      <c r="E287" s="2">
        <v>-1031</v>
      </c>
      <c r="F287" s="2">
        <v>-19268</v>
      </c>
      <c r="G287" s="2">
        <v>-43918.83</v>
      </c>
    </row>
    <row r="288" spans="1:11" x14ac:dyDescent="0.25">
      <c r="A288" t="s">
        <v>351</v>
      </c>
      <c r="B288">
        <v>502.78</v>
      </c>
      <c r="C288">
        <v>127.08</v>
      </c>
      <c r="D288">
        <v>513.36</v>
      </c>
      <c r="E288" s="2">
        <v>1078.44</v>
      </c>
      <c r="F288" s="2">
        <v>2379.73</v>
      </c>
      <c r="G288" s="2">
        <v>3011.02</v>
      </c>
      <c r="H288">
        <v>928.91</v>
      </c>
      <c r="I288" s="2">
        <v>1355.27</v>
      </c>
    </row>
    <row r="289" spans="1:11" x14ac:dyDescent="0.25">
      <c r="A289" t="s">
        <v>352</v>
      </c>
      <c r="B289" s="2">
        <v>6716</v>
      </c>
      <c r="C289">
        <v>999</v>
      </c>
      <c r="D289" s="2">
        <v>4430</v>
      </c>
      <c r="E289" s="2">
        <v>5000</v>
      </c>
      <c r="F289" s="2">
        <v>10000</v>
      </c>
      <c r="G289" s="2">
        <v>5000</v>
      </c>
    </row>
    <row r="290" spans="1:11" x14ac:dyDescent="0.25">
      <c r="A290" t="s">
        <v>353</v>
      </c>
      <c r="B290" s="2">
        <v>4983</v>
      </c>
      <c r="C290" s="2">
        <v>-1842</v>
      </c>
      <c r="D290">
        <v>-850</v>
      </c>
      <c r="E290" s="2">
        <v>-9635.39</v>
      </c>
      <c r="F290" s="2">
        <v>-20257.11</v>
      </c>
      <c r="G290" s="2">
        <v>-34905.39</v>
      </c>
      <c r="H290" s="2">
        <v>-50199.41</v>
      </c>
      <c r="I290" s="2">
        <v>-69507.570000000007</v>
      </c>
    </row>
    <row r="291" spans="1:11" x14ac:dyDescent="0.25">
      <c r="A291" t="s">
        <v>17</v>
      </c>
    </row>
    <row r="292" spans="1:11" x14ac:dyDescent="0.25">
      <c r="A292" t="s">
        <v>176</v>
      </c>
    </row>
    <row r="293" spans="1:11" x14ac:dyDescent="0.25">
      <c r="A293" t="s">
        <v>354</v>
      </c>
      <c r="B293">
        <v>-34</v>
      </c>
      <c r="C293">
        <v>40</v>
      </c>
      <c r="D293">
        <v>6</v>
      </c>
      <c r="E293">
        <v>6.94</v>
      </c>
      <c r="F293">
        <v>-5.2</v>
      </c>
      <c r="G293">
        <v>-5.2</v>
      </c>
      <c r="H293">
        <v>-44</v>
      </c>
      <c r="I293">
        <v>-44</v>
      </c>
    </row>
    <row r="294" spans="1:11" x14ac:dyDescent="0.25">
      <c r="A294" t="s">
        <v>220</v>
      </c>
      <c r="B294">
        <v>317</v>
      </c>
      <c r="C294" s="2">
        <v>-1604</v>
      </c>
      <c r="D294" s="2">
        <v>2594</v>
      </c>
      <c r="E294" s="2">
        <v>36586.449999999997</v>
      </c>
      <c r="F294" s="2">
        <v>109118.94</v>
      </c>
      <c r="G294" s="2">
        <v>117883.6</v>
      </c>
      <c r="H294" s="2">
        <v>124409.07</v>
      </c>
      <c r="I294" s="2">
        <v>113374.75</v>
      </c>
    </row>
    <row r="295" spans="1:11" x14ac:dyDescent="0.25">
      <c r="A295" t="s">
        <v>221</v>
      </c>
      <c r="B295" s="2">
        <v>8339</v>
      </c>
      <c r="C295" s="2">
        <v>8656</v>
      </c>
      <c r="D295" s="2">
        <v>7052</v>
      </c>
      <c r="E295" s="2">
        <v>10390.58</v>
      </c>
      <c r="F295" s="2">
        <v>49451.97</v>
      </c>
      <c r="G295" s="2">
        <v>159374.18</v>
      </c>
      <c r="H295" s="2">
        <v>214987.22</v>
      </c>
      <c r="I295" s="2">
        <v>208728.72</v>
      </c>
      <c r="J295" s="2">
        <v>232130.68</v>
      </c>
    </row>
    <row r="296" spans="1:11" x14ac:dyDescent="0.25">
      <c r="A296" t="s">
        <v>222</v>
      </c>
      <c r="B296" s="2">
        <v>8656</v>
      </c>
      <c r="C296" s="2">
        <v>7052</v>
      </c>
      <c r="D296" s="2">
        <v>9646</v>
      </c>
      <c r="E296" s="2">
        <v>48288.19</v>
      </c>
      <c r="F296" s="2">
        <v>162340.34</v>
      </c>
      <c r="G296" s="2">
        <v>286544.77</v>
      </c>
      <c r="H296" s="2">
        <v>337051.15</v>
      </c>
      <c r="I296" s="2">
        <v>278706.5</v>
      </c>
      <c r="J296" s="2">
        <v>232130.68</v>
      </c>
    </row>
    <row r="297" spans="1:11" x14ac:dyDescent="0.25">
      <c r="A297" t="s">
        <v>225</v>
      </c>
      <c r="B297" s="2">
        <v>-6117</v>
      </c>
      <c r="C297">
        <v>121</v>
      </c>
      <c r="D297" s="2">
        <v>1668</v>
      </c>
      <c r="E297" s="2">
        <v>50680.93</v>
      </c>
      <c r="F297" s="2">
        <v>137173.51999999999</v>
      </c>
      <c r="G297" s="2">
        <v>162829.95000000001</v>
      </c>
      <c r="H297" s="2">
        <v>158182.9</v>
      </c>
      <c r="I297" s="2">
        <v>83248.679999999993</v>
      </c>
      <c r="J297">
        <v>64</v>
      </c>
      <c r="K297">
        <v>73</v>
      </c>
    </row>
    <row r="298" spans="1:11" x14ac:dyDescent="0.25">
      <c r="A298" t="s">
        <v>61</v>
      </c>
      <c r="B298">
        <v>-39.36</v>
      </c>
      <c r="C298">
        <v>0.48</v>
      </c>
      <c r="D298">
        <v>4.46</v>
      </c>
      <c r="E298">
        <v>39.229999999999997</v>
      </c>
      <c r="F298">
        <v>52.28</v>
      </c>
      <c r="G298">
        <v>55.48</v>
      </c>
      <c r="H298">
        <v>51.92</v>
      </c>
      <c r="I298">
        <v>37.46</v>
      </c>
    </row>
    <row r="299" spans="1:11" x14ac:dyDescent="0.25">
      <c r="A299" t="s">
        <v>227</v>
      </c>
      <c r="B299">
        <v>-5.6</v>
      </c>
      <c r="C299">
        <v>0.11</v>
      </c>
      <c r="D299">
        <v>1.48</v>
      </c>
      <c r="E299">
        <v>42.88</v>
      </c>
      <c r="F299">
        <v>117.72</v>
      </c>
      <c r="G299">
        <v>142.52000000000001</v>
      </c>
      <c r="H299" s="2">
        <v>10267.32</v>
      </c>
      <c r="I299">
        <v>237</v>
      </c>
    </row>
    <row r="300" spans="1:11" x14ac:dyDescent="0.25">
      <c r="A300" t="s">
        <v>355</v>
      </c>
      <c r="B300" s="2">
        <v>-5453</v>
      </c>
      <c r="C300">
        <v>386</v>
      </c>
      <c r="D300" s="2">
        <v>3721</v>
      </c>
      <c r="E300" s="2">
        <v>53283.61</v>
      </c>
      <c r="F300" s="2">
        <v>145558.60999999999</v>
      </c>
      <c r="G300" s="2">
        <v>152034.32</v>
      </c>
    </row>
    <row r="301" spans="1:11" x14ac:dyDescent="0.25">
      <c r="A301" t="s">
        <v>356</v>
      </c>
      <c r="B301">
        <v>1.43</v>
      </c>
      <c r="C301">
        <v>7.61</v>
      </c>
      <c r="D301">
        <v>15.58</v>
      </c>
      <c r="E301">
        <v>68.849999999999994</v>
      </c>
      <c r="F301">
        <v>159.04</v>
      </c>
      <c r="G301">
        <v>175.15</v>
      </c>
      <c r="H301" s="2">
        <v>40526.94</v>
      </c>
    </row>
    <row r="302" spans="1:11" x14ac:dyDescent="0.25">
      <c r="A302" t="s">
        <v>229</v>
      </c>
      <c r="B302">
        <v>10.029999999999999</v>
      </c>
      <c r="C302">
        <v>33.880000000000003</v>
      </c>
      <c r="D302">
        <v>46.89</v>
      </c>
      <c r="E302">
        <v>62.55</v>
      </c>
      <c r="F302">
        <v>75.48</v>
      </c>
      <c r="G302">
        <v>76.03</v>
      </c>
    </row>
    <row r="303" spans="1:11" x14ac:dyDescent="0.25">
      <c r="A303" t="s">
        <v>17</v>
      </c>
    </row>
    <row r="304" spans="1:11" x14ac:dyDescent="0.25">
      <c r="A304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300D-580C-497D-A72F-127E28D2B038}">
  <dimension ref="A1:U236"/>
  <sheetViews>
    <sheetView workbookViewId="0">
      <selection sqref="A1:U236"/>
    </sheetView>
  </sheetViews>
  <sheetFormatPr defaultRowHeight="15" x14ac:dyDescent="0.25"/>
  <cols>
    <col min="1" max="1" width="82.42578125" bestFit="1" customWidth="1"/>
    <col min="2" max="19" width="11.7109375" bestFit="1" customWidth="1"/>
    <col min="20" max="21" width="12" bestFit="1" customWidth="1"/>
  </cols>
  <sheetData>
    <row r="1" spans="1:21" x14ac:dyDescent="0.25">
      <c r="A1" t="s">
        <v>357</v>
      </c>
    </row>
    <row r="2" spans="1:21" x14ac:dyDescent="0.25">
      <c r="A2" t="s">
        <v>358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41670</v>
      </c>
      <c r="C4" s="1">
        <v>42035</v>
      </c>
      <c r="D4" s="1">
        <v>42400</v>
      </c>
      <c r="E4" s="1">
        <v>42766</v>
      </c>
      <c r="F4" s="1">
        <v>43131</v>
      </c>
      <c r="G4" s="1">
        <v>43496</v>
      </c>
      <c r="H4" s="1">
        <v>43861</v>
      </c>
      <c r="I4" s="1">
        <v>44227</v>
      </c>
      <c r="J4" s="1">
        <v>44592</v>
      </c>
      <c r="K4" s="1">
        <v>44957</v>
      </c>
      <c r="L4" s="1">
        <v>45323</v>
      </c>
      <c r="M4" s="1">
        <v>45688</v>
      </c>
      <c r="N4" s="1">
        <v>46053</v>
      </c>
      <c r="O4" s="1">
        <v>46418</v>
      </c>
      <c r="P4" s="1">
        <v>46783</v>
      </c>
      <c r="Q4" s="1">
        <v>47149</v>
      </c>
      <c r="R4" s="1">
        <v>47514</v>
      </c>
      <c r="S4" s="1">
        <v>47879</v>
      </c>
      <c r="T4" s="1">
        <v>48244</v>
      </c>
      <c r="U4" s="1">
        <v>48610</v>
      </c>
    </row>
    <row r="5" spans="1:21" x14ac:dyDescent="0.25">
      <c r="A5" t="s">
        <v>14</v>
      </c>
    </row>
    <row r="6" spans="1:21" x14ac:dyDescent="0.25">
      <c r="A6" t="s">
        <v>15</v>
      </c>
      <c r="J6">
        <v>-1.03</v>
      </c>
      <c r="K6">
        <v>-0.7</v>
      </c>
      <c r="L6">
        <v>-0.28000000000000003</v>
      </c>
      <c r="M6">
        <v>0.05</v>
      </c>
      <c r="N6">
        <v>0.2</v>
      </c>
      <c r="O6">
        <v>0.32</v>
      </c>
      <c r="P6">
        <v>0.47</v>
      </c>
      <c r="Q6">
        <v>0.63</v>
      </c>
      <c r="R6">
        <v>0.77</v>
      </c>
      <c r="S6">
        <v>0.85</v>
      </c>
      <c r="T6">
        <v>0.94</v>
      </c>
      <c r="U6">
        <v>0.85</v>
      </c>
    </row>
    <row r="7" spans="1:21" x14ac:dyDescent="0.25">
      <c r="A7" t="s">
        <v>373</v>
      </c>
      <c r="J7">
        <v>204.8</v>
      </c>
      <c r="K7">
        <v>422.18</v>
      </c>
      <c r="L7">
        <v>621.15</v>
      </c>
      <c r="M7">
        <v>821.46</v>
      </c>
      <c r="N7" s="2">
        <v>1001.28</v>
      </c>
      <c r="O7" s="2">
        <v>1205.1400000000001</v>
      </c>
      <c r="P7" s="2">
        <v>1420.97</v>
      </c>
      <c r="Q7" s="2">
        <v>1654.42</v>
      </c>
      <c r="R7" s="2">
        <v>1882.67</v>
      </c>
      <c r="S7" s="2">
        <v>2111.33</v>
      </c>
      <c r="T7" s="2">
        <v>2201</v>
      </c>
      <c r="U7" s="2">
        <v>2031</v>
      </c>
    </row>
    <row r="8" spans="1:21" x14ac:dyDescent="0.25">
      <c r="A8" t="s">
        <v>17</v>
      </c>
    </row>
    <row r="9" spans="1:21" x14ac:dyDescent="0.25">
      <c r="A9" t="s">
        <v>374</v>
      </c>
      <c r="H9">
        <v>66.760000000000005</v>
      </c>
      <c r="I9">
        <v>130.83000000000001</v>
      </c>
      <c r="J9">
        <v>292.3</v>
      </c>
      <c r="K9">
        <v>548.70000000000005</v>
      </c>
      <c r="L9">
        <v>724.4</v>
      </c>
      <c r="M9">
        <v>920.06</v>
      </c>
      <c r="N9" s="2">
        <v>1119.0999999999999</v>
      </c>
      <c r="O9" s="2">
        <v>1332.15</v>
      </c>
      <c r="P9" s="2">
        <v>1554.33</v>
      </c>
      <c r="Q9" s="2">
        <v>1799.09</v>
      </c>
      <c r="S9" s="2"/>
      <c r="T9" s="2"/>
      <c r="U9" s="2"/>
    </row>
    <row r="10" spans="1:21" x14ac:dyDescent="0.25">
      <c r="A10" t="s">
        <v>375</v>
      </c>
      <c r="I10">
        <v>64.06</v>
      </c>
      <c r="J10">
        <v>161.47999999999999</v>
      </c>
      <c r="K10">
        <v>256.39999999999998</v>
      </c>
      <c r="L10">
        <v>175.7</v>
      </c>
      <c r="M10">
        <v>195.7</v>
      </c>
      <c r="N10">
        <v>199</v>
      </c>
      <c r="O10">
        <v>212.27</v>
      </c>
      <c r="P10">
        <v>221.64</v>
      </c>
      <c r="Q10">
        <v>239.9</v>
      </c>
    </row>
    <row r="11" spans="1:21" x14ac:dyDescent="0.25">
      <c r="A11" t="s">
        <v>376</v>
      </c>
      <c r="K11">
        <v>905</v>
      </c>
      <c r="L11" s="2">
        <v>1133</v>
      </c>
      <c r="M11" s="2">
        <v>1411</v>
      </c>
      <c r="N11" s="2">
        <v>1667</v>
      </c>
      <c r="O11" s="2">
        <v>1877.58</v>
      </c>
      <c r="P11" s="2">
        <v>2148.35</v>
      </c>
      <c r="Q11" s="2">
        <v>2352.5</v>
      </c>
      <c r="R11" s="2"/>
      <c r="S11" s="2"/>
      <c r="T11" s="2"/>
      <c r="U11" s="2"/>
    </row>
    <row r="12" spans="1:21" x14ac:dyDescent="0.25">
      <c r="A12" t="s">
        <v>377</v>
      </c>
      <c r="H12">
        <v>119</v>
      </c>
      <c r="I12">
        <v>117</v>
      </c>
      <c r="J12">
        <v>129</v>
      </c>
      <c r="K12">
        <v>132</v>
      </c>
      <c r="L12">
        <v>114</v>
      </c>
      <c r="M12">
        <v>110</v>
      </c>
      <c r="O12">
        <v>109.83</v>
      </c>
      <c r="P12">
        <v>109.25</v>
      </c>
      <c r="Q12">
        <v>109.8</v>
      </c>
    </row>
    <row r="13" spans="1:21" x14ac:dyDescent="0.25">
      <c r="A13" t="s">
        <v>24</v>
      </c>
      <c r="I13">
        <v>142.12</v>
      </c>
      <c r="J13">
        <v>324.98</v>
      </c>
      <c r="K13">
        <v>566.41999999999996</v>
      </c>
      <c r="L13">
        <v>729.43</v>
      </c>
      <c r="M13">
        <v>257.92</v>
      </c>
      <c r="N13" s="2">
        <v>1634.35</v>
      </c>
      <c r="O13" s="2">
        <v>1257.47</v>
      </c>
      <c r="P13" s="2">
        <v>1477.28</v>
      </c>
      <c r="Q13" s="2">
        <v>1712.32</v>
      </c>
      <c r="R13" s="2">
        <v>1903.2</v>
      </c>
      <c r="S13" s="2">
        <v>2095.34</v>
      </c>
      <c r="T13" s="2">
        <v>2277.84</v>
      </c>
      <c r="U13" s="2">
        <v>2073.23</v>
      </c>
    </row>
    <row r="14" spans="1:21" x14ac:dyDescent="0.25">
      <c r="A14" t="s">
        <v>17</v>
      </c>
    </row>
    <row r="15" spans="1:21" x14ac:dyDescent="0.25">
      <c r="A15" t="s">
        <v>378</v>
      </c>
      <c r="H15">
        <v>28.28</v>
      </c>
      <c r="I15">
        <v>54.03</v>
      </c>
      <c r="J15">
        <v>128.91</v>
      </c>
      <c r="K15">
        <v>304.56</v>
      </c>
      <c r="L15">
        <v>481.06</v>
      </c>
      <c r="M15">
        <v>651.58000000000004</v>
      </c>
      <c r="N15">
        <v>787.33</v>
      </c>
      <c r="O15">
        <v>931.97</v>
      </c>
      <c r="P15" s="2">
        <v>1105.26</v>
      </c>
      <c r="Q15" s="2">
        <v>1289.8699999999999</v>
      </c>
      <c r="R15" s="2">
        <v>1438.34</v>
      </c>
      <c r="S15" s="2">
        <v>1589.94</v>
      </c>
      <c r="T15" s="2">
        <v>1743.8</v>
      </c>
      <c r="U15" s="2">
        <v>1591.63</v>
      </c>
    </row>
    <row r="16" spans="1:21" x14ac:dyDescent="0.25">
      <c r="A16" t="s">
        <v>85</v>
      </c>
      <c r="J16">
        <v>63</v>
      </c>
      <c r="K16">
        <v>72</v>
      </c>
      <c r="L16">
        <v>77</v>
      </c>
      <c r="M16">
        <v>79</v>
      </c>
      <c r="N16">
        <v>79</v>
      </c>
      <c r="O16">
        <v>77.33</v>
      </c>
      <c r="P16">
        <v>77.87</v>
      </c>
      <c r="Q16">
        <v>77.91</v>
      </c>
      <c r="R16">
        <v>78.47</v>
      </c>
      <c r="S16">
        <v>78.8</v>
      </c>
      <c r="T16">
        <v>79.12</v>
      </c>
      <c r="U16">
        <v>78.36</v>
      </c>
    </row>
    <row r="17" spans="1:21" x14ac:dyDescent="0.25">
      <c r="A17" t="s">
        <v>29</v>
      </c>
      <c r="J17">
        <v>-174.59</v>
      </c>
      <c r="K17">
        <v>-208.86</v>
      </c>
      <c r="L17">
        <v>-118.23</v>
      </c>
      <c r="M17">
        <v>-25.42</v>
      </c>
      <c r="N17">
        <v>34.619999999999997</v>
      </c>
      <c r="O17">
        <v>126.62</v>
      </c>
      <c r="P17">
        <v>193.97</v>
      </c>
      <c r="Q17">
        <v>274.27999999999997</v>
      </c>
      <c r="R17">
        <v>390.5</v>
      </c>
      <c r="S17">
        <v>463</v>
      </c>
      <c r="T17">
        <v>538.5</v>
      </c>
      <c r="U17">
        <v>412</v>
      </c>
    </row>
    <row r="18" spans="1:21" x14ac:dyDescent="0.25">
      <c r="A18" t="s">
        <v>92</v>
      </c>
      <c r="J18">
        <v>-85.25</v>
      </c>
      <c r="K18">
        <v>-49.47</v>
      </c>
      <c r="L18">
        <v>-19.03</v>
      </c>
      <c r="M18">
        <v>-3.09</v>
      </c>
      <c r="N18">
        <v>3.46</v>
      </c>
      <c r="O18">
        <v>10.5</v>
      </c>
      <c r="P18">
        <v>13.67</v>
      </c>
      <c r="Q18">
        <v>16.77</v>
      </c>
      <c r="R18">
        <v>21.02</v>
      </c>
      <c r="S18">
        <v>22.6</v>
      </c>
      <c r="T18">
        <v>23.95</v>
      </c>
      <c r="U18">
        <v>20.260000000000002</v>
      </c>
    </row>
    <row r="19" spans="1:21" x14ac:dyDescent="0.25">
      <c r="A19" t="s">
        <v>17</v>
      </c>
    </row>
    <row r="20" spans="1:21" x14ac:dyDescent="0.25">
      <c r="A20" t="s">
        <v>27</v>
      </c>
      <c r="H20">
        <v>92.77</v>
      </c>
      <c r="I20">
        <v>141.84</v>
      </c>
      <c r="J20">
        <v>262.02</v>
      </c>
      <c r="K20">
        <v>406.26</v>
      </c>
      <c r="L20">
        <v>514.53</v>
      </c>
      <c r="M20">
        <v>572.14</v>
      </c>
      <c r="N20">
        <v>633.07000000000005</v>
      </c>
      <c r="O20">
        <v>676.66</v>
      </c>
      <c r="P20">
        <v>716.57</v>
      </c>
      <c r="Q20">
        <v>792.99</v>
      </c>
      <c r="R20">
        <v>826.48</v>
      </c>
      <c r="S20">
        <v>909.68</v>
      </c>
      <c r="T20" s="2">
        <v>1002.86</v>
      </c>
    </row>
    <row r="21" spans="1:21" x14ac:dyDescent="0.25">
      <c r="A21" t="s">
        <v>379</v>
      </c>
      <c r="H21">
        <v>45.36</v>
      </c>
      <c r="I21">
        <v>395.47</v>
      </c>
      <c r="J21" s="2">
        <v>1669.3</v>
      </c>
      <c r="K21">
        <v>137.94</v>
      </c>
      <c r="L21">
        <v>256.64999999999998</v>
      </c>
      <c r="M21">
        <v>186.57</v>
      </c>
      <c r="N21">
        <v>169.63</v>
      </c>
      <c r="O21" s="2">
        <v>258.42</v>
      </c>
      <c r="P21">
        <v>411.27</v>
      </c>
      <c r="Q21">
        <v>568.92999999999995</v>
      </c>
      <c r="R21">
        <v>601.54</v>
      </c>
      <c r="S21">
        <v>798.92</v>
      </c>
      <c r="T21" s="2">
        <v>1026</v>
      </c>
      <c r="U21" s="2">
        <v>2132.7399999999998</v>
      </c>
    </row>
    <row r="22" spans="1:21" x14ac:dyDescent="0.25">
      <c r="A22" t="s">
        <v>17</v>
      </c>
    </row>
    <row r="23" spans="1:21" x14ac:dyDescent="0.25">
      <c r="A23" t="s">
        <v>37</v>
      </c>
    </row>
    <row r="24" spans="1:21" x14ac:dyDescent="0.25">
      <c r="A24" t="s">
        <v>17</v>
      </c>
    </row>
    <row r="25" spans="1:21" x14ac:dyDescent="0.25">
      <c r="A25" t="s">
        <v>38</v>
      </c>
    </row>
    <row r="26" spans="1:21" x14ac:dyDescent="0.25">
      <c r="A26" t="s">
        <v>43</v>
      </c>
      <c r="H26">
        <v>450</v>
      </c>
      <c r="I26">
        <v>700</v>
      </c>
      <c r="J26" s="2">
        <v>1200</v>
      </c>
      <c r="K26" s="2">
        <v>2100</v>
      </c>
      <c r="L26" s="2">
        <v>2300</v>
      </c>
      <c r="M26" s="2">
        <v>2800</v>
      </c>
      <c r="N26" s="2">
        <v>2900</v>
      </c>
      <c r="O26" s="2">
        <v>2862</v>
      </c>
      <c r="P26" s="2">
        <v>3245</v>
      </c>
      <c r="Q26" s="2"/>
      <c r="R26" s="2"/>
      <c r="S26" s="2"/>
      <c r="T26" s="2"/>
      <c r="U26" s="2"/>
    </row>
    <row r="27" spans="1:21" x14ac:dyDescent="0.25">
      <c r="A27" t="s">
        <v>374</v>
      </c>
      <c r="H27">
        <v>66.760000000000005</v>
      </c>
      <c r="I27">
        <v>130.83000000000001</v>
      </c>
      <c r="J27">
        <v>292.3</v>
      </c>
      <c r="K27">
        <v>548.70000000000005</v>
      </c>
      <c r="L27">
        <v>724.4</v>
      </c>
      <c r="M27">
        <v>920.06</v>
      </c>
      <c r="N27" s="2">
        <v>1119.0999999999999</v>
      </c>
      <c r="O27" s="2">
        <v>1332.15</v>
      </c>
      <c r="P27" s="2">
        <v>1554.33</v>
      </c>
      <c r="Q27" s="2">
        <v>1799.09</v>
      </c>
      <c r="S27" s="2"/>
      <c r="T27" s="2"/>
      <c r="U27" s="2"/>
    </row>
    <row r="28" spans="1:21" x14ac:dyDescent="0.25">
      <c r="A28" t="s">
        <v>375</v>
      </c>
      <c r="I28">
        <v>64.06</v>
      </c>
      <c r="J28">
        <v>161.47999999999999</v>
      </c>
      <c r="K28">
        <v>256.39999999999998</v>
      </c>
      <c r="L28">
        <v>175.7</v>
      </c>
      <c r="M28">
        <v>195.7</v>
      </c>
      <c r="N28">
        <v>199</v>
      </c>
      <c r="O28">
        <v>212.27</v>
      </c>
      <c r="P28">
        <v>221.64</v>
      </c>
      <c r="Q28">
        <v>239.9</v>
      </c>
    </row>
    <row r="29" spans="1:21" x14ac:dyDescent="0.25">
      <c r="A29" t="s">
        <v>380</v>
      </c>
      <c r="H29">
        <v>119</v>
      </c>
      <c r="I29">
        <v>117</v>
      </c>
      <c r="J29">
        <v>129</v>
      </c>
      <c r="K29">
        <v>132</v>
      </c>
      <c r="L29">
        <v>114</v>
      </c>
      <c r="M29">
        <v>110</v>
      </c>
      <c r="O29">
        <v>109.83</v>
      </c>
      <c r="P29">
        <v>109.25</v>
      </c>
      <c r="Q29">
        <v>109.8</v>
      </c>
    </row>
    <row r="30" spans="1:21" x14ac:dyDescent="0.25">
      <c r="A30" t="s">
        <v>381</v>
      </c>
      <c r="O30">
        <v>96.7</v>
      </c>
      <c r="P30">
        <v>97.13</v>
      </c>
      <c r="Q30">
        <v>97</v>
      </c>
    </row>
    <row r="31" spans="1:21" x14ac:dyDescent="0.25">
      <c r="A31" t="s">
        <v>376</v>
      </c>
      <c r="K31">
        <v>905</v>
      </c>
      <c r="L31" s="2">
        <v>1133</v>
      </c>
      <c r="M31" s="2">
        <v>1411</v>
      </c>
      <c r="N31" s="2">
        <v>1667</v>
      </c>
      <c r="O31" s="2">
        <v>1877.58</v>
      </c>
      <c r="P31" s="2">
        <v>2148.35</v>
      </c>
      <c r="Q31" s="2">
        <v>2352.5</v>
      </c>
      <c r="R31" s="2"/>
      <c r="S31" s="2"/>
      <c r="T31" s="2"/>
      <c r="U31" s="2"/>
    </row>
    <row r="32" spans="1:21" x14ac:dyDescent="0.25">
      <c r="A32" t="s">
        <v>382</v>
      </c>
      <c r="I32">
        <v>3.9</v>
      </c>
      <c r="J32">
        <v>6.7</v>
      </c>
      <c r="K32">
        <v>10</v>
      </c>
      <c r="L32">
        <v>1.1299999999999999</v>
      </c>
      <c r="O32">
        <v>17.510000000000002</v>
      </c>
      <c r="P32">
        <v>19.29</v>
      </c>
      <c r="Q32">
        <v>21.52</v>
      </c>
    </row>
    <row r="33" spans="1:21" x14ac:dyDescent="0.25">
      <c r="A33" t="s">
        <v>383</v>
      </c>
      <c r="I33">
        <v>160.30000000000001</v>
      </c>
      <c r="J33">
        <v>345.4</v>
      </c>
      <c r="K33">
        <v>609.4</v>
      </c>
      <c r="L33">
        <v>896.2</v>
      </c>
      <c r="M33" s="2">
        <v>1169.0999999999999</v>
      </c>
      <c r="N33" s="2">
        <v>1400</v>
      </c>
      <c r="O33" s="2">
        <v>1813.8</v>
      </c>
      <c r="P33" s="2">
        <v>2204.71</v>
      </c>
      <c r="Q33" s="2">
        <v>2571.41</v>
      </c>
      <c r="R33" s="2"/>
      <c r="S33" s="2"/>
      <c r="T33" s="2"/>
      <c r="U33" s="2"/>
    </row>
    <row r="34" spans="1:21" x14ac:dyDescent="0.25">
      <c r="A34" t="s">
        <v>50</v>
      </c>
      <c r="O34" s="2">
        <v>1466.75</v>
      </c>
      <c r="P34" s="2">
        <v>1758.13</v>
      </c>
      <c r="Q34" s="2">
        <v>2136.58</v>
      </c>
      <c r="T34" s="2"/>
      <c r="U34" s="2"/>
    </row>
    <row r="35" spans="1:21" x14ac:dyDescent="0.25">
      <c r="A35" t="s">
        <v>17</v>
      </c>
    </row>
    <row r="36" spans="1:21" x14ac:dyDescent="0.25">
      <c r="A36" t="s">
        <v>24</v>
      </c>
      <c r="I36">
        <v>142.12</v>
      </c>
      <c r="J36">
        <v>324.98</v>
      </c>
      <c r="K36">
        <v>566.41999999999996</v>
      </c>
      <c r="L36">
        <v>729.43</v>
      </c>
      <c r="M36">
        <v>257.92</v>
      </c>
      <c r="N36" s="2">
        <v>1634.35</v>
      </c>
      <c r="O36" s="2">
        <v>1257.47</v>
      </c>
      <c r="P36" s="2">
        <v>1477.28</v>
      </c>
      <c r="Q36" s="2">
        <v>1712.32</v>
      </c>
      <c r="R36" s="2">
        <v>1903.2</v>
      </c>
      <c r="S36" s="2">
        <v>2095.34</v>
      </c>
      <c r="T36" s="2">
        <v>2277.84</v>
      </c>
      <c r="U36" s="2">
        <v>2073.23</v>
      </c>
    </row>
    <row r="37" spans="1:21" x14ac:dyDescent="0.25">
      <c r="A37" t="s">
        <v>28</v>
      </c>
      <c r="H37">
        <v>46.26</v>
      </c>
      <c r="I37">
        <v>49.07</v>
      </c>
      <c r="J37">
        <v>115.14</v>
      </c>
      <c r="K37">
        <v>92.5</v>
      </c>
      <c r="L37">
        <v>108.2</v>
      </c>
      <c r="M37">
        <v>56.94</v>
      </c>
      <c r="N37">
        <v>59.61</v>
      </c>
      <c r="O37">
        <v>39.35</v>
      </c>
      <c r="P37">
        <v>40.880000000000003</v>
      </c>
      <c r="Q37">
        <v>66.239999999999995</v>
      </c>
      <c r="R37">
        <v>71.14</v>
      </c>
      <c r="S37">
        <v>79.180000000000007</v>
      </c>
      <c r="T37">
        <v>76.760000000000005</v>
      </c>
      <c r="U37">
        <v>41.95</v>
      </c>
    </row>
    <row r="38" spans="1:21" x14ac:dyDescent="0.25">
      <c r="A38" t="s">
        <v>17</v>
      </c>
    </row>
    <row r="39" spans="1:21" x14ac:dyDescent="0.25">
      <c r="A39" t="s">
        <v>58</v>
      </c>
    </row>
    <row r="40" spans="1:21" x14ac:dyDescent="0.25">
      <c r="A40" t="s">
        <v>70</v>
      </c>
    </row>
    <row r="41" spans="1:21" x14ac:dyDescent="0.25">
      <c r="A41" t="s">
        <v>60</v>
      </c>
      <c r="H41">
        <v>42.88</v>
      </c>
      <c r="I41">
        <v>88.95</v>
      </c>
      <c r="J41">
        <v>187.54</v>
      </c>
      <c r="K41">
        <v>380.86</v>
      </c>
      <c r="L41">
        <v>621.15</v>
      </c>
      <c r="M41">
        <v>821.46</v>
      </c>
      <c r="N41" s="2">
        <v>1001.28</v>
      </c>
      <c r="S41" s="2"/>
    </row>
    <row r="42" spans="1:21" x14ac:dyDescent="0.25">
      <c r="A42" t="s">
        <v>61</v>
      </c>
      <c r="H42">
        <v>92</v>
      </c>
      <c r="I42">
        <v>96</v>
      </c>
      <c r="J42">
        <v>92</v>
      </c>
      <c r="K42">
        <v>90</v>
      </c>
    </row>
    <row r="43" spans="1:21" x14ac:dyDescent="0.25">
      <c r="A43" t="s">
        <v>17</v>
      </c>
    </row>
    <row r="44" spans="1:21" x14ac:dyDescent="0.25">
      <c r="A44" t="s">
        <v>384</v>
      </c>
    </row>
    <row r="45" spans="1:21" x14ac:dyDescent="0.25">
      <c r="A45" t="s">
        <v>60</v>
      </c>
      <c r="H45">
        <v>3.59</v>
      </c>
      <c r="I45">
        <v>4.0999999999999996</v>
      </c>
      <c r="J45">
        <v>17.260000000000002</v>
      </c>
      <c r="K45">
        <v>41.32</v>
      </c>
      <c r="O45" s="2">
        <v>1205.21</v>
      </c>
      <c r="P45" s="2">
        <v>1420.65</v>
      </c>
      <c r="Q45" s="2">
        <v>1658.72</v>
      </c>
      <c r="R45" s="2">
        <v>1983.7</v>
      </c>
      <c r="S45" s="2">
        <v>2301.09</v>
      </c>
      <c r="T45" s="2"/>
      <c r="U45" s="2"/>
    </row>
    <row r="46" spans="1:21" x14ac:dyDescent="0.25">
      <c r="A46" t="s">
        <v>61</v>
      </c>
      <c r="H46">
        <v>8</v>
      </c>
      <c r="I46">
        <v>4</v>
      </c>
      <c r="J46">
        <v>8</v>
      </c>
      <c r="K46">
        <v>10</v>
      </c>
    </row>
    <row r="47" spans="1:21" x14ac:dyDescent="0.25">
      <c r="A47" t="s">
        <v>17</v>
      </c>
    </row>
    <row r="48" spans="1:21" x14ac:dyDescent="0.25">
      <c r="A48" t="s">
        <v>72</v>
      </c>
    </row>
    <row r="49" spans="1:21" x14ac:dyDescent="0.25">
      <c r="A49" t="s">
        <v>385</v>
      </c>
    </row>
    <row r="50" spans="1:21" x14ac:dyDescent="0.25">
      <c r="A50" t="s">
        <v>60</v>
      </c>
      <c r="H50">
        <v>33.97</v>
      </c>
      <c r="I50">
        <v>65.5</v>
      </c>
      <c r="J50">
        <v>140.03</v>
      </c>
      <c r="K50">
        <v>276.44</v>
      </c>
      <c r="L50">
        <v>397.89</v>
      </c>
      <c r="M50">
        <v>519.92999999999995</v>
      </c>
      <c r="N50">
        <v>610.01</v>
      </c>
      <c r="O50">
        <v>652.95000000000005</v>
      </c>
      <c r="P50">
        <v>823.94</v>
      </c>
      <c r="Q50">
        <v>913.33</v>
      </c>
    </row>
    <row r="51" spans="1:21" x14ac:dyDescent="0.25">
      <c r="A51" t="s">
        <v>61</v>
      </c>
      <c r="H51">
        <v>73</v>
      </c>
      <c r="I51">
        <v>70</v>
      </c>
      <c r="J51">
        <v>68</v>
      </c>
      <c r="K51">
        <v>65</v>
      </c>
      <c r="L51">
        <v>64</v>
      </c>
      <c r="M51">
        <v>63</v>
      </c>
      <c r="N51">
        <v>61</v>
      </c>
      <c r="O51">
        <v>60.76</v>
      </c>
      <c r="P51">
        <v>61.93</v>
      </c>
      <c r="Q51">
        <v>62.9</v>
      </c>
    </row>
    <row r="52" spans="1:21" x14ac:dyDescent="0.25">
      <c r="A52" t="s">
        <v>17</v>
      </c>
    </row>
    <row r="53" spans="1:21" x14ac:dyDescent="0.25">
      <c r="A53" t="s">
        <v>386</v>
      </c>
    </row>
    <row r="54" spans="1:21" x14ac:dyDescent="0.25">
      <c r="A54" t="s">
        <v>60</v>
      </c>
      <c r="H54">
        <v>12.5</v>
      </c>
      <c r="I54">
        <v>27.56</v>
      </c>
      <c r="J54">
        <v>64.77</v>
      </c>
      <c r="K54">
        <v>145.74</v>
      </c>
      <c r="L54">
        <v>223.27</v>
      </c>
      <c r="M54">
        <v>301.52999999999997</v>
      </c>
      <c r="N54">
        <v>391.27</v>
      </c>
      <c r="O54">
        <v>414.62</v>
      </c>
      <c r="P54">
        <v>533.09</v>
      </c>
      <c r="Q54">
        <v>607.21</v>
      </c>
    </row>
    <row r="55" spans="1:21" x14ac:dyDescent="0.25">
      <c r="A55" t="s">
        <v>61</v>
      </c>
      <c r="H55">
        <v>27</v>
      </c>
      <c r="I55">
        <v>30</v>
      </c>
      <c r="J55">
        <v>32</v>
      </c>
      <c r="K55">
        <v>35</v>
      </c>
      <c r="L55">
        <v>36</v>
      </c>
      <c r="M55">
        <v>37</v>
      </c>
      <c r="N55">
        <v>39</v>
      </c>
      <c r="O55">
        <v>33.26</v>
      </c>
      <c r="P55">
        <v>37.58</v>
      </c>
      <c r="Q55">
        <v>35.43</v>
      </c>
      <c r="R55">
        <v>30.86</v>
      </c>
      <c r="S55">
        <v>28.86</v>
      </c>
      <c r="T55">
        <v>26.86</v>
      </c>
    </row>
    <row r="56" spans="1:21" x14ac:dyDescent="0.25">
      <c r="A56" t="s">
        <v>17</v>
      </c>
    </row>
    <row r="57" spans="1:21" x14ac:dyDescent="0.25">
      <c r="A57" t="s">
        <v>274</v>
      </c>
    </row>
    <row r="58" spans="1:21" x14ac:dyDescent="0.25">
      <c r="A58" t="s">
        <v>80</v>
      </c>
      <c r="J58">
        <v>204.8</v>
      </c>
      <c r="K58">
        <v>422.18</v>
      </c>
      <c r="L58">
        <v>621.15</v>
      </c>
      <c r="M58">
        <v>821.46</v>
      </c>
      <c r="N58" s="2">
        <v>1001.28</v>
      </c>
      <c r="O58" s="2">
        <v>1205.1400000000001</v>
      </c>
      <c r="P58" s="2">
        <v>1420.97</v>
      </c>
      <c r="Q58" s="2">
        <v>1654.42</v>
      </c>
      <c r="R58" s="2">
        <v>1882.67</v>
      </c>
      <c r="S58" s="2">
        <v>2111.33</v>
      </c>
      <c r="T58" s="2">
        <v>2201</v>
      </c>
      <c r="U58" s="2">
        <v>2031</v>
      </c>
    </row>
    <row r="59" spans="1:21" x14ac:dyDescent="0.25">
      <c r="A59" t="s">
        <v>17</v>
      </c>
    </row>
    <row r="60" spans="1:21" x14ac:dyDescent="0.25">
      <c r="A60" t="s">
        <v>82</v>
      </c>
      <c r="H60">
        <v>18.190000000000001</v>
      </c>
      <c r="I60">
        <v>39.020000000000003</v>
      </c>
      <c r="J60">
        <v>75.89</v>
      </c>
      <c r="K60">
        <v>117.62</v>
      </c>
      <c r="L60">
        <v>140.1</v>
      </c>
      <c r="M60">
        <v>169.88</v>
      </c>
      <c r="N60">
        <v>213.95</v>
      </c>
      <c r="O60">
        <v>267.25</v>
      </c>
      <c r="P60">
        <v>313.32</v>
      </c>
      <c r="Q60">
        <v>361.68</v>
      </c>
      <c r="R60">
        <v>378.76</v>
      </c>
      <c r="S60">
        <v>405.65</v>
      </c>
      <c r="T60">
        <v>426.36</v>
      </c>
      <c r="U60">
        <v>439.65</v>
      </c>
    </row>
    <row r="61" spans="1:21" x14ac:dyDescent="0.25">
      <c r="A61" t="s">
        <v>83</v>
      </c>
      <c r="H61">
        <v>39.44</v>
      </c>
      <c r="I61">
        <v>42.27</v>
      </c>
      <c r="J61">
        <v>39.880000000000003</v>
      </c>
      <c r="K61">
        <v>34.15</v>
      </c>
      <c r="L61">
        <v>28.86</v>
      </c>
      <c r="M61">
        <v>25.7</v>
      </c>
      <c r="N61">
        <v>25.88</v>
      </c>
      <c r="O61">
        <v>27.41</v>
      </c>
      <c r="P61">
        <v>26.04</v>
      </c>
      <c r="Q61">
        <v>26.81</v>
      </c>
    </row>
    <row r="62" spans="1:21" x14ac:dyDescent="0.25">
      <c r="A62" t="s">
        <v>84</v>
      </c>
      <c r="H62">
        <v>28.28</v>
      </c>
      <c r="I62">
        <v>54.03</v>
      </c>
      <c r="J62">
        <v>128.91</v>
      </c>
      <c r="K62">
        <v>304.56</v>
      </c>
      <c r="L62">
        <v>481.06</v>
      </c>
      <c r="M62">
        <v>651.58000000000004</v>
      </c>
      <c r="N62">
        <v>787.33</v>
      </c>
      <c r="O62">
        <v>931.97</v>
      </c>
      <c r="P62" s="2">
        <v>1105.26</v>
      </c>
      <c r="Q62" s="2">
        <v>1289.8699999999999</v>
      </c>
      <c r="R62" s="2">
        <v>1438.34</v>
      </c>
      <c r="S62" s="2">
        <v>1589.94</v>
      </c>
      <c r="T62" s="2">
        <v>1743.8</v>
      </c>
      <c r="U62" s="2">
        <v>1591.63</v>
      </c>
    </row>
    <row r="63" spans="1:21" x14ac:dyDescent="0.25">
      <c r="A63" t="s">
        <v>85</v>
      </c>
      <c r="J63">
        <v>63</v>
      </c>
      <c r="K63">
        <v>72</v>
      </c>
      <c r="L63">
        <v>77</v>
      </c>
      <c r="M63">
        <v>79</v>
      </c>
      <c r="N63">
        <v>79</v>
      </c>
      <c r="O63">
        <v>77.33</v>
      </c>
      <c r="P63">
        <v>77.87</v>
      </c>
      <c r="Q63">
        <v>77.91</v>
      </c>
      <c r="R63">
        <v>78.47</v>
      </c>
      <c r="S63">
        <v>78.8</v>
      </c>
      <c r="T63">
        <v>79.12</v>
      </c>
      <c r="U63">
        <v>78.36</v>
      </c>
    </row>
    <row r="64" spans="1:21" x14ac:dyDescent="0.25">
      <c r="A64" t="s">
        <v>17</v>
      </c>
    </row>
    <row r="65" spans="1:21" x14ac:dyDescent="0.25">
      <c r="A65" t="s">
        <v>275</v>
      </c>
      <c r="J65">
        <v>390.35</v>
      </c>
      <c r="K65">
        <v>680.58</v>
      </c>
      <c r="L65">
        <v>820.29</v>
      </c>
      <c r="M65">
        <v>939.71</v>
      </c>
      <c r="N65" s="2">
        <v>1063.4100000000001</v>
      </c>
      <c r="O65" s="2">
        <v>1111.6300000000001</v>
      </c>
      <c r="P65" s="2">
        <v>1256.58</v>
      </c>
      <c r="Q65" s="2">
        <v>1392</v>
      </c>
      <c r="S65" s="2"/>
      <c r="T65" s="2"/>
      <c r="U65" s="2"/>
    </row>
    <row r="66" spans="1:21" x14ac:dyDescent="0.25">
      <c r="A66" t="s">
        <v>387</v>
      </c>
      <c r="J66">
        <v>143.15</v>
      </c>
      <c r="K66">
        <v>261.83999999999997</v>
      </c>
      <c r="L66">
        <v>331.63</v>
      </c>
      <c r="M66">
        <v>395.65</v>
      </c>
      <c r="N66">
        <v>417.98</v>
      </c>
      <c r="O66">
        <v>417.29</v>
      </c>
      <c r="P66">
        <v>480.54</v>
      </c>
      <c r="Q66">
        <v>529.15</v>
      </c>
      <c r="R66">
        <v>579.28</v>
      </c>
      <c r="S66">
        <v>632.22</v>
      </c>
      <c r="T66">
        <v>685.86</v>
      </c>
      <c r="U66">
        <v>657.34</v>
      </c>
    </row>
    <row r="67" spans="1:21" x14ac:dyDescent="0.25">
      <c r="A67" t="s">
        <v>88</v>
      </c>
      <c r="J67">
        <v>59.63</v>
      </c>
      <c r="K67">
        <v>97.77</v>
      </c>
      <c r="L67">
        <v>112.71</v>
      </c>
      <c r="M67">
        <v>102.53</v>
      </c>
      <c r="N67">
        <v>111.72</v>
      </c>
      <c r="O67">
        <v>122.52</v>
      </c>
      <c r="P67">
        <v>135.37</v>
      </c>
      <c r="Q67">
        <v>149.19999999999999</v>
      </c>
      <c r="R67">
        <v>153.44999999999999</v>
      </c>
      <c r="S67">
        <v>164.3</v>
      </c>
      <c r="T67">
        <v>176.19</v>
      </c>
      <c r="U67">
        <v>144.93</v>
      </c>
    </row>
    <row r="68" spans="1:21" x14ac:dyDescent="0.25">
      <c r="A68" t="s">
        <v>89</v>
      </c>
      <c r="J68">
        <v>100.72</v>
      </c>
      <c r="K68">
        <v>153.82</v>
      </c>
      <c r="L68">
        <v>154.94</v>
      </c>
      <c r="M68">
        <v>178.82</v>
      </c>
      <c r="N68">
        <v>223</v>
      </c>
      <c r="O68">
        <v>265.10000000000002</v>
      </c>
      <c r="P68">
        <v>296.27999999999997</v>
      </c>
      <c r="Q68">
        <v>335.81</v>
      </c>
      <c r="R68">
        <v>315.11</v>
      </c>
      <c r="S68">
        <v>330.34</v>
      </c>
      <c r="T68">
        <v>343.38</v>
      </c>
      <c r="U68">
        <v>377.86</v>
      </c>
    </row>
    <row r="69" spans="1:21" x14ac:dyDescent="0.25">
      <c r="A69" t="s">
        <v>61</v>
      </c>
      <c r="J69">
        <v>49.18</v>
      </c>
      <c r="K69">
        <v>36.44</v>
      </c>
      <c r="L69">
        <v>24.94</v>
      </c>
      <c r="M69">
        <v>21.77</v>
      </c>
      <c r="N69">
        <v>22.27</v>
      </c>
      <c r="O69">
        <v>22</v>
      </c>
      <c r="P69">
        <v>20.86</v>
      </c>
      <c r="Q69">
        <v>20.36</v>
      </c>
      <c r="R69">
        <v>17.350000000000001</v>
      </c>
      <c r="S69">
        <v>16.600000000000001</v>
      </c>
      <c r="T69">
        <v>15.93</v>
      </c>
      <c r="U69">
        <v>18.600000000000001</v>
      </c>
    </row>
    <row r="70" spans="1:21" x14ac:dyDescent="0.25">
      <c r="A70" t="s">
        <v>388</v>
      </c>
      <c r="L70">
        <v>6.71</v>
      </c>
      <c r="M70">
        <v>0</v>
      </c>
      <c r="N70">
        <v>12.27</v>
      </c>
      <c r="O70">
        <v>30.56</v>
      </c>
      <c r="P70">
        <v>48.85</v>
      </c>
      <c r="Q70">
        <v>48.85</v>
      </c>
      <c r="R70">
        <v>0</v>
      </c>
      <c r="S70">
        <v>0</v>
      </c>
    </row>
    <row r="71" spans="1:21" x14ac:dyDescent="0.25">
      <c r="A71" t="s">
        <v>17</v>
      </c>
    </row>
    <row r="72" spans="1:21" x14ac:dyDescent="0.25">
      <c r="A72" t="s">
        <v>91</v>
      </c>
      <c r="J72">
        <v>-174.59</v>
      </c>
      <c r="K72">
        <v>-208.86</v>
      </c>
      <c r="L72">
        <v>-118.23</v>
      </c>
      <c r="M72">
        <v>-25.42</v>
      </c>
      <c r="N72">
        <v>34.619999999999997</v>
      </c>
      <c r="O72">
        <v>126.62</v>
      </c>
      <c r="P72">
        <v>193.97</v>
      </c>
      <c r="Q72">
        <v>274.27999999999997</v>
      </c>
      <c r="R72">
        <v>390.5</v>
      </c>
      <c r="S72">
        <v>463</v>
      </c>
      <c r="T72">
        <v>538.5</v>
      </c>
      <c r="U72">
        <v>412</v>
      </c>
    </row>
    <row r="73" spans="1:21" x14ac:dyDescent="0.25">
      <c r="A73" t="s">
        <v>389</v>
      </c>
      <c r="J73">
        <v>-85.25</v>
      </c>
      <c r="K73">
        <v>-49.47</v>
      </c>
      <c r="L73">
        <v>-19.03</v>
      </c>
      <c r="M73">
        <v>-3.09</v>
      </c>
      <c r="N73">
        <v>3.46</v>
      </c>
      <c r="O73">
        <v>10.5</v>
      </c>
      <c r="P73">
        <v>13.67</v>
      </c>
      <c r="Q73">
        <v>16.77</v>
      </c>
      <c r="R73">
        <v>21.02</v>
      </c>
      <c r="S73">
        <v>22.6</v>
      </c>
      <c r="T73">
        <v>23.95</v>
      </c>
      <c r="U73">
        <v>20.260000000000002</v>
      </c>
    </row>
    <row r="74" spans="1:21" x14ac:dyDescent="0.25">
      <c r="A74" t="s">
        <v>17</v>
      </c>
    </row>
    <row r="75" spans="1:21" x14ac:dyDescent="0.25">
      <c r="A75" t="s">
        <v>390</v>
      </c>
      <c r="I75">
        <v>2.84</v>
      </c>
      <c r="J75">
        <v>4.9400000000000004</v>
      </c>
      <c r="K75">
        <v>7.08</v>
      </c>
      <c r="L75">
        <v>10.55</v>
      </c>
      <c r="M75">
        <v>15.75</v>
      </c>
      <c r="N75">
        <v>22.63</v>
      </c>
      <c r="O75">
        <v>25.11</v>
      </c>
      <c r="P75">
        <v>24.74</v>
      </c>
      <c r="Q75">
        <v>37.119999999999997</v>
      </c>
    </row>
    <row r="76" spans="1:21" x14ac:dyDescent="0.25">
      <c r="A76" t="s">
        <v>83</v>
      </c>
      <c r="I76">
        <v>3.05</v>
      </c>
      <c r="J76">
        <v>2.41</v>
      </c>
      <c r="K76">
        <v>1.68</v>
      </c>
      <c r="L76">
        <v>1.7</v>
      </c>
      <c r="M76">
        <v>1.92</v>
      </c>
      <c r="N76">
        <v>2.2599999999999998</v>
      </c>
      <c r="O76">
        <v>2.42</v>
      </c>
      <c r="P76">
        <v>2.12</v>
      </c>
    </row>
    <row r="77" spans="1:21" x14ac:dyDescent="0.25">
      <c r="A77" t="s">
        <v>277</v>
      </c>
      <c r="H77">
        <v>-73.13</v>
      </c>
      <c r="I77">
        <v>-112.68</v>
      </c>
      <c r="J77">
        <v>-259.32</v>
      </c>
      <c r="K77">
        <v>-372.86</v>
      </c>
      <c r="L77">
        <v>-339.5</v>
      </c>
      <c r="M77">
        <v>-286.58999999999997</v>
      </c>
      <c r="N77">
        <v>-266.38</v>
      </c>
      <c r="O77">
        <v>-223.22</v>
      </c>
      <c r="P77">
        <v>-180.06</v>
      </c>
      <c r="Q77">
        <v>-113.17</v>
      </c>
      <c r="R77">
        <v>-109.58</v>
      </c>
      <c r="S77">
        <v>-50.69</v>
      </c>
      <c r="T77">
        <v>8.9600000000000009</v>
      </c>
      <c r="U77">
        <v>68.209999999999994</v>
      </c>
    </row>
    <row r="78" spans="1:21" x14ac:dyDescent="0.25">
      <c r="A78" t="s">
        <v>17</v>
      </c>
    </row>
    <row r="79" spans="1:21" x14ac:dyDescent="0.25">
      <c r="A79" t="s">
        <v>391</v>
      </c>
      <c r="H79">
        <v>1.35</v>
      </c>
      <c r="I79">
        <v>1.59</v>
      </c>
      <c r="J79">
        <v>2.87</v>
      </c>
      <c r="K79">
        <v>-18.29</v>
      </c>
      <c r="L79">
        <v>-45.58</v>
      </c>
      <c r="M79">
        <v>-47.75</v>
      </c>
      <c r="N79">
        <v>-41.6</v>
      </c>
      <c r="O79">
        <v>-17.329999999999998</v>
      </c>
      <c r="P79">
        <v>-20.29</v>
      </c>
      <c r="Q79">
        <v>-20.260000000000002</v>
      </c>
      <c r="R79">
        <v>-6.9</v>
      </c>
      <c r="S79">
        <v>-7.65</v>
      </c>
      <c r="T79">
        <v>-8.5500000000000007</v>
      </c>
      <c r="U79">
        <v>-17.96</v>
      </c>
    </row>
    <row r="80" spans="1:21" x14ac:dyDescent="0.25">
      <c r="A80" t="s">
        <v>392</v>
      </c>
      <c r="H80">
        <v>1.1299999999999999</v>
      </c>
      <c r="I80">
        <v>1.17</v>
      </c>
      <c r="J80">
        <v>0.59</v>
      </c>
      <c r="K80">
        <v>-19.579999999999998</v>
      </c>
      <c r="L80">
        <v>-44.66</v>
      </c>
      <c r="M80">
        <v>-49.93</v>
      </c>
      <c r="N80">
        <v>-42.7</v>
      </c>
      <c r="O80">
        <v>-19.66</v>
      </c>
      <c r="P80">
        <v>-23.24</v>
      </c>
      <c r="Q80">
        <v>-18.600000000000001</v>
      </c>
      <c r="R80">
        <v>-21.78</v>
      </c>
      <c r="S80">
        <v>-21.28</v>
      </c>
    </row>
    <row r="81" spans="1:21" x14ac:dyDescent="0.25">
      <c r="A81" t="s">
        <v>100</v>
      </c>
      <c r="H81">
        <v>-76.33</v>
      </c>
      <c r="I81">
        <v>-117.11</v>
      </c>
      <c r="J81">
        <v>-270.10000000000002</v>
      </c>
      <c r="K81">
        <v>-384.29</v>
      </c>
      <c r="L81">
        <v>-332.83</v>
      </c>
      <c r="M81">
        <v>-281.61</v>
      </c>
      <c r="N81">
        <v>-279.70999999999998</v>
      </c>
      <c r="O81">
        <v>-257.81</v>
      </c>
      <c r="P81">
        <v>-196.49</v>
      </c>
      <c r="Q81">
        <v>-132.13</v>
      </c>
      <c r="R81">
        <v>-128.01</v>
      </c>
      <c r="S81">
        <v>-68.040000000000006</v>
      </c>
      <c r="T81">
        <v>1.33</v>
      </c>
      <c r="U81">
        <v>19.13</v>
      </c>
    </row>
    <row r="82" spans="1:21" x14ac:dyDescent="0.25">
      <c r="A82" t="s">
        <v>17</v>
      </c>
    </row>
    <row r="83" spans="1:21" x14ac:dyDescent="0.25">
      <c r="A83" t="s">
        <v>101</v>
      </c>
      <c r="H83">
        <v>0.24</v>
      </c>
      <c r="I83">
        <v>0.46</v>
      </c>
      <c r="J83">
        <v>1</v>
      </c>
      <c r="K83">
        <v>-5.61</v>
      </c>
      <c r="L83">
        <v>5.86</v>
      </c>
      <c r="M83">
        <v>6.83</v>
      </c>
      <c r="N83">
        <v>171.02</v>
      </c>
      <c r="O83">
        <v>24.04</v>
      </c>
      <c r="P83">
        <v>35.1</v>
      </c>
      <c r="Q83">
        <v>46.26</v>
      </c>
      <c r="R83">
        <v>75.040000000000006</v>
      </c>
      <c r="S83">
        <v>91.85</v>
      </c>
      <c r="T83">
        <v>106.96</v>
      </c>
      <c r="U83">
        <v>73.010000000000005</v>
      </c>
    </row>
    <row r="84" spans="1:21" x14ac:dyDescent="0.25">
      <c r="A84" t="s">
        <v>17</v>
      </c>
    </row>
    <row r="85" spans="1:21" x14ac:dyDescent="0.25">
      <c r="A85" t="s">
        <v>106</v>
      </c>
      <c r="J85">
        <v>-178.46</v>
      </c>
      <c r="K85">
        <v>-194.63</v>
      </c>
      <c r="L85">
        <v>-81.209999999999994</v>
      </c>
      <c r="M85">
        <v>15.15</v>
      </c>
      <c r="N85">
        <v>68.27</v>
      </c>
      <c r="O85">
        <v>115.89</v>
      </c>
      <c r="P85">
        <v>177.51</v>
      </c>
      <c r="Q85">
        <v>246.17</v>
      </c>
      <c r="R85">
        <v>316.33</v>
      </c>
      <c r="S85">
        <v>382</v>
      </c>
      <c r="T85">
        <v>440</v>
      </c>
      <c r="U85">
        <v>356</v>
      </c>
    </row>
    <row r="86" spans="1:21" x14ac:dyDescent="0.25">
      <c r="A86" t="s">
        <v>280</v>
      </c>
      <c r="K86">
        <v>-46.1</v>
      </c>
      <c r="L86">
        <v>-13.07</v>
      </c>
      <c r="M86">
        <v>1.84</v>
      </c>
      <c r="N86">
        <v>6.82</v>
      </c>
      <c r="O86">
        <v>9.61</v>
      </c>
      <c r="P86">
        <v>12.19</v>
      </c>
      <c r="Q86">
        <v>13.31</v>
      </c>
      <c r="R86">
        <v>15.3</v>
      </c>
      <c r="S86">
        <v>16.899999999999999</v>
      </c>
    </row>
    <row r="87" spans="1:21" x14ac:dyDescent="0.25">
      <c r="A87" t="s">
        <v>17</v>
      </c>
    </row>
    <row r="88" spans="1:21" x14ac:dyDescent="0.25">
      <c r="A88" t="s">
        <v>108</v>
      </c>
      <c r="H88">
        <v>32.71</v>
      </c>
      <c r="I88">
        <v>35.479999999999997</v>
      </c>
      <c r="J88">
        <v>174.05</v>
      </c>
      <c r="K88">
        <v>277.8</v>
      </c>
      <c r="L88">
        <v>294.92</v>
      </c>
      <c r="M88">
        <v>314.81</v>
      </c>
      <c r="N88">
        <v>330.11</v>
      </c>
      <c r="O88">
        <v>353.04</v>
      </c>
      <c r="P88">
        <v>370.12</v>
      </c>
      <c r="Q88">
        <v>379</v>
      </c>
      <c r="R88">
        <v>363.19</v>
      </c>
      <c r="S88">
        <v>369.13</v>
      </c>
      <c r="T88">
        <v>412.91</v>
      </c>
      <c r="U88">
        <v>421.23</v>
      </c>
    </row>
    <row r="89" spans="1:21" x14ac:dyDescent="0.25">
      <c r="A89" t="s">
        <v>17</v>
      </c>
    </row>
    <row r="90" spans="1:21" x14ac:dyDescent="0.25">
      <c r="A90" t="s">
        <v>109</v>
      </c>
      <c r="J90">
        <v>174.05</v>
      </c>
      <c r="K90">
        <v>277.8</v>
      </c>
      <c r="L90">
        <v>294.92</v>
      </c>
      <c r="M90">
        <v>333</v>
      </c>
      <c r="N90">
        <v>338.76</v>
      </c>
      <c r="O90">
        <v>352.33</v>
      </c>
      <c r="P90">
        <v>371.16</v>
      </c>
      <c r="Q90">
        <v>372.61</v>
      </c>
      <c r="R90">
        <v>445.65</v>
      </c>
      <c r="S90">
        <v>476.41</v>
      </c>
      <c r="T90">
        <v>509.3</v>
      </c>
    </row>
    <row r="91" spans="1:21" x14ac:dyDescent="0.25">
      <c r="A91" t="s">
        <v>110</v>
      </c>
      <c r="J91">
        <v>-1.03</v>
      </c>
      <c r="K91">
        <v>-0.7</v>
      </c>
      <c r="L91">
        <v>-0.28000000000000003</v>
      </c>
      <c r="M91">
        <v>0.05</v>
      </c>
      <c r="N91">
        <v>0.2</v>
      </c>
      <c r="O91">
        <v>0.32</v>
      </c>
      <c r="P91">
        <v>0.47</v>
      </c>
      <c r="Q91">
        <v>0.63</v>
      </c>
      <c r="R91">
        <v>0.77</v>
      </c>
      <c r="S91">
        <v>0.85</v>
      </c>
      <c r="T91">
        <v>0.94</v>
      </c>
      <c r="U91">
        <v>0.85</v>
      </c>
    </row>
    <row r="92" spans="1:21" x14ac:dyDescent="0.25">
      <c r="A92" t="s">
        <v>17</v>
      </c>
    </row>
    <row r="93" spans="1:21" x14ac:dyDescent="0.25">
      <c r="A93" t="s">
        <v>282</v>
      </c>
    </row>
    <row r="94" spans="1:21" x14ac:dyDescent="0.25">
      <c r="A94" t="s">
        <v>393</v>
      </c>
      <c r="J94">
        <v>204.8</v>
      </c>
      <c r="K94">
        <v>422.18</v>
      </c>
      <c r="L94">
        <v>621.15</v>
      </c>
      <c r="M94">
        <v>821.46</v>
      </c>
      <c r="N94" s="2">
        <v>1001.28</v>
      </c>
      <c r="O94" s="2">
        <v>1205.1400000000001</v>
      </c>
      <c r="P94" s="2">
        <v>1420.97</v>
      </c>
      <c r="Q94" s="2">
        <v>1654.42</v>
      </c>
      <c r="R94" s="2">
        <v>1882.67</v>
      </c>
      <c r="S94" s="2">
        <v>2111.33</v>
      </c>
      <c r="T94" s="2">
        <v>2201</v>
      </c>
      <c r="U94" s="2">
        <v>2031</v>
      </c>
    </row>
    <row r="95" spans="1:21" x14ac:dyDescent="0.25">
      <c r="A95" t="s">
        <v>62</v>
      </c>
      <c r="H95">
        <v>18.329999999999998</v>
      </c>
      <c r="I95">
        <v>39.33</v>
      </c>
      <c r="J95">
        <v>81.680000000000007</v>
      </c>
      <c r="K95">
        <v>144.18</v>
      </c>
      <c r="L95">
        <v>179.28</v>
      </c>
      <c r="M95">
        <v>211.11</v>
      </c>
      <c r="N95">
        <v>259.18</v>
      </c>
      <c r="O95">
        <v>317.24</v>
      </c>
      <c r="P95">
        <v>363.97</v>
      </c>
      <c r="Q95">
        <v>408.22</v>
      </c>
      <c r="R95">
        <v>513.33000000000004</v>
      </c>
      <c r="S95">
        <v>585.20000000000005</v>
      </c>
    </row>
    <row r="96" spans="1:21" x14ac:dyDescent="0.25">
      <c r="A96" t="s">
        <v>63</v>
      </c>
      <c r="H96">
        <v>28.14</v>
      </c>
      <c r="I96">
        <v>53.72</v>
      </c>
      <c r="J96">
        <v>123.12</v>
      </c>
      <c r="K96">
        <v>278</v>
      </c>
      <c r="L96">
        <v>441.87</v>
      </c>
      <c r="M96">
        <v>610.36</v>
      </c>
      <c r="N96">
        <v>742.1</v>
      </c>
      <c r="O96">
        <v>878.86</v>
      </c>
      <c r="P96" s="2">
        <v>1053.8699999999999</v>
      </c>
      <c r="Q96" s="2">
        <v>1247.99</v>
      </c>
      <c r="R96" s="2">
        <v>1459.34</v>
      </c>
      <c r="S96" s="2">
        <v>1674.46</v>
      </c>
      <c r="T96" s="2">
        <v>1841.21</v>
      </c>
      <c r="U96" s="2"/>
    </row>
    <row r="97" spans="1:21" x14ac:dyDescent="0.25">
      <c r="A97" t="s">
        <v>64</v>
      </c>
      <c r="J97">
        <v>60</v>
      </c>
      <c r="K97">
        <v>66</v>
      </c>
      <c r="L97">
        <v>71</v>
      </c>
      <c r="M97">
        <v>74</v>
      </c>
      <c r="N97">
        <v>74</v>
      </c>
      <c r="O97">
        <v>72.56</v>
      </c>
      <c r="P97">
        <v>73.63</v>
      </c>
      <c r="Q97">
        <v>74.41</v>
      </c>
      <c r="R97">
        <v>74.28</v>
      </c>
      <c r="S97">
        <v>74.78</v>
      </c>
      <c r="T97">
        <v>75.28</v>
      </c>
    </row>
    <row r="98" spans="1:21" x14ac:dyDescent="0.25">
      <c r="A98" t="s">
        <v>87</v>
      </c>
      <c r="H98">
        <v>103.13</v>
      </c>
      <c r="I98">
        <v>169.24</v>
      </c>
      <c r="J98">
        <v>390.35</v>
      </c>
      <c r="K98">
        <v>680.58</v>
      </c>
      <c r="L98">
        <v>820.29</v>
      </c>
      <c r="M98">
        <v>939.71</v>
      </c>
      <c r="N98" s="2">
        <v>1063.4100000000001</v>
      </c>
      <c r="O98" s="2">
        <v>1144.69</v>
      </c>
      <c r="P98" s="2">
        <v>1274.1199999999999</v>
      </c>
      <c r="S98" s="2"/>
      <c r="T98" s="2"/>
      <c r="U98" s="2"/>
    </row>
    <row r="99" spans="1:21" x14ac:dyDescent="0.25">
      <c r="A99" t="s">
        <v>61</v>
      </c>
      <c r="H99">
        <v>221.9</v>
      </c>
      <c r="I99">
        <v>181.87</v>
      </c>
      <c r="J99">
        <v>190.6</v>
      </c>
      <c r="K99">
        <v>161.21</v>
      </c>
      <c r="L99">
        <v>132.06</v>
      </c>
      <c r="M99">
        <v>114.4</v>
      </c>
      <c r="N99">
        <v>106.21</v>
      </c>
      <c r="O99">
        <v>96.09</v>
      </c>
      <c r="P99">
        <v>90.96</v>
      </c>
      <c r="Q99">
        <v>180.43</v>
      </c>
    </row>
    <row r="100" spans="1:21" x14ac:dyDescent="0.25">
      <c r="A100" t="s">
        <v>298</v>
      </c>
      <c r="H100">
        <v>66.44</v>
      </c>
      <c r="I100">
        <v>106.8</v>
      </c>
      <c r="J100">
        <v>254.08</v>
      </c>
      <c r="K100">
        <v>473.57</v>
      </c>
      <c r="L100">
        <v>595.41</v>
      </c>
      <c r="M100">
        <v>672.71</v>
      </c>
      <c r="N100">
        <v>727.29</v>
      </c>
      <c r="O100">
        <v>419.3</v>
      </c>
      <c r="P100">
        <v>485.3</v>
      </c>
    </row>
    <row r="101" spans="1:21" x14ac:dyDescent="0.25">
      <c r="A101" t="s">
        <v>394</v>
      </c>
      <c r="H101">
        <v>51.32</v>
      </c>
      <c r="I101">
        <v>77.739999999999995</v>
      </c>
      <c r="J101">
        <v>160.58000000000001</v>
      </c>
      <c r="K101">
        <v>310.85000000000002</v>
      </c>
      <c r="L101">
        <v>397.16</v>
      </c>
      <c r="M101">
        <v>487.23</v>
      </c>
      <c r="N101">
        <v>525.15</v>
      </c>
      <c r="O101">
        <v>495.74</v>
      </c>
      <c r="P101">
        <v>592.98</v>
      </c>
      <c r="Q101">
        <v>641.59</v>
      </c>
      <c r="R101">
        <v>629.86</v>
      </c>
      <c r="S101">
        <v>661.36</v>
      </c>
    </row>
    <row r="102" spans="1:21" x14ac:dyDescent="0.25">
      <c r="A102" t="s">
        <v>115</v>
      </c>
      <c r="H102">
        <v>15.12</v>
      </c>
      <c r="I102">
        <v>29.06</v>
      </c>
      <c r="J102">
        <v>93.5</v>
      </c>
      <c r="K102">
        <v>162.72</v>
      </c>
      <c r="L102">
        <v>198.25</v>
      </c>
      <c r="M102">
        <v>185.49</v>
      </c>
      <c r="N102">
        <v>202.14</v>
      </c>
      <c r="O102">
        <v>208.86</v>
      </c>
      <c r="P102">
        <v>249.59</v>
      </c>
      <c r="Q102">
        <v>257.2</v>
      </c>
      <c r="R102">
        <v>264.76</v>
      </c>
      <c r="S102">
        <v>283.29000000000002</v>
      </c>
    </row>
    <row r="103" spans="1:21" x14ac:dyDescent="0.25">
      <c r="A103" t="s">
        <v>114</v>
      </c>
      <c r="H103">
        <v>36.68</v>
      </c>
      <c r="I103">
        <v>62.44</v>
      </c>
      <c r="J103">
        <v>136.27000000000001</v>
      </c>
      <c r="K103">
        <v>207.01</v>
      </c>
      <c r="L103">
        <v>218.18</v>
      </c>
      <c r="M103">
        <v>267</v>
      </c>
      <c r="N103">
        <v>323.85000000000002</v>
      </c>
      <c r="O103">
        <v>367.7</v>
      </c>
      <c r="P103">
        <v>418.52</v>
      </c>
      <c r="Q103">
        <v>467.7</v>
      </c>
      <c r="R103">
        <v>646.13</v>
      </c>
      <c r="S103">
        <v>743.05</v>
      </c>
    </row>
    <row r="104" spans="1:21" x14ac:dyDescent="0.25">
      <c r="A104" t="s">
        <v>76</v>
      </c>
      <c r="H104">
        <v>78.930000000000007</v>
      </c>
      <c r="I104">
        <v>67.099999999999994</v>
      </c>
      <c r="J104">
        <v>66.540000000000006</v>
      </c>
      <c r="K104">
        <v>49.03</v>
      </c>
      <c r="L104">
        <v>35.119999999999997</v>
      </c>
      <c r="M104">
        <v>32.5</v>
      </c>
      <c r="N104">
        <v>32.340000000000003</v>
      </c>
      <c r="O104">
        <v>30.45</v>
      </c>
      <c r="P104">
        <v>28.48</v>
      </c>
      <c r="Q104">
        <v>26.68</v>
      </c>
    </row>
    <row r="105" spans="1:21" x14ac:dyDescent="0.25">
      <c r="A105" t="s">
        <v>116</v>
      </c>
      <c r="H105">
        <v>-74.98</v>
      </c>
      <c r="I105">
        <v>-115.52</v>
      </c>
      <c r="J105">
        <v>-267.23</v>
      </c>
      <c r="K105">
        <v>-402.58</v>
      </c>
      <c r="L105">
        <v>-378.42</v>
      </c>
      <c r="M105">
        <v>-329.36</v>
      </c>
      <c r="N105">
        <v>-321.31</v>
      </c>
      <c r="O105">
        <v>-271.64</v>
      </c>
      <c r="P105">
        <v>-207.35</v>
      </c>
      <c r="Q105">
        <v>-120.76</v>
      </c>
      <c r="R105">
        <v>-114.99</v>
      </c>
      <c r="S105">
        <v>-42.64</v>
      </c>
      <c r="T105">
        <v>-7.22</v>
      </c>
      <c r="U105">
        <v>1.18</v>
      </c>
    </row>
    <row r="106" spans="1:21" x14ac:dyDescent="0.25">
      <c r="A106" t="s">
        <v>395</v>
      </c>
      <c r="H106">
        <v>-161.35</v>
      </c>
      <c r="I106">
        <v>-124.14</v>
      </c>
      <c r="J106">
        <v>-130.49</v>
      </c>
      <c r="K106">
        <v>-95.36</v>
      </c>
      <c r="L106">
        <v>-60.92</v>
      </c>
      <c r="M106">
        <v>-40.090000000000003</v>
      </c>
      <c r="N106">
        <v>-32.090000000000003</v>
      </c>
      <c r="O106">
        <v>-23.27</v>
      </c>
      <c r="P106">
        <v>-15.84</v>
      </c>
      <c r="Q106">
        <v>-9.3699999999999992</v>
      </c>
      <c r="R106">
        <v>-6.2</v>
      </c>
      <c r="S106">
        <v>-2.2200000000000002</v>
      </c>
      <c r="T106">
        <v>-0.57999999999999996</v>
      </c>
      <c r="U106">
        <v>0.06</v>
      </c>
    </row>
    <row r="107" spans="1:21" x14ac:dyDescent="0.25">
      <c r="A107" t="s">
        <v>396</v>
      </c>
    </row>
    <row r="108" spans="1:21" x14ac:dyDescent="0.25">
      <c r="A108" t="s">
        <v>128</v>
      </c>
      <c r="J108">
        <v>2.17</v>
      </c>
      <c r="K108">
        <v>15.96</v>
      </c>
      <c r="L108">
        <v>20.39</v>
      </c>
      <c r="M108">
        <v>18.059999999999999</v>
      </c>
      <c r="N108">
        <v>22.9</v>
      </c>
      <c r="O108">
        <v>29.61</v>
      </c>
      <c r="P108">
        <v>29.57</v>
      </c>
      <c r="Q108">
        <v>26.76</v>
      </c>
    </row>
    <row r="109" spans="1:21" x14ac:dyDescent="0.25">
      <c r="A109" t="s">
        <v>129</v>
      </c>
      <c r="J109">
        <v>0.73</v>
      </c>
      <c r="K109">
        <v>6.61</v>
      </c>
      <c r="L109">
        <v>7.97</v>
      </c>
      <c r="M109">
        <v>8.9600000000000009</v>
      </c>
      <c r="N109">
        <v>9.41</v>
      </c>
      <c r="O109">
        <v>9.19</v>
      </c>
      <c r="P109">
        <v>9.34</v>
      </c>
      <c r="Q109">
        <v>8.41</v>
      </c>
    </row>
    <row r="110" spans="1:21" x14ac:dyDescent="0.25">
      <c r="A110" t="s">
        <v>397</v>
      </c>
      <c r="H110">
        <v>2.02</v>
      </c>
      <c r="I110">
        <v>1.4</v>
      </c>
      <c r="J110">
        <v>0.79</v>
      </c>
      <c r="K110">
        <v>1.83</v>
      </c>
      <c r="L110">
        <v>1.22</v>
      </c>
      <c r="M110">
        <v>0.17</v>
      </c>
      <c r="N110">
        <v>0</v>
      </c>
      <c r="O110">
        <v>0</v>
      </c>
      <c r="P110">
        <v>0</v>
      </c>
    </row>
    <row r="111" spans="1:21" x14ac:dyDescent="0.25">
      <c r="A111" t="s">
        <v>61</v>
      </c>
      <c r="H111">
        <v>4.34</v>
      </c>
      <c r="I111">
        <v>1.51</v>
      </c>
      <c r="J111">
        <v>0.38</v>
      </c>
      <c r="K111">
        <v>0.43</v>
      </c>
      <c r="L111">
        <v>0.2</v>
      </c>
      <c r="M111">
        <v>0.02</v>
      </c>
      <c r="N111">
        <v>0</v>
      </c>
    </row>
    <row r="112" spans="1:21" x14ac:dyDescent="0.25">
      <c r="A112" t="s">
        <v>398</v>
      </c>
      <c r="H112">
        <v>0.89</v>
      </c>
      <c r="I112">
        <v>0.23</v>
      </c>
      <c r="J112">
        <v>0.2</v>
      </c>
      <c r="K112">
        <v>21.41</v>
      </c>
      <c r="L112">
        <v>45.88</v>
      </c>
      <c r="M112">
        <v>50.1</v>
      </c>
      <c r="N112">
        <v>42.7</v>
      </c>
      <c r="O112">
        <v>21.61</v>
      </c>
      <c r="P112">
        <v>25.28</v>
      </c>
      <c r="Q112">
        <v>24.61</v>
      </c>
    </row>
    <row r="113" spans="1:21" x14ac:dyDescent="0.25">
      <c r="A113" t="s">
        <v>117</v>
      </c>
      <c r="J113">
        <v>-166.68</v>
      </c>
      <c r="K113">
        <v>-179.14</v>
      </c>
      <c r="L113">
        <v>-79.31</v>
      </c>
      <c r="M113">
        <v>17.350000000000001</v>
      </c>
      <c r="N113">
        <v>89.56</v>
      </c>
      <c r="O113">
        <v>195.47</v>
      </c>
      <c r="P113">
        <v>247.4</v>
      </c>
      <c r="Q113">
        <v>392.44</v>
      </c>
      <c r="R113">
        <v>340</v>
      </c>
      <c r="S113">
        <v>397</v>
      </c>
      <c r="T113">
        <v>443</v>
      </c>
      <c r="U113">
        <v>479</v>
      </c>
    </row>
    <row r="114" spans="1:21" x14ac:dyDescent="0.25">
      <c r="A114" t="s">
        <v>286</v>
      </c>
      <c r="H114">
        <v>-157.35</v>
      </c>
      <c r="I114">
        <v>-121.09</v>
      </c>
      <c r="J114">
        <v>-126.62</v>
      </c>
      <c r="K114">
        <v>-88.32</v>
      </c>
      <c r="L114">
        <v>-54.66</v>
      </c>
      <c r="M114">
        <v>-34.89</v>
      </c>
      <c r="N114">
        <v>-26.6</v>
      </c>
      <c r="O114">
        <v>-18.489999999999998</v>
      </c>
      <c r="P114">
        <v>-11.68</v>
      </c>
      <c r="Q114">
        <v>-4.0999999999999996</v>
      </c>
    </row>
    <row r="115" spans="1:21" x14ac:dyDescent="0.25">
      <c r="A115" t="s">
        <v>399</v>
      </c>
      <c r="J115">
        <v>2.2799999999999998</v>
      </c>
      <c r="K115">
        <v>1.29</v>
      </c>
      <c r="L115">
        <v>-0.92</v>
      </c>
      <c r="M115">
        <v>2.1800000000000002</v>
      </c>
      <c r="N115">
        <v>1.1000000000000001</v>
      </c>
      <c r="O115">
        <v>4.55</v>
      </c>
      <c r="P115">
        <v>1.47</v>
      </c>
      <c r="Q115">
        <v>0.46</v>
      </c>
      <c r="R115">
        <v>4.75</v>
      </c>
      <c r="S115">
        <v>4.75</v>
      </c>
    </row>
    <row r="116" spans="1:21" x14ac:dyDescent="0.25">
      <c r="A116" t="s">
        <v>119</v>
      </c>
      <c r="J116">
        <v>-177.45</v>
      </c>
      <c r="K116">
        <v>-213.22</v>
      </c>
      <c r="L116">
        <v>-75.349999999999994</v>
      </c>
      <c r="M116">
        <v>22.33</v>
      </c>
      <c r="N116">
        <v>63.38</v>
      </c>
      <c r="O116">
        <v>141.13</v>
      </c>
      <c r="P116">
        <v>212.61</v>
      </c>
      <c r="Q116">
        <v>289.58999999999997</v>
      </c>
      <c r="R116">
        <v>397.5</v>
      </c>
      <c r="S116">
        <v>470.5</v>
      </c>
      <c r="T116">
        <v>547</v>
      </c>
      <c r="U116">
        <v>429</v>
      </c>
    </row>
    <row r="117" spans="1:21" x14ac:dyDescent="0.25">
      <c r="A117" t="s">
        <v>61</v>
      </c>
      <c r="H117">
        <v>-164.24</v>
      </c>
      <c r="I117">
        <v>-125.85</v>
      </c>
      <c r="J117">
        <v>-131.88</v>
      </c>
      <c r="K117">
        <v>-91.03</v>
      </c>
      <c r="L117">
        <v>-53.58</v>
      </c>
      <c r="M117">
        <v>-34.28</v>
      </c>
      <c r="N117">
        <v>-27.94</v>
      </c>
      <c r="O117">
        <v>-22.33</v>
      </c>
      <c r="P117">
        <v>-13.64</v>
      </c>
    </row>
    <row r="118" spans="1:21" x14ac:dyDescent="0.25">
      <c r="A118" t="s">
        <v>120</v>
      </c>
      <c r="H118">
        <v>0.24</v>
      </c>
      <c r="I118">
        <v>0.46</v>
      </c>
      <c r="J118">
        <v>1</v>
      </c>
      <c r="K118">
        <v>-5.61</v>
      </c>
      <c r="L118">
        <v>5.86</v>
      </c>
      <c r="M118">
        <v>6.83</v>
      </c>
      <c r="N118">
        <v>171.02</v>
      </c>
      <c r="O118">
        <v>25.42</v>
      </c>
      <c r="P118">
        <v>24.08</v>
      </c>
      <c r="Q118">
        <v>31.04</v>
      </c>
      <c r="R118">
        <v>11.28</v>
      </c>
      <c r="S118">
        <v>7.09</v>
      </c>
      <c r="T118">
        <v>8.02</v>
      </c>
      <c r="U118">
        <v>16.46</v>
      </c>
    </row>
    <row r="119" spans="1:21" x14ac:dyDescent="0.25">
      <c r="A119" t="s">
        <v>121</v>
      </c>
      <c r="J119">
        <v>-271.10000000000002</v>
      </c>
      <c r="K119">
        <v>-378.68</v>
      </c>
      <c r="L119">
        <v>-338.69</v>
      </c>
      <c r="M119">
        <v>-288.44</v>
      </c>
      <c r="N119">
        <v>-450.74</v>
      </c>
      <c r="O119">
        <v>-276.22000000000003</v>
      </c>
      <c r="P119">
        <v>-203.37</v>
      </c>
      <c r="Q119">
        <v>-132.6</v>
      </c>
      <c r="R119">
        <v>-114.23</v>
      </c>
      <c r="S119">
        <v>-37.67</v>
      </c>
      <c r="T119">
        <v>-6.7</v>
      </c>
      <c r="U119">
        <v>2.67</v>
      </c>
    </row>
    <row r="120" spans="1:21" x14ac:dyDescent="0.25">
      <c r="A120" t="s">
        <v>122</v>
      </c>
      <c r="H120">
        <v>-164.75</v>
      </c>
      <c r="I120">
        <v>-126.35</v>
      </c>
      <c r="J120">
        <v>-132.37</v>
      </c>
      <c r="K120">
        <v>-89.7</v>
      </c>
      <c r="L120">
        <v>-54.53</v>
      </c>
      <c r="M120">
        <v>-35.11</v>
      </c>
      <c r="N120">
        <v>-45.02</v>
      </c>
      <c r="O120">
        <v>-23.7</v>
      </c>
      <c r="P120">
        <v>-15.78</v>
      </c>
      <c r="Q120">
        <v>-6.61</v>
      </c>
      <c r="R120">
        <v>-2.2000000000000002</v>
      </c>
      <c r="S120">
        <v>1.6</v>
      </c>
      <c r="T120">
        <v>-0.3</v>
      </c>
      <c r="U120">
        <v>0.13</v>
      </c>
    </row>
    <row r="121" spans="1:21" x14ac:dyDescent="0.25">
      <c r="A121" t="s">
        <v>123</v>
      </c>
      <c r="H121">
        <v>32.71</v>
      </c>
      <c r="I121">
        <v>35.479999999999997</v>
      </c>
      <c r="J121">
        <v>174.05</v>
      </c>
      <c r="K121">
        <v>277.8</v>
      </c>
      <c r="L121">
        <v>294.92</v>
      </c>
      <c r="M121">
        <v>314.81</v>
      </c>
      <c r="N121">
        <v>330.11</v>
      </c>
      <c r="O121">
        <v>352.35</v>
      </c>
      <c r="P121">
        <v>371.21</v>
      </c>
      <c r="Q121">
        <v>388.01</v>
      </c>
      <c r="R121">
        <v>383.26</v>
      </c>
      <c r="S121">
        <v>397.06</v>
      </c>
      <c r="T121">
        <v>448.7</v>
      </c>
      <c r="U121">
        <v>413.76</v>
      </c>
    </row>
    <row r="122" spans="1:21" x14ac:dyDescent="0.25">
      <c r="A122" t="s">
        <v>124</v>
      </c>
      <c r="J122">
        <v>-1.56</v>
      </c>
      <c r="K122">
        <v>-1.36</v>
      </c>
      <c r="L122">
        <v>-1.1499999999999999</v>
      </c>
      <c r="M122">
        <v>-0.92</v>
      </c>
      <c r="N122">
        <v>-1.37</v>
      </c>
      <c r="O122">
        <v>-0.79</v>
      </c>
      <c r="P122">
        <v>-0.6</v>
      </c>
      <c r="Q122">
        <v>-0.41</v>
      </c>
      <c r="R122">
        <v>-0.31</v>
      </c>
      <c r="S122">
        <v>-0.08</v>
      </c>
      <c r="T122">
        <v>-0.12</v>
      </c>
      <c r="U122">
        <v>0.01</v>
      </c>
    </row>
    <row r="123" spans="1:21" x14ac:dyDescent="0.25">
      <c r="A123" t="s">
        <v>17</v>
      </c>
    </row>
    <row r="124" spans="1:21" x14ac:dyDescent="0.25">
      <c r="A124" t="s">
        <v>125</v>
      </c>
    </row>
    <row r="125" spans="1:21" x14ac:dyDescent="0.25">
      <c r="A125" t="s">
        <v>400</v>
      </c>
      <c r="H125">
        <v>4.3499999999999996</v>
      </c>
      <c r="I125">
        <v>15.91</v>
      </c>
      <c r="J125">
        <v>87.89</v>
      </c>
      <c r="K125">
        <v>164.47</v>
      </c>
      <c r="L125">
        <v>217.93</v>
      </c>
      <c r="M125">
        <v>267.52999999999997</v>
      </c>
      <c r="N125">
        <v>297.58999999999997</v>
      </c>
      <c r="O125">
        <v>325.7</v>
      </c>
      <c r="P125">
        <v>356.22</v>
      </c>
      <c r="Q125">
        <v>357.91</v>
      </c>
    </row>
    <row r="126" spans="1:21" x14ac:dyDescent="0.25">
      <c r="A126" t="s">
        <v>126</v>
      </c>
      <c r="H126">
        <v>0.14000000000000001</v>
      </c>
      <c r="I126">
        <v>0.31</v>
      </c>
      <c r="J126">
        <v>3.62</v>
      </c>
      <c r="K126">
        <v>10.09</v>
      </c>
      <c r="L126">
        <v>17.190000000000001</v>
      </c>
      <c r="M126">
        <v>22.11</v>
      </c>
      <c r="N126">
        <v>21.58</v>
      </c>
      <c r="O126">
        <v>24.16</v>
      </c>
      <c r="P126">
        <v>27.37</v>
      </c>
      <c r="Q126">
        <v>27.33</v>
      </c>
    </row>
    <row r="127" spans="1:21" x14ac:dyDescent="0.25">
      <c r="A127" t="s">
        <v>114</v>
      </c>
      <c r="H127">
        <v>1.69</v>
      </c>
      <c r="I127">
        <v>6.59</v>
      </c>
      <c r="J127">
        <v>35.36</v>
      </c>
      <c r="K127">
        <v>51.77</v>
      </c>
      <c r="L127">
        <v>61.06</v>
      </c>
      <c r="M127">
        <v>83.96</v>
      </c>
      <c r="N127">
        <v>94.54</v>
      </c>
      <c r="O127">
        <v>110.15</v>
      </c>
      <c r="P127">
        <v>123.12</v>
      </c>
      <c r="Q127">
        <v>129.13999999999999</v>
      </c>
    </row>
    <row r="128" spans="1:21" x14ac:dyDescent="0.25">
      <c r="A128" t="s">
        <v>401</v>
      </c>
      <c r="J128">
        <v>0.2</v>
      </c>
      <c r="K128">
        <v>0.25</v>
      </c>
      <c r="L128">
        <v>0.67</v>
      </c>
      <c r="M128">
        <v>1.02</v>
      </c>
      <c r="N128">
        <v>1.1399999999999999</v>
      </c>
      <c r="O128">
        <v>1.02</v>
      </c>
      <c r="P128">
        <v>1.1499999999999999</v>
      </c>
      <c r="Q128">
        <v>1.26</v>
      </c>
    </row>
    <row r="129" spans="1:21" x14ac:dyDescent="0.25">
      <c r="A129" t="s">
        <v>394</v>
      </c>
      <c r="J129">
        <v>15.46</v>
      </c>
      <c r="K129">
        <v>40.119999999999997</v>
      </c>
      <c r="L129">
        <v>55.8</v>
      </c>
      <c r="M129">
        <v>80.5</v>
      </c>
      <c r="N129">
        <v>93.64</v>
      </c>
      <c r="O129">
        <v>84.25</v>
      </c>
      <c r="P129">
        <v>96.99</v>
      </c>
      <c r="Q129">
        <v>99.74</v>
      </c>
    </row>
    <row r="130" spans="1:21" x14ac:dyDescent="0.25">
      <c r="A130" t="s">
        <v>115</v>
      </c>
      <c r="H130">
        <v>1.49</v>
      </c>
      <c r="I130">
        <v>5.18</v>
      </c>
      <c r="J130">
        <v>33.450000000000003</v>
      </c>
      <c r="K130">
        <v>62.49</v>
      </c>
      <c r="L130">
        <v>83.89</v>
      </c>
      <c r="M130">
        <v>80.97</v>
      </c>
      <c r="N130">
        <v>88.4</v>
      </c>
      <c r="O130">
        <v>95.01</v>
      </c>
      <c r="P130">
        <v>112.23</v>
      </c>
      <c r="Q130">
        <v>106.27</v>
      </c>
    </row>
    <row r="131" spans="1:21" x14ac:dyDescent="0.25">
      <c r="A131" t="s">
        <v>402</v>
      </c>
      <c r="J131">
        <v>2.97</v>
      </c>
      <c r="K131">
        <v>22.65</v>
      </c>
      <c r="L131">
        <v>28.36</v>
      </c>
      <c r="M131">
        <v>27.02</v>
      </c>
      <c r="N131">
        <v>32.299999999999997</v>
      </c>
      <c r="O131">
        <v>39.92</v>
      </c>
      <c r="P131">
        <v>37.4</v>
      </c>
      <c r="Q131">
        <v>30.53</v>
      </c>
    </row>
    <row r="132" spans="1:21" x14ac:dyDescent="0.25">
      <c r="A132" t="s">
        <v>403</v>
      </c>
      <c r="K132">
        <v>4.37</v>
      </c>
      <c r="L132">
        <v>3.04</v>
      </c>
      <c r="M132">
        <v>3.71</v>
      </c>
      <c r="N132">
        <v>7.23</v>
      </c>
      <c r="O132">
        <v>8.35</v>
      </c>
      <c r="P132">
        <v>13.4</v>
      </c>
    </row>
    <row r="133" spans="1:21" x14ac:dyDescent="0.25">
      <c r="A133" t="s">
        <v>404</v>
      </c>
      <c r="K133">
        <v>-12.22</v>
      </c>
      <c r="L133">
        <v>-22.65</v>
      </c>
      <c r="M133">
        <v>-0.35</v>
      </c>
      <c r="N133">
        <v>-0.35</v>
      </c>
      <c r="O133">
        <v>-5.05</v>
      </c>
      <c r="P133">
        <v>0.2</v>
      </c>
    </row>
    <row r="134" spans="1:21" x14ac:dyDescent="0.25">
      <c r="A134" t="s">
        <v>17</v>
      </c>
    </row>
    <row r="135" spans="1:21" x14ac:dyDescent="0.25">
      <c r="A135" t="s">
        <v>134</v>
      </c>
    </row>
    <row r="136" spans="1:21" x14ac:dyDescent="0.25">
      <c r="A136" t="s">
        <v>135</v>
      </c>
    </row>
    <row r="137" spans="1:21" x14ac:dyDescent="0.25">
      <c r="A137" t="s">
        <v>136</v>
      </c>
      <c r="H137">
        <v>88.72</v>
      </c>
      <c r="I137">
        <v>464.06</v>
      </c>
      <c r="J137" s="2">
        <v>1817.65</v>
      </c>
      <c r="K137">
        <v>914.73</v>
      </c>
      <c r="L137" s="2">
        <v>1297.33</v>
      </c>
      <c r="M137" s="2">
        <v>1069.72</v>
      </c>
      <c r="N137" s="2">
        <v>1050.5899999999999</v>
      </c>
      <c r="O137" s="2">
        <v>1171.03</v>
      </c>
      <c r="P137" s="2">
        <v>1410.12</v>
      </c>
      <c r="Q137" s="2">
        <v>1621.9</v>
      </c>
      <c r="R137" s="2">
        <v>1646.94</v>
      </c>
      <c r="S137" s="2">
        <v>1923.17</v>
      </c>
      <c r="T137" s="2">
        <v>2237.2600000000002</v>
      </c>
      <c r="U137" s="2">
        <v>2930.12</v>
      </c>
    </row>
    <row r="138" spans="1:21" x14ac:dyDescent="0.25">
      <c r="A138" t="s">
        <v>405</v>
      </c>
      <c r="H138">
        <v>45.7</v>
      </c>
      <c r="I138">
        <v>395.84</v>
      </c>
      <c r="J138" s="2">
        <v>1669.68</v>
      </c>
      <c r="K138">
        <v>623.53</v>
      </c>
      <c r="L138">
        <v>925.96</v>
      </c>
      <c r="M138">
        <v>721.91</v>
      </c>
      <c r="N138">
        <v>628.66999999999996</v>
      </c>
      <c r="O138" s="2">
        <v>642.11</v>
      </c>
      <c r="P138">
        <v>751.12</v>
      </c>
      <c r="Q138">
        <v>931.81</v>
      </c>
      <c r="R138">
        <v>535.09</v>
      </c>
      <c r="S138">
        <v>640.38</v>
      </c>
      <c r="T138">
        <v>775.52</v>
      </c>
    </row>
    <row r="139" spans="1:21" x14ac:dyDescent="0.25">
      <c r="A139" t="s">
        <v>139</v>
      </c>
      <c r="H139">
        <v>45.36</v>
      </c>
      <c r="I139">
        <v>395.47</v>
      </c>
      <c r="J139" s="2">
        <v>1669.3</v>
      </c>
      <c r="K139">
        <v>137.94</v>
      </c>
      <c r="L139">
        <v>256.64999999999998</v>
      </c>
      <c r="M139">
        <v>186.57</v>
      </c>
      <c r="N139">
        <v>169.63</v>
      </c>
      <c r="O139" s="2">
        <v>258.42</v>
      </c>
      <c r="P139">
        <v>411.27</v>
      </c>
      <c r="Q139">
        <v>568.92999999999995</v>
      </c>
      <c r="R139">
        <v>601.54</v>
      </c>
      <c r="S139">
        <v>798.92</v>
      </c>
      <c r="T139" s="2">
        <v>1026</v>
      </c>
      <c r="U139" s="2">
        <v>2132.7399999999998</v>
      </c>
    </row>
    <row r="140" spans="1:21" x14ac:dyDescent="0.25">
      <c r="A140" t="s">
        <v>140</v>
      </c>
      <c r="H140">
        <v>0.34</v>
      </c>
      <c r="I140">
        <v>0.36</v>
      </c>
      <c r="J140">
        <v>0.37</v>
      </c>
      <c r="K140">
        <v>485.58</v>
      </c>
      <c r="L140">
        <v>669.31</v>
      </c>
      <c r="M140">
        <v>535.33000000000004</v>
      </c>
      <c r="N140">
        <v>459.04</v>
      </c>
      <c r="O140">
        <v>451.77</v>
      </c>
      <c r="P140">
        <v>454.39</v>
      </c>
      <c r="Q140">
        <v>466.53</v>
      </c>
      <c r="R140">
        <v>454.3</v>
      </c>
      <c r="S140">
        <v>454.3</v>
      </c>
      <c r="T140">
        <v>454.3</v>
      </c>
      <c r="U140">
        <v>454.3</v>
      </c>
    </row>
    <row r="141" spans="1:21" x14ac:dyDescent="0.25">
      <c r="A141" t="s">
        <v>141</v>
      </c>
      <c r="H141">
        <v>31</v>
      </c>
      <c r="I141">
        <v>39.32</v>
      </c>
      <c r="J141">
        <v>101.49</v>
      </c>
      <c r="K141">
        <v>151.49</v>
      </c>
      <c r="L141">
        <v>214.32</v>
      </c>
      <c r="M141">
        <v>236.01</v>
      </c>
      <c r="N141">
        <v>289.08</v>
      </c>
      <c r="O141">
        <v>333.87</v>
      </c>
      <c r="P141">
        <v>391.44</v>
      </c>
      <c r="Q141">
        <v>469.87</v>
      </c>
      <c r="R141">
        <v>374.79</v>
      </c>
      <c r="S141">
        <v>411.1</v>
      </c>
      <c r="T141">
        <v>293.38</v>
      </c>
      <c r="U141">
        <v>219.89</v>
      </c>
    </row>
    <row r="142" spans="1:21" x14ac:dyDescent="0.25">
      <c r="A142" t="s">
        <v>406</v>
      </c>
      <c r="H142">
        <v>8.43</v>
      </c>
      <c r="I142">
        <v>14.73</v>
      </c>
      <c r="J142">
        <v>27.55</v>
      </c>
      <c r="K142">
        <v>37.9</v>
      </c>
      <c r="L142">
        <v>54.16</v>
      </c>
      <c r="M142">
        <v>64.78</v>
      </c>
      <c r="N142">
        <v>70.98</v>
      </c>
      <c r="O142">
        <v>84.64</v>
      </c>
      <c r="P142">
        <v>101.96</v>
      </c>
      <c r="Q142">
        <v>122.29</v>
      </c>
      <c r="R142">
        <v>257.93</v>
      </c>
      <c r="S142">
        <v>327.81</v>
      </c>
      <c r="T142">
        <v>406.08</v>
      </c>
      <c r="U142">
        <v>72.55</v>
      </c>
    </row>
    <row r="143" spans="1:21" x14ac:dyDescent="0.25">
      <c r="A143" t="s">
        <v>407</v>
      </c>
      <c r="H143">
        <v>3.59</v>
      </c>
      <c r="I143">
        <v>14.17</v>
      </c>
      <c r="J143">
        <v>18.940000000000001</v>
      </c>
      <c r="K143">
        <v>101.81</v>
      </c>
      <c r="L143">
        <v>102.9</v>
      </c>
      <c r="M143">
        <v>47.02</v>
      </c>
      <c r="N143">
        <v>61.86</v>
      </c>
      <c r="O143">
        <v>62.91</v>
      </c>
      <c r="P143">
        <v>71.55</v>
      </c>
      <c r="Q143">
        <v>74.349999999999994</v>
      </c>
      <c r="R143">
        <v>57.49</v>
      </c>
      <c r="S143">
        <v>57.49</v>
      </c>
      <c r="T143">
        <v>57.49</v>
      </c>
      <c r="U143">
        <v>50.64</v>
      </c>
    </row>
    <row r="144" spans="1:21" x14ac:dyDescent="0.25">
      <c r="A144" t="s">
        <v>408</v>
      </c>
      <c r="K144">
        <v>61.26</v>
      </c>
      <c r="L144">
        <v>61.26</v>
      </c>
      <c r="M144">
        <v>3.24</v>
      </c>
      <c r="N144">
        <v>22.62</v>
      </c>
      <c r="O144">
        <v>13.7</v>
      </c>
      <c r="P144">
        <v>13.7</v>
      </c>
      <c r="Q144">
        <v>13.7</v>
      </c>
    </row>
    <row r="145" spans="1:21" x14ac:dyDescent="0.25">
      <c r="A145" t="s">
        <v>146</v>
      </c>
      <c r="H145">
        <v>23.74</v>
      </c>
      <c r="I145">
        <v>56.5</v>
      </c>
      <c r="J145">
        <v>224.53</v>
      </c>
      <c r="K145" s="2">
        <v>1344.18</v>
      </c>
      <c r="L145" s="2">
        <v>1024.08</v>
      </c>
      <c r="M145" s="2">
        <v>1336.9</v>
      </c>
      <c r="N145" s="2">
        <v>1387.52</v>
      </c>
      <c r="O145" s="2">
        <v>1366.47</v>
      </c>
      <c r="P145" s="2">
        <v>1379.24</v>
      </c>
      <c r="Q145" s="2">
        <v>1419.65</v>
      </c>
      <c r="R145" s="2">
        <v>1316.98</v>
      </c>
      <c r="S145" s="2">
        <v>1341.45</v>
      </c>
      <c r="T145" s="2">
        <v>1368.8</v>
      </c>
      <c r="U145" s="2">
        <v>1351.81</v>
      </c>
    </row>
    <row r="146" spans="1:21" x14ac:dyDescent="0.25">
      <c r="A146" t="s">
        <v>409</v>
      </c>
      <c r="H146">
        <v>8.33</v>
      </c>
      <c r="I146">
        <v>13.37</v>
      </c>
      <c r="J146">
        <v>24.92</v>
      </c>
      <c r="K146">
        <v>38.74</v>
      </c>
      <c r="L146">
        <v>48.82</v>
      </c>
      <c r="M146">
        <v>71.77</v>
      </c>
      <c r="N146">
        <v>84.01</v>
      </c>
      <c r="O146">
        <v>85.83</v>
      </c>
      <c r="P146">
        <v>82.53</v>
      </c>
      <c r="Q146">
        <v>84.88</v>
      </c>
      <c r="R146">
        <v>81.63</v>
      </c>
      <c r="S146">
        <v>82.22</v>
      </c>
      <c r="T146">
        <v>76.650000000000006</v>
      </c>
      <c r="U146">
        <v>57.34</v>
      </c>
    </row>
    <row r="147" spans="1:21" x14ac:dyDescent="0.25">
      <c r="A147" t="s">
        <v>410</v>
      </c>
      <c r="I147">
        <v>18.03</v>
      </c>
      <c r="J147">
        <v>23.88</v>
      </c>
      <c r="K147">
        <v>23.56</v>
      </c>
      <c r="L147">
        <v>18.47</v>
      </c>
      <c r="M147">
        <v>15.49</v>
      </c>
      <c r="N147">
        <v>10.15</v>
      </c>
      <c r="O147">
        <v>8.27</v>
      </c>
      <c r="P147">
        <v>12.25</v>
      </c>
      <c r="Q147">
        <v>37.79</v>
      </c>
      <c r="R147">
        <v>157.27000000000001</v>
      </c>
      <c r="S147">
        <v>206.44</v>
      </c>
      <c r="T147">
        <v>261.51</v>
      </c>
    </row>
    <row r="148" spans="1:21" x14ac:dyDescent="0.25">
      <c r="A148" t="s">
        <v>411</v>
      </c>
      <c r="K148">
        <v>535.41999999999996</v>
      </c>
      <c r="L148">
        <v>204.8</v>
      </c>
      <c r="M148">
        <v>419.37</v>
      </c>
      <c r="N148">
        <v>140.9</v>
      </c>
      <c r="O148">
        <v>162.61000000000001</v>
      </c>
      <c r="P148">
        <v>185.34</v>
      </c>
      <c r="Q148">
        <v>203.41</v>
      </c>
      <c r="R148">
        <v>158</v>
      </c>
      <c r="S148">
        <v>158</v>
      </c>
      <c r="T148">
        <v>158</v>
      </c>
      <c r="U148">
        <v>158</v>
      </c>
    </row>
    <row r="149" spans="1:21" x14ac:dyDescent="0.25">
      <c r="A149" t="s">
        <v>412</v>
      </c>
      <c r="H149">
        <v>12.83</v>
      </c>
      <c r="I149">
        <v>21.94</v>
      </c>
      <c r="J149">
        <v>41.02</v>
      </c>
      <c r="K149">
        <v>55.54</v>
      </c>
      <c r="L149">
        <v>71.64</v>
      </c>
      <c r="M149">
        <v>85.32</v>
      </c>
      <c r="N149">
        <v>89.66</v>
      </c>
      <c r="O149">
        <v>99.3</v>
      </c>
      <c r="P149">
        <v>114.7</v>
      </c>
      <c r="Q149">
        <v>132.51</v>
      </c>
      <c r="R149">
        <v>86.02</v>
      </c>
      <c r="S149">
        <v>86.02</v>
      </c>
      <c r="T149">
        <v>86.02</v>
      </c>
      <c r="U149">
        <v>86.02</v>
      </c>
    </row>
    <row r="150" spans="1:21" x14ac:dyDescent="0.25">
      <c r="A150" t="s">
        <v>413</v>
      </c>
      <c r="J150">
        <v>124</v>
      </c>
      <c r="K150">
        <v>685.4</v>
      </c>
      <c r="L150">
        <v>672.31</v>
      </c>
      <c r="M150">
        <v>736.79</v>
      </c>
      <c r="N150" s="2">
        <v>1042.22</v>
      </c>
      <c r="S150" s="2"/>
    </row>
    <row r="151" spans="1:21" x14ac:dyDescent="0.25">
      <c r="A151" t="s">
        <v>152</v>
      </c>
      <c r="H151">
        <v>0</v>
      </c>
      <c r="I151">
        <v>0</v>
      </c>
      <c r="J151">
        <v>108.19</v>
      </c>
      <c r="K151">
        <v>540.30999999999995</v>
      </c>
      <c r="L151">
        <v>549.41</v>
      </c>
      <c r="M151">
        <v>629.64</v>
      </c>
      <c r="N151">
        <v>912.67</v>
      </c>
      <c r="O151">
        <v>912.69</v>
      </c>
      <c r="P151">
        <v>912.69</v>
      </c>
      <c r="Q151">
        <v>912.7</v>
      </c>
      <c r="R151">
        <v>912.78</v>
      </c>
      <c r="S151">
        <v>912.78</v>
      </c>
      <c r="T151">
        <v>912.67</v>
      </c>
      <c r="U151">
        <v>912.67</v>
      </c>
    </row>
    <row r="152" spans="1:21" x14ac:dyDescent="0.25">
      <c r="A152" t="s">
        <v>151</v>
      </c>
      <c r="J152">
        <v>15.81</v>
      </c>
      <c r="K152">
        <v>145.09</v>
      </c>
      <c r="L152">
        <v>122.9</v>
      </c>
      <c r="M152">
        <v>107.16</v>
      </c>
      <c r="N152">
        <v>129.55000000000001</v>
      </c>
      <c r="O152">
        <v>93.26</v>
      </c>
      <c r="P152">
        <v>68.03</v>
      </c>
      <c r="Q152">
        <v>31.49</v>
      </c>
    </row>
    <row r="153" spans="1:21" x14ac:dyDescent="0.25">
      <c r="A153" t="s">
        <v>154</v>
      </c>
      <c r="H153">
        <v>2.58</v>
      </c>
      <c r="I153">
        <v>0.47</v>
      </c>
      <c r="J153">
        <v>10.7</v>
      </c>
      <c r="K153">
        <v>5.52</v>
      </c>
      <c r="L153">
        <v>8.0299999999999994</v>
      </c>
      <c r="M153">
        <v>23.65</v>
      </c>
      <c r="N153">
        <v>30.73</v>
      </c>
      <c r="O153">
        <v>31.86</v>
      </c>
      <c r="P153">
        <v>33.68</v>
      </c>
      <c r="Q153">
        <v>38.11</v>
      </c>
      <c r="R153">
        <v>29.64</v>
      </c>
      <c r="S153">
        <v>29.64</v>
      </c>
      <c r="T153">
        <v>29.64</v>
      </c>
    </row>
    <row r="154" spans="1:21" x14ac:dyDescent="0.25">
      <c r="A154" t="s">
        <v>155</v>
      </c>
      <c r="H154">
        <v>112.45</v>
      </c>
      <c r="I154">
        <v>520.55999999999995</v>
      </c>
      <c r="J154" s="2">
        <v>2042.18</v>
      </c>
      <c r="K154" s="2">
        <v>2258.91</v>
      </c>
      <c r="L154" s="2">
        <v>2321.41</v>
      </c>
      <c r="M154" s="2">
        <v>2406.63</v>
      </c>
      <c r="N154" s="2">
        <v>2438.1</v>
      </c>
      <c r="O154" s="2">
        <v>2528.9299999999998</v>
      </c>
      <c r="P154" s="2">
        <v>2771.85</v>
      </c>
      <c r="Q154" s="2">
        <v>2930.36</v>
      </c>
      <c r="R154" s="2">
        <v>2847.95</v>
      </c>
      <c r="S154" s="2">
        <v>3149.08</v>
      </c>
      <c r="T154" s="2">
        <v>3606.06</v>
      </c>
      <c r="U154" s="2">
        <v>4281.93</v>
      </c>
    </row>
    <row r="155" spans="1:21" x14ac:dyDescent="0.25">
      <c r="A155" t="s">
        <v>17</v>
      </c>
    </row>
    <row r="156" spans="1:21" x14ac:dyDescent="0.25">
      <c r="A156" t="s">
        <v>156</v>
      </c>
    </row>
    <row r="157" spans="1:21" x14ac:dyDescent="0.25">
      <c r="A157" t="s">
        <v>157</v>
      </c>
      <c r="H157">
        <v>71.739999999999995</v>
      </c>
      <c r="I157">
        <v>128.91</v>
      </c>
      <c r="J157">
        <v>281.32</v>
      </c>
      <c r="K157">
        <v>473.28</v>
      </c>
      <c r="L157">
        <v>590.07000000000005</v>
      </c>
      <c r="M157">
        <v>613.54999999999995</v>
      </c>
      <c r="N157">
        <v>756.36</v>
      </c>
      <c r="O157">
        <v>790.43</v>
      </c>
      <c r="P157">
        <v>846.76</v>
      </c>
      <c r="Q157">
        <v>937.54</v>
      </c>
      <c r="R157">
        <v>963.75</v>
      </c>
      <c r="S157" s="2">
        <v>1063.4100000000001</v>
      </c>
      <c r="T157" s="2">
        <v>1172.44</v>
      </c>
      <c r="U157" s="2">
        <v>1184.4000000000001</v>
      </c>
    </row>
    <row r="158" spans="1:21" x14ac:dyDescent="0.25">
      <c r="A158" t="s">
        <v>158</v>
      </c>
      <c r="H158">
        <v>4.62</v>
      </c>
      <c r="I158">
        <v>11.82</v>
      </c>
      <c r="J158">
        <v>9.94</v>
      </c>
      <c r="K158">
        <v>11.21</v>
      </c>
      <c r="L158">
        <v>6.76</v>
      </c>
      <c r="M158">
        <v>8.16</v>
      </c>
      <c r="N158">
        <v>10.3</v>
      </c>
      <c r="O158">
        <v>13.8</v>
      </c>
      <c r="P158">
        <v>17.09</v>
      </c>
      <c r="Q158">
        <v>20.36</v>
      </c>
      <c r="R158">
        <v>25.45</v>
      </c>
      <c r="S158">
        <v>31.26</v>
      </c>
      <c r="T158">
        <v>39.1</v>
      </c>
      <c r="U158">
        <v>8.93</v>
      </c>
    </row>
    <row r="159" spans="1:21" x14ac:dyDescent="0.25">
      <c r="A159" t="s">
        <v>414</v>
      </c>
      <c r="H159">
        <v>14.29</v>
      </c>
      <c r="I159">
        <v>23.81</v>
      </c>
      <c r="J159">
        <v>22.66</v>
      </c>
      <c r="K159">
        <v>100.02</v>
      </c>
      <c r="L159">
        <v>104.67</v>
      </c>
      <c r="M159">
        <v>0</v>
      </c>
      <c r="N159">
        <v>117.26</v>
      </c>
      <c r="O159">
        <v>99.85</v>
      </c>
      <c r="P159">
        <v>104.71</v>
      </c>
      <c r="Q159">
        <v>106.87</v>
      </c>
      <c r="R159">
        <v>88.55</v>
      </c>
      <c r="S159">
        <v>106.79</v>
      </c>
      <c r="T159">
        <v>139.44999999999999</v>
      </c>
      <c r="U159">
        <v>93.92</v>
      </c>
    </row>
    <row r="160" spans="1:21" x14ac:dyDescent="0.25">
      <c r="A160" t="s">
        <v>415</v>
      </c>
      <c r="I160">
        <v>3.63</v>
      </c>
      <c r="J160">
        <v>4.6100000000000003</v>
      </c>
      <c r="K160">
        <v>3.9</v>
      </c>
      <c r="L160">
        <v>4.6900000000000004</v>
      </c>
      <c r="M160">
        <v>5.28</v>
      </c>
      <c r="N160">
        <v>5.89</v>
      </c>
      <c r="O160">
        <v>14.82</v>
      </c>
      <c r="P160">
        <v>14.82</v>
      </c>
      <c r="Q160">
        <v>2.4500000000000002</v>
      </c>
      <c r="R160">
        <v>5.12</v>
      </c>
      <c r="S160">
        <v>5.12</v>
      </c>
      <c r="T160">
        <v>5.12</v>
      </c>
    </row>
    <row r="161" spans="1:21" x14ac:dyDescent="0.25">
      <c r="A161" t="s">
        <v>416</v>
      </c>
      <c r="J161">
        <v>61.15</v>
      </c>
      <c r="K161">
        <v>54.96</v>
      </c>
      <c r="L161">
        <v>74.349999999999994</v>
      </c>
      <c r="M161">
        <v>79.61</v>
      </c>
      <c r="N161">
        <v>79.010000000000005</v>
      </c>
      <c r="O161">
        <v>91.44</v>
      </c>
      <c r="P161">
        <v>99.7</v>
      </c>
      <c r="Q161">
        <v>114.08</v>
      </c>
      <c r="R161">
        <v>122.43</v>
      </c>
      <c r="S161">
        <v>133.35</v>
      </c>
      <c r="T161">
        <v>145.58000000000001</v>
      </c>
      <c r="U161">
        <v>85.39</v>
      </c>
    </row>
    <row r="162" spans="1:21" x14ac:dyDescent="0.25">
      <c r="A162" t="s">
        <v>417</v>
      </c>
      <c r="H162">
        <v>52.82</v>
      </c>
      <c r="I162">
        <v>89.65</v>
      </c>
      <c r="J162">
        <v>182.96</v>
      </c>
      <c r="K162">
        <v>303.2</v>
      </c>
      <c r="L162">
        <v>399.6</v>
      </c>
      <c r="M162">
        <v>470.13</v>
      </c>
      <c r="N162">
        <v>549.79</v>
      </c>
      <c r="O162">
        <v>584.73</v>
      </c>
      <c r="P162">
        <v>624.01</v>
      </c>
      <c r="Q162">
        <v>695.68</v>
      </c>
      <c r="R162">
        <v>722.03</v>
      </c>
      <c r="S162">
        <v>785.31</v>
      </c>
      <c r="T162">
        <v>845.75</v>
      </c>
      <c r="U162">
        <v>996.16</v>
      </c>
    </row>
    <row r="163" spans="1:21" x14ac:dyDescent="0.25">
      <c r="A163" t="s">
        <v>418</v>
      </c>
      <c r="H163">
        <v>67.11</v>
      </c>
      <c r="I163">
        <v>113.45</v>
      </c>
      <c r="J163">
        <v>266.76</v>
      </c>
      <c r="K163">
        <v>458.17</v>
      </c>
      <c r="L163">
        <v>578.62</v>
      </c>
      <c r="M163">
        <v>600.12</v>
      </c>
      <c r="N163">
        <v>740.16</v>
      </c>
      <c r="O163">
        <v>817.31</v>
      </c>
      <c r="P163">
        <v>894.21</v>
      </c>
      <c r="Q163">
        <v>968.32</v>
      </c>
    </row>
    <row r="164" spans="1:21" x14ac:dyDescent="0.25">
      <c r="A164" t="s">
        <v>164</v>
      </c>
      <c r="H164">
        <v>63.11</v>
      </c>
      <c r="I164">
        <v>91.05</v>
      </c>
      <c r="J164">
        <v>110.07</v>
      </c>
      <c r="K164">
        <v>128.93</v>
      </c>
      <c r="L164">
        <v>137.30000000000001</v>
      </c>
      <c r="M164">
        <v>123.83</v>
      </c>
      <c r="N164">
        <v>244.6</v>
      </c>
      <c r="O164">
        <v>248.41</v>
      </c>
      <c r="P164">
        <v>252.87</v>
      </c>
      <c r="Q164">
        <v>261.68</v>
      </c>
      <c r="R164">
        <v>254.7</v>
      </c>
      <c r="S164">
        <v>270.60000000000002</v>
      </c>
      <c r="T164">
        <v>286.92</v>
      </c>
      <c r="U164">
        <v>308.27</v>
      </c>
    </row>
    <row r="165" spans="1:21" x14ac:dyDescent="0.25">
      <c r="A165" t="s">
        <v>419</v>
      </c>
      <c r="I165">
        <v>18.84</v>
      </c>
      <c r="J165">
        <v>24.47</v>
      </c>
      <c r="K165">
        <v>23.08</v>
      </c>
      <c r="L165">
        <v>18.239999999999998</v>
      </c>
      <c r="M165">
        <v>13.79</v>
      </c>
      <c r="N165">
        <v>9.11</v>
      </c>
      <c r="O165">
        <v>4.1900000000000004</v>
      </c>
      <c r="P165">
        <v>3.35</v>
      </c>
      <c r="Q165">
        <v>5.59</v>
      </c>
    </row>
    <row r="166" spans="1:21" x14ac:dyDescent="0.25">
      <c r="A166" t="s">
        <v>420</v>
      </c>
      <c r="H166">
        <v>39.950000000000003</v>
      </c>
      <c r="I166">
        <v>52.19</v>
      </c>
      <c r="J166">
        <v>79.06</v>
      </c>
      <c r="K166">
        <v>103.06</v>
      </c>
      <c r="L166">
        <v>114.93</v>
      </c>
      <c r="M166">
        <v>102.02</v>
      </c>
      <c r="N166">
        <v>83.28</v>
      </c>
      <c r="O166">
        <v>95.01</v>
      </c>
      <c r="P166">
        <v>98.16</v>
      </c>
      <c r="Q166">
        <v>108.56</v>
      </c>
      <c r="R166">
        <v>171.12</v>
      </c>
      <c r="S166">
        <v>187.02</v>
      </c>
      <c r="T166">
        <v>203.34</v>
      </c>
      <c r="U166">
        <v>141.12</v>
      </c>
    </row>
    <row r="167" spans="1:21" x14ac:dyDescent="0.25">
      <c r="A167" t="s">
        <v>414</v>
      </c>
      <c r="H167">
        <v>0.64</v>
      </c>
      <c r="I167">
        <v>1.37</v>
      </c>
      <c r="J167">
        <v>18.079999999999998</v>
      </c>
      <c r="K167">
        <v>4.9800000000000004</v>
      </c>
      <c r="L167">
        <v>4.2699999999999996</v>
      </c>
      <c r="M167">
        <v>5.08</v>
      </c>
      <c r="N167">
        <v>188.69</v>
      </c>
      <c r="O167">
        <v>-4.3</v>
      </c>
      <c r="P167">
        <v>8.23</v>
      </c>
      <c r="Q167">
        <v>10.11</v>
      </c>
      <c r="R167">
        <v>13.08</v>
      </c>
      <c r="S167">
        <v>36.479999999999997</v>
      </c>
      <c r="T167">
        <v>65.319999999999993</v>
      </c>
    </row>
    <row r="168" spans="1:21" x14ac:dyDescent="0.25">
      <c r="A168" t="s">
        <v>166</v>
      </c>
      <c r="H168">
        <v>3.56</v>
      </c>
      <c r="I168">
        <v>0.4</v>
      </c>
      <c r="J168">
        <v>6.54</v>
      </c>
      <c r="K168">
        <v>2.79</v>
      </c>
      <c r="L168">
        <v>4.13</v>
      </c>
      <c r="M168">
        <v>8.02</v>
      </c>
      <c r="N168">
        <v>152.22</v>
      </c>
      <c r="O168">
        <v>171.67</v>
      </c>
      <c r="P168">
        <v>176.53</v>
      </c>
      <c r="Q168">
        <v>186.2</v>
      </c>
      <c r="R168">
        <v>164.08</v>
      </c>
      <c r="S168">
        <v>164.08</v>
      </c>
      <c r="T168">
        <v>167.15</v>
      </c>
      <c r="U168">
        <v>167.15</v>
      </c>
    </row>
    <row r="169" spans="1:21" x14ac:dyDescent="0.25">
      <c r="A169" t="s">
        <v>167</v>
      </c>
      <c r="H169">
        <v>134.84</v>
      </c>
      <c r="I169">
        <v>219.96</v>
      </c>
      <c r="J169">
        <v>391.39</v>
      </c>
      <c r="K169">
        <v>602.21</v>
      </c>
      <c r="L169">
        <v>727.36</v>
      </c>
      <c r="M169">
        <v>737.38</v>
      </c>
      <c r="N169" s="2">
        <v>1000.96</v>
      </c>
      <c r="O169" s="2">
        <v>1057.03</v>
      </c>
      <c r="P169" s="2">
        <v>1127.26</v>
      </c>
      <c r="Q169" s="2">
        <v>1251.3</v>
      </c>
      <c r="R169" s="2">
        <v>1420.63</v>
      </c>
      <c r="S169" s="2">
        <v>1586.33</v>
      </c>
      <c r="T169" s="2">
        <v>1459.36</v>
      </c>
      <c r="U169" s="2">
        <v>1492.67</v>
      </c>
    </row>
    <row r="170" spans="1:21" x14ac:dyDescent="0.25">
      <c r="A170" t="s">
        <v>170</v>
      </c>
      <c r="H170">
        <v>-224.21</v>
      </c>
      <c r="I170">
        <v>-320.54000000000002</v>
      </c>
      <c r="J170" s="2">
        <v>1650.79</v>
      </c>
      <c r="K170" s="2">
        <v>1656.71</v>
      </c>
      <c r="L170" s="2">
        <v>1594.04</v>
      </c>
      <c r="M170" s="2">
        <v>1669.25</v>
      </c>
      <c r="N170" s="2">
        <v>1437.15</v>
      </c>
      <c r="O170" s="2">
        <v>1467.29</v>
      </c>
      <c r="P170" s="2">
        <v>1635.33</v>
      </c>
      <c r="Q170" s="2">
        <v>1684.29</v>
      </c>
      <c r="R170" s="2">
        <v>1745.5</v>
      </c>
      <c r="S170" s="2">
        <v>1562.67</v>
      </c>
      <c r="T170" s="2">
        <v>2146.5</v>
      </c>
      <c r="U170" s="2">
        <v>2789</v>
      </c>
    </row>
    <row r="171" spans="1:21" x14ac:dyDescent="0.25">
      <c r="A171" t="s">
        <v>171</v>
      </c>
      <c r="H171">
        <v>0</v>
      </c>
      <c r="I171">
        <v>0</v>
      </c>
      <c r="J171">
        <v>0.03</v>
      </c>
      <c r="K171">
        <v>0.03</v>
      </c>
      <c r="L171">
        <v>0.03</v>
      </c>
      <c r="M171">
        <v>0.03</v>
      </c>
      <c r="N171">
        <v>0.03</v>
      </c>
      <c r="O171">
        <v>0.03</v>
      </c>
      <c r="P171">
        <v>0.03</v>
      </c>
      <c r="Q171">
        <v>0.04</v>
      </c>
    </row>
    <row r="172" spans="1:21" x14ac:dyDescent="0.25">
      <c r="A172" t="s">
        <v>172</v>
      </c>
      <c r="H172">
        <v>8.99</v>
      </c>
      <c r="I172">
        <v>29.87</v>
      </c>
      <c r="J172" s="2">
        <v>2271.98</v>
      </c>
      <c r="K172" s="2">
        <v>2663.39</v>
      </c>
      <c r="L172" s="2">
        <v>2934.61</v>
      </c>
      <c r="M172" s="2">
        <v>3294.54</v>
      </c>
      <c r="N172" s="2">
        <v>3513.02</v>
      </c>
      <c r="O172" s="2">
        <v>3777.39</v>
      </c>
      <c r="P172" s="2">
        <v>3971.67</v>
      </c>
      <c r="Q172" s="2">
        <v>4082.88</v>
      </c>
      <c r="R172" s="2"/>
      <c r="S172" s="2"/>
      <c r="T172" s="2"/>
      <c r="U172" s="2"/>
    </row>
    <row r="173" spans="1:21" x14ac:dyDescent="0.25">
      <c r="A173" t="s">
        <v>173</v>
      </c>
      <c r="H173">
        <v>-233</v>
      </c>
      <c r="I173">
        <v>-350.57</v>
      </c>
      <c r="J173">
        <v>-621.66999999999996</v>
      </c>
      <c r="K173" s="2">
        <v>-1000.35</v>
      </c>
      <c r="L173" s="2">
        <v>-1339.04</v>
      </c>
      <c r="M173" s="2">
        <v>-1627.49</v>
      </c>
      <c r="N173" s="2">
        <v>-2078.2199999999998</v>
      </c>
      <c r="O173" s="2">
        <v>-2246.1799999999998</v>
      </c>
      <c r="P173" s="2">
        <v>-2236.9699999999998</v>
      </c>
      <c r="Q173" s="2">
        <v>-2073.31</v>
      </c>
      <c r="R173" s="2"/>
      <c r="S173" s="2"/>
      <c r="T173" s="2"/>
      <c r="U173" s="2"/>
    </row>
    <row r="174" spans="1:21" x14ac:dyDescent="0.25">
      <c r="A174" t="s">
        <v>174</v>
      </c>
      <c r="H174">
        <v>-0.2</v>
      </c>
      <c r="I174">
        <v>0.17</v>
      </c>
      <c r="J174">
        <v>0.45</v>
      </c>
      <c r="K174">
        <v>-6.37</v>
      </c>
      <c r="L174">
        <v>-1.55</v>
      </c>
      <c r="M174">
        <v>2.16</v>
      </c>
      <c r="N174">
        <v>2.31</v>
      </c>
      <c r="O174">
        <v>0.38</v>
      </c>
      <c r="P174">
        <v>-0.16</v>
      </c>
      <c r="Q174">
        <v>-10.1</v>
      </c>
    </row>
    <row r="175" spans="1:21" x14ac:dyDescent="0.25">
      <c r="A175" t="s">
        <v>175</v>
      </c>
      <c r="H175">
        <v>112.45</v>
      </c>
      <c r="I175">
        <v>520.55999999999995</v>
      </c>
      <c r="J175" s="2">
        <v>2042.18</v>
      </c>
      <c r="K175" s="2">
        <v>2258.91</v>
      </c>
      <c r="L175" s="2">
        <v>2321.41</v>
      </c>
      <c r="M175" s="2">
        <v>2406.63</v>
      </c>
      <c r="N175" s="2">
        <v>2438.1</v>
      </c>
      <c r="O175" s="2">
        <v>2528.9299999999998</v>
      </c>
      <c r="P175" s="2">
        <v>2771.85</v>
      </c>
      <c r="Q175" s="2">
        <v>2930.36</v>
      </c>
      <c r="R175" s="2">
        <v>2847.95</v>
      </c>
      <c r="S175" s="2">
        <v>3149.08</v>
      </c>
      <c r="T175" s="2">
        <v>3606.06</v>
      </c>
      <c r="U175" s="2">
        <v>4281.93</v>
      </c>
    </row>
    <row r="176" spans="1:21" x14ac:dyDescent="0.25">
      <c r="A176" t="s">
        <v>17</v>
      </c>
    </row>
    <row r="177" spans="1:21" x14ac:dyDescent="0.25">
      <c r="A177" t="s">
        <v>176</v>
      </c>
    </row>
    <row r="178" spans="1:21" x14ac:dyDescent="0.25">
      <c r="A178" t="s">
        <v>421</v>
      </c>
    </row>
    <row r="179" spans="1:21" x14ac:dyDescent="0.25">
      <c r="A179" t="s">
        <v>178</v>
      </c>
    </row>
    <row r="180" spans="1:21" x14ac:dyDescent="0.25">
      <c r="A180" t="s">
        <v>422</v>
      </c>
      <c r="H180">
        <v>92.77</v>
      </c>
      <c r="I180">
        <v>141.84</v>
      </c>
      <c r="J180">
        <v>262.02</v>
      </c>
      <c r="K180">
        <v>406.26</v>
      </c>
      <c r="L180">
        <v>514.53</v>
      </c>
      <c r="M180">
        <v>572.14</v>
      </c>
      <c r="N180">
        <v>633.07000000000005</v>
      </c>
      <c r="O180">
        <v>676.66</v>
      </c>
      <c r="P180">
        <v>716.57</v>
      </c>
      <c r="Q180">
        <v>792.99</v>
      </c>
      <c r="R180">
        <v>826.48</v>
      </c>
      <c r="S180">
        <v>909.68</v>
      </c>
      <c r="T180" s="2">
        <v>1002.86</v>
      </c>
    </row>
    <row r="181" spans="1:21" x14ac:dyDescent="0.25">
      <c r="A181" t="s">
        <v>423</v>
      </c>
      <c r="I181">
        <v>138.27000000000001</v>
      </c>
      <c r="J181">
        <v>125.47</v>
      </c>
      <c r="K181">
        <v>109.36</v>
      </c>
      <c r="L181">
        <v>107.77</v>
      </c>
      <c r="M181">
        <v>100.05</v>
      </c>
      <c r="N181">
        <v>95.71</v>
      </c>
      <c r="O181">
        <v>98.29</v>
      </c>
      <c r="P181">
        <v>96.72</v>
      </c>
      <c r="Q181">
        <v>95.95</v>
      </c>
    </row>
    <row r="182" spans="1:21" x14ac:dyDescent="0.25">
      <c r="A182" t="s">
        <v>179</v>
      </c>
      <c r="I182">
        <v>-37.15</v>
      </c>
      <c r="J182">
        <v>-21.16</v>
      </c>
      <c r="K182">
        <v>-17.61</v>
      </c>
      <c r="L182">
        <v>-14.79</v>
      </c>
      <c r="M182">
        <v>-12.2</v>
      </c>
      <c r="N182">
        <v>-18.61</v>
      </c>
      <c r="O182">
        <v>-11.75</v>
      </c>
      <c r="P182">
        <v>-7.9</v>
      </c>
      <c r="Q182">
        <v>-3.8</v>
      </c>
      <c r="R182">
        <v>-1.6</v>
      </c>
      <c r="S182">
        <v>1.2</v>
      </c>
    </row>
    <row r="183" spans="1:21" x14ac:dyDescent="0.25">
      <c r="A183" t="s">
        <v>180</v>
      </c>
      <c r="K183">
        <v>-22.9</v>
      </c>
      <c r="L183">
        <v>-20.84</v>
      </c>
      <c r="M183">
        <v>-17.68</v>
      </c>
      <c r="N183">
        <v>-29.02</v>
      </c>
      <c r="O183">
        <v>-17</v>
      </c>
      <c r="P183">
        <v>-15.75</v>
      </c>
      <c r="Q183">
        <v>-9.1</v>
      </c>
      <c r="R183">
        <v>-5.4</v>
      </c>
      <c r="S183">
        <v>4.3</v>
      </c>
    </row>
    <row r="184" spans="1:21" x14ac:dyDescent="0.25">
      <c r="A184" t="s">
        <v>186</v>
      </c>
      <c r="H184">
        <v>1.24</v>
      </c>
      <c r="I184">
        <v>3.6</v>
      </c>
      <c r="J184">
        <v>6.46</v>
      </c>
      <c r="K184">
        <v>1.93</v>
      </c>
      <c r="L184">
        <v>2.2000000000000002</v>
      </c>
      <c r="M184">
        <v>1.74</v>
      </c>
      <c r="N184">
        <v>1.39</v>
      </c>
      <c r="O184">
        <v>1.46</v>
      </c>
      <c r="P184">
        <v>1.52</v>
      </c>
      <c r="Q184">
        <v>1</v>
      </c>
    </row>
    <row r="185" spans="1:21" x14ac:dyDescent="0.25">
      <c r="A185" t="s">
        <v>333</v>
      </c>
      <c r="H185">
        <v>16.98</v>
      </c>
      <c r="I185">
        <v>335.15</v>
      </c>
      <c r="J185" s="2">
        <v>1536.33</v>
      </c>
      <c r="K185">
        <v>441.45</v>
      </c>
      <c r="L185">
        <v>707.26</v>
      </c>
      <c r="M185">
        <v>456.17</v>
      </c>
      <c r="N185">
        <v>294.23</v>
      </c>
      <c r="O185" s="2">
        <v>403.77</v>
      </c>
      <c r="P185">
        <v>606.77</v>
      </c>
      <c r="Q185">
        <v>865.64</v>
      </c>
    </row>
    <row r="186" spans="1:21" x14ac:dyDescent="0.25">
      <c r="A186" t="s">
        <v>424</v>
      </c>
      <c r="H186">
        <v>-6.85</v>
      </c>
      <c r="I186">
        <v>-9.0299999999999994</v>
      </c>
      <c r="J186">
        <v>9.48</v>
      </c>
      <c r="K186">
        <v>5.96</v>
      </c>
      <c r="L186">
        <v>5.4</v>
      </c>
      <c r="M186">
        <v>5.3</v>
      </c>
      <c r="N186">
        <v>4.3499999999999996</v>
      </c>
      <c r="O186">
        <v>4.01</v>
      </c>
      <c r="P186">
        <v>4.1500000000000004</v>
      </c>
      <c r="Q186">
        <v>4.3600000000000003</v>
      </c>
      <c r="R186">
        <v>4.55</v>
      </c>
      <c r="S186">
        <v>3.94</v>
      </c>
      <c r="T186">
        <v>4.78</v>
      </c>
      <c r="U186">
        <v>6.74</v>
      </c>
    </row>
    <row r="187" spans="1:21" x14ac:dyDescent="0.25">
      <c r="A187" t="s">
        <v>425</v>
      </c>
      <c r="H187">
        <v>45.7</v>
      </c>
      <c r="I187">
        <v>395.84</v>
      </c>
      <c r="J187" s="2">
        <v>1669.68</v>
      </c>
      <c r="K187" s="2">
        <v>1158.95</v>
      </c>
      <c r="L187" s="2">
        <v>1130.75</v>
      </c>
      <c r="M187" s="2">
        <v>1141.27</v>
      </c>
      <c r="N187">
        <v>769.57</v>
      </c>
      <c r="O187" s="2">
        <v>847.38</v>
      </c>
      <c r="P187" s="2">
        <v>993.1</v>
      </c>
      <c r="Q187" s="2">
        <v>1108.3499999999999</v>
      </c>
      <c r="R187" s="2">
        <v>1615.5</v>
      </c>
      <c r="S187" s="2">
        <v>1961.66</v>
      </c>
      <c r="T187" s="2">
        <v>2343.08</v>
      </c>
      <c r="U187" s="2">
        <v>2745.04</v>
      </c>
    </row>
    <row r="188" spans="1:21" x14ac:dyDescent="0.25">
      <c r="A188" t="s">
        <v>17</v>
      </c>
    </row>
    <row r="189" spans="1:21" x14ac:dyDescent="0.25">
      <c r="A189" t="s">
        <v>188</v>
      </c>
    </row>
    <row r="190" spans="1:21" x14ac:dyDescent="0.25">
      <c r="A190" t="s">
        <v>189</v>
      </c>
    </row>
    <row r="191" spans="1:21" x14ac:dyDescent="0.25">
      <c r="A191" t="s">
        <v>121</v>
      </c>
      <c r="J191">
        <v>-271.10000000000002</v>
      </c>
      <c r="K191">
        <v>-378.68</v>
      </c>
      <c r="L191">
        <v>-338.69</v>
      </c>
      <c r="M191">
        <v>-288.44</v>
      </c>
      <c r="N191">
        <v>-450.74</v>
      </c>
      <c r="O191">
        <v>-276.22000000000003</v>
      </c>
      <c r="P191">
        <v>-203.37</v>
      </c>
      <c r="Q191">
        <v>-132.6</v>
      </c>
      <c r="R191">
        <v>-114.23</v>
      </c>
      <c r="S191">
        <v>-37.67</v>
      </c>
      <c r="T191">
        <v>-6.7</v>
      </c>
      <c r="U191">
        <v>2.67</v>
      </c>
    </row>
    <row r="192" spans="1:21" x14ac:dyDescent="0.25">
      <c r="A192" t="s">
        <v>190</v>
      </c>
      <c r="H192">
        <v>1.86</v>
      </c>
      <c r="I192">
        <v>2.84</v>
      </c>
      <c r="J192">
        <v>7.91</v>
      </c>
      <c r="K192">
        <v>29.72</v>
      </c>
      <c r="L192">
        <v>38.909999999999997</v>
      </c>
      <c r="M192">
        <v>42.77</v>
      </c>
      <c r="N192">
        <v>54.93</v>
      </c>
      <c r="O192">
        <v>69.180000000000007</v>
      </c>
      <c r="P192">
        <v>67.88</v>
      </c>
      <c r="Q192">
        <v>66.33</v>
      </c>
      <c r="R192">
        <v>70.209999999999994</v>
      </c>
      <c r="S192">
        <v>77.45</v>
      </c>
      <c r="T192">
        <v>84.86</v>
      </c>
      <c r="U192">
        <v>67.03</v>
      </c>
    </row>
    <row r="193" spans="1:21" x14ac:dyDescent="0.25">
      <c r="A193" t="s">
        <v>426</v>
      </c>
      <c r="H193">
        <v>3.99</v>
      </c>
      <c r="I193">
        <v>3.05</v>
      </c>
      <c r="J193">
        <v>3.86</v>
      </c>
      <c r="K193">
        <v>7.04</v>
      </c>
      <c r="L193">
        <v>6.26</v>
      </c>
      <c r="M193">
        <v>5.21</v>
      </c>
      <c r="N193">
        <v>5.49</v>
      </c>
      <c r="O193">
        <v>6.01</v>
      </c>
      <c r="P193">
        <v>4.99</v>
      </c>
      <c r="Q193">
        <v>4.03</v>
      </c>
      <c r="R193">
        <v>3.8</v>
      </c>
      <c r="S193">
        <v>3.8</v>
      </c>
      <c r="T193">
        <v>3.8</v>
      </c>
      <c r="U193">
        <v>3.3</v>
      </c>
    </row>
    <row r="194" spans="1:21" x14ac:dyDescent="0.25">
      <c r="A194" t="s">
        <v>427</v>
      </c>
      <c r="H194">
        <v>5.75</v>
      </c>
      <c r="I194">
        <v>11.52</v>
      </c>
      <c r="J194">
        <v>21.67</v>
      </c>
      <c r="K194">
        <v>36.42</v>
      </c>
      <c r="L194">
        <v>48.68</v>
      </c>
      <c r="M194">
        <v>66.64</v>
      </c>
      <c r="N194">
        <v>78.12</v>
      </c>
      <c r="O194">
        <v>80.36</v>
      </c>
      <c r="P194">
        <v>89.81</v>
      </c>
      <c r="Q194">
        <v>97.13</v>
      </c>
      <c r="R194">
        <v>136.41</v>
      </c>
      <c r="S194">
        <v>154.13</v>
      </c>
      <c r="T194">
        <v>172.48</v>
      </c>
      <c r="U194">
        <v>206.95</v>
      </c>
    </row>
    <row r="195" spans="1:21" x14ac:dyDescent="0.25">
      <c r="A195" t="s">
        <v>400</v>
      </c>
      <c r="H195">
        <v>4.3499999999999996</v>
      </c>
      <c r="I195">
        <v>15.91</v>
      </c>
      <c r="J195">
        <v>87.89</v>
      </c>
      <c r="K195">
        <v>164.47</v>
      </c>
      <c r="L195">
        <v>216.87</v>
      </c>
      <c r="M195">
        <v>267.52999999999997</v>
      </c>
      <c r="N195">
        <v>297.58999999999997</v>
      </c>
      <c r="O195">
        <v>336.75</v>
      </c>
      <c r="P195">
        <v>369.94</v>
      </c>
      <c r="Q195">
        <v>391.33</v>
      </c>
      <c r="R195">
        <v>425.27</v>
      </c>
      <c r="S195">
        <v>428.22</v>
      </c>
      <c r="T195">
        <v>424.33</v>
      </c>
      <c r="U195">
        <v>319.39999999999998</v>
      </c>
    </row>
    <row r="196" spans="1:21" x14ac:dyDescent="0.25">
      <c r="A196" t="s">
        <v>338</v>
      </c>
    </row>
    <row r="197" spans="1:21" x14ac:dyDescent="0.25">
      <c r="A197" t="s">
        <v>141</v>
      </c>
      <c r="J197">
        <v>-59.08</v>
      </c>
      <c r="K197">
        <v>-44.44</v>
      </c>
      <c r="L197">
        <v>-61.95</v>
      </c>
      <c r="M197">
        <v>-21.17</v>
      </c>
      <c r="N197">
        <v>-52.06</v>
      </c>
      <c r="O197">
        <v>-42.94</v>
      </c>
      <c r="P197">
        <v>-57.12</v>
      </c>
      <c r="Q197">
        <v>-77.959999999999994</v>
      </c>
      <c r="R197">
        <v>7.63</v>
      </c>
      <c r="S197">
        <v>-17.940000000000001</v>
      </c>
      <c r="T197">
        <v>-17.47</v>
      </c>
    </row>
    <row r="198" spans="1:21" x14ac:dyDescent="0.25">
      <c r="A198" t="s">
        <v>428</v>
      </c>
      <c r="H198">
        <v>-1.24</v>
      </c>
      <c r="I198">
        <v>-9.44</v>
      </c>
      <c r="J198">
        <v>-7.32</v>
      </c>
      <c r="K198">
        <v>-14.5</v>
      </c>
      <c r="L198">
        <v>-1.21</v>
      </c>
      <c r="M198">
        <v>1.75</v>
      </c>
      <c r="N198">
        <v>-6.63</v>
      </c>
      <c r="O198">
        <v>-13.27</v>
      </c>
      <c r="P198">
        <v>-11.76</v>
      </c>
      <c r="Q198">
        <v>-11.25</v>
      </c>
    </row>
    <row r="199" spans="1:21" x14ac:dyDescent="0.25">
      <c r="A199" t="s">
        <v>429</v>
      </c>
      <c r="H199">
        <v>-14.61</v>
      </c>
      <c r="I199">
        <v>-26.93</v>
      </c>
      <c r="J199">
        <v>-53.57</v>
      </c>
      <c r="K199">
        <v>-61.29</v>
      </c>
      <c r="L199">
        <v>-81.040000000000006</v>
      </c>
      <c r="M199">
        <v>-90.95</v>
      </c>
      <c r="N199">
        <v>-88.66</v>
      </c>
      <c r="O199">
        <v>-87.8</v>
      </c>
      <c r="P199">
        <v>-82.8</v>
      </c>
      <c r="Q199">
        <v>-96.33</v>
      </c>
      <c r="R199">
        <v>-124.79</v>
      </c>
      <c r="S199">
        <v>-139.76</v>
      </c>
      <c r="T199">
        <v>-156.53</v>
      </c>
    </row>
    <row r="200" spans="1:21" x14ac:dyDescent="0.25">
      <c r="A200" t="s">
        <v>158</v>
      </c>
      <c r="J200">
        <v>-2.08</v>
      </c>
      <c r="K200">
        <v>3.67</v>
      </c>
      <c r="L200">
        <v>-4.5</v>
      </c>
      <c r="M200">
        <v>1.41</v>
      </c>
      <c r="N200">
        <v>1.62</v>
      </c>
      <c r="O200">
        <v>3.58</v>
      </c>
      <c r="P200">
        <v>3.21</v>
      </c>
      <c r="Q200">
        <v>4.41</v>
      </c>
      <c r="R200">
        <v>9.58</v>
      </c>
      <c r="S200">
        <v>14.43</v>
      </c>
      <c r="T200">
        <v>7.42</v>
      </c>
    </row>
    <row r="201" spans="1:21" x14ac:dyDescent="0.25">
      <c r="A201" t="s">
        <v>430</v>
      </c>
      <c r="H201">
        <v>5.64</v>
      </c>
      <c r="I201">
        <v>7.76</v>
      </c>
      <c r="J201">
        <v>41.46</v>
      </c>
      <c r="K201">
        <v>-7.21</v>
      </c>
      <c r="L201">
        <v>19.14</v>
      </c>
      <c r="M201">
        <v>5.29</v>
      </c>
      <c r="N201">
        <v>-1.31</v>
      </c>
      <c r="O201">
        <v>10.62</v>
      </c>
      <c r="P201">
        <v>8.69</v>
      </c>
      <c r="Q201">
        <v>11.96</v>
      </c>
      <c r="R201">
        <v>19.5</v>
      </c>
      <c r="S201">
        <v>21.84</v>
      </c>
      <c r="T201">
        <v>24.46</v>
      </c>
    </row>
    <row r="202" spans="1:21" x14ac:dyDescent="0.25">
      <c r="A202" t="s">
        <v>161</v>
      </c>
      <c r="H202">
        <v>46.26</v>
      </c>
      <c r="I202">
        <v>49.07</v>
      </c>
      <c r="J202">
        <v>115.14</v>
      </c>
      <c r="K202">
        <v>92.5</v>
      </c>
      <c r="L202">
        <v>108.2</v>
      </c>
      <c r="M202">
        <v>56.94</v>
      </c>
      <c r="N202">
        <v>59.61</v>
      </c>
      <c r="O202">
        <v>39.35</v>
      </c>
      <c r="P202">
        <v>40.880000000000003</v>
      </c>
      <c r="Q202">
        <v>66.239999999999995</v>
      </c>
      <c r="R202">
        <v>71.14</v>
      </c>
      <c r="S202">
        <v>79.180000000000007</v>
      </c>
      <c r="T202">
        <v>76.760000000000005</v>
      </c>
      <c r="U202">
        <v>41.95</v>
      </c>
    </row>
    <row r="203" spans="1:21" x14ac:dyDescent="0.25">
      <c r="A203" t="s">
        <v>202</v>
      </c>
      <c r="J203">
        <v>-3.14</v>
      </c>
      <c r="K203">
        <v>-5.32</v>
      </c>
      <c r="L203">
        <v>-4.41</v>
      </c>
      <c r="M203">
        <v>-4.95</v>
      </c>
      <c r="N203">
        <v>-4.33</v>
      </c>
      <c r="O203">
        <v>-3.95</v>
      </c>
      <c r="P203">
        <v>-4.55</v>
      </c>
      <c r="Q203">
        <v>-1.75</v>
      </c>
    </row>
    <row r="204" spans="1:21" x14ac:dyDescent="0.25">
      <c r="A204" t="s">
        <v>166</v>
      </c>
      <c r="H204">
        <v>-0.35</v>
      </c>
      <c r="I204">
        <v>0</v>
      </c>
      <c r="J204">
        <v>6.14</v>
      </c>
      <c r="K204">
        <v>-3.76</v>
      </c>
      <c r="L204">
        <v>1.34</v>
      </c>
      <c r="M204">
        <v>0</v>
      </c>
      <c r="N204">
        <v>0</v>
      </c>
      <c r="O204">
        <v>20.46</v>
      </c>
      <c r="P204">
        <v>15.1</v>
      </c>
      <c r="Q204">
        <v>13.31</v>
      </c>
    </row>
    <row r="205" spans="1:21" x14ac:dyDescent="0.25">
      <c r="A205" t="s">
        <v>204</v>
      </c>
      <c r="H205">
        <v>-44.42</v>
      </c>
      <c r="I205">
        <v>-66.569999999999993</v>
      </c>
      <c r="J205">
        <v>-95.59</v>
      </c>
      <c r="K205">
        <v>-193.29</v>
      </c>
      <c r="L205">
        <v>-68.37</v>
      </c>
      <c r="M205">
        <v>33.729999999999997</v>
      </c>
      <c r="N205">
        <v>76.62</v>
      </c>
      <c r="O205">
        <v>119.27</v>
      </c>
      <c r="P205">
        <v>214.45</v>
      </c>
      <c r="Q205">
        <v>315.88</v>
      </c>
      <c r="R205">
        <v>437.86</v>
      </c>
      <c r="S205">
        <v>540.23</v>
      </c>
      <c r="T205">
        <v>627.66999999999996</v>
      </c>
      <c r="U205">
        <v>467.05</v>
      </c>
    </row>
    <row r="206" spans="1:21" x14ac:dyDescent="0.25">
      <c r="A206" t="s">
        <v>17</v>
      </c>
    </row>
    <row r="207" spans="1:21" x14ac:dyDescent="0.25">
      <c r="A207" t="s">
        <v>205</v>
      </c>
    </row>
    <row r="208" spans="1:21" x14ac:dyDescent="0.25">
      <c r="A208" t="s">
        <v>206</v>
      </c>
      <c r="H208">
        <v>-0.95</v>
      </c>
      <c r="I208">
        <v>-3.28</v>
      </c>
      <c r="J208">
        <v>-3.65</v>
      </c>
      <c r="K208">
        <v>-4.95</v>
      </c>
      <c r="L208">
        <v>-1.3</v>
      </c>
      <c r="M208">
        <v>-1.86</v>
      </c>
      <c r="N208">
        <v>-0.71</v>
      </c>
      <c r="O208">
        <v>-3.22</v>
      </c>
      <c r="P208">
        <v>-6.8</v>
      </c>
      <c r="Q208">
        <v>-7.98</v>
      </c>
      <c r="R208">
        <v>-8.25</v>
      </c>
      <c r="S208">
        <v>-9.4600000000000009</v>
      </c>
      <c r="T208">
        <v>-2.87</v>
      </c>
      <c r="U208">
        <v>-4.5999999999999996</v>
      </c>
    </row>
    <row r="209" spans="1:21" x14ac:dyDescent="0.25">
      <c r="A209" t="s">
        <v>61</v>
      </c>
      <c r="H209">
        <v>2.0499999999999998</v>
      </c>
      <c r="I209">
        <v>3.53</v>
      </c>
      <c r="J209">
        <v>1.78</v>
      </c>
      <c r="K209">
        <v>1.17</v>
      </c>
      <c r="L209">
        <v>0.21</v>
      </c>
      <c r="M209">
        <v>3.28</v>
      </c>
      <c r="N209">
        <v>2.4700000000000002</v>
      </c>
      <c r="O209">
        <v>0.12</v>
      </c>
      <c r="P209">
        <v>0.16</v>
      </c>
      <c r="Q209">
        <v>0.18</v>
      </c>
      <c r="R209">
        <v>0.14000000000000001</v>
      </c>
      <c r="S209">
        <v>0.14000000000000001</v>
      </c>
      <c r="T209">
        <v>0.14000000000000001</v>
      </c>
      <c r="U209">
        <v>0.23</v>
      </c>
    </row>
    <row r="210" spans="1:21" x14ac:dyDescent="0.25">
      <c r="A210" t="s">
        <v>208</v>
      </c>
      <c r="H210">
        <v>0</v>
      </c>
      <c r="I210">
        <v>0</v>
      </c>
      <c r="J210">
        <v>-0.8</v>
      </c>
      <c r="K210">
        <v>-0.41</v>
      </c>
      <c r="L210">
        <v>-3.51</v>
      </c>
      <c r="M210">
        <v>-0.16</v>
      </c>
      <c r="N210">
        <v>-0.21</v>
      </c>
      <c r="O210">
        <v>-0.17</v>
      </c>
      <c r="P210">
        <v>-2.16</v>
      </c>
      <c r="Q210">
        <v>-5.1100000000000003</v>
      </c>
    </row>
    <row r="211" spans="1:21" x14ac:dyDescent="0.25">
      <c r="A211" t="s">
        <v>209</v>
      </c>
      <c r="K211">
        <v>925.19</v>
      </c>
      <c r="L211">
        <v>639.19000000000005</v>
      </c>
      <c r="M211">
        <v>737.07</v>
      </c>
      <c r="N211">
        <v>610.17999999999995</v>
      </c>
      <c r="O211">
        <v>269.3</v>
      </c>
      <c r="P211">
        <v>160</v>
      </c>
      <c r="Q211">
        <v>0</v>
      </c>
    </row>
    <row r="212" spans="1:21" x14ac:dyDescent="0.25">
      <c r="A212" t="s">
        <v>431</v>
      </c>
      <c r="H212">
        <v>-0.33</v>
      </c>
      <c r="I212">
        <v>0</v>
      </c>
      <c r="J212">
        <v>-6</v>
      </c>
      <c r="K212" s="2">
        <v>-1938.01</v>
      </c>
      <c r="L212">
        <v>-466.25</v>
      </c>
      <c r="M212">
        <v>-804.5</v>
      </c>
      <c r="N212">
        <v>-249.28</v>
      </c>
      <c r="O212">
        <v>-277.01</v>
      </c>
      <c r="P212" s="2">
        <v>-164.65</v>
      </c>
      <c r="Q212">
        <v>-69.28</v>
      </c>
    </row>
    <row r="213" spans="1:21" x14ac:dyDescent="0.25">
      <c r="A213" t="s">
        <v>432</v>
      </c>
      <c r="H213">
        <v>-0.33</v>
      </c>
      <c r="I213">
        <v>0</v>
      </c>
      <c r="J213">
        <v>-6</v>
      </c>
      <c r="K213" s="2">
        <v>-1012.82</v>
      </c>
      <c r="L213">
        <v>172.94</v>
      </c>
      <c r="M213">
        <v>-67.42</v>
      </c>
      <c r="N213">
        <v>360.89</v>
      </c>
      <c r="O213">
        <v>-9.25</v>
      </c>
      <c r="P213" s="2">
        <v>-25.62</v>
      </c>
      <c r="Q213">
        <v>-56.29</v>
      </c>
    </row>
    <row r="214" spans="1:21" x14ac:dyDescent="0.25">
      <c r="A214" t="s">
        <v>433</v>
      </c>
      <c r="H214">
        <v>-0.2</v>
      </c>
      <c r="I214">
        <v>-0.22</v>
      </c>
      <c r="J214">
        <v>-3.45</v>
      </c>
      <c r="K214">
        <v>-281.02999999999997</v>
      </c>
      <c r="L214">
        <v>-13.59</v>
      </c>
      <c r="M214">
        <v>-123.84</v>
      </c>
      <c r="N214">
        <v>-248.97</v>
      </c>
      <c r="O214">
        <v>-1.87</v>
      </c>
      <c r="P214">
        <v>-8</v>
      </c>
      <c r="Q214">
        <v>0</v>
      </c>
      <c r="R214">
        <v>0</v>
      </c>
      <c r="S214">
        <v>0</v>
      </c>
    </row>
    <row r="215" spans="1:21" x14ac:dyDescent="0.25">
      <c r="A215" t="s">
        <v>346</v>
      </c>
      <c r="H215">
        <v>-1.7</v>
      </c>
      <c r="I215">
        <v>-2.76</v>
      </c>
      <c r="J215">
        <v>-5.84</v>
      </c>
      <c r="K215">
        <v>-13.45</v>
      </c>
      <c r="L215">
        <v>-13.96</v>
      </c>
      <c r="M215">
        <v>0</v>
      </c>
      <c r="N215">
        <v>0</v>
      </c>
      <c r="O215">
        <v>-26.34</v>
      </c>
      <c r="P215">
        <v>-31.77</v>
      </c>
      <c r="Q215">
        <v>-37.64</v>
      </c>
      <c r="R215">
        <v>-47.73</v>
      </c>
      <c r="S215">
        <v>-52.29</v>
      </c>
      <c r="T215">
        <v>-56.76</v>
      </c>
      <c r="U215">
        <v>-60.49</v>
      </c>
    </row>
    <row r="216" spans="1:21" x14ac:dyDescent="0.25">
      <c r="A216" t="s">
        <v>213</v>
      </c>
      <c r="H216">
        <v>-3.19</v>
      </c>
      <c r="I216">
        <v>-6.27</v>
      </c>
      <c r="J216">
        <v>-19.739999999999998</v>
      </c>
      <c r="K216" s="2">
        <v>-1312.67</v>
      </c>
      <c r="L216">
        <v>140.59</v>
      </c>
      <c r="M216">
        <v>-218.4</v>
      </c>
      <c r="N216">
        <v>86.99</v>
      </c>
      <c r="O216">
        <v>-39.659999999999997</v>
      </c>
      <c r="P216" s="2">
        <v>-41.88</v>
      </c>
      <c r="Q216">
        <v>-57.57</v>
      </c>
      <c r="R216">
        <v>-5.25</v>
      </c>
      <c r="S216">
        <v>-4.63</v>
      </c>
      <c r="T216">
        <v>-3.25</v>
      </c>
      <c r="U216">
        <v>-65.09</v>
      </c>
    </row>
    <row r="217" spans="1:21" x14ac:dyDescent="0.25">
      <c r="A217" t="s">
        <v>17</v>
      </c>
    </row>
    <row r="218" spans="1:21" x14ac:dyDescent="0.25">
      <c r="A218" t="s">
        <v>214</v>
      </c>
    </row>
    <row r="219" spans="1:21" x14ac:dyDescent="0.25">
      <c r="A219" t="s">
        <v>434</v>
      </c>
      <c r="I219">
        <v>-19.8</v>
      </c>
      <c r="J219">
        <v>-7.42</v>
      </c>
      <c r="K219">
        <v>-0.19</v>
      </c>
      <c r="L219">
        <v>0</v>
      </c>
      <c r="M219">
        <v>0</v>
      </c>
      <c r="N219">
        <v>0</v>
      </c>
      <c r="O219">
        <v>-9.82</v>
      </c>
      <c r="P219">
        <v>-16.61</v>
      </c>
      <c r="Q219">
        <v>0</v>
      </c>
    </row>
    <row r="220" spans="1:21" x14ac:dyDescent="0.25">
      <c r="A220" t="s">
        <v>348</v>
      </c>
      <c r="H220">
        <v>0</v>
      </c>
      <c r="I220">
        <v>0</v>
      </c>
      <c r="J220">
        <v>-20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21" x14ac:dyDescent="0.25">
      <c r="A221" t="s">
        <v>435</v>
      </c>
      <c r="H221">
        <v>52.77</v>
      </c>
      <c r="I221">
        <v>443.78</v>
      </c>
      <c r="J221" s="2">
        <v>1414.54</v>
      </c>
      <c r="K221">
        <v>36.49</v>
      </c>
      <c r="L221">
        <v>47.46</v>
      </c>
      <c r="M221">
        <v>55.89</v>
      </c>
      <c r="N221">
        <v>39.26</v>
      </c>
      <c r="O221" s="2">
        <v>12.22</v>
      </c>
      <c r="P221">
        <v>13.95</v>
      </c>
      <c r="Q221">
        <v>13.95</v>
      </c>
    </row>
    <row r="222" spans="1:21" x14ac:dyDescent="0.25">
      <c r="A222" t="s">
        <v>436</v>
      </c>
      <c r="H222">
        <v>51.87</v>
      </c>
      <c r="I222">
        <v>439.17</v>
      </c>
      <c r="J222" s="2">
        <v>1399.92</v>
      </c>
      <c r="K222">
        <v>19.16</v>
      </c>
      <c r="L222">
        <v>19.149999999999999</v>
      </c>
      <c r="M222">
        <v>22.5</v>
      </c>
      <c r="N222">
        <v>21.21</v>
      </c>
      <c r="O222" s="2">
        <v>10.3</v>
      </c>
      <c r="P222">
        <v>11.84</v>
      </c>
      <c r="Q222">
        <v>0</v>
      </c>
    </row>
    <row r="223" spans="1:21" x14ac:dyDescent="0.25">
      <c r="A223" t="s">
        <v>437</v>
      </c>
      <c r="H223">
        <v>0.9</v>
      </c>
      <c r="I223">
        <v>4.6100000000000003</v>
      </c>
      <c r="J223">
        <v>14.62</v>
      </c>
      <c r="K223">
        <v>17.34</v>
      </c>
      <c r="L223">
        <v>28.32</v>
      </c>
      <c r="M223">
        <v>33.409999999999997</v>
      </c>
      <c r="N223">
        <v>18.05</v>
      </c>
      <c r="O223">
        <v>6.18</v>
      </c>
      <c r="P223">
        <v>25.52</v>
      </c>
      <c r="Q223">
        <v>7.97</v>
      </c>
    </row>
    <row r="224" spans="1:21" x14ac:dyDescent="0.25">
      <c r="A224" t="s">
        <v>218</v>
      </c>
      <c r="H224">
        <v>52.77</v>
      </c>
      <c r="I224">
        <v>423.98</v>
      </c>
      <c r="J224" s="2">
        <v>1387.12</v>
      </c>
      <c r="K224">
        <v>36.31</v>
      </c>
      <c r="L224">
        <v>47.46</v>
      </c>
      <c r="M224">
        <v>55.89</v>
      </c>
      <c r="N224">
        <v>-160.75</v>
      </c>
      <c r="O224" s="2">
        <v>13.41</v>
      </c>
      <c r="P224">
        <v>7.19</v>
      </c>
      <c r="Q224">
        <v>0.98</v>
      </c>
    </row>
    <row r="225" spans="1:21" x14ac:dyDescent="0.25">
      <c r="A225" t="s">
        <v>17</v>
      </c>
    </row>
    <row r="226" spans="1:21" x14ac:dyDescent="0.25">
      <c r="A226" t="s">
        <v>176</v>
      </c>
    </row>
    <row r="227" spans="1:21" x14ac:dyDescent="0.25">
      <c r="A227" t="s">
        <v>219</v>
      </c>
      <c r="H227">
        <v>0.04</v>
      </c>
      <c r="I227">
        <v>0.28999999999999998</v>
      </c>
      <c r="J227">
        <v>1.1499999999999999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21" x14ac:dyDescent="0.25">
      <c r="A228" t="s">
        <v>220</v>
      </c>
      <c r="H228">
        <v>5.2</v>
      </c>
      <c r="I228">
        <v>351.43</v>
      </c>
      <c r="J228" s="2">
        <v>1272.94</v>
      </c>
      <c r="K228" s="2">
        <v>-1469.65</v>
      </c>
      <c r="L228">
        <v>119.68</v>
      </c>
      <c r="M228">
        <v>-128.78</v>
      </c>
      <c r="N228">
        <v>2.86</v>
      </c>
      <c r="O228" s="2">
        <v>96.29</v>
      </c>
      <c r="P228" s="2">
        <v>158.58000000000001</v>
      </c>
      <c r="Q228">
        <v>211.91</v>
      </c>
      <c r="R228">
        <v>149.41999999999999</v>
      </c>
      <c r="S228">
        <v>197.37</v>
      </c>
      <c r="T228">
        <v>227.09</v>
      </c>
      <c r="U228">
        <v>401.96</v>
      </c>
    </row>
    <row r="229" spans="1:21" x14ac:dyDescent="0.25">
      <c r="A229" t="s">
        <v>221</v>
      </c>
      <c r="H229">
        <v>42.49</v>
      </c>
      <c r="I229">
        <v>47.68</v>
      </c>
      <c r="J229">
        <v>399.11</v>
      </c>
      <c r="K229" s="2">
        <v>1672.05</v>
      </c>
      <c r="L229">
        <v>202.41</v>
      </c>
      <c r="M229">
        <v>322.08999999999997</v>
      </c>
      <c r="N229">
        <v>193.3</v>
      </c>
      <c r="O229">
        <v>198.94</v>
      </c>
      <c r="P229" s="2">
        <v>285.26</v>
      </c>
      <c r="Q229">
        <v>600.08000000000004</v>
      </c>
      <c r="R229">
        <v>459.05</v>
      </c>
      <c r="S229">
        <v>608.46</v>
      </c>
      <c r="T229">
        <v>805.84</v>
      </c>
      <c r="U229" s="2">
        <v>1730.79</v>
      </c>
    </row>
    <row r="230" spans="1:21" x14ac:dyDescent="0.25">
      <c r="A230" t="s">
        <v>222</v>
      </c>
      <c r="H230">
        <v>47.68</v>
      </c>
      <c r="I230">
        <v>399.11</v>
      </c>
      <c r="J230" s="2">
        <v>1672.05</v>
      </c>
      <c r="K230">
        <v>202.41</v>
      </c>
      <c r="L230">
        <v>322.08999999999997</v>
      </c>
      <c r="M230">
        <v>193.3</v>
      </c>
      <c r="N230">
        <v>196.16</v>
      </c>
      <c r="O230" s="2">
        <v>279.75</v>
      </c>
      <c r="P230">
        <v>438.75</v>
      </c>
      <c r="Q230">
        <v>782.16</v>
      </c>
      <c r="R230">
        <v>608.46</v>
      </c>
      <c r="S230">
        <v>805.84</v>
      </c>
      <c r="T230" s="2">
        <v>1032.92</v>
      </c>
      <c r="U230" s="2">
        <v>2132.7399999999998</v>
      </c>
    </row>
    <row r="231" spans="1:21" x14ac:dyDescent="0.25">
      <c r="A231" t="s">
        <v>178</v>
      </c>
    </row>
    <row r="232" spans="1:21" x14ac:dyDescent="0.25">
      <c r="A232" t="s">
        <v>225</v>
      </c>
      <c r="H232">
        <v>-45.38</v>
      </c>
      <c r="I232">
        <v>-69.849999999999994</v>
      </c>
      <c r="J232">
        <v>-105.08</v>
      </c>
      <c r="K232">
        <v>-211.69</v>
      </c>
      <c r="L232">
        <v>-83.63</v>
      </c>
      <c r="M232">
        <v>6.75</v>
      </c>
      <c r="N232">
        <v>51.89</v>
      </c>
      <c r="O232">
        <v>89.5</v>
      </c>
      <c r="P232">
        <v>182.15</v>
      </c>
      <c r="Q232">
        <v>276.77</v>
      </c>
      <c r="R232">
        <v>396.01</v>
      </c>
      <c r="S232">
        <v>500.04</v>
      </c>
      <c r="T232">
        <v>596.96</v>
      </c>
      <c r="U232">
        <v>590.53</v>
      </c>
    </row>
    <row r="233" spans="1:21" x14ac:dyDescent="0.25">
      <c r="A233" t="s">
        <v>438</v>
      </c>
      <c r="H233">
        <v>-1.39</v>
      </c>
      <c r="I233">
        <v>-1.97</v>
      </c>
      <c r="J233">
        <v>-0.56999999999999995</v>
      </c>
      <c r="K233">
        <v>-0.71</v>
      </c>
      <c r="L233">
        <v>-0.24</v>
      </c>
      <c r="M233">
        <v>0.02</v>
      </c>
      <c r="N233">
        <v>0.16</v>
      </c>
      <c r="O233">
        <v>0.25</v>
      </c>
      <c r="P233">
        <v>0.47</v>
      </c>
      <c r="Q233">
        <v>0.68</v>
      </c>
      <c r="R233">
        <v>0.91</v>
      </c>
      <c r="S233">
        <v>1.08</v>
      </c>
      <c r="T233">
        <v>1.2</v>
      </c>
      <c r="U233">
        <v>0.95</v>
      </c>
    </row>
    <row r="234" spans="1:21" x14ac:dyDescent="0.25">
      <c r="A234" t="s">
        <v>229</v>
      </c>
      <c r="H234">
        <v>-95.59</v>
      </c>
      <c r="I234">
        <v>-71.540000000000006</v>
      </c>
      <c r="J234">
        <v>-46.67</v>
      </c>
      <c r="K234">
        <v>-45.78</v>
      </c>
      <c r="L234">
        <v>-11.01</v>
      </c>
      <c r="M234">
        <v>4.1100000000000003</v>
      </c>
      <c r="N234">
        <v>7.65</v>
      </c>
      <c r="O234">
        <v>10.220000000000001</v>
      </c>
      <c r="P234">
        <v>15.2</v>
      </c>
      <c r="Q234">
        <v>18.59</v>
      </c>
      <c r="R234">
        <v>28.09</v>
      </c>
      <c r="S234">
        <v>30.9</v>
      </c>
      <c r="T234">
        <v>33.159999999999997</v>
      </c>
    </row>
    <row r="235" spans="1:21" x14ac:dyDescent="0.25">
      <c r="A235" t="s">
        <v>17</v>
      </c>
    </row>
    <row r="236" spans="1:21" x14ac:dyDescent="0.25">
      <c r="A236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8C43-1EE9-46C0-88B9-8244F297AD4C}">
  <dimension ref="A1:U316"/>
  <sheetViews>
    <sheetView workbookViewId="0">
      <selection sqref="A1:U316"/>
    </sheetView>
  </sheetViews>
  <sheetFormatPr defaultRowHeight="15" x14ac:dyDescent="0.25"/>
  <sheetData>
    <row r="1" spans="1:21" x14ac:dyDescent="0.25">
      <c r="A1" t="s">
        <v>439</v>
      </c>
    </row>
    <row r="2" spans="1:21" x14ac:dyDescent="0.25">
      <c r="A2" t="s">
        <v>440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0.1</v>
      </c>
      <c r="C6">
        <v>0.1</v>
      </c>
      <c r="D6">
        <v>0.1</v>
      </c>
      <c r="E6">
        <v>0.15</v>
      </c>
      <c r="F6">
        <v>0.21</v>
      </c>
      <c r="G6">
        <v>0.37</v>
      </c>
      <c r="H6">
        <v>0.49</v>
      </c>
      <c r="I6">
        <v>0.85</v>
      </c>
      <c r="J6">
        <v>0.8</v>
      </c>
      <c r="K6">
        <v>1.19</v>
      </c>
      <c r="L6">
        <v>1.63</v>
      </c>
      <c r="M6">
        <v>2.7</v>
      </c>
      <c r="N6">
        <v>2.76</v>
      </c>
      <c r="O6">
        <v>3.45</v>
      </c>
      <c r="P6">
        <v>3.79</v>
      </c>
      <c r="Q6">
        <v>4.3</v>
      </c>
      <c r="R6">
        <v>4.54</v>
      </c>
      <c r="S6">
        <v>4.97</v>
      </c>
      <c r="T6">
        <v>5.21</v>
      </c>
      <c r="U6">
        <v>5.57</v>
      </c>
    </row>
    <row r="7" spans="1:21" x14ac:dyDescent="0.25">
      <c r="A7" t="s">
        <v>16</v>
      </c>
      <c r="B7">
        <v>615.29999999999995</v>
      </c>
      <c r="C7">
        <v>770.36</v>
      </c>
      <c r="D7" s="2">
        <v>1009.27</v>
      </c>
      <c r="E7" s="2">
        <v>1275.44</v>
      </c>
      <c r="F7" s="2">
        <v>1494.93</v>
      </c>
      <c r="G7" s="2">
        <v>1801.2</v>
      </c>
      <c r="H7" s="2">
        <v>2156.1999999999998</v>
      </c>
      <c r="I7" s="2">
        <v>2594.4</v>
      </c>
      <c r="J7" s="2">
        <v>3342.2</v>
      </c>
      <c r="K7" s="2">
        <v>4417.3999999999996</v>
      </c>
      <c r="L7" s="2">
        <v>5304.8</v>
      </c>
      <c r="M7" s="2">
        <v>5955.8</v>
      </c>
      <c r="N7" s="2">
        <v>6799.6</v>
      </c>
      <c r="O7" s="2">
        <v>8121.29</v>
      </c>
      <c r="P7" s="2">
        <v>9052.98</v>
      </c>
      <c r="Q7" s="2">
        <v>10005.040000000001</v>
      </c>
      <c r="R7" s="2">
        <v>11378.67</v>
      </c>
      <c r="S7" s="2">
        <v>12351.67</v>
      </c>
      <c r="T7" s="2">
        <v>12743.25</v>
      </c>
      <c r="U7" s="2">
        <v>13709</v>
      </c>
    </row>
    <row r="8" spans="1:21" x14ac:dyDescent="0.25">
      <c r="A8" t="s">
        <v>17</v>
      </c>
    </row>
    <row r="9" spans="1:21" x14ac:dyDescent="0.25">
      <c r="A9" t="s">
        <v>43</v>
      </c>
      <c r="B9" s="2">
        <v>2308</v>
      </c>
      <c r="C9" s="2">
        <v>2854</v>
      </c>
      <c r="D9" s="2">
        <v>4018</v>
      </c>
      <c r="E9" s="2">
        <v>4665</v>
      </c>
      <c r="F9" s="2">
        <v>5066</v>
      </c>
      <c r="G9" s="2">
        <v>5845</v>
      </c>
      <c r="H9" s="2">
        <v>7082</v>
      </c>
      <c r="I9" s="2">
        <v>8238</v>
      </c>
      <c r="J9" s="2">
        <v>10195</v>
      </c>
      <c r="K9" s="2">
        <v>12595</v>
      </c>
      <c r="L9" s="2">
        <v>13568</v>
      </c>
      <c r="M9" s="2">
        <v>14138</v>
      </c>
      <c r="N9" s="2">
        <v>15109</v>
      </c>
    </row>
    <row r="10" spans="1:21" x14ac:dyDescent="0.25">
      <c r="A10" t="s">
        <v>441</v>
      </c>
      <c r="B10">
        <v>684.19</v>
      </c>
      <c r="C10">
        <v>896.49</v>
      </c>
      <c r="D10" s="2">
        <v>1232.01</v>
      </c>
      <c r="E10" s="2">
        <v>1515.09</v>
      </c>
      <c r="F10" s="2">
        <v>1795.9</v>
      </c>
      <c r="G10" s="2">
        <v>2153.3000000000002</v>
      </c>
      <c r="H10" s="2">
        <v>2602.9</v>
      </c>
      <c r="I10" s="2">
        <v>3090</v>
      </c>
      <c r="J10" s="2">
        <v>4181.3999999999996</v>
      </c>
      <c r="K10" s="2">
        <v>5594</v>
      </c>
      <c r="L10" s="2">
        <v>6399.5</v>
      </c>
      <c r="M10" s="2">
        <v>6532.5</v>
      </c>
      <c r="N10" s="2">
        <v>7553.7</v>
      </c>
      <c r="O10" s="2">
        <v>9445.73</v>
      </c>
      <c r="P10" s="2">
        <v>10410.65</v>
      </c>
      <c r="Q10" s="2">
        <v>11336.28</v>
      </c>
      <c r="R10" s="2">
        <v>11532.41</v>
      </c>
      <c r="S10" s="2">
        <v>12344.03</v>
      </c>
      <c r="T10" s="2">
        <v>13103.22</v>
      </c>
      <c r="U10" s="2">
        <v>13852</v>
      </c>
    </row>
    <row r="11" spans="1:21" x14ac:dyDescent="0.25">
      <c r="A11" t="s">
        <v>27</v>
      </c>
      <c r="B11">
        <v>432.63</v>
      </c>
      <c r="C11">
        <v>558.76</v>
      </c>
      <c r="D11">
        <v>791.3</v>
      </c>
      <c r="E11" s="2">
        <v>1035.3499999999999</v>
      </c>
      <c r="F11" s="2">
        <v>1336.31</v>
      </c>
      <c r="G11" s="2">
        <v>1686.8</v>
      </c>
      <c r="H11" s="2">
        <v>2109.1</v>
      </c>
      <c r="I11" s="2">
        <v>2605.3000000000002</v>
      </c>
      <c r="J11" s="2">
        <v>3452.9</v>
      </c>
      <c r="K11" s="2">
        <v>4640.3</v>
      </c>
      <c r="L11" s="2">
        <v>5735</v>
      </c>
      <c r="M11" s="2">
        <v>6360.9</v>
      </c>
      <c r="N11" s="2">
        <v>7115.8</v>
      </c>
      <c r="O11" s="2">
        <v>8433.23</v>
      </c>
      <c r="P11" s="2">
        <v>9813.44</v>
      </c>
      <c r="Q11" s="2">
        <v>10997.4</v>
      </c>
      <c r="R11" s="2">
        <v>10393.94</v>
      </c>
      <c r="S11" s="2">
        <v>11028.57</v>
      </c>
      <c r="T11" s="2">
        <v>11644.11</v>
      </c>
      <c r="U11" s="2">
        <v>12294.21</v>
      </c>
    </row>
    <row r="12" spans="1:21" x14ac:dyDescent="0.25">
      <c r="A12" t="s">
        <v>17</v>
      </c>
    </row>
    <row r="13" spans="1:21" x14ac:dyDescent="0.25">
      <c r="A13" t="s">
        <v>442</v>
      </c>
      <c r="B13">
        <v>34</v>
      </c>
      <c r="C13">
        <v>41</v>
      </c>
      <c r="D13">
        <v>44</v>
      </c>
      <c r="E13">
        <v>42</v>
      </c>
      <c r="F13">
        <v>35</v>
      </c>
      <c r="G13">
        <v>43</v>
      </c>
      <c r="H13">
        <v>45</v>
      </c>
      <c r="I13">
        <v>47</v>
      </c>
      <c r="J13">
        <v>55</v>
      </c>
      <c r="K13">
        <v>60</v>
      </c>
      <c r="L13">
        <v>48</v>
      </c>
      <c r="M13">
        <v>47</v>
      </c>
      <c r="N13">
        <v>50</v>
      </c>
      <c r="O13">
        <v>55.56</v>
      </c>
      <c r="P13">
        <v>47.69</v>
      </c>
      <c r="Q13">
        <v>46.65</v>
      </c>
      <c r="R13">
        <v>46.4</v>
      </c>
      <c r="S13">
        <v>46.6</v>
      </c>
      <c r="T13">
        <v>46.7</v>
      </c>
      <c r="U13">
        <v>47</v>
      </c>
    </row>
    <row r="14" spans="1:21" x14ac:dyDescent="0.25">
      <c r="A14" t="s">
        <v>17</v>
      </c>
    </row>
    <row r="15" spans="1:21" x14ac:dyDescent="0.25">
      <c r="A15" t="s">
        <v>32</v>
      </c>
    </row>
    <row r="16" spans="1:21" x14ac:dyDescent="0.25">
      <c r="A16" t="s">
        <v>443</v>
      </c>
      <c r="B16">
        <v>278.05</v>
      </c>
      <c r="C16">
        <v>360.56</v>
      </c>
      <c r="D16">
        <v>476.78</v>
      </c>
      <c r="E16">
        <v>548.11</v>
      </c>
      <c r="F16">
        <v>577.23</v>
      </c>
      <c r="G16">
        <v>674.4</v>
      </c>
      <c r="H16">
        <v>788.5</v>
      </c>
      <c r="I16">
        <v>916.4</v>
      </c>
      <c r="J16" s="2">
        <v>1255</v>
      </c>
      <c r="K16" s="2">
        <v>1780.5</v>
      </c>
      <c r="L16" s="2">
        <v>1927.3</v>
      </c>
      <c r="M16" s="2">
        <v>1908.7</v>
      </c>
      <c r="N16" s="2">
        <v>2218.4</v>
      </c>
      <c r="O16" s="2">
        <v>2922.03</v>
      </c>
      <c r="P16" s="2">
        <v>3167.57</v>
      </c>
      <c r="Q16" s="2">
        <v>3412.61</v>
      </c>
      <c r="R16" s="2">
        <v>3484.19</v>
      </c>
      <c r="S16" s="2">
        <v>3615.02</v>
      </c>
      <c r="T16" s="2">
        <v>3734.61</v>
      </c>
      <c r="U16" s="2">
        <v>3848.05</v>
      </c>
    </row>
    <row r="17" spans="1:21" x14ac:dyDescent="0.25">
      <c r="A17" t="s">
        <v>444</v>
      </c>
      <c r="B17">
        <v>329.72</v>
      </c>
      <c r="C17">
        <v>409.81</v>
      </c>
      <c r="D17">
        <v>532.49</v>
      </c>
      <c r="E17">
        <v>727.33</v>
      </c>
      <c r="F17">
        <v>917.7</v>
      </c>
      <c r="G17" s="2">
        <v>1126.8</v>
      </c>
      <c r="H17" s="2">
        <v>1374.5</v>
      </c>
      <c r="I17" s="2">
        <v>1678</v>
      </c>
      <c r="J17" s="2">
        <v>2087.1999999999998</v>
      </c>
      <c r="K17" s="2">
        <v>2636.9</v>
      </c>
      <c r="L17" s="2">
        <v>3377.5</v>
      </c>
      <c r="M17" s="2">
        <v>4047.1</v>
      </c>
      <c r="N17" s="2">
        <v>4581.2</v>
      </c>
      <c r="O17" s="2">
        <v>5199.26</v>
      </c>
      <c r="P17" s="2">
        <v>5896.75</v>
      </c>
      <c r="Q17" s="2">
        <v>6326.15</v>
      </c>
      <c r="R17" s="2">
        <v>7097.05</v>
      </c>
      <c r="S17" s="2">
        <v>7767.52</v>
      </c>
      <c r="T17" s="2">
        <v>8438.99</v>
      </c>
      <c r="U17" s="2">
        <v>9100.07</v>
      </c>
    </row>
    <row r="18" spans="1:21" x14ac:dyDescent="0.25">
      <c r="A18" t="s">
        <v>17</v>
      </c>
    </row>
    <row r="19" spans="1:21" x14ac:dyDescent="0.25">
      <c r="A19" t="s">
        <v>29</v>
      </c>
      <c r="B19">
        <v>130.08000000000001</v>
      </c>
      <c r="C19">
        <v>122.13</v>
      </c>
      <c r="D19">
        <v>133.32</v>
      </c>
      <c r="E19">
        <v>193.13</v>
      </c>
      <c r="F19">
        <v>257.39999999999998</v>
      </c>
      <c r="G19">
        <v>402.9</v>
      </c>
      <c r="H19">
        <v>529.20000000000005</v>
      </c>
      <c r="I19">
        <v>698</v>
      </c>
      <c r="J19">
        <v>875.5</v>
      </c>
      <c r="K19">
        <v>969.6</v>
      </c>
      <c r="L19" s="2">
        <v>1507</v>
      </c>
      <c r="M19" s="2">
        <v>2085.3000000000002</v>
      </c>
      <c r="N19" s="2">
        <v>2412.6999999999998</v>
      </c>
      <c r="O19" s="2">
        <v>2935.63</v>
      </c>
      <c r="P19" s="2">
        <v>3277.22</v>
      </c>
      <c r="Q19" s="2">
        <v>3719</v>
      </c>
      <c r="R19" s="2">
        <v>4150.8</v>
      </c>
      <c r="S19" s="2">
        <v>4564.3999999999996</v>
      </c>
      <c r="T19" s="2">
        <v>4489.33</v>
      </c>
      <c r="U19" s="2">
        <v>4814.33</v>
      </c>
    </row>
    <row r="20" spans="1:21" x14ac:dyDescent="0.25">
      <c r="A20" t="s">
        <v>240</v>
      </c>
      <c r="B20">
        <v>18.96</v>
      </c>
      <c r="C20">
        <v>15.85</v>
      </c>
      <c r="D20">
        <v>13.21</v>
      </c>
      <c r="E20">
        <v>15.14</v>
      </c>
      <c r="F20">
        <v>17.37</v>
      </c>
      <c r="G20">
        <v>22.51</v>
      </c>
      <c r="H20">
        <v>24.78</v>
      </c>
      <c r="I20">
        <v>26.9</v>
      </c>
      <c r="J20">
        <v>26.2</v>
      </c>
      <c r="K20">
        <v>27.35</v>
      </c>
      <c r="L20">
        <v>28.41</v>
      </c>
      <c r="M20">
        <v>35.01</v>
      </c>
      <c r="N20">
        <v>35.479999999999997</v>
      </c>
      <c r="O20">
        <v>36.200000000000003</v>
      </c>
      <c r="P20">
        <v>36.159999999999997</v>
      </c>
      <c r="Q20">
        <v>36.630000000000003</v>
      </c>
      <c r="R20">
        <v>36.36</v>
      </c>
      <c r="S20">
        <v>36.61</v>
      </c>
      <c r="T20">
        <v>36.85</v>
      </c>
      <c r="U20">
        <v>37.11</v>
      </c>
    </row>
    <row r="21" spans="1:21" x14ac:dyDescent="0.25">
      <c r="A21" t="s">
        <v>378</v>
      </c>
      <c r="B21">
        <v>441.9</v>
      </c>
      <c r="C21">
        <v>549.48</v>
      </c>
      <c r="D21">
        <v>736.45</v>
      </c>
      <c r="E21">
        <v>952.44</v>
      </c>
      <c r="F21" s="2">
        <v>1128.3</v>
      </c>
      <c r="G21" s="2">
        <v>1372.7</v>
      </c>
      <c r="H21" s="2">
        <v>1677.6</v>
      </c>
      <c r="I21" s="2">
        <v>2048</v>
      </c>
      <c r="J21" s="2">
        <v>2589.5</v>
      </c>
      <c r="K21" s="2">
        <v>3370.2</v>
      </c>
      <c r="L21" s="2">
        <v>4107.6000000000004</v>
      </c>
      <c r="M21" s="2">
        <v>4841.1000000000004</v>
      </c>
      <c r="N21" s="2">
        <v>5527.6</v>
      </c>
      <c r="O21" s="2">
        <v>6422.94</v>
      </c>
      <c r="P21" s="2">
        <v>7270.99</v>
      </c>
      <c r="Q21" s="2">
        <v>8076.99</v>
      </c>
      <c r="R21" s="2">
        <v>8537.14</v>
      </c>
      <c r="S21" s="2">
        <v>9209.2199999999993</v>
      </c>
      <c r="T21" s="2">
        <v>9872.4500000000007</v>
      </c>
      <c r="U21" s="2">
        <v>10522.05</v>
      </c>
    </row>
    <row r="22" spans="1:21" x14ac:dyDescent="0.25">
      <c r="A22" t="s">
        <v>445</v>
      </c>
      <c r="B22">
        <v>72</v>
      </c>
      <c r="C22">
        <v>71.33</v>
      </c>
      <c r="D22">
        <v>72.97</v>
      </c>
      <c r="E22">
        <v>74.680000000000007</v>
      </c>
      <c r="F22">
        <v>75.34</v>
      </c>
      <c r="G22">
        <v>76.069999999999993</v>
      </c>
      <c r="H22">
        <v>77.599999999999994</v>
      </c>
      <c r="I22">
        <v>78.900000000000006</v>
      </c>
      <c r="J22">
        <v>77.5</v>
      </c>
      <c r="K22">
        <v>76.3</v>
      </c>
      <c r="L22">
        <v>77.400000000000006</v>
      </c>
      <c r="M22">
        <v>81.3</v>
      </c>
      <c r="N22">
        <v>81.3</v>
      </c>
      <c r="O22">
        <v>80.37</v>
      </c>
      <c r="P22">
        <v>80.25</v>
      </c>
      <c r="Q22">
        <v>80.36</v>
      </c>
      <c r="R22" s="2">
        <v>3620.62</v>
      </c>
      <c r="S22">
        <v>81.260000000000005</v>
      </c>
      <c r="T22">
        <v>81.53</v>
      </c>
      <c r="U22">
        <v>81.77</v>
      </c>
    </row>
    <row r="23" spans="1:21" x14ac:dyDescent="0.25">
      <c r="A23" t="s">
        <v>17</v>
      </c>
    </row>
    <row r="24" spans="1:21" x14ac:dyDescent="0.25">
      <c r="A24" t="s">
        <v>446</v>
      </c>
      <c r="B24">
        <v>147.38</v>
      </c>
      <c r="C24">
        <v>196.58</v>
      </c>
      <c r="D24">
        <v>282.55</v>
      </c>
      <c r="E24">
        <v>345.71</v>
      </c>
      <c r="F24">
        <v>594.41</v>
      </c>
      <c r="G24">
        <v>638.9</v>
      </c>
      <c r="H24">
        <v>808</v>
      </c>
      <c r="I24" s="2">
        <v>1083.7</v>
      </c>
      <c r="J24" s="2">
        <v>1499.7</v>
      </c>
      <c r="K24" s="2">
        <v>1730.6</v>
      </c>
      <c r="L24" s="2">
        <v>1935.5</v>
      </c>
      <c r="M24" s="2">
        <v>2258.1</v>
      </c>
      <c r="N24" s="2">
        <v>2590.6</v>
      </c>
      <c r="O24" s="2">
        <v>3471.21</v>
      </c>
      <c r="P24" s="2">
        <v>3783.9</v>
      </c>
      <c r="Q24" s="2">
        <v>4150.7299999999996</v>
      </c>
      <c r="R24" s="2">
        <v>3482.01</v>
      </c>
      <c r="S24" s="2">
        <v>4533.1499999999996</v>
      </c>
      <c r="T24" s="2">
        <v>4848.32</v>
      </c>
      <c r="U24" s="2">
        <v>5145.1099999999997</v>
      </c>
    </row>
    <row r="25" spans="1:21" x14ac:dyDescent="0.25">
      <c r="A25" t="s">
        <v>36</v>
      </c>
      <c r="B25">
        <v>133.5</v>
      </c>
      <c r="C25">
        <v>164.39</v>
      </c>
      <c r="D25">
        <v>245.19</v>
      </c>
      <c r="E25">
        <v>278.52999999999997</v>
      </c>
      <c r="F25">
        <v>566</v>
      </c>
      <c r="G25">
        <v>605</v>
      </c>
      <c r="H25">
        <v>715.8</v>
      </c>
      <c r="I25">
        <v>957.8</v>
      </c>
      <c r="J25" s="2">
        <v>1203.8</v>
      </c>
      <c r="K25" s="2">
        <v>1449.4</v>
      </c>
      <c r="L25" s="2">
        <v>1731.4</v>
      </c>
      <c r="M25" s="2">
        <v>1879.2</v>
      </c>
      <c r="N25" s="2">
        <v>2225.8000000000002</v>
      </c>
      <c r="O25" s="2">
        <v>3064.87</v>
      </c>
      <c r="P25" s="2">
        <v>3307.34</v>
      </c>
      <c r="Q25" s="2">
        <v>3631.31</v>
      </c>
      <c r="R25" s="2">
        <v>3981.86</v>
      </c>
      <c r="S25" s="2">
        <v>4404.76</v>
      </c>
      <c r="T25" s="2">
        <v>4657.41</v>
      </c>
      <c r="U25" s="2">
        <v>4923.5</v>
      </c>
    </row>
    <row r="26" spans="1:21" x14ac:dyDescent="0.25">
      <c r="A26" t="s">
        <v>17</v>
      </c>
    </row>
    <row r="27" spans="1:21" x14ac:dyDescent="0.25">
      <c r="A27" t="s">
        <v>37</v>
      </c>
    </row>
    <row r="28" spans="1:21" x14ac:dyDescent="0.25">
      <c r="A28" t="s">
        <v>17</v>
      </c>
    </row>
    <row r="29" spans="1:21" x14ac:dyDescent="0.25">
      <c r="A29" t="s">
        <v>38</v>
      </c>
    </row>
    <row r="30" spans="1:21" x14ac:dyDescent="0.25">
      <c r="A30" t="s">
        <v>43</v>
      </c>
      <c r="B30" s="2">
        <v>2308</v>
      </c>
      <c r="C30" s="2">
        <v>2854</v>
      </c>
      <c r="D30" s="2">
        <v>4018</v>
      </c>
      <c r="E30" s="2">
        <v>4665</v>
      </c>
      <c r="F30" s="2">
        <v>5066</v>
      </c>
      <c r="G30" s="2">
        <v>5845</v>
      </c>
      <c r="H30" s="2">
        <v>7082</v>
      </c>
      <c r="I30" s="2">
        <v>8238</v>
      </c>
      <c r="J30" s="2">
        <v>10195</v>
      </c>
      <c r="K30" s="2">
        <v>12595</v>
      </c>
      <c r="L30" s="2">
        <v>13568</v>
      </c>
      <c r="M30" s="2">
        <v>14138</v>
      </c>
      <c r="N30" s="2">
        <v>15109</v>
      </c>
    </row>
    <row r="31" spans="1:21" x14ac:dyDescent="0.25">
      <c r="A31" t="s">
        <v>447</v>
      </c>
      <c r="B31" s="2">
        <v>3455.27</v>
      </c>
      <c r="C31" s="2">
        <v>5526.13</v>
      </c>
      <c r="D31" s="2">
        <v>7685.96</v>
      </c>
      <c r="E31" s="2">
        <v>3670.21</v>
      </c>
      <c r="F31" s="2">
        <v>1649.66</v>
      </c>
      <c r="G31">
        <v>470.06</v>
      </c>
      <c r="H31">
        <v>469.78</v>
      </c>
      <c r="I31">
        <v>319.08</v>
      </c>
      <c r="J31">
        <v>247.95</v>
      </c>
      <c r="K31">
        <v>166.87</v>
      </c>
      <c r="L31">
        <v>123.3</v>
      </c>
      <c r="M31">
        <v>81.91</v>
      </c>
      <c r="N31">
        <v>74.61</v>
      </c>
    </row>
    <row r="32" spans="1:21" x14ac:dyDescent="0.25">
      <c r="A32" t="s">
        <v>26</v>
      </c>
      <c r="I32">
        <v>12.2</v>
      </c>
      <c r="J32">
        <v>161.9</v>
      </c>
    </row>
    <row r="33" spans="1:21" x14ac:dyDescent="0.25">
      <c r="A33" t="s">
        <v>17</v>
      </c>
    </row>
    <row r="34" spans="1:21" x14ac:dyDescent="0.25">
      <c r="A34" t="s">
        <v>441</v>
      </c>
      <c r="B34">
        <v>684.19</v>
      </c>
      <c r="C34">
        <v>896.49</v>
      </c>
      <c r="D34" s="2">
        <v>1232.01</v>
      </c>
      <c r="E34" s="2">
        <v>1515.09</v>
      </c>
      <c r="F34" s="2">
        <v>1795.9</v>
      </c>
      <c r="G34" s="2">
        <v>2153.3000000000002</v>
      </c>
      <c r="H34" s="2">
        <v>2602.9</v>
      </c>
      <c r="I34" s="2">
        <v>3090</v>
      </c>
      <c r="J34" s="2">
        <v>4181.3999999999996</v>
      </c>
      <c r="K34" s="2">
        <v>5594</v>
      </c>
      <c r="L34" s="2">
        <v>6399.5</v>
      </c>
      <c r="M34" s="2">
        <v>6532.5</v>
      </c>
      <c r="N34" s="2">
        <v>7553.7</v>
      </c>
      <c r="O34" s="2">
        <v>9445.73</v>
      </c>
      <c r="P34" s="2">
        <v>10410.65</v>
      </c>
      <c r="Q34" s="2">
        <v>11336.28</v>
      </c>
      <c r="R34" s="2">
        <v>11532.41</v>
      </c>
      <c r="S34" s="2">
        <v>12344.03</v>
      </c>
      <c r="T34" s="2">
        <v>13103.22</v>
      </c>
      <c r="U34" s="2">
        <v>13852</v>
      </c>
    </row>
    <row r="35" spans="1:21" x14ac:dyDescent="0.25">
      <c r="A35" t="s">
        <v>17</v>
      </c>
    </row>
    <row r="36" spans="1:21" x14ac:dyDescent="0.25">
      <c r="A36" t="s">
        <v>448</v>
      </c>
      <c r="G36" s="2">
        <v>1690</v>
      </c>
      <c r="H36" s="2">
        <v>2140</v>
      </c>
      <c r="I36" s="2">
        <v>2610</v>
      </c>
      <c r="J36" s="2">
        <v>3450</v>
      </c>
      <c r="K36" s="2">
        <v>4640</v>
      </c>
      <c r="L36" s="2">
        <v>5750</v>
      </c>
      <c r="M36" s="2">
        <v>6420</v>
      </c>
      <c r="N36" s="2">
        <v>7183</v>
      </c>
      <c r="O36" s="2">
        <v>8314.43</v>
      </c>
      <c r="P36" s="2">
        <v>9478.2000000000007</v>
      </c>
      <c r="Q36" s="2">
        <v>10548.67</v>
      </c>
      <c r="R36" s="2">
        <v>11025.3</v>
      </c>
      <c r="S36" s="2">
        <v>11752.9</v>
      </c>
      <c r="T36" s="2">
        <v>12410.9</v>
      </c>
      <c r="U36" s="2">
        <v>13107</v>
      </c>
    </row>
    <row r="37" spans="1:21" x14ac:dyDescent="0.25">
      <c r="A37" t="s">
        <v>449</v>
      </c>
    </row>
    <row r="38" spans="1:21" x14ac:dyDescent="0.25">
      <c r="A38" t="s">
        <v>450</v>
      </c>
    </row>
    <row r="39" spans="1:21" x14ac:dyDescent="0.25">
      <c r="A39" t="s">
        <v>451</v>
      </c>
      <c r="G39" s="2">
        <v>1350</v>
      </c>
      <c r="H39" s="2">
        <v>1170</v>
      </c>
      <c r="I39" s="2">
        <v>1390</v>
      </c>
      <c r="J39" s="2">
        <v>1780</v>
      </c>
      <c r="K39" s="2">
        <v>2360</v>
      </c>
      <c r="L39" s="2">
        <v>2860</v>
      </c>
      <c r="M39" s="2">
        <v>3310</v>
      </c>
      <c r="N39" s="2">
        <v>3660</v>
      </c>
      <c r="O39" s="2">
        <v>4115.91</v>
      </c>
      <c r="P39" s="2">
        <v>4605.9399999999996</v>
      </c>
      <c r="Q39" s="2">
        <v>5095.78</v>
      </c>
      <c r="R39" s="2">
        <v>5504.1</v>
      </c>
      <c r="S39" s="2">
        <v>5867.3</v>
      </c>
      <c r="T39" s="2">
        <v>6195.8</v>
      </c>
      <c r="U39" s="2">
        <v>6543.3</v>
      </c>
    </row>
    <row r="40" spans="1:21" x14ac:dyDescent="0.25">
      <c r="A40" t="s">
        <v>17</v>
      </c>
    </row>
    <row r="41" spans="1:21" x14ac:dyDescent="0.25">
      <c r="A41" t="s">
        <v>452</v>
      </c>
      <c r="M41" s="2">
        <v>1541</v>
      </c>
      <c r="N41" s="2">
        <v>1769</v>
      </c>
    </row>
    <row r="42" spans="1:21" x14ac:dyDescent="0.25">
      <c r="A42" t="s">
        <v>449</v>
      </c>
      <c r="O42">
        <v>581.26</v>
      </c>
      <c r="P42">
        <v>671.44</v>
      </c>
      <c r="Q42">
        <v>794</v>
      </c>
    </row>
    <row r="43" spans="1:21" x14ac:dyDescent="0.25">
      <c r="A43" t="s">
        <v>450</v>
      </c>
      <c r="O43" s="2">
        <v>1525.35</v>
      </c>
      <c r="P43" s="2">
        <v>1796.59</v>
      </c>
      <c r="Q43" s="2">
        <v>2276.6999999999998</v>
      </c>
    </row>
    <row r="44" spans="1:21" x14ac:dyDescent="0.25">
      <c r="A44" t="s">
        <v>17</v>
      </c>
    </row>
    <row r="45" spans="1:21" x14ac:dyDescent="0.25">
      <c r="A45" t="s">
        <v>453</v>
      </c>
      <c r="B45">
        <v>684.19</v>
      </c>
      <c r="C45">
        <v>896.49</v>
      </c>
      <c r="D45" s="2">
        <v>1232.01</v>
      </c>
      <c r="E45" s="2">
        <v>1515.09</v>
      </c>
      <c r="F45" s="2">
        <v>1795.9</v>
      </c>
      <c r="G45" s="2">
        <v>2153.3000000000002</v>
      </c>
      <c r="H45" s="2">
        <v>2602.9</v>
      </c>
      <c r="I45" s="2">
        <v>3090</v>
      </c>
      <c r="J45" s="2">
        <v>4181.3999999999996</v>
      </c>
      <c r="K45" s="2">
        <v>5594</v>
      </c>
      <c r="L45" s="2">
        <v>6399.5</v>
      </c>
      <c r="M45" s="2">
        <v>6532.5</v>
      </c>
      <c r="N45" s="2">
        <v>7553.7</v>
      </c>
      <c r="O45" s="2">
        <v>9445.73</v>
      </c>
      <c r="P45" s="2">
        <v>10410.65</v>
      </c>
      <c r="Q45" s="2">
        <v>11336.28</v>
      </c>
      <c r="R45" s="2">
        <v>11532.41</v>
      </c>
      <c r="S45" s="2">
        <v>12344.03</v>
      </c>
      <c r="T45" s="2">
        <v>13103.22</v>
      </c>
      <c r="U45" s="2">
        <v>13852</v>
      </c>
    </row>
    <row r="46" spans="1:21" x14ac:dyDescent="0.25">
      <c r="A46" t="s">
        <v>454</v>
      </c>
      <c r="O46" s="2">
        <v>2340.9</v>
      </c>
    </row>
    <row r="47" spans="1:21" x14ac:dyDescent="0.25">
      <c r="A47" t="s">
        <v>455</v>
      </c>
      <c r="O47">
        <v>28.9</v>
      </c>
    </row>
    <row r="48" spans="1:21" x14ac:dyDescent="0.25">
      <c r="A48" t="s">
        <v>456</v>
      </c>
    </row>
    <row r="49" spans="1:21" x14ac:dyDescent="0.25">
      <c r="A49" t="s">
        <v>455</v>
      </c>
      <c r="O49">
        <v>43.9</v>
      </c>
    </row>
    <row r="50" spans="1:21" x14ac:dyDescent="0.25">
      <c r="A50" t="s">
        <v>457</v>
      </c>
    </row>
    <row r="51" spans="1:21" x14ac:dyDescent="0.25">
      <c r="A51" t="s">
        <v>455</v>
      </c>
      <c r="O51">
        <v>27.2</v>
      </c>
    </row>
    <row r="52" spans="1:21" x14ac:dyDescent="0.25">
      <c r="A52" t="s">
        <v>17</v>
      </c>
    </row>
    <row r="53" spans="1:21" x14ac:dyDescent="0.25">
      <c r="A53" t="s">
        <v>82</v>
      </c>
      <c r="B53">
        <v>180.64</v>
      </c>
      <c r="C53">
        <v>231.01</v>
      </c>
      <c r="D53">
        <v>286.77999999999997</v>
      </c>
      <c r="E53">
        <v>337.84</v>
      </c>
      <c r="F53">
        <v>385.28</v>
      </c>
      <c r="G53">
        <v>450.4</v>
      </c>
      <c r="H53">
        <v>505.9</v>
      </c>
      <c r="I53">
        <v>570</v>
      </c>
      <c r="J53">
        <v>783</v>
      </c>
      <c r="K53" s="2">
        <v>1084.9000000000001</v>
      </c>
      <c r="L53" s="2">
        <v>1237.2</v>
      </c>
      <c r="M53" s="2">
        <v>1157.5999999999999</v>
      </c>
      <c r="N53" s="2">
        <v>1328.9</v>
      </c>
      <c r="O53" s="2">
        <v>1566.17</v>
      </c>
      <c r="P53" s="2">
        <v>1856.57</v>
      </c>
      <c r="Q53" s="2">
        <v>2041.73</v>
      </c>
      <c r="R53" s="2">
        <v>2244.11</v>
      </c>
      <c r="S53" s="2">
        <v>2433.0100000000002</v>
      </c>
      <c r="T53" s="2">
        <v>2407.5100000000002</v>
      </c>
      <c r="U53" s="2">
        <v>2565.84</v>
      </c>
    </row>
    <row r="54" spans="1:21" x14ac:dyDescent="0.25">
      <c r="A54" t="s">
        <v>443</v>
      </c>
      <c r="B54">
        <v>114.61</v>
      </c>
      <c r="C54">
        <v>151.30000000000001</v>
      </c>
      <c r="D54">
        <v>190.4</v>
      </c>
      <c r="E54">
        <v>208.98</v>
      </c>
      <c r="F54">
        <v>243.8</v>
      </c>
      <c r="G54">
        <v>291</v>
      </c>
      <c r="H54">
        <v>324.60000000000002</v>
      </c>
      <c r="I54">
        <v>352.4</v>
      </c>
      <c r="J54">
        <v>487.7</v>
      </c>
      <c r="K54">
        <v>691.3</v>
      </c>
      <c r="L54">
        <v>763.6</v>
      </c>
      <c r="M54">
        <v>652</v>
      </c>
      <c r="N54">
        <v>725.4</v>
      </c>
      <c r="O54">
        <v>943.69</v>
      </c>
      <c r="P54" s="2">
        <v>1091.1199999999999</v>
      </c>
      <c r="Q54" s="2">
        <v>1113.5999999999999</v>
      </c>
      <c r="R54" s="2">
        <v>1150.55</v>
      </c>
      <c r="S54" s="2">
        <v>1191.8800000000001</v>
      </c>
      <c r="T54" s="2">
        <v>1231.47</v>
      </c>
      <c r="U54" s="2">
        <v>1269.1400000000001</v>
      </c>
    </row>
    <row r="55" spans="1:21" x14ac:dyDescent="0.25">
      <c r="A55" t="s">
        <v>444</v>
      </c>
      <c r="B55">
        <v>64.12</v>
      </c>
      <c r="C55">
        <v>79.709999999999994</v>
      </c>
      <c r="D55">
        <v>96.38</v>
      </c>
      <c r="E55">
        <v>128.85</v>
      </c>
      <c r="F55">
        <v>141.5</v>
      </c>
      <c r="G55">
        <v>159.4</v>
      </c>
      <c r="H55">
        <v>181.3</v>
      </c>
      <c r="I55">
        <v>217.6</v>
      </c>
      <c r="J55">
        <v>295.3</v>
      </c>
      <c r="K55">
        <v>393.6</v>
      </c>
      <c r="L55">
        <v>473.6</v>
      </c>
      <c r="M55">
        <v>505.6</v>
      </c>
      <c r="N55">
        <v>603.5</v>
      </c>
      <c r="O55">
        <v>681.9</v>
      </c>
      <c r="P55">
        <v>816.46</v>
      </c>
      <c r="Q55">
        <v>937.86</v>
      </c>
      <c r="R55">
        <v>938.37</v>
      </c>
      <c r="S55" s="2">
        <v>1026.51</v>
      </c>
      <c r="T55" s="2">
        <v>1120.83</v>
      </c>
      <c r="U55" s="2">
        <v>1220.8399999999999</v>
      </c>
    </row>
    <row r="56" spans="1:21" x14ac:dyDescent="0.25">
      <c r="A56" t="s">
        <v>17</v>
      </c>
    </row>
    <row r="57" spans="1:21" x14ac:dyDescent="0.25">
      <c r="A57" t="s">
        <v>458</v>
      </c>
      <c r="I57">
        <v>12.2</v>
      </c>
      <c r="J57">
        <v>161.9</v>
      </c>
    </row>
    <row r="58" spans="1:21" x14ac:dyDescent="0.25">
      <c r="A58" t="s">
        <v>459</v>
      </c>
      <c r="B58">
        <v>684.19</v>
      </c>
      <c r="C58">
        <v>896.49</v>
      </c>
      <c r="D58" s="2">
        <v>1232.01</v>
      </c>
      <c r="E58" s="2">
        <v>1515.09</v>
      </c>
      <c r="F58" s="2">
        <v>1795.9</v>
      </c>
      <c r="G58" s="2">
        <v>2153.3000000000002</v>
      </c>
      <c r="H58" s="2">
        <v>2602.9</v>
      </c>
      <c r="I58" s="2">
        <v>3090</v>
      </c>
      <c r="J58" s="2">
        <v>4181.3999999999996</v>
      </c>
      <c r="K58" s="2">
        <v>5594</v>
      </c>
      <c r="L58" s="2">
        <v>6399.5</v>
      </c>
      <c r="M58" s="2">
        <v>6532.5</v>
      </c>
      <c r="N58" s="2">
        <v>7553.7</v>
      </c>
      <c r="O58" s="2">
        <v>8916.32</v>
      </c>
      <c r="P58" s="2">
        <v>10161.5</v>
      </c>
      <c r="Q58" s="2">
        <v>10987.02</v>
      </c>
      <c r="R58" s="2">
        <v>11128.76</v>
      </c>
      <c r="S58" s="2">
        <v>11944.63</v>
      </c>
      <c r="T58" s="2">
        <v>12751.07</v>
      </c>
      <c r="U58" s="2">
        <v>13529.54</v>
      </c>
    </row>
    <row r="59" spans="1:21" x14ac:dyDescent="0.25">
      <c r="A59" t="s">
        <v>17</v>
      </c>
    </row>
    <row r="60" spans="1:21" x14ac:dyDescent="0.25">
      <c r="A60" t="s">
        <v>460</v>
      </c>
      <c r="E60">
        <v>97</v>
      </c>
      <c r="F60">
        <v>120</v>
      </c>
      <c r="G60">
        <v>129</v>
      </c>
      <c r="H60">
        <v>197</v>
      </c>
      <c r="I60">
        <v>205</v>
      </c>
      <c r="J60">
        <v>922</v>
      </c>
      <c r="K60" s="2">
        <v>1360</v>
      </c>
      <c r="L60" s="2">
        <v>1517</v>
      </c>
    </row>
    <row r="61" spans="1:21" x14ac:dyDescent="0.25">
      <c r="A61" t="s">
        <v>17</v>
      </c>
    </row>
    <row r="62" spans="1:21" x14ac:dyDescent="0.25">
      <c r="A62" t="s">
        <v>252</v>
      </c>
    </row>
    <row r="63" spans="1:21" x14ac:dyDescent="0.25">
      <c r="A63" t="s">
        <v>255</v>
      </c>
      <c r="O63">
        <v>56.1</v>
      </c>
      <c r="P63">
        <v>53.15</v>
      </c>
      <c r="Q63">
        <v>48.17</v>
      </c>
    </row>
    <row r="64" spans="1:21" x14ac:dyDescent="0.25">
      <c r="A64" t="s">
        <v>49</v>
      </c>
      <c r="B64">
        <v>77.400000000000006</v>
      </c>
      <c r="C64">
        <v>87.53</v>
      </c>
      <c r="D64">
        <v>93.87</v>
      </c>
      <c r="E64">
        <v>89.82</v>
      </c>
      <c r="F64">
        <v>84.86</v>
      </c>
      <c r="G64">
        <v>89.9</v>
      </c>
      <c r="H64">
        <v>91.85</v>
      </c>
      <c r="I64">
        <v>101.57</v>
      </c>
      <c r="J64">
        <v>88.21</v>
      </c>
      <c r="K64">
        <v>104.25</v>
      </c>
      <c r="L64">
        <v>96.47</v>
      </c>
      <c r="M64">
        <v>89.93</v>
      </c>
      <c r="N64">
        <v>90.78</v>
      </c>
      <c r="O64">
        <v>86.76</v>
      </c>
      <c r="P64">
        <v>94.26</v>
      </c>
      <c r="Q64">
        <v>72.73</v>
      </c>
      <c r="R64">
        <v>83.15</v>
      </c>
      <c r="S64">
        <v>76.150000000000006</v>
      </c>
      <c r="T64">
        <v>68.150000000000006</v>
      </c>
      <c r="U64">
        <v>63.15</v>
      </c>
    </row>
    <row r="65" spans="1:21" x14ac:dyDescent="0.25">
      <c r="A65" t="s">
        <v>461</v>
      </c>
      <c r="O65">
        <v>83.07</v>
      </c>
      <c r="P65">
        <v>87.15</v>
      </c>
      <c r="Q65">
        <v>100.07</v>
      </c>
    </row>
    <row r="66" spans="1:21" x14ac:dyDescent="0.25">
      <c r="A66" t="s">
        <v>462</v>
      </c>
      <c r="B66">
        <v>34.299999999999997</v>
      </c>
      <c r="C66">
        <v>54.78</v>
      </c>
      <c r="D66">
        <v>78.540000000000006</v>
      </c>
      <c r="E66">
        <v>50.9</v>
      </c>
      <c r="F66">
        <v>38.549999999999997</v>
      </c>
      <c r="G66">
        <v>42.51</v>
      </c>
      <c r="H66">
        <v>43.78</v>
      </c>
      <c r="I66">
        <v>42.44</v>
      </c>
      <c r="J66">
        <v>61.84</v>
      </c>
      <c r="K66">
        <v>36.799999999999997</v>
      </c>
      <c r="L66">
        <v>36.1</v>
      </c>
      <c r="M66">
        <v>39.21</v>
      </c>
      <c r="N66">
        <v>24.55</v>
      </c>
      <c r="O66">
        <v>41.68</v>
      </c>
      <c r="P66">
        <v>35.85</v>
      </c>
      <c r="Q66">
        <v>27.96</v>
      </c>
      <c r="R66">
        <v>18.36</v>
      </c>
      <c r="S66">
        <v>15.22</v>
      </c>
    </row>
    <row r="67" spans="1:21" x14ac:dyDescent="0.25">
      <c r="A67" t="s">
        <v>17</v>
      </c>
    </row>
    <row r="68" spans="1:21" x14ac:dyDescent="0.25">
      <c r="A68" t="s">
        <v>463</v>
      </c>
    </row>
    <row r="69" spans="1:21" x14ac:dyDescent="0.25">
      <c r="A69" t="s">
        <v>441</v>
      </c>
    </row>
    <row r="70" spans="1:21" x14ac:dyDescent="0.25">
      <c r="A70" t="s">
        <v>449</v>
      </c>
      <c r="O70">
        <v>978.73</v>
      </c>
      <c r="P70" s="2">
        <v>1248.8699999999999</v>
      </c>
      <c r="Q70" s="2">
        <v>1347.88</v>
      </c>
    </row>
    <row r="71" spans="1:21" x14ac:dyDescent="0.25">
      <c r="A71" t="s">
        <v>464</v>
      </c>
    </row>
    <row r="72" spans="1:21" x14ac:dyDescent="0.25">
      <c r="A72" t="s">
        <v>450</v>
      </c>
      <c r="O72" s="2">
        <v>2420.09</v>
      </c>
      <c r="P72" s="2">
        <v>2900.9</v>
      </c>
      <c r="Q72" s="2">
        <v>3203.06</v>
      </c>
    </row>
    <row r="73" spans="1:21" x14ac:dyDescent="0.25">
      <c r="A73" t="s">
        <v>464</v>
      </c>
    </row>
    <row r="74" spans="1:21" x14ac:dyDescent="0.25">
      <c r="A74" t="s">
        <v>17</v>
      </c>
    </row>
    <row r="75" spans="1:21" x14ac:dyDescent="0.25">
      <c r="A75" t="s">
        <v>58</v>
      </c>
    </row>
    <row r="76" spans="1:21" x14ac:dyDescent="0.25">
      <c r="A76" t="s">
        <v>465</v>
      </c>
    </row>
    <row r="77" spans="1:21" x14ac:dyDescent="0.25">
      <c r="A77" t="s">
        <v>60</v>
      </c>
      <c r="B77">
        <v>278.05</v>
      </c>
      <c r="C77">
        <v>360.56</v>
      </c>
      <c r="D77">
        <v>476.78</v>
      </c>
      <c r="E77">
        <v>548.11</v>
      </c>
      <c r="F77">
        <v>577.23</v>
      </c>
      <c r="G77">
        <v>674.4</v>
      </c>
      <c r="H77">
        <v>788.5</v>
      </c>
      <c r="I77">
        <v>916.4</v>
      </c>
      <c r="J77" s="2">
        <v>1255</v>
      </c>
      <c r="K77" s="2">
        <v>1780.5</v>
      </c>
      <c r="L77" s="2">
        <v>1927.3</v>
      </c>
      <c r="M77" s="2">
        <v>1908.7</v>
      </c>
      <c r="N77" s="2">
        <v>2218.4</v>
      </c>
      <c r="O77" s="2">
        <v>2922.03</v>
      </c>
      <c r="P77" s="2">
        <v>3167.57</v>
      </c>
      <c r="Q77" s="2">
        <v>3412.61</v>
      </c>
      <c r="R77" s="2">
        <v>3484.19</v>
      </c>
      <c r="S77" s="2">
        <v>3615.02</v>
      </c>
      <c r="T77" s="2">
        <v>3734.61</v>
      </c>
      <c r="U77" s="2">
        <v>3848.05</v>
      </c>
    </row>
    <row r="78" spans="1:21" x14ac:dyDescent="0.25">
      <c r="A78" t="s">
        <v>61</v>
      </c>
      <c r="B78">
        <v>45</v>
      </c>
      <c r="C78">
        <v>47</v>
      </c>
      <c r="D78">
        <v>47</v>
      </c>
      <c r="E78">
        <v>43</v>
      </c>
      <c r="F78">
        <v>39</v>
      </c>
      <c r="G78">
        <v>37</v>
      </c>
      <c r="H78">
        <v>37</v>
      </c>
      <c r="I78">
        <v>35</v>
      </c>
      <c r="J78">
        <v>38</v>
      </c>
      <c r="K78">
        <v>40</v>
      </c>
      <c r="L78">
        <v>36</v>
      </c>
      <c r="M78">
        <v>32</v>
      </c>
      <c r="N78">
        <v>33</v>
      </c>
      <c r="O78">
        <v>34.65</v>
      </c>
      <c r="P78">
        <v>34.229999999999997</v>
      </c>
      <c r="Q78">
        <v>33.64</v>
      </c>
      <c r="R78">
        <v>36.5</v>
      </c>
      <c r="S78">
        <v>36.61</v>
      </c>
      <c r="T78">
        <v>32.89</v>
      </c>
      <c r="U78">
        <v>32.64</v>
      </c>
    </row>
    <row r="79" spans="1:21" x14ac:dyDescent="0.25">
      <c r="A79" t="s">
        <v>62</v>
      </c>
      <c r="B79">
        <v>114.61</v>
      </c>
      <c r="C79">
        <v>151.30000000000001</v>
      </c>
      <c r="D79">
        <v>190.4</v>
      </c>
      <c r="E79">
        <v>208.98</v>
      </c>
      <c r="F79">
        <v>243.8</v>
      </c>
      <c r="G79">
        <v>291</v>
      </c>
      <c r="H79">
        <v>324.60000000000002</v>
      </c>
      <c r="I79">
        <v>352.4</v>
      </c>
      <c r="J79">
        <v>487.7</v>
      </c>
      <c r="K79">
        <v>691.3</v>
      </c>
      <c r="L79">
        <v>763.6</v>
      </c>
      <c r="M79">
        <v>652</v>
      </c>
      <c r="N79">
        <v>725.4</v>
      </c>
      <c r="O79">
        <v>943.69</v>
      </c>
      <c r="P79" s="2">
        <v>1091.1199999999999</v>
      </c>
      <c r="Q79" s="2">
        <v>1113.5999999999999</v>
      </c>
      <c r="R79" s="2">
        <v>1150.55</v>
      </c>
      <c r="S79" s="2">
        <v>1191.8800000000001</v>
      </c>
      <c r="T79" s="2">
        <v>1231.47</v>
      </c>
      <c r="U79" s="2">
        <v>1269.1400000000001</v>
      </c>
    </row>
    <row r="80" spans="1:21" x14ac:dyDescent="0.25">
      <c r="A80" t="s">
        <v>466</v>
      </c>
      <c r="M80">
        <v>646.1</v>
      </c>
      <c r="N80">
        <v>718.1</v>
      </c>
      <c r="O80">
        <v>900.16</v>
      </c>
      <c r="P80" s="2">
        <v>1039.8900000000001</v>
      </c>
      <c r="Q80" s="2">
        <v>1105.27</v>
      </c>
      <c r="R80" s="2">
        <v>1169</v>
      </c>
      <c r="S80" s="2">
        <v>1220.08</v>
      </c>
      <c r="T80" s="2">
        <v>1273.77</v>
      </c>
      <c r="U80" s="2">
        <v>1330.18</v>
      </c>
    </row>
    <row r="81" spans="1:21" x14ac:dyDescent="0.25">
      <c r="A81" t="s">
        <v>63</v>
      </c>
      <c r="B81">
        <v>163.44</v>
      </c>
      <c r="C81">
        <v>209.26</v>
      </c>
      <c r="D81">
        <v>286.38</v>
      </c>
      <c r="E81">
        <v>339.13</v>
      </c>
      <c r="F81">
        <v>333.4</v>
      </c>
      <c r="G81">
        <v>383.4</v>
      </c>
      <c r="H81">
        <v>463.9</v>
      </c>
      <c r="I81">
        <v>564</v>
      </c>
      <c r="J81">
        <v>767.3</v>
      </c>
      <c r="K81" s="2">
        <v>1089.2</v>
      </c>
      <c r="L81" s="2">
        <v>1163.7</v>
      </c>
      <c r="M81" s="2">
        <v>1256.7</v>
      </c>
      <c r="N81" s="2">
        <v>1493</v>
      </c>
      <c r="O81" s="2">
        <v>1722.62</v>
      </c>
      <c r="P81" s="2">
        <v>2180.3200000000002</v>
      </c>
      <c r="Q81" s="2">
        <v>2278.5700000000002</v>
      </c>
      <c r="R81" s="2">
        <v>2162.02</v>
      </c>
      <c r="S81" s="2">
        <v>2232.36</v>
      </c>
      <c r="T81" s="2">
        <v>2288.17</v>
      </c>
      <c r="U81" s="2">
        <v>2345.37</v>
      </c>
    </row>
    <row r="82" spans="1:21" x14ac:dyDescent="0.25">
      <c r="A82" t="s">
        <v>64</v>
      </c>
      <c r="B82">
        <v>58.8</v>
      </c>
      <c r="C82">
        <v>58</v>
      </c>
      <c r="D82">
        <v>60.1</v>
      </c>
      <c r="E82">
        <v>61.9</v>
      </c>
      <c r="F82">
        <v>57.8</v>
      </c>
      <c r="G82">
        <v>56.9</v>
      </c>
      <c r="H82">
        <v>58.8</v>
      </c>
      <c r="I82">
        <v>61.5</v>
      </c>
      <c r="J82">
        <v>61.1</v>
      </c>
      <c r="K82">
        <v>61.2</v>
      </c>
      <c r="L82">
        <v>60</v>
      </c>
      <c r="M82">
        <v>66</v>
      </c>
      <c r="N82">
        <v>67</v>
      </c>
      <c r="O82">
        <v>67.7</v>
      </c>
      <c r="P82">
        <v>66.930000000000007</v>
      </c>
      <c r="Q82">
        <v>67.2</v>
      </c>
      <c r="R82">
        <v>66.349999999999994</v>
      </c>
      <c r="S82">
        <v>66.52</v>
      </c>
      <c r="T82">
        <v>66.52</v>
      </c>
      <c r="U82">
        <v>66.52</v>
      </c>
    </row>
    <row r="83" spans="1:21" x14ac:dyDescent="0.25">
      <c r="A83" t="s">
        <v>65</v>
      </c>
      <c r="E83">
        <v>344.01</v>
      </c>
      <c r="F83">
        <v>338.6</v>
      </c>
      <c r="G83">
        <v>390.9</v>
      </c>
      <c r="H83">
        <v>471.9</v>
      </c>
      <c r="I83">
        <v>570.29999999999995</v>
      </c>
      <c r="J83">
        <v>774.7</v>
      </c>
      <c r="K83" s="2">
        <v>1098.7</v>
      </c>
      <c r="L83" s="2">
        <v>1172.5999999999999</v>
      </c>
      <c r="M83" s="2">
        <v>1262.9000000000001</v>
      </c>
      <c r="N83" s="2">
        <v>1500.3</v>
      </c>
      <c r="O83" s="2">
        <v>1905.62</v>
      </c>
      <c r="P83" s="2">
        <v>2156.4499999999998</v>
      </c>
      <c r="Q83" s="2">
        <v>2309.58</v>
      </c>
      <c r="R83" s="2">
        <v>2168.08</v>
      </c>
      <c r="S83" s="2">
        <v>2238.52</v>
      </c>
      <c r="T83" s="2">
        <v>2294.41</v>
      </c>
      <c r="U83" s="2">
        <v>2351.6999999999998</v>
      </c>
    </row>
    <row r="84" spans="1:21" x14ac:dyDescent="0.25">
      <c r="A84" t="s">
        <v>66</v>
      </c>
      <c r="E84">
        <v>63</v>
      </c>
      <c r="F84">
        <v>59</v>
      </c>
      <c r="G84">
        <v>58</v>
      </c>
      <c r="H84">
        <v>59.8</v>
      </c>
      <c r="I84">
        <v>62.2</v>
      </c>
      <c r="J84">
        <v>61.7</v>
      </c>
      <c r="K84">
        <v>61.7</v>
      </c>
      <c r="L84">
        <v>60.8</v>
      </c>
      <c r="M84">
        <v>66.2</v>
      </c>
      <c r="N84">
        <v>67.62</v>
      </c>
      <c r="O84">
        <v>67.66</v>
      </c>
      <c r="P84">
        <v>67.08</v>
      </c>
      <c r="Q84">
        <v>67.3</v>
      </c>
      <c r="R84">
        <v>67.17</v>
      </c>
      <c r="S84">
        <v>67.25</v>
      </c>
      <c r="T84">
        <v>67.25</v>
      </c>
      <c r="U84">
        <v>67.25</v>
      </c>
    </row>
    <row r="85" spans="1:21" x14ac:dyDescent="0.25">
      <c r="A85" t="s">
        <v>127</v>
      </c>
      <c r="F85">
        <v>3.9</v>
      </c>
      <c r="G85">
        <v>6</v>
      </c>
      <c r="H85">
        <v>6.5</v>
      </c>
      <c r="I85">
        <v>4.7</v>
      </c>
      <c r="J85">
        <v>5.7</v>
      </c>
      <c r="K85">
        <v>7.8</v>
      </c>
      <c r="L85">
        <v>7.1</v>
      </c>
      <c r="M85">
        <v>4.3</v>
      </c>
      <c r="N85">
        <v>5.0999999999999996</v>
      </c>
      <c r="O85">
        <v>2.65</v>
      </c>
      <c r="P85">
        <v>3.62</v>
      </c>
      <c r="Q85">
        <v>2.82</v>
      </c>
      <c r="R85">
        <v>3.24</v>
      </c>
      <c r="S85">
        <v>3.06</v>
      </c>
      <c r="T85">
        <v>3.12</v>
      </c>
      <c r="U85">
        <v>3.18</v>
      </c>
    </row>
    <row r="86" spans="1:21" x14ac:dyDescent="0.25">
      <c r="A86" t="s">
        <v>67</v>
      </c>
      <c r="E86">
        <v>1.2</v>
      </c>
      <c r="F86">
        <v>1.4</v>
      </c>
      <c r="G86">
        <v>1.5</v>
      </c>
      <c r="H86">
        <v>1.5</v>
      </c>
      <c r="I86">
        <v>1.6</v>
      </c>
      <c r="J86">
        <v>1.7</v>
      </c>
      <c r="K86">
        <v>1.7</v>
      </c>
      <c r="L86">
        <v>1.8</v>
      </c>
      <c r="M86">
        <v>1.9</v>
      </c>
      <c r="O86">
        <v>2.2400000000000002</v>
      </c>
      <c r="P86">
        <v>2.58</v>
      </c>
      <c r="Q86">
        <v>2.88</v>
      </c>
      <c r="R86">
        <v>2.78</v>
      </c>
      <c r="S86">
        <v>2.84</v>
      </c>
      <c r="T86">
        <v>2.88</v>
      </c>
      <c r="U86">
        <v>2.91</v>
      </c>
    </row>
    <row r="87" spans="1:21" x14ac:dyDescent="0.25">
      <c r="A87" t="s">
        <v>467</v>
      </c>
    </row>
    <row r="88" spans="1:21" x14ac:dyDescent="0.25">
      <c r="A88" t="s">
        <v>17</v>
      </c>
    </row>
    <row r="89" spans="1:21" x14ac:dyDescent="0.25">
      <c r="A89" t="s">
        <v>468</v>
      </c>
    </row>
    <row r="90" spans="1:21" x14ac:dyDescent="0.25">
      <c r="A90" t="s">
        <v>60</v>
      </c>
      <c r="B90">
        <v>329.72</v>
      </c>
      <c r="C90">
        <v>409.81</v>
      </c>
      <c r="D90">
        <v>532.49</v>
      </c>
      <c r="E90">
        <v>727.33</v>
      </c>
      <c r="F90">
        <v>917.7</v>
      </c>
      <c r="G90" s="2">
        <v>1126.8</v>
      </c>
      <c r="H90" s="2">
        <v>1374.5</v>
      </c>
      <c r="I90" s="2">
        <v>1678</v>
      </c>
      <c r="J90" s="2">
        <v>2087.1999999999998</v>
      </c>
      <c r="K90" s="2">
        <v>2636.9</v>
      </c>
      <c r="L90" s="2">
        <v>3377.5</v>
      </c>
      <c r="M90" s="2">
        <v>4047.1</v>
      </c>
      <c r="N90" s="2">
        <v>4581.2</v>
      </c>
      <c r="O90" s="2">
        <v>5199.26</v>
      </c>
      <c r="P90" s="2">
        <v>5896.75</v>
      </c>
      <c r="Q90" s="2">
        <v>6326.15</v>
      </c>
      <c r="R90" s="2">
        <v>7097.05</v>
      </c>
      <c r="S90" s="2">
        <v>7767.52</v>
      </c>
      <c r="T90" s="2">
        <v>8438.99</v>
      </c>
      <c r="U90" s="2">
        <v>9100.07</v>
      </c>
    </row>
    <row r="91" spans="1:21" x14ac:dyDescent="0.25">
      <c r="A91" t="s">
        <v>61</v>
      </c>
      <c r="B91">
        <v>54</v>
      </c>
      <c r="C91">
        <v>53</v>
      </c>
      <c r="D91">
        <v>53</v>
      </c>
      <c r="E91">
        <v>57</v>
      </c>
      <c r="F91">
        <v>61</v>
      </c>
      <c r="G91">
        <v>63</v>
      </c>
      <c r="H91">
        <v>63</v>
      </c>
      <c r="I91">
        <v>65</v>
      </c>
      <c r="J91">
        <v>62</v>
      </c>
      <c r="K91">
        <v>60</v>
      </c>
      <c r="L91">
        <v>64</v>
      </c>
      <c r="M91">
        <v>68</v>
      </c>
      <c r="N91">
        <v>67</v>
      </c>
      <c r="O91">
        <v>64.02</v>
      </c>
      <c r="P91">
        <v>65.040000000000006</v>
      </c>
      <c r="Q91">
        <v>66.150000000000006</v>
      </c>
      <c r="R91">
        <v>66.599999999999994</v>
      </c>
      <c r="S91">
        <v>67.47</v>
      </c>
      <c r="T91">
        <v>68.319999999999993</v>
      </c>
      <c r="U91">
        <v>69.09</v>
      </c>
    </row>
    <row r="92" spans="1:21" x14ac:dyDescent="0.25">
      <c r="A92" t="s">
        <v>469</v>
      </c>
      <c r="F92">
        <v>504.8</v>
      </c>
      <c r="G92">
        <v>606.1</v>
      </c>
      <c r="H92">
        <v>750.8</v>
      </c>
      <c r="I92">
        <v>918.7</v>
      </c>
      <c r="J92" s="2">
        <v>1125</v>
      </c>
      <c r="K92" s="2">
        <v>1427</v>
      </c>
      <c r="L92" s="2">
        <v>1898.1</v>
      </c>
      <c r="M92" s="2">
        <v>2316.6999999999998</v>
      </c>
      <c r="N92" s="2">
        <v>2633.2</v>
      </c>
      <c r="O92" s="2">
        <v>2858.63</v>
      </c>
      <c r="P92" s="2">
        <v>3357.32</v>
      </c>
      <c r="Q92" s="2">
        <v>3823.05</v>
      </c>
      <c r="R92" s="2">
        <v>4361.1000000000004</v>
      </c>
      <c r="S92" s="2">
        <v>4928.1000000000004</v>
      </c>
      <c r="T92" s="2">
        <v>5544.1</v>
      </c>
      <c r="U92" s="2">
        <v>6209.3</v>
      </c>
    </row>
    <row r="93" spans="1:21" x14ac:dyDescent="0.25">
      <c r="A93" t="s">
        <v>470</v>
      </c>
      <c r="F93">
        <v>412.9</v>
      </c>
      <c r="G93">
        <v>520.70000000000005</v>
      </c>
      <c r="H93">
        <v>623.70000000000005</v>
      </c>
      <c r="I93">
        <v>759.3</v>
      </c>
      <c r="J93">
        <v>962.2</v>
      </c>
      <c r="K93" s="2">
        <v>1209.9000000000001</v>
      </c>
      <c r="L93" s="2">
        <v>1479.4</v>
      </c>
      <c r="M93" s="2">
        <v>1730.4</v>
      </c>
      <c r="N93" s="2">
        <v>1948</v>
      </c>
      <c r="O93" s="2">
        <v>2114.69</v>
      </c>
      <c r="P93" s="2">
        <v>2557.56</v>
      </c>
      <c r="Q93" s="2">
        <v>2877.8</v>
      </c>
      <c r="R93" s="2">
        <v>3092.8</v>
      </c>
      <c r="S93" s="2">
        <v>3417.5</v>
      </c>
      <c r="T93" s="2">
        <v>3759.3</v>
      </c>
      <c r="U93" s="2">
        <v>4116.3999999999996</v>
      </c>
    </row>
    <row r="94" spans="1:21" x14ac:dyDescent="0.25">
      <c r="A94" t="s">
        <v>62</v>
      </c>
      <c r="B94">
        <v>64.12</v>
      </c>
      <c r="C94">
        <v>79.709999999999994</v>
      </c>
      <c r="D94">
        <v>96.38</v>
      </c>
      <c r="E94">
        <v>128.85</v>
      </c>
      <c r="F94">
        <v>141.5</v>
      </c>
      <c r="G94">
        <v>159.4</v>
      </c>
      <c r="H94">
        <v>181.3</v>
      </c>
      <c r="I94">
        <v>217.6</v>
      </c>
      <c r="J94">
        <v>295.3</v>
      </c>
      <c r="K94">
        <v>393.6</v>
      </c>
      <c r="L94">
        <v>473.6</v>
      </c>
      <c r="M94">
        <v>505.6</v>
      </c>
      <c r="N94">
        <v>603.5</v>
      </c>
      <c r="O94">
        <v>681.9</v>
      </c>
      <c r="P94">
        <v>816.46</v>
      </c>
      <c r="Q94">
        <v>937.86</v>
      </c>
      <c r="R94">
        <v>938.37</v>
      </c>
      <c r="S94" s="2">
        <v>1026.51</v>
      </c>
      <c r="T94" s="2">
        <v>1120.83</v>
      </c>
      <c r="U94" s="2">
        <v>1220.8399999999999</v>
      </c>
    </row>
    <row r="95" spans="1:21" x14ac:dyDescent="0.25">
      <c r="A95" t="s">
        <v>466</v>
      </c>
      <c r="M95">
        <v>468.8</v>
      </c>
      <c r="N95">
        <v>553.9</v>
      </c>
      <c r="O95">
        <v>648.33000000000004</v>
      </c>
      <c r="P95">
        <v>746.39</v>
      </c>
      <c r="Q95">
        <v>858.2</v>
      </c>
      <c r="R95">
        <v>897.58</v>
      </c>
      <c r="S95">
        <v>985.39</v>
      </c>
      <c r="T95" s="2">
        <v>1073.68</v>
      </c>
      <c r="U95" s="2">
        <v>1161.01</v>
      </c>
    </row>
    <row r="96" spans="1:21" x14ac:dyDescent="0.25">
      <c r="A96" t="s">
        <v>63</v>
      </c>
      <c r="B96">
        <v>265.60000000000002</v>
      </c>
      <c r="C96">
        <v>330.1</v>
      </c>
      <c r="D96">
        <v>436.11</v>
      </c>
      <c r="E96">
        <v>598.48</v>
      </c>
      <c r="F96">
        <v>779</v>
      </c>
      <c r="G96">
        <v>970.8</v>
      </c>
      <c r="H96" s="2">
        <v>1193.2</v>
      </c>
      <c r="I96" s="2">
        <v>1460.4</v>
      </c>
      <c r="J96" s="2">
        <v>1791.9</v>
      </c>
      <c r="K96" s="2">
        <v>2243.3000000000002</v>
      </c>
      <c r="L96" s="2">
        <v>2903.9</v>
      </c>
      <c r="M96" s="2">
        <v>3541.5</v>
      </c>
      <c r="N96" s="2">
        <v>3977.7</v>
      </c>
      <c r="O96" s="2">
        <v>4161.4799999999996</v>
      </c>
      <c r="P96" s="2">
        <v>5098.8900000000003</v>
      </c>
      <c r="Q96" s="2">
        <v>5752.5</v>
      </c>
      <c r="R96" s="2">
        <v>6439.56</v>
      </c>
      <c r="S96" s="2">
        <v>7204.45</v>
      </c>
      <c r="T96" s="2">
        <v>8025.27</v>
      </c>
      <c r="U96" s="2">
        <v>8900.7199999999993</v>
      </c>
    </row>
    <row r="97" spans="1:21" x14ac:dyDescent="0.25">
      <c r="A97" t="s">
        <v>64</v>
      </c>
      <c r="B97">
        <v>80.599999999999994</v>
      </c>
      <c r="C97">
        <v>80.5</v>
      </c>
      <c r="D97">
        <v>81.900000000000006</v>
      </c>
      <c r="E97">
        <v>82.3</v>
      </c>
      <c r="F97">
        <v>84.6</v>
      </c>
      <c r="G97">
        <v>85.9</v>
      </c>
      <c r="H97">
        <v>86.8</v>
      </c>
      <c r="I97">
        <v>87</v>
      </c>
      <c r="J97">
        <v>85.9</v>
      </c>
      <c r="K97">
        <v>85.1</v>
      </c>
      <c r="L97">
        <v>86</v>
      </c>
      <c r="M97">
        <v>88</v>
      </c>
      <c r="N97">
        <v>87</v>
      </c>
      <c r="O97">
        <v>86.54</v>
      </c>
      <c r="P97">
        <v>86.01</v>
      </c>
      <c r="Q97">
        <v>85.62</v>
      </c>
      <c r="R97">
        <v>86.39</v>
      </c>
      <c r="S97">
        <v>86.33</v>
      </c>
      <c r="T97">
        <v>86.26</v>
      </c>
      <c r="U97">
        <v>86.2</v>
      </c>
    </row>
    <row r="98" spans="1:21" x14ac:dyDescent="0.25">
      <c r="A98" t="s">
        <v>65</v>
      </c>
      <c r="E98">
        <v>608.42999999999995</v>
      </c>
      <c r="F98">
        <v>789.7</v>
      </c>
      <c r="G98">
        <v>981.8</v>
      </c>
      <c r="H98" s="2">
        <v>1198.9000000000001</v>
      </c>
      <c r="I98" s="2">
        <v>1477.7</v>
      </c>
      <c r="J98" s="2">
        <v>1814.8</v>
      </c>
      <c r="K98" s="2">
        <v>2271.5</v>
      </c>
      <c r="L98" s="2">
        <v>2935</v>
      </c>
      <c r="M98" s="2">
        <v>3578.2</v>
      </c>
      <c r="N98" s="2">
        <v>4027.3</v>
      </c>
      <c r="O98" s="2">
        <v>4352.87</v>
      </c>
      <c r="P98" s="2">
        <v>5193.24</v>
      </c>
      <c r="Q98" s="2">
        <v>5911.13</v>
      </c>
      <c r="R98" s="2">
        <v>6504.68</v>
      </c>
      <c r="S98" s="2">
        <v>7274.92</v>
      </c>
      <c r="T98" s="2">
        <v>8101.49</v>
      </c>
      <c r="U98" s="2">
        <v>8983.07</v>
      </c>
    </row>
    <row r="99" spans="1:21" x14ac:dyDescent="0.25">
      <c r="A99" t="s">
        <v>66</v>
      </c>
      <c r="E99">
        <v>84</v>
      </c>
      <c r="F99">
        <v>86</v>
      </c>
      <c r="G99">
        <v>86.8</v>
      </c>
      <c r="H99">
        <v>87.7</v>
      </c>
      <c r="I99">
        <v>88.1</v>
      </c>
      <c r="J99">
        <v>86.9</v>
      </c>
      <c r="K99">
        <v>86.1</v>
      </c>
      <c r="L99">
        <v>86.9</v>
      </c>
      <c r="M99">
        <v>88.4</v>
      </c>
      <c r="N99">
        <v>87.9</v>
      </c>
      <c r="O99">
        <v>87.5</v>
      </c>
      <c r="P99">
        <v>87.34</v>
      </c>
      <c r="Q99">
        <v>86.92</v>
      </c>
      <c r="R99">
        <v>87.18</v>
      </c>
      <c r="S99">
        <v>87.13</v>
      </c>
      <c r="T99">
        <v>87.09</v>
      </c>
      <c r="U99">
        <v>87.04</v>
      </c>
    </row>
    <row r="100" spans="1:21" x14ac:dyDescent="0.25">
      <c r="A100" t="s">
        <v>127</v>
      </c>
      <c r="F100">
        <v>1.1000000000000001</v>
      </c>
      <c r="G100">
        <v>0.2</v>
      </c>
      <c r="H100">
        <v>1.2</v>
      </c>
      <c r="I100">
        <v>4.4000000000000004</v>
      </c>
      <c r="J100">
        <v>7.2</v>
      </c>
      <c r="K100">
        <v>9.4</v>
      </c>
      <c r="L100">
        <v>7.8</v>
      </c>
      <c r="M100">
        <v>11.3</v>
      </c>
      <c r="N100">
        <v>22.5</v>
      </c>
      <c r="O100">
        <v>17.37</v>
      </c>
      <c r="P100">
        <v>19.48</v>
      </c>
      <c r="Q100">
        <v>19.399999999999999</v>
      </c>
      <c r="R100">
        <v>21.63</v>
      </c>
      <c r="S100">
        <v>21.68</v>
      </c>
      <c r="T100">
        <v>21.75</v>
      </c>
      <c r="U100">
        <v>21.39</v>
      </c>
    </row>
    <row r="101" spans="1:21" x14ac:dyDescent="0.25">
      <c r="A101" t="s">
        <v>67</v>
      </c>
      <c r="E101">
        <v>8.77</v>
      </c>
      <c r="F101">
        <v>9.5</v>
      </c>
      <c r="G101">
        <v>10.8</v>
      </c>
      <c r="H101">
        <v>11.3</v>
      </c>
      <c r="I101">
        <v>12.9</v>
      </c>
      <c r="J101">
        <v>15.7</v>
      </c>
      <c r="K101">
        <v>18.8</v>
      </c>
      <c r="L101">
        <v>23.3</v>
      </c>
      <c r="M101">
        <v>25.4</v>
      </c>
      <c r="O101">
        <v>29.56</v>
      </c>
      <c r="P101">
        <v>35.880000000000003</v>
      </c>
      <c r="Q101">
        <v>38.51</v>
      </c>
      <c r="R101">
        <v>37.61</v>
      </c>
      <c r="S101">
        <v>40.700000000000003</v>
      </c>
      <c r="T101">
        <v>43.63</v>
      </c>
      <c r="U101">
        <v>46.32</v>
      </c>
    </row>
    <row r="102" spans="1:21" x14ac:dyDescent="0.25">
      <c r="A102" t="s">
        <v>467</v>
      </c>
      <c r="O102" s="2">
        <v>6545.21</v>
      </c>
      <c r="P102" s="2">
        <v>7232.33</v>
      </c>
      <c r="Q102" s="2">
        <v>7935.99</v>
      </c>
      <c r="R102" s="2">
        <v>8216.2999999999993</v>
      </c>
      <c r="S102" s="2">
        <v>9056.2999999999993</v>
      </c>
      <c r="T102" s="2">
        <v>9944.2999999999993</v>
      </c>
      <c r="U102" s="2">
        <v>11002.3</v>
      </c>
    </row>
    <row r="103" spans="1:21" x14ac:dyDescent="0.25">
      <c r="A103" t="s">
        <v>17</v>
      </c>
    </row>
    <row r="104" spans="1:21" x14ac:dyDescent="0.25">
      <c r="A104" t="s">
        <v>471</v>
      </c>
    </row>
    <row r="105" spans="1:21" x14ac:dyDescent="0.25">
      <c r="A105" t="s">
        <v>155</v>
      </c>
      <c r="B105" s="2">
        <v>1168.46</v>
      </c>
      <c r="C105" s="2">
        <v>1424.77</v>
      </c>
      <c r="D105" s="2">
        <v>1790.51</v>
      </c>
      <c r="E105" s="2">
        <v>2139.94</v>
      </c>
      <c r="F105" s="2">
        <v>2257.92</v>
      </c>
      <c r="G105" s="2">
        <v>3078</v>
      </c>
      <c r="H105" s="2">
        <v>3879.2</v>
      </c>
      <c r="I105" s="2">
        <v>4044.5</v>
      </c>
      <c r="J105" s="2">
        <v>5919.1</v>
      </c>
      <c r="K105" s="2">
        <v>6228</v>
      </c>
      <c r="L105" s="2">
        <v>7258.9</v>
      </c>
      <c r="M105" s="2">
        <v>9763.1</v>
      </c>
      <c r="N105" s="2">
        <v>10389.200000000001</v>
      </c>
      <c r="O105" s="2">
        <v>12759.41</v>
      </c>
      <c r="P105" s="2">
        <v>16752.830000000002</v>
      </c>
      <c r="Q105" s="2">
        <v>20158.509999999998</v>
      </c>
      <c r="R105" s="2">
        <v>24322.66</v>
      </c>
      <c r="S105" s="2">
        <v>29175.759999999998</v>
      </c>
      <c r="T105" s="2">
        <v>30923.03</v>
      </c>
      <c r="U105" s="2">
        <v>35665.69</v>
      </c>
    </row>
    <row r="106" spans="1:21" x14ac:dyDescent="0.25">
      <c r="A106" t="s">
        <v>17</v>
      </c>
    </row>
    <row r="107" spans="1:21" x14ac:dyDescent="0.25">
      <c r="A107" t="s">
        <v>72</v>
      </c>
    </row>
    <row r="108" spans="1:21" x14ac:dyDescent="0.25">
      <c r="A108" t="s">
        <v>16</v>
      </c>
      <c r="B108">
        <v>615.29999999999995</v>
      </c>
      <c r="C108">
        <v>770.36</v>
      </c>
      <c r="D108" s="2">
        <v>1009.27</v>
      </c>
      <c r="E108" s="2">
        <v>1275.44</v>
      </c>
      <c r="F108" s="2">
        <v>1494.93</v>
      </c>
      <c r="G108" s="2">
        <v>1801.2</v>
      </c>
      <c r="H108" s="2">
        <v>2156.1999999999998</v>
      </c>
      <c r="I108" s="2">
        <v>2594.4</v>
      </c>
      <c r="J108" s="2">
        <v>3342.2</v>
      </c>
      <c r="K108" s="2">
        <v>4417.3999999999996</v>
      </c>
      <c r="L108" s="2">
        <v>5304.8</v>
      </c>
      <c r="M108" s="2">
        <v>5955.8</v>
      </c>
      <c r="N108" s="2">
        <v>6799.6</v>
      </c>
      <c r="O108" s="2">
        <v>8121.29</v>
      </c>
      <c r="P108" s="2">
        <v>9052.98</v>
      </c>
      <c r="Q108" s="2">
        <v>10005.040000000001</v>
      </c>
      <c r="R108" s="2">
        <v>11378.67</v>
      </c>
      <c r="S108" s="2">
        <v>12351.67</v>
      </c>
      <c r="T108" s="2">
        <v>12743.25</v>
      </c>
      <c r="U108" s="2">
        <v>13709</v>
      </c>
    </row>
    <row r="109" spans="1:21" x14ac:dyDescent="0.25">
      <c r="A109" t="s">
        <v>472</v>
      </c>
      <c r="B109">
        <v>252.79</v>
      </c>
      <c r="C109">
        <v>324.66000000000003</v>
      </c>
      <c r="D109">
        <v>435.28</v>
      </c>
      <c r="E109">
        <v>536.71</v>
      </c>
      <c r="F109">
        <v>642.33000000000004</v>
      </c>
      <c r="G109">
        <v>762.9</v>
      </c>
      <c r="H109">
        <v>920.2</v>
      </c>
      <c r="I109" s="2">
        <v>1077.2</v>
      </c>
      <c r="J109" s="2">
        <v>1358.8</v>
      </c>
      <c r="K109" s="2">
        <v>1785</v>
      </c>
      <c r="L109" s="2">
        <v>2175.1999999999998</v>
      </c>
      <c r="M109" s="2">
        <v>2442.1999999999998</v>
      </c>
      <c r="N109" s="2">
        <v>2700.4</v>
      </c>
      <c r="O109" s="2">
        <v>2554.7399999999998</v>
      </c>
      <c r="P109" s="2">
        <v>3490.32</v>
      </c>
    </row>
    <row r="110" spans="1:21" x14ac:dyDescent="0.25">
      <c r="A110" t="s">
        <v>61</v>
      </c>
      <c r="B110">
        <v>41</v>
      </c>
      <c r="C110">
        <v>42</v>
      </c>
      <c r="D110">
        <v>43</v>
      </c>
      <c r="E110">
        <v>42</v>
      </c>
      <c r="F110">
        <v>43</v>
      </c>
      <c r="G110">
        <v>42</v>
      </c>
      <c r="H110">
        <v>42</v>
      </c>
      <c r="I110">
        <v>42</v>
      </c>
      <c r="J110">
        <v>41</v>
      </c>
      <c r="K110">
        <v>40.4</v>
      </c>
      <c r="L110">
        <v>41</v>
      </c>
      <c r="M110">
        <v>41</v>
      </c>
      <c r="N110">
        <v>40</v>
      </c>
      <c r="O110">
        <v>39.31</v>
      </c>
      <c r="P110">
        <v>39.46</v>
      </c>
    </row>
    <row r="111" spans="1:21" x14ac:dyDescent="0.25">
      <c r="A111" t="s">
        <v>473</v>
      </c>
      <c r="B111">
        <v>162.33000000000001</v>
      </c>
      <c r="C111">
        <v>200.29</v>
      </c>
      <c r="D111">
        <v>279.56</v>
      </c>
      <c r="E111">
        <v>332.19</v>
      </c>
      <c r="F111">
        <v>496.9</v>
      </c>
      <c r="G111">
        <v>577.20000000000005</v>
      </c>
      <c r="H111">
        <v>695.5</v>
      </c>
      <c r="I111">
        <v>813.3</v>
      </c>
      <c r="J111" s="2">
        <v>1006.8</v>
      </c>
      <c r="K111" s="2">
        <v>1325</v>
      </c>
      <c r="L111" s="2">
        <v>1605.9</v>
      </c>
      <c r="M111" s="2">
        <v>1778.9</v>
      </c>
      <c r="N111" s="2">
        <v>1929.5</v>
      </c>
      <c r="O111" s="2">
        <v>2221.8000000000002</v>
      </c>
      <c r="P111" s="2">
        <v>2623.23</v>
      </c>
      <c r="Q111" s="2">
        <v>2921.82</v>
      </c>
    </row>
    <row r="112" spans="1:21" x14ac:dyDescent="0.25">
      <c r="A112" t="s">
        <v>474</v>
      </c>
      <c r="H112">
        <v>224.7</v>
      </c>
      <c r="I112">
        <v>263.89999999999998</v>
      </c>
      <c r="J112">
        <v>352</v>
      </c>
      <c r="K112">
        <v>460</v>
      </c>
      <c r="L112">
        <v>569.29999999999995</v>
      </c>
      <c r="M112">
        <v>663.3</v>
      </c>
      <c r="N112">
        <v>770.9</v>
      </c>
      <c r="O112">
        <v>213.3</v>
      </c>
    </row>
    <row r="113" spans="1:21" x14ac:dyDescent="0.25">
      <c r="A113" t="s">
        <v>475</v>
      </c>
      <c r="B113">
        <v>208.98</v>
      </c>
      <c r="C113">
        <v>270.54000000000002</v>
      </c>
      <c r="D113">
        <v>366.02</v>
      </c>
      <c r="E113">
        <v>477.39</v>
      </c>
      <c r="F113">
        <v>554.6</v>
      </c>
      <c r="G113">
        <v>678</v>
      </c>
      <c r="H113">
        <v>816.5</v>
      </c>
      <c r="I113">
        <v>991.9</v>
      </c>
      <c r="J113" s="2">
        <v>1275.9000000000001</v>
      </c>
      <c r="K113" s="2">
        <v>1691.8</v>
      </c>
      <c r="L113" s="2">
        <v>2072.9</v>
      </c>
      <c r="M113" s="2">
        <v>2396.1999999999998</v>
      </c>
      <c r="N113" s="2">
        <v>2834.3</v>
      </c>
      <c r="O113" s="2">
        <v>2733.43</v>
      </c>
      <c r="P113" s="2">
        <v>3764.56</v>
      </c>
    </row>
    <row r="114" spans="1:21" x14ac:dyDescent="0.25">
      <c r="A114" t="s">
        <v>61</v>
      </c>
      <c r="B114">
        <v>34</v>
      </c>
      <c r="C114">
        <v>35</v>
      </c>
      <c r="D114">
        <v>36</v>
      </c>
      <c r="E114">
        <v>37</v>
      </c>
      <c r="F114">
        <v>37</v>
      </c>
      <c r="G114">
        <v>38</v>
      </c>
      <c r="H114">
        <v>38</v>
      </c>
      <c r="I114">
        <v>38</v>
      </c>
      <c r="J114">
        <v>38</v>
      </c>
      <c r="K114">
        <v>38.299999999999997</v>
      </c>
      <c r="L114">
        <v>39.1</v>
      </c>
      <c r="M114">
        <v>40.200000000000003</v>
      </c>
      <c r="N114">
        <v>42</v>
      </c>
      <c r="O114">
        <v>35.5</v>
      </c>
      <c r="P114">
        <v>42.57</v>
      </c>
    </row>
    <row r="115" spans="1:21" x14ac:dyDescent="0.25">
      <c r="A115" t="s">
        <v>476</v>
      </c>
      <c r="B115">
        <v>153.53</v>
      </c>
      <c r="C115">
        <v>175.17</v>
      </c>
      <c r="D115">
        <v>207.97</v>
      </c>
      <c r="E115">
        <v>261.33999999999997</v>
      </c>
      <c r="F115">
        <v>298</v>
      </c>
      <c r="G115">
        <v>360.3</v>
      </c>
      <c r="H115">
        <v>426.3</v>
      </c>
      <c r="I115">
        <v>525.29999999999995</v>
      </c>
      <c r="J115">
        <v>707.5</v>
      </c>
      <c r="K115">
        <v>940.6</v>
      </c>
      <c r="L115" s="2">
        <v>1056.7</v>
      </c>
      <c r="M115" s="2">
        <v>1117.4000000000001</v>
      </c>
      <c r="N115" s="2">
        <v>1264.9000000000001</v>
      </c>
      <c r="O115" s="2">
        <v>1143.3499999999999</v>
      </c>
      <c r="P115" s="2">
        <v>1589.26</v>
      </c>
    </row>
    <row r="116" spans="1:21" x14ac:dyDescent="0.25">
      <c r="A116" t="s">
        <v>61</v>
      </c>
      <c r="B116">
        <v>25</v>
      </c>
      <c r="C116">
        <v>23</v>
      </c>
      <c r="D116">
        <v>21</v>
      </c>
      <c r="E116">
        <v>21</v>
      </c>
      <c r="F116">
        <v>20</v>
      </c>
      <c r="G116">
        <v>20</v>
      </c>
      <c r="H116">
        <v>20</v>
      </c>
      <c r="I116">
        <v>20</v>
      </c>
      <c r="J116">
        <v>21</v>
      </c>
      <c r="K116">
        <v>21.3</v>
      </c>
      <c r="L116">
        <v>19.899999999999999</v>
      </c>
      <c r="M116">
        <v>18.8</v>
      </c>
      <c r="N116">
        <v>18</v>
      </c>
      <c r="O116">
        <v>14.82</v>
      </c>
      <c r="P116">
        <v>17.97</v>
      </c>
    </row>
    <row r="117" spans="1:21" x14ac:dyDescent="0.25">
      <c r="A117" t="s">
        <v>17</v>
      </c>
    </row>
    <row r="118" spans="1:21" x14ac:dyDescent="0.25">
      <c r="A118" t="s">
        <v>79</v>
      </c>
    </row>
    <row r="119" spans="1:21" x14ac:dyDescent="0.25">
      <c r="A119" t="s">
        <v>16</v>
      </c>
      <c r="B119">
        <v>615.29999999999995</v>
      </c>
      <c r="C119">
        <v>770.36</v>
      </c>
      <c r="D119" s="2">
        <v>1009.27</v>
      </c>
      <c r="E119" s="2">
        <v>1275.44</v>
      </c>
      <c r="F119" s="2">
        <v>1494.93</v>
      </c>
      <c r="G119" s="2">
        <v>1801.2</v>
      </c>
      <c r="H119" s="2">
        <v>2156.1999999999998</v>
      </c>
      <c r="I119" s="2">
        <v>2594.4</v>
      </c>
      <c r="J119" s="2">
        <v>3342.2</v>
      </c>
      <c r="K119" s="2">
        <v>4417.3999999999996</v>
      </c>
      <c r="L119" s="2">
        <v>5304.8</v>
      </c>
      <c r="M119" s="2">
        <v>5955.8</v>
      </c>
      <c r="N119" s="2">
        <v>6799.6</v>
      </c>
      <c r="O119" s="2">
        <v>8121.29</v>
      </c>
      <c r="P119" s="2">
        <v>9052.98</v>
      </c>
      <c r="Q119" s="2">
        <v>10005.040000000001</v>
      </c>
      <c r="R119" s="2">
        <v>11378.67</v>
      </c>
      <c r="S119" s="2">
        <v>12351.67</v>
      </c>
      <c r="T119" s="2">
        <v>12743.25</v>
      </c>
      <c r="U119" s="2">
        <v>13709</v>
      </c>
    </row>
    <row r="120" spans="1:21" x14ac:dyDescent="0.25">
      <c r="A120" t="s">
        <v>477</v>
      </c>
      <c r="B120">
        <v>285.57</v>
      </c>
      <c r="C120">
        <v>360.56</v>
      </c>
      <c r="D120">
        <v>476.78</v>
      </c>
      <c r="E120">
        <v>548.11</v>
      </c>
      <c r="F120">
        <v>577.16999999999996</v>
      </c>
      <c r="G120">
        <v>674.4</v>
      </c>
      <c r="H120">
        <v>788.5</v>
      </c>
      <c r="I120">
        <v>916.4</v>
      </c>
      <c r="J120" s="2">
        <v>1255</v>
      </c>
      <c r="K120" s="2">
        <v>1780.5</v>
      </c>
      <c r="L120" s="2">
        <v>1927.3</v>
      </c>
      <c r="M120" s="2">
        <v>1908.7</v>
      </c>
      <c r="N120" s="2">
        <v>2218.4</v>
      </c>
      <c r="O120" s="2">
        <v>2798.32</v>
      </c>
      <c r="P120" s="2">
        <v>3200.25</v>
      </c>
      <c r="Q120" s="2">
        <v>3339.43</v>
      </c>
      <c r="R120" s="2">
        <v>3258.39</v>
      </c>
      <c r="S120" s="2">
        <v>3356.14</v>
      </c>
      <c r="T120" s="2">
        <v>3440.04</v>
      </c>
      <c r="U120" s="2">
        <v>3526.05</v>
      </c>
    </row>
    <row r="121" spans="1:21" x14ac:dyDescent="0.25">
      <c r="A121" t="s">
        <v>478</v>
      </c>
      <c r="B121">
        <v>329.72</v>
      </c>
      <c r="C121">
        <v>409.81</v>
      </c>
      <c r="D121">
        <v>532.49</v>
      </c>
      <c r="E121">
        <v>727.33</v>
      </c>
      <c r="F121">
        <v>917.76</v>
      </c>
      <c r="G121" s="2">
        <v>1126.8</v>
      </c>
      <c r="H121" s="2">
        <v>1374.5</v>
      </c>
      <c r="I121" s="2">
        <v>1678</v>
      </c>
      <c r="J121" s="2">
        <v>2087.1999999999998</v>
      </c>
      <c r="K121" s="2">
        <v>2636.9</v>
      </c>
      <c r="L121" s="2">
        <v>3377.5</v>
      </c>
      <c r="M121" s="2">
        <v>4047.1</v>
      </c>
      <c r="N121" s="2">
        <v>4581.2</v>
      </c>
      <c r="O121" s="2">
        <v>4864.58</v>
      </c>
      <c r="P121" s="2">
        <v>5935.36</v>
      </c>
      <c r="Q121" s="2">
        <v>6831.89</v>
      </c>
    </row>
    <row r="122" spans="1:21" x14ac:dyDescent="0.25">
      <c r="A122" t="s">
        <v>479</v>
      </c>
      <c r="F122">
        <v>300.97000000000003</v>
      </c>
      <c r="G122">
        <v>350.5</v>
      </c>
      <c r="H122">
        <v>442.3</v>
      </c>
      <c r="I122">
        <v>496.2</v>
      </c>
      <c r="J122">
        <v>847.6</v>
      </c>
      <c r="K122" s="2">
        <v>1187.4000000000001</v>
      </c>
      <c r="L122" s="2">
        <v>1094.7</v>
      </c>
      <c r="M122">
        <v>625.9</v>
      </c>
      <c r="N122">
        <v>754.9</v>
      </c>
      <c r="O122" s="2">
        <v>1398.79</v>
      </c>
      <c r="P122" s="2">
        <v>1579.13</v>
      </c>
      <c r="Q122" s="2">
        <v>2091.7800000000002</v>
      </c>
      <c r="R122">
        <v>846.88</v>
      </c>
      <c r="S122">
        <v>767.72</v>
      </c>
      <c r="T122">
        <v>670.17</v>
      </c>
      <c r="U122">
        <v>606.82000000000005</v>
      </c>
    </row>
    <row r="123" spans="1:21" x14ac:dyDescent="0.25">
      <c r="A123" t="s">
        <v>17</v>
      </c>
    </row>
    <row r="124" spans="1:21" x14ac:dyDescent="0.25">
      <c r="A124" t="s">
        <v>82</v>
      </c>
      <c r="B124">
        <v>180.64</v>
      </c>
      <c r="C124">
        <v>231.01</v>
      </c>
      <c r="D124">
        <v>286.77999999999997</v>
      </c>
      <c r="E124">
        <v>337.84</v>
      </c>
      <c r="F124">
        <v>385.28</v>
      </c>
      <c r="G124">
        <v>450.4</v>
      </c>
      <c r="H124">
        <v>505.9</v>
      </c>
      <c r="I124">
        <v>570</v>
      </c>
      <c r="J124">
        <v>783</v>
      </c>
      <c r="K124" s="2">
        <v>1084.9000000000001</v>
      </c>
      <c r="L124" s="2">
        <v>1237.2</v>
      </c>
      <c r="M124" s="2">
        <v>1157.5999999999999</v>
      </c>
      <c r="N124" s="2">
        <v>1328.9</v>
      </c>
      <c r="O124" s="2">
        <v>1566.17</v>
      </c>
      <c r="P124" s="2">
        <v>1856.57</v>
      </c>
      <c r="Q124" s="2">
        <v>2041.73</v>
      </c>
      <c r="R124" s="2">
        <v>2244.11</v>
      </c>
      <c r="S124" s="2">
        <v>2433.0100000000002</v>
      </c>
      <c r="T124" s="2">
        <v>2407.5100000000002</v>
      </c>
      <c r="U124" s="2">
        <v>2565.84</v>
      </c>
    </row>
    <row r="125" spans="1:21" x14ac:dyDescent="0.25">
      <c r="A125" t="s">
        <v>84</v>
      </c>
      <c r="B125">
        <v>434.65</v>
      </c>
      <c r="C125">
        <v>539.36</v>
      </c>
      <c r="D125">
        <v>722.49</v>
      </c>
      <c r="E125">
        <v>937.61</v>
      </c>
      <c r="F125" s="2">
        <v>1112.42</v>
      </c>
      <c r="G125" s="2">
        <v>1354.2</v>
      </c>
      <c r="H125" s="2">
        <v>1657.1</v>
      </c>
      <c r="I125" s="2">
        <v>2024.4</v>
      </c>
      <c r="J125" s="2">
        <v>2559.1999999999998</v>
      </c>
      <c r="K125" s="2">
        <v>3332.5</v>
      </c>
      <c r="L125" s="2">
        <v>4067.6</v>
      </c>
      <c r="M125" s="2">
        <v>4798.2</v>
      </c>
      <c r="N125" s="2">
        <v>5470.7</v>
      </c>
      <c r="O125" s="2">
        <v>6212.68</v>
      </c>
      <c r="P125" s="2">
        <v>7198.55</v>
      </c>
      <c r="Q125" s="2">
        <v>8075.5</v>
      </c>
      <c r="R125" s="2">
        <v>9033.5300000000007</v>
      </c>
      <c r="S125" s="2">
        <v>9891.9</v>
      </c>
      <c r="T125" s="2">
        <v>9791.5300000000007</v>
      </c>
      <c r="U125" s="2">
        <v>10537.05</v>
      </c>
    </row>
    <row r="126" spans="1:21" x14ac:dyDescent="0.25">
      <c r="A126" t="s">
        <v>85</v>
      </c>
      <c r="B126">
        <v>71.489999999999995</v>
      </c>
      <c r="C126">
        <v>70.83</v>
      </c>
      <c r="D126">
        <v>72.39</v>
      </c>
      <c r="E126">
        <v>74.290000000000006</v>
      </c>
      <c r="F126">
        <v>74.959999999999994</v>
      </c>
      <c r="G126">
        <v>75.680000000000007</v>
      </c>
      <c r="H126">
        <v>76.540000000000006</v>
      </c>
      <c r="I126">
        <v>78.94</v>
      </c>
      <c r="J126">
        <v>76.569999999999993</v>
      </c>
      <c r="K126">
        <v>75.44</v>
      </c>
      <c r="L126">
        <v>76.680000000000007</v>
      </c>
      <c r="M126">
        <v>80.56</v>
      </c>
      <c r="N126">
        <v>81.3</v>
      </c>
      <c r="O126">
        <v>80.27</v>
      </c>
      <c r="P126">
        <v>80.2</v>
      </c>
      <c r="Q126">
        <v>80.28</v>
      </c>
      <c r="R126">
        <v>80.59</v>
      </c>
      <c r="S126">
        <v>80.739999999999995</v>
      </c>
      <c r="T126">
        <v>81.599999999999994</v>
      </c>
      <c r="U126">
        <v>81.8</v>
      </c>
    </row>
    <row r="127" spans="1:21" x14ac:dyDescent="0.25">
      <c r="A127" t="s">
        <v>17</v>
      </c>
    </row>
    <row r="128" spans="1:21" x14ac:dyDescent="0.25">
      <c r="A128" t="s">
        <v>275</v>
      </c>
      <c r="B128">
        <v>362.56</v>
      </c>
      <c r="C128">
        <v>480.03</v>
      </c>
      <c r="D128">
        <v>707.61</v>
      </c>
      <c r="E128">
        <v>894.66</v>
      </c>
      <c r="F128">
        <v>999.84</v>
      </c>
      <c r="G128" s="2">
        <v>1119.8</v>
      </c>
      <c r="H128" s="2">
        <v>1306.0999999999999</v>
      </c>
      <c r="I128" s="2">
        <v>1492.6</v>
      </c>
      <c r="J128" s="2">
        <v>1908.8</v>
      </c>
      <c r="K128" s="2">
        <v>2362.9</v>
      </c>
      <c r="L128" s="2">
        <v>2826.5</v>
      </c>
      <c r="M128" s="2">
        <v>2994.8</v>
      </c>
      <c r="N128" s="2">
        <v>3386</v>
      </c>
      <c r="O128" s="2">
        <v>3668.16</v>
      </c>
      <c r="P128" s="2">
        <v>4301.17</v>
      </c>
      <c r="Q128" s="2">
        <v>4666.3900000000003</v>
      </c>
      <c r="R128" s="2">
        <v>4876.12</v>
      </c>
      <c r="S128" s="2">
        <v>5239.78</v>
      </c>
      <c r="T128" s="2">
        <v>5619.66</v>
      </c>
      <c r="U128" s="2">
        <v>6012.86</v>
      </c>
    </row>
    <row r="129" spans="1:21" x14ac:dyDescent="0.25">
      <c r="A129" t="s">
        <v>83</v>
      </c>
      <c r="B129">
        <v>58.93</v>
      </c>
      <c r="C129">
        <v>62.31</v>
      </c>
      <c r="D129">
        <v>70.11</v>
      </c>
      <c r="E129">
        <v>70.150000000000006</v>
      </c>
      <c r="F129">
        <v>66.760000000000005</v>
      </c>
      <c r="G129">
        <v>62.05</v>
      </c>
      <c r="H129">
        <v>60.38</v>
      </c>
      <c r="I129">
        <v>57.53</v>
      </c>
      <c r="J129">
        <v>57.11</v>
      </c>
      <c r="K129">
        <v>53.49</v>
      </c>
      <c r="L129">
        <v>53.28</v>
      </c>
      <c r="M129">
        <v>50.28</v>
      </c>
      <c r="N129">
        <v>49.8</v>
      </c>
      <c r="O129">
        <v>48.75</v>
      </c>
      <c r="P129">
        <v>49.61</v>
      </c>
      <c r="Q129">
        <v>49.79</v>
      </c>
    </row>
    <row r="130" spans="1:21" x14ac:dyDescent="0.25">
      <c r="A130" t="s">
        <v>387</v>
      </c>
      <c r="B130">
        <v>224.99</v>
      </c>
      <c r="C130">
        <v>315.8</v>
      </c>
      <c r="D130">
        <v>470.37</v>
      </c>
      <c r="E130">
        <v>626.5</v>
      </c>
      <c r="F130">
        <v>701.03</v>
      </c>
      <c r="G130">
        <v>782.3</v>
      </c>
      <c r="H130">
        <v>926.9</v>
      </c>
      <c r="I130" s="2">
        <v>1071.9000000000001</v>
      </c>
      <c r="J130" s="2">
        <v>1345.7</v>
      </c>
      <c r="K130" s="2">
        <v>1686.1</v>
      </c>
      <c r="L130" s="2">
        <v>2006</v>
      </c>
      <c r="M130" s="2">
        <v>2044.8</v>
      </c>
      <c r="N130" s="2">
        <v>2347.5</v>
      </c>
      <c r="O130" s="2">
        <v>2640.37</v>
      </c>
      <c r="P130" s="2">
        <v>3179.06</v>
      </c>
      <c r="Q130" s="2">
        <v>3279.17</v>
      </c>
      <c r="R130" s="2">
        <v>3499.64</v>
      </c>
      <c r="S130" s="2">
        <v>3778.91</v>
      </c>
      <c r="T130" s="2">
        <v>4116.43</v>
      </c>
      <c r="U130" s="2">
        <v>4405.79</v>
      </c>
    </row>
    <row r="131" spans="1:21" x14ac:dyDescent="0.25">
      <c r="A131" t="s">
        <v>88</v>
      </c>
      <c r="B131">
        <v>34.909999999999997</v>
      </c>
      <c r="C131">
        <v>41.35</v>
      </c>
      <c r="D131">
        <v>71.510000000000005</v>
      </c>
      <c r="E131">
        <v>81.08</v>
      </c>
      <c r="F131">
        <v>87.86</v>
      </c>
      <c r="G131">
        <v>93</v>
      </c>
      <c r="H131">
        <v>102.1</v>
      </c>
      <c r="I131">
        <v>119.5</v>
      </c>
      <c r="J131">
        <v>143.5</v>
      </c>
      <c r="K131">
        <v>169</v>
      </c>
      <c r="L131">
        <v>211.3</v>
      </c>
      <c r="M131">
        <v>237.8</v>
      </c>
      <c r="N131">
        <v>233.4</v>
      </c>
      <c r="O131">
        <v>243.34</v>
      </c>
      <c r="P131">
        <v>305.5</v>
      </c>
      <c r="Q131">
        <v>317.16000000000003</v>
      </c>
      <c r="R131">
        <v>351.71</v>
      </c>
      <c r="S131">
        <v>374.38</v>
      </c>
      <c r="T131">
        <v>373.74</v>
      </c>
      <c r="U131">
        <v>397.03</v>
      </c>
    </row>
    <row r="132" spans="1:21" x14ac:dyDescent="0.25">
      <c r="A132" t="s">
        <v>89</v>
      </c>
      <c r="B132">
        <v>102.66</v>
      </c>
      <c r="C132">
        <v>122.88</v>
      </c>
      <c r="D132">
        <v>158.13</v>
      </c>
      <c r="E132">
        <v>183.08</v>
      </c>
      <c r="F132">
        <v>210.61</v>
      </c>
      <c r="G132">
        <v>244.5</v>
      </c>
      <c r="H132">
        <v>277.10000000000002</v>
      </c>
      <c r="I132">
        <v>341.4</v>
      </c>
      <c r="J132">
        <v>424.2</v>
      </c>
      <c r="K132">
        <v>512.4</v>
      </c>
      <c r="L132">
        <v>613.79999999999995</v>
      </c>
      <c r="M132">
        <v>716.8</v>
      </c>
      <c r="N132">
        <v>815.5</v>
      </c>
      <c r="O132">
        <v>876.78</v>
      </c>
      <c r="P132" s="2">
        <v>1044.3</v>
      </c>
      <c r="Q132" s="2">
        <v>1089.98</v>
      </c>
      <c r="R132" s="2">
        <v>1137.6300000000001</v>
      </c>
      <c r="S132" s="2">
        <v>1219.4000000000001</v>
      </c>
      <c r="T132" s="2">
        <v>1335.79</v>
      </c>
      <c r="U132" s="2">
        <v>1428.59</v>
      </c>
    </row>
    <row r="133" spans="1:21" x14ac:dyDescent="0.25">
      <c r="A133" t="s">
        <v>61</v>
      </c>
      <c r="B133">
        <v>16.68</v>
      </c>
      <c r="C133">
        <v>15.95</v>
      </c>
      <c r="D133">
        <v>15.67</v>
      </c>
      <c r="E133">
        <v>14.35</v>
      </c>
      <c r="F133">
        <v>0</v>
      </c>
      <c r="G133">
        <v>0</v>
      </c>
      <c r="H133">
        <v>12.81</v>
      </c>
      <c r="I133">
        <v>13.16</v>
      </c>
      <c r="J133">
        <v>12.69</v>
      </c>
      <c r="K133">
        <v>11.6</v>
      </c>
      <c r="L133">
        <v>11.57</v>
      </c>
      <c r="M133">
        <v>12.04</v>
      </c>
      <c r="N133">
        <v>11.99</v>
      </c>
      <c r="O133">
        <v>11.34</v>
      </c>
      <c r="P133">
        <v>11.35</v>
      </c>
      <c r="Q133">
        <v>11.08</v>
      </c>
      <c r="R133">
        <v>11.17</v>
      </c>
      <c r="S133">
        <v>11.09</v>
      </c>
      <c r="T133">
        <v>11.03</v>
      </c>
      <c r="U133">
        <v>10.94</v>
      </c>
    </row>
    <row r="134" spans="1:21" x14ac:dyDescent="0.25">
      <c r="A134" t="s">
        <v>212</v>
      </c>
      <c r="B134">
        <v>0</v>
      </c>
      <c r="C134">
        <v>0</v>
      </c>
      <c r="D134">
        <v>7.6</v>
      </c>
      <c r="E134">
        <v>4</v>
      </c>
      <c r="F134">
        <v>0.34</v>
      </c>
      <c r="G134">
        <v>0</v>
      </c>
      <c r="H134">
        <v>0</v>
      </c>
      <c r="I134">
        <v>-40.200000000000003</v>
      </c>
      <c r="J134">
        <v>-4.5999999999999996</v>
      </c>
      <c r="K134">
        <v>-4.5999999999999996</v>
      </c>
      <c r="L134">
        <v>-4.5999999999999996</v>
      </c>
      <c r="M134">
        <v>-4.5999999999999996</v>
      </c>
      <c r="N134">
        <v>-10.4</v>
      </c>
      <c r="O134">
        <v>-3.59</v>
      </c>
      <c r="P134">
        <v>-3.99</v>
      </c>
      <c r="Q134">
        <v>-4.28</v>
      </c>
      <c r="R134">
        <v>-4.5999999999999996</v>
      </c>
      <c r="S134">
        <v>-4.5999999999999996</v>
      </c>
      <c r="T134">
        <v>-4.5999999999999996</v>
      </c>
      <c r="U134">
        <v>-4.5999999999999996</v>
      </c>
    </row>
    <row r="135" spans="1:21" x14ac:dyDescent="0.25">
      <c r="A135" t="s">
        <v>480</v>
      </c>
      <c r="B135">
        <v>543.21</v>
      </c>
      <c r="C135">
        <v>711.04</v>
      </c>
      <c r="D135">
        <v>994.39</v>
      </c>
      <c r="E135" s="2">
        <v>1232.5</v>
      </c>
      <c r="F135" s="2">
        <v>1385.08</v>
      </c>
      <c r="G135" s="2">
        <v>1570.2</v>
      </c>
      <c r="H135" s="2">
        <v>1812</v>
      </c>
      <c r="I135" s="2">
        <v>2062.6</v>
      </c>
      <c r="J135" s="2">
        <v>2691.8</v>
      </c>
      <c r="K135" s="2">
        <v>3447.8</v>
      </c>
      <c r="L135" s="2">
        <v>4063.7</v>
      </c>
      <c r="M135" s="2">
        <v>4152.3999999999996</v>
      </c>
      <c r="N135" s="2">
        <v>4714.8999999999996</v>
      </c>
      <c r="O135" s="2">
        <v>5420.71</v>
      </c>
      <c r="P135" s="2">
        <v>5954.59</v>
      </c>
      <c r="Q135" s="2">
        <v>6688.26</v>
      </c>
      <c r="R135" s="2">
        <v>7185.3</v>
      </c>
      <c r="S135" s="2">
        <v>7786.15</v>
      </c>
      <c r="T135" s="2">
        <v>8413.44</v>
      </c>
      <c r="U135" s="2">
        <v>9060.27</v>
      </c>
    </row>
    <row r="136" spans="1:21" x14ac:dyDescent="0.25">
      <c r="A136" t="s">
        <v>17</v>
      </c>
    </row>
    <row r="137" spans="1:21" x14ac:dyDescent="0.25">
      <c r="A137" t="s">
        <v>91</v>
      </c>
      <c r="B137">
        <v>72.09</v>
      </c>
      <c r="C137">
        <v>59.32</v>
      </c>
      <c r="D137">
        <v>14.88</v>
      </c>
      <c r="E137">
        <v>42.94</v>
      </c>
      <c r="F137">
        <v>112.6</v>
      </c>
      <c r="G137">
        <v>234.4</v>
      </c>
      <c r="H137">
        <v>351</v>
      </c>
      <c r="I137">
        <v>531.79999999999995</v>
      </c>
      <c r="J137">
        <v>650.4</v>
      </c>
      <c r="K137">
        <v>969.6</v>
      </c>
      <c r="L137" s="2">
        <v>1241.0999999999999</v>
      </c>
      <c r="M137" s="2">
        <v>1803.4</v>
      </c>
      <c r="N137" s="2">
        <v>2084.6999999999998</v>
      </c>
      <c r="O137" s="2">
        <v>2562.31</v>
      </c>
      <c r="P137" s="2">
        <v>2685.1</v>
      </c>
      <c r="Q137" s="2">
        <v>3367.79</v>
      </c>
      <c r="R137" s="2">
        <v>3984.61</v>
      </c>
      <c r="S137" s="2">
        <v>4446.4399999999996</v>
      </c>
      <c r="T137" s="2">
        <v>4376.3500000000004</v>
      </c>
      <c r="U137" s="2">
        <v>4772.49</v>
      </c>
    </row>
    <row r="138" spans="1:21" x14ac:dyDescent="0.25">
      <c r="A138" t="s">
        <v>92</v>
      </c>
      <c r="B138">
        <v>11.72</v>
      </c>
      <c r="C138">
        <v>7.7</v>
      </c>
      <c r="D138">
        <v>1.47</v>
      </c>
      <c r="E138">
        <v>3.37</v>
      </c>
      <c r="F138">
        <v>33.24</v>
      </c>
      <c r="G138">
        <v>37.950000000000003</v>
      </c>
      <c r="H138">
        <v>16.23</v>
      </c>
      <c r="I138">
        <v>20.5</v>
      </c>
      <c r="J138">
        <v>19.46</v>
      </c>
      <c r="K138">
        <v>21.95</v>
      </c>
      <c r="L138">
        <v>23.4</v>
      </c>
      <c r="M138">
        <v>30.28</v>
      </c>
      <c r="N138">
        <v>30.66</v>
      </c>
      <c r="O138">
        <v>32.21</v>
      </c>
      <c r="P138">
        <v>32.24</v>
      </c>
      <c r="Q138">
        <v>33.57</v>
      </c>
      <c r="R138">
        <v>37.659999999999997</v>
      </c>
      <c r="S138">
        <v>36.81</v>
      </c>
      <c r="T138">
        <v>33.729999999999997</v>
      </c>
      <c r="U138">
        <v>34.18</v>
      </c>
    </row>
    <row r="139" spans="1:21" x14ac:dyDescent="0.25">
      <c r="A139" t="s">
        <v>17</v>
      </c>
    </row>
    <row r="140" spans="1:21" x14ac:dyDescent="0.25">
      <c r="A140" t="s">
        <v>93</v>
      </c>
      <c r="B140">
        <v>15.62</v>
      </c>
      <c r="C140">
        <v>22.03</v>
      </c>
      <c r="D140">
        <v>31.59</v>
      </c>
      <c r="E140">
        <v>48.52</v>
      </c>
      <c r="F140">
        <v>55.48</v>
      </c>
      <c r="G140">
        <v>55.7</v>
      </c>
      <c r="H140">
        <v>61.6</v>
      </c>
      <c r="I140">
        <v>68.8</v>
      </c>
      <c r="J140">
        <v>84.4</v>
      </c>
      <c r="K140">
        <v>104.3</v>
      </c>
      <c r="L140">
        <v>113.4</v>
      </c>
      <c r="M140">
        <v>122.8</v>
      </c>
      <c r="N140">
        <v>152</v>
      </c>
      <c r="O140">
        <v>170.21</v>
      </c>
      <c r="P140">
        <v>193.14</v>
      </c>
      <c r="Q140">
        <v>216.47</v>
      </c>
      <c r="R140">
        <v>192.79</v>
      </c>
      <c r="S140">
        <v>200.47</v>
      </c>
      <c r="T140">
        <v>207.25</v>
      </c>
      <c r="U140">
        <v>212.93</v>
      </c>
    </row>
    <row r="141" spans="1:21" x14ac:dyDescent="0.25">
      <c r="A141" t="s">
        <v>83</v>
      </c>
      <c r="B141">
        <v>2.54</v>
      </c>
      <c r="C141">
        <v>2.86</v>
      </c>
      <c r="D141">
        <v>3.13</v>
      </c>
      <c r="E141">
        <v>3.8</v>
      </c>
      <c r="F141">
        <v>3.7</v>
      </c>
      <c r="G141">
        <v>3.09</v>
      </c>
      <c r="H141">
        <v>2.85</v>
      </c>
      <c r="I141">
        <v>2.65</v>
      </c>
      <c r="J141">
        <v>2.5299999999999998</v>
      </c>
      <c r="K141">
        <v>2.36</v>
      </c>
      <c r="L141">
        <v>2.14</v>
      </c>
      <c r="M141">
        <v>2.06</v>
      </c>
      <c r="N141">
        <v>2.2400000000000002</v>
      </c>
      <c r="O141">
        <v>2.73</v>
      </c>
      <c r="P141">
        <v>2.91</v>
      </c>
      <c r="Q141">
        <v>2.11</v>
      </c>
      <c r="R141">
        <v>1.91</v>
      </c>
      <c r="S141">
        <v>1.85</v>
      </c>
      <c r="T141">
        <v>1.8</v>
      </c>
      <c r="U141">
        <v>1.75</v>
      </c>
    </row>
    <row r="142" spans="1:21" x14ac:dyDescent="0.25">
      <c r="A142" t="s">
        <v>94</v>
      </c>
      <c r="B142">
        <v>13.9</v>
      </c>
      <c r="C142">
        <v>20.5</v>
      </c>
      <c r="D142">
        <v>28.4</v>
      </c>
      <c r="E142">
        <v>39.200000000000003</v>
      </c>
      <c r="F142">
        <v>46.9</v>
      </c>
      <c r="G142">
        <v>46.7</v>
      </c>
      <c r="H142">
        <v>50.7</v>
      </c>
      <c r="I142">
        <v>55.5</v>
      </c>
      <c r="J142">
        <v>65.900000000000006</v>
      </c>
      <c r="K142">
        <v>81</v>
      </c>
      <c r="L142">
        <v>94.5</v>
      </c>
      <c r="M142">
        <v>99.7</v>
      </c>
      <c r="N142">
        <v>101.3</v>
      </c>
      <c r="O142">
        <v>133.28</v>
      </c>
      <c r="P142">
        <v>160.36000000000001</v>
      </c>
      <c r="Q142">
        <v>169.61</v>
      </c>
    </row>
    <row r="143" spans="1:21" x14ac:dyDescent="0.25">
      <c r="A143" t="s">
        <v>127</v>
      </c>
      <c r="B143">
        <v>1.55</v>
      </c>
      <c r="C143">
        <v>1.5</v>
      </c>
      <c r="D143">
        <v>3.2</v>
      </c>
      <c r="E143">
        <v>9.31</v>
      </c>
      <c r="F143">
        <v>8.57</v>
      </c>
      <c r="G143">
        <v>9</v>
      </c>
      <c r="H143">
        <v>10.9</v>
      </c>
      <c r="I143">
        <v>13.3</v>
      </c>
      <c r="J143">
        <v>18.5</v>
      </c>
      <c r="K143">
        <v>23.3</v>
      </c>
      <c r="L143">
        <v>18.899999999999999</v>
      </c>
      <c r="M143">
        <v>23.1</v>
      </c>
      <c r="N143">
        <v>50.7</v>
      </c>
      <c r="O143">
        <v>36.24</v>
      </c>
      <c r="P143">
        <v>38.82</v>
      </c>
      <c r="Q143">
        <v>36.200000000000003</v>
      </c>
      <c r="R143">
        <v>29.86</v>
      </c>
      <c r="S143">
        <v>30.45</v>
      </c>
      <c r="T143">
        <v>30.92</v>
      </c>
      <c r="U143">
        <v>31.24</v>
      </c>
    </row>
    <row r="144" spans="1:21" x14ac:dyDescent="0.25">
      <c r="A144" t="s">
        <v>277</v>
      </c>
      <c r="B144">
        <v>87.71</v>
      </c>
      <c r="C144">
        <v>81.349999999999994</v>
      </c>
      <c r="D144">
        <v>46.47</v>
      </c>
      <c r="E144">
        <v>91.46</v>
      </c>
      <c r="F144">
        <v>165.28</v>
      </c>
      <c r="G144">
        <v>286.7</v>
      </c>
      <c r="H144">
        <v>427.9</v>
      </c>
      <c r="I144">
        <v>619.1</v>
      </c>
      <c r="J144">
        <v>761.3</v>
      </c>
      <c r="K144" s="2">
        <v>1111</v>
      </c>
      <c r="L144" s="2">
        <v>1397.5</v>
      </c>
      <c r="M144" s="2">
        <v>1970.7</v>
      </c>
      <c r="N144" s="2">
        <v>2288.4</v>
      </c>
      <c r="O144" s="2">
        <v>2810.25</v>
      </c>
      <c r="P144" s="2">
        <v>3187.01</v>
      </c>
      <c r="Q144" s="2">
        <v>3964.91</v>
      </c>
      <c r="R144" s="2">
        <v>5802</v>
      </c>
      <c r="S144" s="2">
        <v>6689</v>
      </c>
    </row>
    <row r="145" spans="1:21" x14ac:dyDescent="0.25">
      <c r="A145" t="s">
        <v>481</v>
      </c>
      <c r="B145">
        <v>14.26</v>
      </c>
      <c r="C145">
        <v>10.56</v>
      </c>
      <c r="D145">
        <v>4.5999999999999996</v>
      </c>
      <c r="E145">
        <v>7.17</v>
      </c>
      <c r="F145">
        <v>11.04</v>
      </c>
      <c r="G145">
        <v>15.89</v>
      </c>
      <c r="H145">
        <v>19.78</v>
      </c>
      <c r="I145">
        <v>23.86</v>
      </c>
      <c r="J145">
        <v>22.78</v>
      </c>
      <c r="K145">
        <v>25.15</v>
      </c>
      <c r="L145">
        <v>26.34</v>
      </c>
      <c r="M145">
        <v>33.090000000000003</v>
      </c>
      <c r="N145">
        <v>33.65</v>
      </c>
      <c r="O145">
        <v>37.64</v>
      </c>
      <c r="P145">
        <v>37.99</v>
      </c>
      <c r="Q145">
        <v>38.15</v>
      </c>
      <c r="R145">
        <v>38.799999999999997</v>
      </c>
      <c r="S145">
        <v>39.14</v>
      </c>
      <c r="T145">
        <v>39.42</v>
      </c>
      <c r="U145">
        <v>39.81</v>
      </c>
    </row>
    <row r="146" spans="1:21" x14ac:dyDescent="0.25">
      <c r="A146" t="s">
        <v>17</v>
      </c>
    </row>
    <row r="147" spans="1:21" x14ac:dyDescent="0.25">
      <c r="A147" t="s">
        <v>482</v>
      </c>
      <c r="B147">
        <v>-3.85</v>
      </c>
      <c r="C147">
        <v>-2.23</v>
      </c>
      <c r="D147">
        <v>-2.13</v>
      </c>
      <c r="E147">
        <v>-0.2</v>
      </c>
      <c r="F147">
        <v>-14.19</v>
      </c>
      <c r="G147">
        <v>-19.899999999999999</v>
      </c>
      <c r="H147">
        <v>-35</v>
      </c>
      <c r="I147">
        <v>-9.9</v>
      </c>
      <c r="J147">
        <v>22</v>
      </c>
      <c r="K147">
        <v>14.1</v>
      </c>
      <c r="L147">
        <v>-92.6</v>
      </c>
      <c r="M147">
        <v>-255.1</v>
      </c>
      <c r="N147">
        <v>-197.5</v>
      </c>
      <c r="O147">
        <v>-166.94</v>
      </c>
      <c r="P147">
        <v>-157.71</v>
      </c>
      <c r="Q147">
        <v>-187.43</v>
      </c>
      <c r="R147">
        <v>-168</v>
      </c>
      <c r="S147">
        <v>-168</v>
      </c>
    </row>
    <row r="148" spans="1:21" x14ac:dyDescent="0.25">
      <c r="A148" t="s">
        <v>483</v>
      </c>
      <c r="C148">
        <v>-5.39</v>
      </c>
      <c r="D148">
        <v>-5.3</v>
      </c>
      <c r="E148">
        <v>-7.3</v>
      </c>
      <c r="F148">
        <v>-13.48</v>
      </c>
      <c r="G148">
        <v>-26.5</v>
      </c>
      <c r="H148">
        <v>-42.5</v>
      </c>
      <c r="I148">
        <v>-17.7</v>
      </c>
      <c r="J148">
        <v>10.4</v>
      </c>
      <c r="K148">
        <v>0.6</v>
      </c>
      <c r="L148">
        <v>-98.7</v>
      </c>
      <c r="M148">
        <v>-135.19999999999999</v>
      </c>
      <c r="N148">
        <v>-142.19999999999999</v>
      </c>
      <c r="O148">
        <v>-116.6</v>
      </c>
      <c r="P148">
        <v>-136.82</v>
      </c>
      <c r="Q148">
        <v>-192.13</v>
      </c>
      <c r="R148">
        <v>-255.29</v>
      </c>
      <c r="S148">
        <v>-320.89</v>
      </c>
      <c r="T148">
        <v>-391.03</v>
      </c>
      <c r="U148">
        <v>-466.84</v>
      </c>
    </row>
    <row r="149" spans="1:21" x14ac:dyDescent="0.25">
      <c r="A149" t="s">
        <v>484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14.9</v>
      </c>
      <c r="K149">
        <v>18</v>
      </c>
      <c r="L149">
        <v>21</v>
      </c>
      <c r="M149">
        <v>20</v>
      </c>
      <c r="N149">
        <v>20.100000000000001</v>
      </c>
      <c r="O149">
        <v>12.73</v>
      </c>
      <c r="P149">
        <v>14.47</v>
      </c>
      <c r="Q149">
        <v>17.91</v>
      </c>
      <c r="R149">
        <v>11.5</v>
      </c>
      <c r="S149">
        <v>11.5</v>
      </c>
      <c r="T149">
        <v>5.75</v>
      </c>
    </row>
    <row r="150" spans="1:21" x14ac:dyDescent="0.25">
      <c r="A150" t="s">
        <v>398</v>
      </c>
      <c r="B150">
        <v>5.31</v>
      </c>
      <c r="C150">
        <v>5.39</v>
      </c>
      <c r="D150">
        <v>5.3</v>
      </c>
      <c r="E150">
        <v>7.3</v>
      </c>
      <c r="F150">
        <v>13.48</v>
      </c>
      <c r="G150">
        <v>26.5</v>
      </c>
      <c r="H150">
        <v>42.5</v>
      </c>
      <c r="I150">
        <v>17.7</v>
      </c>
      <c r="J150">
        <v>4.5</v>
      </c>
      <c r="K150">
        <v>17.399999999999999</v>
      </c>
      <c r="L150">
        <v>119.7</v>
      </c>
      <c r="M150">
        <v>155.19999999999999</v>
      </c>
      <c r="N150">
        <v>162.30000000000001</v>
      </c>
      <c r="O150">
        <v>133.1</v>
      </c>
      <c r="P150">
        <v>184.49</v>
      </c>
      <c r="Q150">
        <v>221.79</v>
      </c>
      <c r="R150">
        <v>381.2</v>
      </c>
      <c r="S150">
        <v>501.68</v>
      </c>
      <c r="T150">
        <v>626.58000000000004</v>
      </c>
      <c r="U150">
        <v>782.48</v>
      </c>
    </row>
    <row r="151" spans="1:21" x14ac:dyDescent="0.25">
      <c r="A151" t="s">
        <v>485</v>
      </c>
      <c r="B151">
        <v>1.46</v>
      </c>
      <c r="C151">
        <v>3.17</v>
      </c>
      <c r="D151">
        <v>3.17</v>
      </c>
      <c r="E151">
        <v>7.1</v>
      </c>
      <c r="F151">
        <v>-0.71</v>
      </c>
      <c r="G151">
        <v>6.6</v>
      </c>
      <c r="H151">
        <v>7.5</v>
      </c>
      <c r="I151">
        <v>7.8</v>
      </c>
      <c r="J151">
        <v>11.6</v>
      </c>
      <c r="K151">
        <v>13.5</v>
      </c>
      <c r="L151">
        <v>6.1</v>
      </c>
      <c r="M151">
        <v>-119.9</v>
      </c>
      <c r="N151">
        <v>-55.3</v>
      </c>
      <c r="O151">
        <v>-55.19</v>
      </c>
      <c r="P151">
        <v>-22.37</v>
      </c>
      <c r="Q151">
        <v>2.11</v>
      </c>
      <c r="R151">
        <v>-8</v>
      </c>
      <c r="S151">
        <v>-8</v>
      </c>
      <c r="T151">
        <v>-8</v>
      </c>
      <c r="U151">
        <v>-8</v>
      </c>
    </row>
    <row r="152" spans="1:21" x14ac:dyDescent="0.25">
      <c r="A152" t="s">
        <v>486</v>
      </c>
      <c r="B152">
        <v>-3.85</v>
      </c>
      <c r="C152">
        <v>-2.23</v>
      </c>
      <c r="D152">
        <v>-2.13</v>
      </c>
      <c r="E152">
        <v>-0.2</v>
      </c>
      <c r="F152">
        <v>-14.19</v>
      </c>
      <c r="G152">
        <v>-19.899999999999999</v>
      </c>
      <c r="H152">
        <v>-35</v>
      </c>
      <c r="I152">
        <v>-9.9</v>
      </c>
      <c r="J152">
        <v>22</v>
      </c>
      <c r="K152">
        <v>14.1</v>
      </c>
      <c r="L152">
        <v>-92.6</v>
      </c>
      <c r="M152">
        <v>-255.1</v>
      </c>
      <c r="N152">
        <v>-197.5</v>
      </c>
      <c r="O152">
        <v>-166.94</v>
      </c>
      <c r="P152">
        <v>-157.71</v>
      </c>
      <c r="Q152">
        <v>-187.43</v>
      </c>
      <c r="R152">
        <v>-168</v>
      </c>
      <c r="S152">
        <v>-168</v>
      </c>
    </row>
    <row r="153" spans="1:21" x14ac:dyDescent="0.25">
      <c r="A153" t="s">
        <v>100</v>
      </c>
      <c r="B153">
        <v>75.94</v>
      </c>
      <c r="C153">
        <v>61.55</v>
      </c>
      <c r="D153">
        <v>17.010000000000002</v>
      </c>
      <c r="E153">
        <v>43.15</v>
      </c>
      <c r="F153">
        <v>123.99</v>
      </c>
      <c r="G153">
        <v>250.9</v>
      </c>
      <c r="H153">
        <v>386</v>
      </c>
      <c r="I153">
        <v>541.70000000000005</v>
      </c>
      <c r="J153">
        <v>628.4</v>
      </c>
      <c r="K153">
        <v>955.5</v>
      </c>
      <c r="L153" s="2">
        <v>1333.7</v>
      </c>
      <c r="M153" s="2">
        <v>2058.5</v>
      </c>
      <c r="N153" s="2">
        <v>2282.1999999999998</v>
      </c>
      <c r="O153" s="2">
        <v>2715.73</v>
      </c>
      <c r="P153" s="2">
        <v>3051.35</v>
      </c>
      <c r="Q153" s="2">
        <v>3469.32</v>
      </c>
      <c r="R153" s="2">
        <v>3826.77</v>
      </c>
      <c r="S153" s="2">
        <v>4212.72</v>
      </c>
      <c r="T153" s="2">
        <v>4604.76</v>
      </c>
      <c r="U153" s="2">
        <v>5013.38</v>
      </c>
    </row>
    <row r="154" spans="1:21" x14ac:dyDescent="0.25">
      <c r="A154" t="s">
        <v>17</v>
      </c>
    </row>
    <row r="155" spans="1:21" x14ac:dyDescent="0.25">
      <c r="A155" t="s">
        <v>101</v>
      </c>
      <c r="B155">
        <v>31.67</v>
      </c>
      <c r="C155">
        <v>36.21</v>
      </c>
      <c r="D155">
        <v>9.02</v>
      </c>
      <c r="E155">
        <v>10.96</v>
      </c>
      <c r="F155">
        <v>92.6</v>
      </c>
      <c r="G155">
        <v>-81.3</v>
      </c>
      <c r="H155">
        <v>54.3</v>
      </c>
      <c r="I155">
        <v>53.2</v>
      </c>
      <c r="J155">
        <v>14.1</v>
      </c>
      <c r="K155">
        <v>30.8</v>
      </c>
      <c r="L155">
        <v>143.80000000000001</v>
      </c>
      <c r="M155">
        <v>283.89999999999998</v>
      </c>
      <c r="N155">
        <v>439.1</v>
      </c>
      <c r="O155">
        <v>475.27</v>
      </c>
      <c r="P155">
        <v>555.85</v>
      </c>
      <c r="Q155">
        <v>645.24</v>
      </c>
      <c r="R155">
        <v>815.77</v>
      </c>
      <c r="S155">
        <v>919.86</v>
      </c>
      <c r="T155">
        <v>917.84</v>
      </c>
      <c r="U155" s="2">
        <v>1015.17</v>
      </c>
    </row>
    <row r="156" spans="1:21" x14ac:dyDescent="0.25">
      <c r="A156" t="s">
        <v>102</v>
      </c>
      <c r="B156">
        <v>41.7</v>
      </c>
      <c r="C156">
        <v>58.82</v>
      </c>
      <c r="D156">
        <v>53.03</v>
      </c>
      <c r="E156">
        <v>25.4</v>
      </c>
      <c r="F156">
        <v>74.680000000000007</v>
      </c>
      <c r="H156">
        <v>14.07</v>
      </c>
      <c r="I156">
        <v>9.82</v>
      </c>
      <c r="J156">
        <v>2.2400000000000002</v>
      </c>
      <c r="K156">
        <v>3.22</v>
      </c>
      <c r="L156">
        <v>10.78</v>
      </c>
      <c r="M156">
        <v>13.79</v>
      </c>
      <c r="N156">
        <v>19.239999999999998</v>
      </c>
      <c r="O156">
        <v>15.94</v>
      </c>
      <c r="P156">
        <v>16.48</v>
      </c>
      <c r="Q156">
        <v>17.72</v>
      </c>
      <c r="R156">
        <v>19</v>
      </c>
      <c r="S156">
        <v>19.5</v>
      </c>
      <c r="T156">
        <v>20</v>
      </c>
      <c r="U156">
        <v>20.5</v>
      </c>
    </row>
    <row r="157" spans="1:21" x14ac:dyDescent="0.25">
      <c r="A157" t="s">
        <v>17</v>
      </c>
    </row>
    <row r="158" spans="1:21" x14ac:dyDescent="0.25">
      <c r="A158" t="s">
        <v>106</v>
      </c>
      <c r="B158">
        <v>44.27</v>
      </c>
      <c r="C158">
        <v>25.34</v>
      </c>
      <c r="D158">
        <v>7.99</v>
      </c>
      <c r="E158">
        <v>32.19</v>
      </c>
      <c r="F158">
        <v>31.4</v>
      </c>
      <c r="G158">
        <v>332.2</v>
      </c>
      <c r="H158">
        <v>326.5</v>
      </c>
      <c r="I158">
        <v>488.5</v>
      </c>
      <c r="J158">
        <v>606.79999999999995</v>
      </c>
      <c r="K158">
        <v>857.3</v>
      </c>
      <c r="L158" s="2">
        <v>1147.8</v>
      </c>
      <c r="M158" s="2">
        <v>1745.2</v>
      </c>
      <c r="N158" s="2">
        <v>1853.4</v>
      </c>
      <c r="O158" s="2">
        <v>2291.2600000000002</v>
      </c>
      <c r="P158" s="2">
        <v>2522.88</v>
      </c>
      <c r="Q158" s="2">
        <v>2877.37</v>
      </c>
      <c r="R158" s="2">
        <v>3453.2</v>
      </c>
      <c r="S158" s="2">
        <v>3873.4</v>
      </c>
      <c r="T158" s="2">
        <v>3907</v>
      </c>
      <c r="U158" s="2">
        <v>4297.75</v>
      </c>
    </row>
    <row r="159" spans="1:21" x14ac:dyDescent="0.25">
      <c r="A159" t="s">
        <v>280</v>
      </c>
      <c r="B159">
        <v>7.2</v>
      </c>
      <c r="C159">
        <v>3.29</v>
      </c>
      <c r="D159">
        <v>0.79</v>
      </c>
      <c r="E159">
        <v>2.52</v>
      </c>
      <c r="F159">
        <v>2.1</v>
      </c>
      <c r="G159">
        <v>18.41</v>
      </c>
      <c r="H159">
        <v>15.34</v>
      </c>
      <c r="I159">
        <v>18.829999999999998</v>
      </c>
      <c r="J159">
        <v>18.16</v>
      </c>
      <c r="K159">
        <v>19.41</v>
      </c>
      <c r="L159">
        <v>21.64</v>
      </c>
      <c r="M159">
        <v>29.3</v>
      </c>
      <c r="N159">
        <v>27.26</v>
      </c>
      <c r="O159">
        <v>29.07</v>
      </c>
      <c r="P159">
        <v>28.56</v>
      </c>
      <c r="Q159">
        <v>29.87</v>
      </c>
      <c r="R159">
        <v>27.3</v>
      </c>
      <c r="S159">
        <v>27.25</v>
      </c>
      <c r="T159">
        <v>17</v>
      </c>
      <c r="U159">
        <v>31.35</v>
      </c>
    </row>
    <row r="160" spans="1:21" x14ac:dyDescent="0.25">
      <c r="A160" t="s">
        <v>17</v>
      </c>
    </row>
    <row r="161" spans="1:21" x14ac:dyDescent="0.25">
      <c r="A161" t="s">
        <v>108</v>
      </c>
      <c r="B161">
        <v>812.18</v>
      </c>
      <c r="C161">
        <v>819.16</v>
      </c>
      <c r="D161">
        <v>851.93</v>
      </c>
      <c r="E161">
        <v>863.11</v>
      </c>
      <c r="F161">
        <v>871.58</v>
      </c>
      <c r="G161">
        <v>845.5</v>
      </c>
      <c r="H161">
        <v>855</v>
      </c>
      <c r="I161">
        <v>821</v>
      </c>
      <c r="J161">
        <v>816</v>
      </c>
      <c r="K161">
        <v>791.4</v>
      </c>
      <c r="L161">
        <v>778.6</v>
      </c>
      <c r="M161">
        <v>764.4</v>
      </c>
      <c r="N161">
        <v>758</v>
      </c>
      <c r="O161">
        <v>736.94</v>
      </c>
      <c r="P161">
        <v>737.88</v>
      </c>
      <c r="Q161">
        <v>735.25</v>
      </c>
      <c r="R161">
        <v>749.31</v>
      </c>
      <c r="S161">
        <v>753.31</v>
      </c>
      <c r="T161">
        <v>757.31</v>
      </c>
      <c r="U161">
        <v>761.31</v>
      </c>
    </row>
    <row r="162" spans="1:21" x14ac:dyDescent="0.25">
      <c r="A162" t="s">
        <v>17</v>
      </c>
    </row>
    <row r="163" spans="1:21" x14ac:dyDescent="0.25">
      <c r="A163" t="s">
        <v>109</v>
      </c>
      <c r="B163">
        <v>840.92</v>
      </c>
      <c r="C163">
        <v>846.45</v>
      </c>
      <c r="D163">
        <v>880.71</v>
      </c>
      <c r="E163">
        <v>881.69</v>
      </c>
      <c r="F163">
        <v>890.4</v>
      </c>
      <c r="G163">
        <v>871</v>
      </c>
      <c r="H163">
        <v>876</v>
      </c>
      <c r="I163">
        <v>827.5</v>
      </c>
      <c r="J163">
        <v>835.5</v>
      </c>
      <c r="K163">
        <v>805.3</v>
      </c>
      <c r="L163">
        <v>788.2</v>
      </c>
      <c r="M163">
        <v>771.9</v>
      </c>
      <c r="N163">
        <v>764.6</v>
      </c>
      <c r="O163">
        <v>742.66</v>
      </c>
      <c r="P163">
        <v>745.11</v>
      </c>
      <c r="Q163">
        <v>744.28</v>
      </c>
      <c r="R163">
        <v>744</v>
      </c>
      <c r="S163">
        <v>744.77</v>
      </c>
      <c r="T163">
        <v>744.87</v>
      </c>
      <c r="U163">
        <v>746.2</v>
      </c>
    </row>
    <row r="164" spans="1:21" x14ac:dyDescent="0.25">
      <c r="A164" t="s">
        <v>110</v>
      </c>
      <c r="B164">
        <v>0.05</v>
      </c>
      <c r="C164">
        <v>0.03</v>
      </c>
      <c r="D164">
        <v>0.01</v>
      </c>
      <c r="E164">
        <v>0.04</v>
      </c>
      <c r="F164">
        <v>0.04</v>
      </c>
      <c r="G164">
        <v>0.38</v>
      </c>
      <c r="H164">
        <v>0.37</v>
      </c>
      <c r="I164">
        <v>0.57999999999999996</v>
      </c>
      <c r="J164">
        <v>0.73</v>
      </c>
      <c r="K164">
        <v>1.06</v>
      </c>
      <c r="L164">
        <v>1.46</v>
      </c>
      <c r="M164">
        <v>2.2599999999999998</v>
      </c>
      <c r="N164">
        <v>2.42</v>
      </c>
      <c r="O164">
        <v>3.06</v>
      </c>
      <c r="P164">
        <v>3.44</v>
      </c>
      <c r="Q164">
        <v>3.99</v>
      </c>
      <c r="R164">
        <v>4.2</v>
      </c>
      <c r="S164">
        <v>4.66</v>
      </c>
      <c r="T164">
        <v>5.12</v>
      </c>
      <c r="U164">
        <v>5.6</v>
      </c>
    </row>
    <row r="165" spans="1:21" x14ac:dyDescent="0.25">
      <c r="A165" t="s">
        <v>17</v>
      </c>
    </row>
    <row r="166" spans="1:21" x14ac:dyDescent="0.25">
      <c r="A166" t="s">
        <v>487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21" x14ac:dyDescent="0.25">
      <c r="A167" t="s">
        <v>17</v>
      </c>
    </row>
    <row r="168" spans="1:21" x14ac:dyDescent="0.25">
      <c r="A168" t="s">
        <v>111</v>
      </c>
    </row>
    <row r="169" spans="1:21" x14ac:dyDescent="0.25">
      <c r="A169" t="s">
        <v>62</v>
      </c>
      <c r="B169">
        <v>173.4</v>
      </c>
      <c r="C169">
        <v>220.89</v>
      </c>
      <c r="D169">
        <v>272.81</v>
      </c>
      <c r="E169">
        <v>323</v>
      </c>
      <c r="F169">
        <v>369.4</v>
      </c>
      <c r="G169">
        <v>431.9</v>
      </c>
      <c r="H169">
        <v>485.2</v>
      </c>
      <c r="I169">
        <v>546</v>
      </c>
      <c r="J169">
        <v>752.5</v>
      </c>
      <c r="K169" s="2">
        <v>1049.8</v>
      </c>
      <c r="L169" s="2">
        <v>1197.2</v>
      </c>
      <c r="M169" s="2">
        <v>10796.9</v>
      </c>
      <c r="N169" s="2">
        <v>1272</v>
      </c>
      <c r="O169" s="2">
        <v>1552.57</v>
      </c>
      <c r="P169" s="2">
        <v>1730.41</v>
      </c>
      <c r="Q169" s="2">
        <v>1850.51</v>
      </c>
      <c r="R169" s="2">
        <v>2048.12</v>
      </c>
      <c r="S169" s="2">
        <v>2184.2199999999998</v>
      </c>
      <c r="T169" s="2">
        <v>2329.2199999999998</v>
      </c>
      <c r="U169" s="2">
        <v>2483.3000000000002</v>
      </c>
    </row>
    <row r="170" spans="1:21" x14ac:dyDescent="0.25">
      <c r="A170" t="s">
        <v>63</v>
      </c>
      <c r="B170">
        <v>441.9</v>
      </c>
      <c r="C170">
        <v>549.48</v>
      </c>
      <c r="D170">
        <v>736.45</v>
      </c>
      <c r="E170">
        <v>952.44</v>
      </c>
      <c r="F170" s="2">
        <v>1128.3</v>
      </c>
      <c r="G170" s="2">
        <v>1372.7</v>
      </c>
      <c r="H170" s="2">
        <v>1677.6</v>
      </c>
      <c r="I170" s="2">
        <v>2048</v>
      </c>
      <c r="J170" s="2">
        <v>2589.5</v>
      </c>
      <c r="K170" s="2">
        <v>3370.2</v>
      </c>
      <c r="L170" s="2">
        <v>4107.6000000000004</v>
      </c>
      <c r="M170" s="2">
        <v>4841.1000000000004</v>
      </c>
      <c r="N170" s="2">
        <v>5527.6</v>
      </c>
      <c r="O170" s="2">
        <v>6422.94</v>
      </c>
      <c r="P170" s="2">
        <v>7270.99</v>
      </c>
      <c r="Q170" s="2">
        <v>8076.99</v>
      </c>
      <c r="R170" s="2">
        <v>8537.14</v>
      </c>
      <c r="S170" s="2">
        <v>9209.2199999999993</v>
      </c>
      <c r="T170" s="2">
        <v>9872.4500000000007</v>
      </c>
      <c r="U170" s="2">
        <v>10522.05</v>
      </c>
    </row>
    <row r="171" spans="1:21" x14ac:dyDescent="0.25">
      <c r="A171" t="s">
        <v>64</v>
      </c>
      <c r="B171">
        <v>72</v>
      </c>
      <c r="C171">
        <v>71.33</v>
      </c>
      <c r="D171">
        <v>72.97</v>
      </c>
      <c r="E171">
        <v>74.680000000000007</v>
      </c>
      <c r="F171">
        <v>75.34</v>
      </c>
      <c r="G171">
        <v>76.069999999999993</v>
      </c>
      <c r="H171">
        <v>77.599999999999994</v>
      </c>
      <c r="I171">
        <v>78.900000000000006</v>
      </c>
      <c r="J171">
        <v>77.5</v>
      </c>
      <c r="K171">
        <v>76.3</v>
      </c>
      <c r="L171">
        <v>77.400000000000006</v>
      </c>
      <c r="M171">
        <v>81.3</v>
      </c>
      <c r="N171">
        <v>81.3</v>
      </c>
      <c r="O171">
        <v>80.37</v>
      </c>
      <c r="P171">
        <v>80.25</v>
      </c>
      <c r="Q171">
        <v>80.36</v>
      </c>
      <c r="R171" s="2">
        <v>3620.62</v>
      </c>
      <c r="S171">
        <v>81.260000000000005</v>
      </c>
      <c r="T171">
        <v>81.53</v>
      </c>
      <c r="U171">
        <v>81.77</v>
      </c>
    </row>
    <row r="172" spans="1:21" x14ac:dyDescent="0.25">
      <c r="A172" t="s">
        <v>87</v>
      </c>
      <c r="B172">
        <v>323.32</v>
      </c>
      <c r="C172">
        <v>427.35</v>
      </c>
      <c r="D172">
        <v>603.13</v>
      </c>
      <c r="E172">
        <v>759.31</v>
      </c>
      <c r="F172">
        <v>868.13</v>
      </c>
      <c r="G172">
        <v>966.4</v>
      </c>
      <c r="H172" s="2">
        <v>1141.5999999999999</v>
      </c>
      <c r="I172" s="2">
        <v>1350</v>
      </c>
      <c r="J172" s="2">
        <v>1714</v>
      </c>
      <c r="K172" s="2">
        <v>2162.1</v>
      </c>
      <c r="L172" s="2">
        <v>2600.6</v>
      </c>
      <c r="M172" s="2">
        <v>2044.8</v>
      </c>
      <c r="N172" s="2">
        <v>2347.5</v>
      </c>
      <c r="O172" s="2">
        <v>3588.41</v>
      </c>
      <c r="P172" s="2">
        <v>4001.68</v>
      </c>
      <c r="Q172" s="2">
        <v>4424.51</v>
      </c>
      <c r="R172" s="2">
        <v>4677.6499999999996</v>
      </c>
      <c r="S172" s="2">
        <v>4958.3100000000004</v>
      </c>
      <c r="T172" s="2">
        <v>5255.81</v>
      </c>
      <c r="U172" s="2">
        <v>5571.16</v>
      </c>
    </row>
    <row r="173" spans="1:21" x14ac:dyDescent="0.25">
      <c r="A173" t="s">
        <v>113</v>
      </c>
      <c r="B173">
        <v>205.47</v>
      </c>
      <c r="C173">
        <v>289.06</v>
      </c>
      <c r="D173">
        <v>419.2</v>
      </c>
      <c r="E173">
        <v>553.1</v>
      </c>
      <c r="F173">
        <v>619.46</v>
      </c>
      <c r="G173">
        <v>683.9</v>
      </c>
      <c r="H173">
        <v>822</v>
      </c>
      <c r="I173">
        <v>959.3</v>
      </c>
      <c r="J173" s="2">
        <v>1230.0999999999999</v>
      </c>
      <c r="K173" s="2">
        <v>1575</v>
      </c>
      <c r="L173" s="2">
        <v>1890.2</v>
      </c>
      <c r="M173" s="2">
        <v>1932</v>
      </c>
      <c r="N173" s="2">
        <v>2207.1999999999998</v>
      </c>
      <c r="O173" s="2">
        <v>2520.92</v>
      </c>
      <c r="P173" s="2">
        <v>2847.91</v>
      </c>
      <c r="Q173" s="2">
        <v>3138.09</v>
      </c>
      <c r="R173" s="2">
        <v>3383.93</v>
      </c>
      <c r="S173" s="2">
        <v>3641.58</v>
      </c>
      <c r="T173" s="2">
        <v>3894.22</v>
      </c>
      <c r="U173" s="2">
        <v>4132.93</v>
      </c>
    </row>
    <row r="174" spans="1:21" x14ac:dyDescent="0.25">
      <c r="A174" t="s">
        <v>115</v>
      </c>
      <c r="B174">
        <v>28.46</v>
      </c>
      <c r="C174">
        <v>32.67</v>
      </c>
      <c r="D174">
        <v>50.35</v>
      </c>
      <c r="E174">
        <v>53.25</v>
      </c>
      <c r="F174">
        <v>70.25</v>
      </c>
      <c r="G174">
        <v>74.400000000000006</v>
      </c>
      <c r="H174">
        <v>81.2</v>
      </c>
      <c r="I174">
        <v>96.9</v>
      </c>
      <c r="J174">
        <v>116.4</v>
      </c>
      <c r="K174">
        <v>138.9</v>
      </c>
      <c r="L174">
        <v>173.4</v>
      </c>
      <c r="M174">
        <v>192.9</v>
      </c>
      <c r="N174">
        <v>190.9</v>
      </c>
      <c r="O174">
        <v>208.25</v>
      </c>
      <c r="P174">
        <v>237.68</v>
      </c>
      <c r="Q174">
        <v>260.74</v>
      </c>
      <c r="R174">
        <v>271.18</v>
      </c>
      <c r="S174">
        <v>287.67</v>
      </c>
      <c r="T174">
        <v>305.45</v>
      </c>
      <c r="U174">
        <v>320.10000000000002</v>
      </c>
    </row>
    <row r="175" spans="1:21" x14ac:dyDescent="0.25">
      <c r="A175" t="s">
        <v>114</v>
      </c>
      <c r="B175">
        <v>89.39</v>
      </c>
      <c r="C175">
        <v>105.62</v>
      </c>
      <c r="D175">
        <v>133.57</v>
      </c>
      <c r="E175">
        <v>152.96</v>
      </c>
      <c r="F175">
        <v>178.4</v>
      </c>
      <c r="G175">
        <v>208.1</v>
      </c>
      <c r="H175">
        <v>238.4</v>
      </c>
      <c r="I175">
        <v>293.8</v>
      </c>
      <c r="J175">
        <v>367.5</v>
      </c>
      <c r="K175">
        <v>448.2</v>
      </c>
      <c r="L175">
        <v>537</v>
      </c>
      <c r="M175">
        <v>630.9</v>
      </c>
      <c r="N175">
        <v>716.8</v>
      </c>
      <c r="O175">
        <v>800.11</v>
      </c>
      <c r="P175">
        <v>912.02</v>
      </c>
      <c r="Q175">
        <v>995.88</v>
      </c>
      <c r="R175" s="2">
        <v>1033.72</v>
      </c>
      <c r="S175" s="2">
        <v>1109.17</v>
      </c>
      <c r="T175" s="2">
        <v>1183.57</v>
      </c>
      <c r="U175" s="2">
        <v>1254.44</v>
      </c>
    </row>
    <row r="176" spans="1:21" x14ac:dyDescent="0.25">
      <c r="A176" t="s">
        <v>76</v>
      </c>
      <c r="B176">
        <v>14.53</v>
      </c>
      <c r="C176">
        <v>13.71</v>
      </c>
      <c r="D176">
        <v>13.23</v>
      </c>
      <c r="E176">
        <v>11.99</v>
      </c>
      <c r="F176">
        <v>11.91</v>
      </c>
      <c r="G176">
        <v>11.53</v>
      </c>
      <c r="H176">
        <v>11.02</v>
      </c>
      <c r="I176">
        <v>11.32</v>
      </c>
      <c r="J176">
        <v>11</v>
      </c>
      <c r="K176">
        <v>10.15</v>
      </c>
      <c r="L176">
        <v>10.119999999999999</v>
      </c>
      <c r="M176">
        <v>10.59</v>
      </c>
      <c r="N176">
        <v>10.54</v>
      </c>
      <c r="O176">
        <v>10</v>
      </c>
      <c r="P176">
        <v>10.039999999999999</v>
      </c>
      <c r="Q176">
        <v>9.77</v>
      </c>
      <c r="R176">
        <v>9.77</v>
      </c>
      <c r="S176">
        <v>9.74</v>
      </c>
      <c r="T176">
        <v>9.7200000000000006</v>
      </c>
      <c r="U176">
        <v>9.69</v>
      </c>
    </row>
    <row r="177" spans="1:21" x14ac:dyDescent="0.25">
      <c r="A177" t="s">
        <v>116</v>
      </c>
      <c r="B177">
        <v>130.08000000000001</v>
      </c>
      <c r="C177">
        <v>122.13</v>
      </c>
      <c r="D177">
        <v>133.32</v>
      </c>
      <c r="E177">
        <v>193.13</v>
      </c>
      <c r="F177">
        <v>257.39999999999998</v>
      </c>
      <c r="G177">
        <v>402.9</v>
      </c>
      <c r="H177">
        <v>529.20000000000005</v>
      </c>
      <c r="I177">
        <v>698</v>
      </c>
      <c r="J177">
        <v>875.5</v>
      </c>
      <c r="K177">
        <v>969.6</v>
      </c>
      <c r="L177" s="2">
        <v>1507</v>
      </c>
      <c r="M177" s="2">
        <v>2085.3000000000002</v>
      </c>
      <c r="N177" s="2">
        <v>2412.6999999999998</v>
      </c>
      <c r="O177" s="2">
        <v>2935.63</v>
      </c>
      <c r="P177" s="2">
        <v>3277.22</v>
      </c>
      <c r="Q177" s="2">
        <v>3719</v>
      </c>
      <c r="R177" s="2">
        <v>4150.8</v>
      </c>
      <c r="S177" s="2">
        <v>4564.3999999999996</v>
      </c>
      <c r="T177" s="2">
        <v>4489.33</v>
      </c>
      <c r="U177" s="2">
        <v>4814.33</v>
      </c>
    </row>
    <row r="178" spans="1:21" x14ac:dyDescent="0.25">
      <c r="A178" t="s">
        <v>269</v>
      </c>
      <c r="B178">
        <v>18.96</v>
      </c>
      <c r="C178">
        <v>15.85</v>
      </c>
      <c r="D178">
        <v>13.21</v>
      </c>
      <c r="E178">
        <v>15.14</v>
      </c>
      <c r="F178">
        <v>17.37</v>
      </c>
      <c r="G178">
        <v>22.51</v>
      </c>
      <c r="H178">
        <v>24.78</v>
      </c>
      <c r="I178">
        <v>26.9</v>
      </c>
      <c r="J178">
        <v>26.2</v>
      </c>
      <c r="K178">
        <v>27.35</v>
      </c>
      <c r="L178">
        <v>28.41</v>
      </c>
      <c r="M178">
        <v>35.01</v>
      </c>
      <c r="N178">
        <v>35.479999999999997</v>
      </c>
      <c r="O178">
        <v>36.200000000000003</v>
      </c>
      <c r="P178">
        <v>36.159999999999997</v>
      </c>
      <c r="Q178">
        <v>36.630000000000003</v>
      </c>
      <c r="R178">
        <v>36.36</v>
      </c>
      <c r="S178">
        <v>36.61</v>
      </c>
      <c r="T178">
        <v>36.85</v>
      </c>
      <c r="U178">
        <v>37.11</v>
      </c>
    </row>
    <row r="179" spans="1:21" x14ac:dyDescent="0.25">
      <c r="A179" t="s">
        <v>117</v>
      </c>
      <c r="B179">
        <v>145.69999999999999</v>
      </c>
      <c r="C179">
        <v>144.16</v>
      </c>
      <c r="D179">
        <v>164.91</v>
      </c>
      <c r="E179">
        <v>241.65</v>
      </c>
      <c r="F179">
        <v>312.88</v>
      </c>
      <c r="G179">
        <v>458.6</v>
      </c>
      <c r="H179">
        <v>590.79999999999995</v>
      </c>
      <c r="I179">
        <v>766.8</v>
      </c>
      <c r="J179">
        <v>959.9</v>
      </c>
      <c r="K179" s="2">
        <v>1073.9000000000001</v>
      </c>
      <c r="L179" s="2">
        <v>1620.4</v>
      </c>
      <c r="M179" s="2">
        <v>2208.1</v>
      </c>
      <c r="N179" s="2">
        <v>2564.6999999999998</v>
      </c>
      <c r="O179" s="2">
        <v>3067.17</v>
      </c>
      <c r="P179" s="2">
        <v>3419.75</v>
      </c>
      <c r="Q179" s="2">
        <v>3867.13</v>
      </c>
      <c r="R179" s="2">
        <v>4165</v>
      </c>
      <c r="S179" s="2">
        <v>4512.33</v>
      </c>
      <c r="T179" s="2">
        <v>4900</v>
      </c>
      <c r="U179" s="2">
        <v>5272</v>
      </c>
    </row>
    <row r="180" spans="1:21" x14ac:dyDescent="0.25">
      <c r="A180" t="s">
        <v>488</v>
      </c>
      <c r="B180">
        <v>1.46</v>
      </c>
      <c r="C180">
        <v>3.17</v>
      </c>
      <c r="D180">
        <v>3.17</v>
      </c>
      <c r="E180">
        <v>7.1</v>
      </c>
      <c r="F180">
        <v>-0.71</v>
      </c>
      <c r="G180">
        <v>-17.7</v>
      </c>
      <c r="H180">
        <v>3.7</v>
      </c>
      <c r="I180">
        <v>3.5</v>
      </c>
      <c r="J180">
        <v>11.6</v>
      </c>
      <c r="K180">
        <v>13.5</v>
      </c>
      <c r="L180">
        <v>6.1</v>
      </c>
      <c r="M180">
        <v>13.6</v>
      </c>
      <c r="N180">
        <v>55.3</v>
      </c>
      <c r="O180">
        <v>-56.54</v>
      </c>
      <c r="P180">
        <v>-25.59</v>
      </c>
      <c r="Q180">
        <v>-14.59</v>
      </c>
      <c r="R180">
        <v>-100</v>
      </c>
      <c r="S180">
        <v>-100</v>
      </c>
      <c r="T180">
        <v>-100</v>
      </c>
      <c r="U180">
        <v>-100</v>
      </c>
    </row>
    <row r="181" spans="1:21" x14ac:dyDescent="0.25">
      <c r="A181" t="s">
        <v>119</v>
      </c>
      <c r="B181">
        <v>120.52</v>
      </c>
      <c r="C181">
        <v>124.35</v>
      </c>
      <c r="D181">
        <v>135.44999999999999</v>
      </c>
      <c r="E181">
        <v>193.33</v>
      </c>
      <c r="F181">
        <v>271.58999999999997</v>
      </c>
      <c r="G181">
        <v>422.8</v>
      </c>
      <c r="H181">
        <v>568</v>
      </c>
      <c r="I181">
        <v>707.9</v>
      </c>
      <c r="J181">
        <v>853.5</v>
      </c>
      <c r="K181">
        <v>955.5</v>
      </c>
      <c r="L181" s="2">
        <v>1201</v>
      </c>
      <c r="M181" s="2">
        <v>1958</v>
      </c>
      <c r="N181" s="2">
        <v>2615</v>
      </c>
      <c r="O181" s="2">
        <v>3109.19</v>
      </c>
      <c r="P181" s="2">
        <v>3412.31</v>
      </c>
      <c r="Q181" s="2">
        <v>3848.67</v>
      </c>
      <c r="R181" s="2">
        <v>3986</v>
      </c>
      <c r="S181" s="2">
        <v>4320.75</v>
      </c>
      <c r="T181" s="2">
        <v>4833.67</v>
      </c>
      <c r="U181" s="2">
        <v>5211.33</v>
      </c>
    </row>
    <row r="182" spans="1:21" x14ac:dyDescent="0.25">
      <c r="A182" t="s">
        <v>61</v>
      </c>
      <c r="B182">
        <v>19.899999999999999</v>
      </c>
      <c r="C182">
        <v>16.14</v>
      </c>
      <c r="D182">
        <v>13.42</v>
      </c>
      <c r="E182">
        <v>15.16</v>
      </c>
      <c r="F182">
        <v>18.13</v>
      </c>
      <c r="G182">
        <v>23.31</v>
      </c>
      <c r="H182">
        <v>26.57</v>
      </c>
      <c r="I182">
        <v>27.45</v>
      </c>
      <c r="J182">
        <v>25.54</v>
      </c>
      <c r="K182">
        <v>27.03</v>
      </c>
      <c r="L182">
        <v>30.15</v>
      </c>
      <c r="M182">
        <v>39.24</v>
      </c>
      <c r="N182">
        <v>38.31</v>
      </c>
      <c r="O182">
        <v>38.43</v>
      </c>
      <c r="P182">
        <v>37.479999999999997</v>
      </c>
      <c r="Q182">
        <v>38.020000000000003</v>
      </c>
      <c r="R182">
        <v>38.4</v>
      </c>
      <c r="S182">
        <v>39.28</v>
      </c>
      <c r="T182">
        <v>40.130000000000003</v>
      </c>
      <c r="U182">
        <v>40.950000000000003</v>
      </c>
    </row>
    <row r="183" spans="1:21" x14ac:dyDescent="0.25">
      <c r="A183" t="s">
        <v>120</v>
      </c>
      <c r="B183">
        <v>40.4</v>
      </c>
      <c r="C183">
        <v>43.52</v>
      </c>
      <c r="D183">
        <v>46.05</v>
      </c>
      <c r="E183">
        <v>63.8</v>
      </c>
      <c r="F183">
        <v>36.9</v>
      </c>
      <c r="G183">
        <v>100.9</v>
      </c>
      <c r="H183">
        <v>138.1</v>
      </c>
      <c r="I183">
        <v>149.6</v>
      </c>
      <c r="J183">
        <v>179.2</v>
      </c>
      <c r="K183">
        <v>203</v>
      </c>
      <c r="L183">
        <v>271.89999999999998</v>
      </c>
      <c r="M183">
        <v>379.8</v>
      </c>
      <c r="N183">
        <v>462.7</v>
      </c>
      <c r="O183">
        <v>559.05999999999995</v>
      </c>
      <c r="P183">
        <v>616.82000000000005</v>
      </c>
      <c r="Q183">
        <v>699.28</v>
      </c>
      <c r="R183">
        <v>800</v>
      </c>
      <c r="S183">
        <v>866.02</v>
      </c>
      <c r="T183">
        <v>923.78</v>
      </c>
      <c r="U183">
        <v>970.17</v>
      </c>
    </row>
    <row r="184" spans="1:21" x14ac:dyDescent="0.25">
      <c r="A184" t="s">
        <v>489</v>
      </c>
      <c r="B184">
        <v>33</v>
      </c>
      <c r="E184">
        <v>33</v>
      </c>
      <c r="F184">
        <v>32</v>
      </c>
      <c r="G184">
        <v>24</v>
      </c>
      <c r="H184">
        <v>24</v>
      </c>
      <c r="I184">
        <v>21</v>
      </c>
      <c r="J184">
        <v>21</v>
      </c>
      <c r="K184">
        <v>21</v>
      </c>
      <c r="L184">
        <v>17</v>
      </c>
      <c r="M184">
        <v>17</v>
      </c>
      <c r="N184">
        <v>18</v>
      </c>
      <c r="O184">
        <v>17.96</v>
      </c>
      <c r="P184">
        <v>18.02</v>
      </c>
      <c r="Q184">
        <v>18.07</v>
      </c>
      <c r="R184">
        <v>18.5</v>
      </c>
      <c r="S184">
        <v>18.5</v>
      </c>
      <c r="T184">
        <v>18.5</v>
      </c>
      <c r="U184">
        <v>18.5</v>
      </c>
    </row>
    <row r="185" spans="1:21" x14ac:dyDescent="0.25">
      <c r="A185" t="s">
        <v>121</v>
      </c>
      <c r="B185">
        <v>80.75</v>
      </c>
      <c r="C185">
        <v>80.83</v>
      </c>
      <c r="D185">
        <v>89.4</v>
      </c>
      <c r="E185">
        <v>129.53</v>
      </c>
      <c r="F185">
        <v>184.68</v>
      </c>
      <c r="G185">
        <v>319.7</v>
      </c>
      <c r="H185">
        <v>431.7</v>
      </c>
      <c r="I185">
        <v>715.7</v>
      </c>
      <c r="J185">
        <v>873.9</v>
      </c>
      <c r="K185" s="2">
        <v>1178.9000000000001</v>
      </c>
      <c r="L185" s="2">
        <v>1285.5999999999999</v>
      </c>
      <c r="M185" s="2">
        <v>2090.8000000000002</v>
      </c>
      <c r="N185" s="2">
        <v>2107.1</v>
      </c>
      <c r="O185" s="2">
        <v>2553.86</v>
      </c>
      <c r="P185" s="2">
        <v>2811.5</v>
      </c>
      <c r="Q185" s="2">
        <v>3180.86</v>
      </c>
      <c r="R185" s="2">
        <v>3449.2</v>
      </c>
      <c r="S185" s="2">
        <v>3792.6</v>
      </c>
      <c r="T185" s="2">
        <v>3879.67</v>
      </c>
      <c r="U185" s="2">
        <v>4157.33</v>
      </c>
    </row>
    <row r="186" spans="1:21" x14ac:dyDescent="0.25">
      <c r="A186" t="s">
        <v>122</v>
      </c>
      <c r="B186">
        <v>13.12</v>
      </c>
      <c r="C186">
        <v>10.49</v>
      </c>
      <c r="D186">
        <v>8.86</v>
      </c>
      <c r="E186">
        <v>10.16</v>
      </c>
      <c r="F186">
        <v>12.33</v>
      </c>
      <c r="G186">
        <v>17.72</v>
      </c>
      <c r="H186">
        <v>20.190000000000001</v>
      </c>
      <c r="I186">
        <v>21.69</v>
      </c>
      <c r="J186">
        <v>19.93</v>
      </c>
      <c r="K186">
        <v>21.77</v>
      </c>
      <c r="L186">
        <v>24.23</v>
      </c>
      <c r="M186">
        <v>30.78</v>
      </c>
      <c r="N186">
        <v>30.99</v>
      </c>
      <c r="O186">
        <v>31.74</v>
      </c>
      <c r="P186">
        <v>31.28</v>
      </c>
      <c r="Q186">
        <v>31.74</v>
      </c>
      <c r="R186">
        <v>33.630000000000003</v>
      </c>
      <c r="S186">
        <v>34.07</v>
      </c>
      <c r="T186">
        <v>31.6</v>
      </c>
      <c r="U186">
        <v>31.89</v>
      </c>
    </row>
    <row r="187" spans="1:21" x14ac:dyDescent="0.25">
      <c r="A187" t="s">
        <v>124</v>
      </c>
      <c r="B187">
        <v>0.1</v>
      </c>
      <c r="C187">
        <v>0.1</v>
      </c>
      <c r="D187">
        <v>0.1</v>
      </c>
      <c r="E187">
        <v>0.15</v>
      </c>
      <c r="F187">
        <v>0.21</v>
      </c>
      <c r="G187">
        <v>0.37</v>
      </c>
      <c r="H187">
        <v>0.49</v>
      </c>
      <c r="I187">
        <v>0.85</v>
      </c>
      <c r="J187">
        <v>0.8</v>
      </c>
      <c r="K187">
        <v>1.19</v>
      </c>
      <c r="L187">
        <v>1.63</v>
      </c>
      <c r="M187">
        <v>2.7</v>
      </c>
      <c r="N187">
        <v>2.76</v>
      </c>
      <c r="O187">
        <v>3.45</v>
      </c>
      <c r="P187">
        <v>3.79</v>
      </c>
      <c r="Q187">
        <v>4.3</v>
      </c>
      <c r="R187">
        <v>4.54</v>
      </c>
      <c r="S187">
        <v>4.97</v>
      </c>
      <c r="T187">
        <v>5.21</v>
      </c>
      <c r="U187">
        <v>5.57</v>
      </c>
    </row>
    <row r="188" spans="1:21" x14ac:dyDescent="0.25">
      <c r="A188" t="s">
        <v>17</v>
      </c>
    </row>
    <row r="189" spans="1:21" x14ac:dyDescent="0.25">
      <c r="A189" t="s">
        <v>125</v>
      </c>
    </row>
    <row r="190" spans="1:21" x14ac:dyDescent="0.25">
      <c r="A190" t="s">
        <v>490</v>
      </c>
      <c r="B190">
        <v>-8.1</v>
      </c>
      <c r="C190">
        <v>-7.32</v>
      </c>
      <c r="D190">
        <v>-37.04</v>
      </c>
      <c r="E190">
        <v>-52.84</v>
      </c>
      <c r="F190">
        <v>5.69</v>
      </c>
      <c r="G190">
        <v>-182.2</v>
      </c>
      <c r="H190">
        <v>-83.8</v>
      </c>
      <c r="I190">
        <v>-96.4</v>
      </c>
      <c r="J190">
        <v>-165.1</v>
      </c>
      <c r="K190">
        <v>-172.2</v>
      </c>
      <c r="L190">
        <v>-128.1</v>
      </c>
      <c r="M190">
        <v>-95.9</v>
      </c>
      <c r="N190">
        <v>-23.6</v>
      </c>
      <c r="O190">
        <v>-71.91</v>
      </c>
      <c r="P190">
        <v>-93.77</v>
      </c>
      <c r="Q190">
        <v>-119.63</v>
      </c>
      <c r="R190">
        <v>-219.65</v>
      </c>
      <c r="S190">
        <v>-281.73</v>
      </c>
      <c r="T190">
        <v>-352.82</v>
      </c>
      <c r="U190">
        <v>-438.02</v>
      </c>
    </row>
    <row r="191" spans="1:21" x14ac:dyDescent="0.25">
      <c r="A191" t="s">
        <v>67</v>
      </c>
      <c r="B191">
        <v>44.47</v>
      </c>
      <c r="C191">
        <v>58.99</v>
      </c>
      <c r="D191">
        <v>95.09</v>
      </c>
      <c r="E191">
        <v>122.42</v>
      </c>
      <c r="F191">
        <v>137.18</v>
      </c>
      <c r="G191">
        <v>162.9</v>
      </c>
      <c r="H191">
        <v>174.1</v>
      </c>
      <c r="I191">
        <v>193.8</v>
      </c>
      <c r="J191">
        <v>211.2</v>
      </c>
      <c r="K191">
        <v>219.8</v>
      </c>
      <c r="L191">
        <v>251.6</v>
      </c>
      <c r="M191">
        <v>260.2</v>
      </c>
      <c r="N191">
        <v>282.10000000000002</v>
      </c>
      <c r="O191">
        <v>310.81</v>
      </c>
      <c r="P191">
        <v>337.81</v>
      </c>
      <c r="Q191">
        <v>354.32</v>
      </c>
      <c r="R191">
        <v>305.32</v>
      </c>
      <c r="S191">
        <v>326.23</v>
      </c>
      <c r="T191">
        <v>347.59</v>
      </c>
      <c r="U191">
        <v>364.75</v>
      </c>
    </row>
    <row r="192" spans="1:21" x14ac:dyDescent="0.25">
      <c r="A192" t="s">
        <v>114</v>
      </c>
      <c r="B192">
        <v>13.27</v>
      </c>
      <c r="C192">
        <v>17.260000000000002</v>
      </c>
      <c r="D192">
        <v>24.56</v>
      </c>
      <c r="E192">
        <v>30.12</v>
      </c>
      <c r="F192">
        <v>32.19</v>
      </c>
      <c r="G192">
        <v>36.4</v>
      </c>
      <c r="H192">
        <v>38.700000000000003</v>
      </c>
      <c r="I192">
        <v>47.6</v>
      </c>
      <c r="J192">
        <v>56.7</v>
      </c>
      <c r="K192">
        <v>64.2</v>
      </c>
      <c r="L192">
        <v>76.8</v>
      </c>
      <c r="M192">
        <v>85.9</v>
      </c>
      <c r="N192">
        <v>98.7</v>
      </c>
      <c r="O192">
        <v>100.81</v>
      </c>
      <c r="P192">
        <v>117.42</v>
      </c>
      <c r="Q192">
        <v>128.11000000000001</v>
      </c>
      <c r="R192">
        <v>140.04</v>
      </c>
      <c r="S192">
        <v>150.87</v>
      </c>
      <c r="T192">
        <v>162.30000000000001</v>
      </c>
      <c r="U192">
        <v>174.45</v>
      </c>
    </row>
    <row r="193" spans="1:21" x14ac:dyDescent="0.25">
      <c r="A193" t="s">
        <v>113</v>
      </c>
      <c r="B193">
        <v>19.53</v>
      </c>
      <c r="C193">
        <v>26.74</v>
      </c>
      <c r="D193">
        <v>49.44</v>
      </c>
      <c r="E193">
        <v>68.11</v>
      </c>
      <c r="F193">
        <v>77.989999999999995</v>
      </c>
      <c r="G193">
        <v>95.6</v>
      </c>
      <c r="H193">
        <v>101.7</v>
      </c>
      <c r="I193">
        <v>108.4</v>
      </c>
      <c r="J193">
        <v>110</v>
      </c>
      <c r="K193">
        <v>105</v>
      </c>
      <c r="L193">
        <v>111.8</v>
      </c>
      <c r="M193">
        <v>105.3</v>
      </c>
      <c r="N193">
        <v>117.2</v>
      </c>
      <c r="O193">
        <v>124.97</v>
      </c>
      <c r="P193">
        <v>153.72999999999999</v>
      </c>
      <c r="Q193">
        <v>165.74</v>
      </c>
      <c r="R193">
        <v>156.69</v>
      </c>
      <c r="S193">
        <v>162.66999999999999</v>
      </c>
      <c r="T193">
        <v>168.27</v>
      </c>
      <c r="U193">
        <v>180.43</v>
      </c>
    </row>
    <row r="194" spans="1:21" x14ac:dyDescent="0.25">
      <c r="A194" t="s">
        <v>115</v>
      </c>
      <c r="B194">
        <v>6.45</v>
      </c>
      <c r="C194">
        <v>8.68</v>
      </c>
      <c r="D194">
        <v>13</v>
      </c>
      <c r="E194">
        <v>14.22</v>
      </c>
      <c r="F194">
        <v>16.11</v>
      </c>
      <c r="G194">
        <v>18.600000000000001</v>
      </c>
      <c r="H194">
        <v>20.9</v>
      </c>
      <c r="I194">
        <v>23.3</v>
      </c>
      <c r="J194">
        <v>27.1</v>
      </c>
      <c r="K194">
        <v>30.1</v>
      </c>
      <c r="L194">
        <v>37.9</v>
      </c>
      <c r="M194">
        <v>41.7</v>
      </c>
      <c r="N194">
        <v>36.9</v>
      </c>
      <c r="O194">
        <v>33.93</v>
      </c>
      <c r="P194">
        <v>40.53</v>
      </c>
      <c r="Q194">
        <v>42.45</v>
      </c>
      <c r="R194">
        <v>50.3</v>
      </c>
      <c r="S194">
        <v>54.18</v>
      </c>
      <c r="T194">
        <v>55.09</v>
      </c>
      <c r="U194">
        <v>59.17</v>
      </c>
    </row>
    <row r="195" spans="1:21" x14ac:dyDescent="0.25">
      <c r="A195" t="s">
        <v>396</v>
      </c>
    </row>
    <row r="196" spans="1:21" x14ac:dyDescent="0.25">
      <c r="A196" t="s">
        <v>128</v>
      </c>
      <c r="H196">
        <v>7.7</v>
      </c>
      <c r="I196">
        <v>9.1</v>
      </c>
      <c r="J196">
        <v>12.9</v>
      </c>
      <c r="K196">
        <v>17.2</v>
      </c>
      <c r="L196">
        <v>14.9</v>
      </c>
      <c r="M196">
        <v>15.6</v>
      </c>
      <c r="N196">
        <v>27.6</v>
      </c>
      <c r="O196">
        <v>23.94</v>
      </c>
      <c r="P196">
        <v>24.66</v>
      </c>
      <c r="Q196">
        <v>24.57</v>
      </c>
      <c r="R196">
        <v>23.2</v>
      </c>
      <c r="S196">
        <v>23.2</v>
      </c>
      <c r="T196">
        <v>23.2</v>
      </c>
      <c r="U196">
        <v>23.2</v>
      </c>
    </row>
    <row r="197" spans="1:21" x14ac:dyDescent="0.25">
      <c r="A197" t="s">
        <v>491</v>
      </c>
      <c r="H197">
        <v>3.2</v>
      </c>
      <c r="I197">
        <v>4.2</v>
      </c>
      <c r="J197">
        <v>5.6</v>
      </c>
      <c r="K197">
        <v>6.1</v>
      </c>
      <c r="L197">
        <v>4</v>
      </c>
      <c r="M197">
        <v>7.5</v>
      </c>
      <c r="N197">
        <v>23.1</v>
      </c>
      <c r="O197">
        <v>14.83</v>
      </c>
      <c r="P197">
        <v>16.920000000000002</v>
      </c>
      <c r="Q197">
        <v>16.440000000000001</v>
      </c>
      <c r="R197">
        <v>18.88</v>
      </c>
      <c r="S197">
        <v>19.36</v>
      </c>
      <c r="T197">
        <v>19.87</v>
      </c>
      <c r="U197">
        <v>20.43</v>
      </c>
    </row>
    <row r="198" spans="1:21" x14ac:dyDescent="0.25">
      <c r="A198" t="s">
        <v>492</v>
      </c>
      <c r="L198">
        <v>137.80000000000001</v>
      </c>
      <c r="M198">
        <v>182.8</v>
      </c>
      <c r="N198">
        <v>298.8</v>
      </c>
    </row>
    <row r="199" spans="1:21" x14ac:dyDescent="0.25">
      <c r="A199" t="s">
        <v>17</v>
      </c>
    </row>
    <row r="200" spans="1:21" x14ac:dyDescent="0.25">
      <c r="A200" t="s">
        <v>134</v>
      </c>
    </row>
    <row r="201" spans="1:21" x14ac:dyDescent="0.25">
      <c r="A201" t="s">
        <v>135</v>
      </c>
    </row>
    <row r="202" spans="1:21" x14ac:dyDescent="0.25">
      <c r="A202" t="s">
        <v>136</v>
      </c>
      <c r="B202">
        <v>735.55</v>
      </c>
      <c r="C202" s="2">
        <v>1005.38</v>
      </c>
      <c r="D202" s="2">
        <v>1270.54</v>
      </c>
      <c r="E202" s="2">
        <v>1538.72</v>
      </c>
      <c r="F202" s="2">
        <v>1716.82</v>
      </c>
      <c r="G202" s="2">
        <v>2220.9</v>
      </c>
      <c r="H202" s="2">
        <v>2769</v>
      </c>
      <c r="I202" s="2">
        <v>2740.4</v>
      </c>
      <c r="J202" s="2">
        <v>3600.6</v>
      </c>
      <c r="K202" s="2">
        <v>3810.4</v>
      </c>
      <c r="L202" s="2">
        <v>4428.3</v>
      </c>
      <c r="M202" s="2">
        <v>5971.5</v>
      </c>
      <c r="N202" s="2">
        <v>5900.2</v>
      </c>
      <c r="O202" s="2">
        <v>7786.5</v>
      </c>
      <c r="P202" s="2">
        <v>11211.48</v>
      </c>
      <c r="Q202" s="2">
        <v>13720.41</v>
      </c>
      <c r="R202" s="2">
        <v>16053</v>
      </c>
      <c r="S202" s="2">
        <v>19806.16</v>
      </c>
      <c r="T202" s="2">
        <v>23844.37</v>
      </c>
      <c r="U202" s="2">
        <v>28198.81</v>
      </c>
    </row>
    <row r="203" spans="1:21" x14ac:dyDescent="0.25">
      <c r="A203" t="s">
        <v>493</v>
      </c>
      <c r="B203">
        <v>491.37</v>
      </c>
      <c r="C203">
        <v>720.02</v>
      </c>
      <c r="D203">
        <v>891.35</v>
      </c>
      <c r="E203" s="2">
        <v>1085.53</v>
      </c>
      <c r="F203" s="2">
        <v>1251.28</v>
      </c>
      <c r="G203" s="2">
        <v>1649.6</v>
      </c>
      <c r="H203" s="2">
        <v>2065.6</v>
      </c>
      <c r="I203" s="2">
        <v>1837.3</v>
      </c>
      <c r="J203" s="2">
        <v>2551.6999999999998</v>
      </c>
      <c r="K203" s="2">
        <v>2211</v>
      </c>
      <c r="L203" s="2">
        <v>2440.4</v>
      </c>
      <c r="M203" s="2">
        <v>4066.5</v>
      </c>
      <c r="N203" s="2">
        <v>3582.5</v>
      </c>
      <c r="O203" s="2">
        <v>5116.5600000000004</v>
      </c>
      <c r="P203" s="2">
        <v>8095.14</v>
      </c>
      <c r="Q203" s="2">
        <v>11627.65</v>
      </c>
      <c r="R203" s="2">
        <v>16615.09</v>
      </c>
      <c r="S203" s="2">
        <v>21509.25</v>
      </c>
      <c r="T203" s="2">
        <v>23212.67</v>
      </c>
      <c r="U203" s="2">
        <v>28192.799999999999</v>
      </c>
    </row>
    <row r="204" spans="1:21" x14ac:dyDescent="0.25">
      <c r="A204" t="s">
        <v>494</v>
      </c>
      <c r="B204">
        <v>843.05</v>
      </c>
      <c r="C204">
        <v>991.74</v>
      </c>
      <c r="D204" s="2">
        <v>1164.31</v>
      </c>
      <c r="E204" s="2">
        <v>1310.51</v>
      </c>
      <c r="F204" s="2">
        <v>1349.3</v>
      </c>
      <c r="G204" s="2">
        <v>1716.6</v>
      </c>
      <c r="H204" s="2">
        <v>2209.9</v>
      </c>
      <c r="I204" s="2">
        <v>1955.6</v>
      </c>
      <c r="J204" s="2">
        <v>2992.5</v>
      </c>
      <c r="K204" s="2">
        <v>2256.5</v>
      </c>
      <c r="L204" s="2">
        <v>2440.4</v>
      </c>
      <c r="M204" s="2">
        <v>4066.5</v>
      </c>
      <c r="N204" s="2">
        <v>3922.2</v>
      </c>
      <c r="O204" s="2">
        <v>5301.46</v>
      </c>
      <c r="P204" s="2">
        <v>7943.19</v>
      </c>
      <c r="Q204" s="2">
        <v>10884.1</v>
      </c>
      <c r="R204" s="2">
        <v>11335.56</v>
      </c>
      <c r="S204" s="2">
        <v>14110.52</v>
      </c>
      <c r="T204" s="2">
        <v>16990.849999999999</v>
      </c>
      <c r="U204" s="2">
        <v>19896.53</v>
      </c>
    </row>
    <row r="205" spans="1:21" x14ac:dyDescent="0.25">
      <c r="A205" t="s">
        <v>139</v>
      </c>
      <c r="B205">
        <v>115.87</v>
      </c>
      <c r="C205">
        <v>283.25</v>
      </c>
      <c r="D205">
        <v>543.28</v>
      </c>
      <c r="E205">
        <v>709</v>
      </c>
      <c r="F205">
        <v>811</v>
      </c>
      <c r="G205" s="2">
        <v>1112.4000000000001</v>
      </c>
      <c r="H205" s="2">
        <v>1222.5</v>
      </c>
      <c r="I205" s="2">
        <v>1061.8</v>
      </c>
      <c r="J205" s="2">
        <v>1319.1</v>
      </c>
      <c r="K205" s="2">
        <v>1682.9</v>
      </c>
      <c r="L205" s="2">
        <v>1397.9</v>
      </c>
      <c r="M205" s="2">
        <v>2875.9</v>
      </c>
      <c r="N205" s="2">
        <v>2495.3000000000002</v>
      </c>
      <c r="O205" s="2">
        <v>3882.77</v>
      </c>
      <c r="P205" s="2">
        <v>6764.13</v>
      </c>
      <c r="Q205" s="2">
        <v>9953.42</v>
      </c>
      <c r="R205" s="2">
        <v>13726.05</v>
      </c>
      <c r="S205" s="2">
        <v>17800.87</v>
      </c>
      <c r="T205" s="2">
        <v>22146.47</v>
      </c>
      <c r="U205" s="2">
        <v>26749.32</v>
      </c>
    </row>
    <row r="206" spans="1:21" x14ac:dyDescent="0.25">
      <c r="A206" t="s">
        <v>140</v>
      </c>
      <c r="B206">
        <v>375.5</v>
      </c>
      <c r="C206">
        <v>436.77</v>
      </c>
      <c r="D206">
        <v>348.07</v>
      </c>
      <c r="E206">
        <v>376.52</v>
      </c>
      <c r="F206">
        <v>440.27</v>
      </c>
      <c r="G206">
        <v>537.20000000000005</v>
      </c>
      <c r="H206">
        <v>843.1</v>
      </c>
      <c r="I206">
        <v>775.5</v>
      </c>
      <c r="J206" s="2">
        <v>1232.5999999999999</v>
      </c>
      <c r="K206">
        <v>528.1</v>
      </c>
      <c r="L206" s="2">
        <v>1042.5</v>
      </c>
      <c r="M206" s="2">
        <v>1190.5999999999999</v>
      </c>
      <c r="N206" s="2">
        <v>1087.2</v>
      </c>
      <c r="O206" s="2">
        <v>1114.3800000000001</v>
      </c>
      <c r="P206" s="2">
        <v>1105.1099999999999</v>
      </c>
      <c r="Q206" s="2">
        <v>1058.02</v>
      </c>
      <c r="R206">
        <v>-411.91</v>
      </c>
      <c r="S206">
        <v>-793.26</v>
      </c>
      <c r="T206" s="2">
        <v>-1140.8699999999999</v>
      </c>
      <c r="U206" s="2">
        <v>-1455.08</v>
      </c>
    </row>
    <row r="207" spans="1:21" x14ac:dyDescent="0.25">
      <c r="A207" t="s">
        <v>495</v>
      </c>
      <c r="J207">
        <v>38.6</v>
      </c>
      <c r="K207">
        <v>25.5</v>
      </c>
      <c r="L207">
        <v>21</v>
      </c>
      <c r="M207">
        <v>64.2</v>
      </c>
      <c r="N207">
        <v>0</v>
      </c>
      <c r="O207">
        <v>64.2</v>
      </c>
      <c r="P207">
        <v>64.2</v>
      </c>
    </row>
    <row r="208" spans="1:21" x14ac:dyDescent="0.25">
      <c r="A208" t="s">
        <v>141</v>
      </c>
      <c r="B208">
        <v>130.47</v>
      </c>
      <c r="C208">
        <v>184.74</v>
      </c>
      <c r="D208">
        <v>259.56</v>
      </c>
      <c r="E208">
        <v>313</v>
      </c>
      <c r="F208">
        <v>348.19</v>
      </c>
      <c r="G208">
        <v>444.5</v>
      </c>
      <c r="H208">
        <v>544.29999999999995</v>
      </c>
      <c r="I208">
        <v>720</v>
      </c>
      <c r="J208">
        <v>807.7</v>
      </c>
      <c r="K208" s="2">
        <v>1261.7</v>
      </c>
      <c r="L208" s="2">
        <v>1402</v>
      </c>
      <c r="M208" s="2">
        <v>1463.4</v>
      </c>
      <c r="N208" s="2">
        <v>1691.2</v>
      </c>
      <c r="O208" s="2">
        <v>2073.06</v>
      </c>
      <c r="P208" s="2">
        <v>2489.4</v>
      </c>
      <c r="Q208" s="2">
        <v>2614.12</v>
      </c>
      <c r="R208" s="2">
        <v>2348.89</v>
      </c>
      <c r="S208" s="2">
        <v>2477.08</v>
      </c>
      <c r="T208" s="2">
        <v>2144.87</v>
      </c>
      <c r="U208" s="2">
        <v>2197.4699999999998</v>
      </c>
    </row>
    <row r="209" spans="1:21" x14ac:dyDescent="0.25">
      <c r="A209" t="s">
        <v>340</v>
      </c>
      <c r="B209">
        <v>48.67</v>
      </c>
      <c r="C209">
        <v>69.48</v>
      </c>
      <c r="D209">
        <v>83.87</v>
      </c>
      <c r="E209">
        <v>106.89</v>
      </c>
      <c r="F209">
        <v>77.290000000000006</v>
      </c>
      <c r="G209">
        <v>90</v>
      </c>
      <c r="H209">
        <v>117.9</v>
      </c>
      <c r="I209">
        <v>139.80000000000001</v>
      </c>
      <c r="J209">
        <v>175.8</v>
      </c>
      <c r="K209">
        <v>264.60000000000002</v>
      </c>
      <c r="L209">
        <v>484.8</v>
      </c>
      <c r="M209">
        <v>315.5</v>
      </c>
      <c r="N209">
        <v>399.5</v>
      </c>
      <c r="O209">
        <v>513.58000000000004</v>
      </c>
      <c r="P209">
        <v>569.64</v>
      </c>
      <c r="Q209">
        <v>636.96</v>
      </c>
      <c r="R209">
        <v>525.86</v>
      </c>
      <c r="S209">
        <v>555.83000000000004</v>
      </c>
      <c r="T209">
        <v>473.04</v>
      </c>
      <c r="U209">
        <v>482.62</v>
      </c>
    </row>
    <row r="210" spans="1:21" x14ac:dyDescent="0.25">
      <c r="A210" t="s">
        <v>203</v>
      </c>
      <c r="B210">
        <v>65.03</v>
      </c>
      <c r="C210">
        <v>31.14</v>
      </c>
      <c r="D210">
        <v>35.76</v>
      </c>
      <c r="E210">
        <v>33.31</v>
      </c>
      <c r="F210">
        <v>40.07</v>
      </c>
      <c r="G210">
        <v>36.799999999999997</v>
      </c>
      <c r="H210">
        <v>41.2</v>
      </c>
      <c r="I210">
        <v>43.3</v>
      </c>
      <c r="J210">
        <v>65.400000000000006</v>
      </c>
      <c r="K210">
        <v>73.099999999999994</v>
      </c>
      <c r="L210">
        <v>101.1</v>
      </c>
      <c r="M210">
        <v>126.1</v>
      </c>
      <c r="N210">
        <v>227</v>
      </c>
      <c r="O210">
        <v>270.24</v>
      </c>
      <c r="P210">
        <v>332.65</v>
      </c>
      <c r="Q210">
        <v>312.25</v>
      </c>
      <c r="R210">
        <v>284.69</v>
      </c>
      <c r="S210">
        <v>293.52999999999997</v>
      </c>
      <c r="T210">
        <v>302.88</v>
      </c>
      <c r="U210">
        <v>312.75</v>
      </c>
    </row>
    <row r="211" spans="1:21" x14ac:dyDescent="0.25">
      <c r="A211" t="s">
        <v>145</v>
      </c>
      <c r="B211">
        <v>14.05</v>
      </c>
      <c r="C211">
        <v>31.14</v>
      </c>
      <c r="D211">
        <v>35.76</v>
      </c>
      <c r="E211">
        <v>33.31</v>
      </c>
      <c r="F211">
        <v>40.07</v>
      </c>
      <c r="G211">
        <v>36.799999999999997</v>
      </c>
      <c r="H211">
        <v>41.2</v>
      </c>
      <c r="I211">
        <v>43.3</v>
      </c>
      <c r="J211">
        <v>65.400000000000006</v>
      </c>
      <c r="K211">
        <v>73.099999999999994</v>
      </c>
      <c r="L211">
        <v>101.1</v>
      </c>
      <c r="M211">
        <v>126.1</v>
      </c>
      <c r="N211">
        <v>227</v>
      </c>
      <c r="O211">
        <v>294.33999999999997</v>
      </c>
      <c r="P211">
        <v>284.55</v>
      </c>
      <c r="Q211">
        <v>297.73</v>
      </c>
      <c r="R211">
        <v>68.94</v>
      </c>
      <c r="S211">
        <v>63.61</v>
      </c>
      <c r="T211">
        <v>56.53</v>
      </c>
      <c r="U211">
        <v>47.59</v>
      </c>
    </row>
    <row r="212" spans="1:21" x14ac:dyDescent="0.25">
      <c r="A212" t="s">
        <v>146</v>
      </c>
      <c r="B212">
        <v>432.92</v>
      </c>
      <c r="C212">
        <v>419.39</v>
      </c>
      <c r="D212">
        <v>519.97</v>
      </c>
      <c r="E212">
        <v>601.23</v>
      </c>
      <c r="F212">
        <v>541.1</v>
      </c>
      <c r="G212">
        <v>857.1</v>
      </c>
      <c r="H212" s="2">
        <v>1110.2</v>
      </c>
      <c r="I212" s="2">
        <v>1304.0999999999999</v>
      </c>
      <c r="J212" s="2">
        <v>2318.5</v>
      </c>
      <c r="K212" s="2">
        <v>2417.6</v>
      </c>
      <c r="L212" s="2">
        <v>2830.6</v>
      </c>
      <c r="M212" s="2">
        <v>3791.6</v>
      </c>
      <c r="N212" s="2">
        <v>4489</v>
      </c>
      <c r="O212" s="2">
        <v>4948.6099999999997</v>
      </c>
      <c r="P212" s="2">
        <v>5424.23</v>
      </c>
      <c r="Q212" s="2">
        <v>5984.28</v>
      </c>
      <c r="R212" s="2">
        <v>6443.27</v>
      </c>
      <c r="S212" s="2">
        <v>6802.81</v>
      </c>
      <c r="T212" s="2">
        <v>7166.83</v>
      </c>
      <c r="U212" s="2">
        <v>7531.12</v>
      </c>
    </row>
    <row r="213" spans="1:21" x14ac:dyDescent="0.25">
      <c r="A213" t="s">
        <v>409</v>
      </c>
      <c r="B213">
        <v>36.65</v>
      </c>
      <c r="C213">
        <v>58.92</v>
      </c>
      <c r="D213">
        <v>91.07</v>
      </c>
      <c r="E213">
        <v>137.25</v>
      </c>
      <c r="F213">
        <v>245.4</v>
      </c>
      <c r="G213">
        <v>271.39999999999998</v>
      </c>
      <c r="H213">
        <v>344.3</v>
      </c>
      <c r="I213">
        <v>448</v>
      </c>
      <c r="J213">
        <v>687.6</v>
      </c>
      <c r="K213">
        <v>898.5</v>
      </c>
      <c r="L213" s="2">
        <v>1044.4000000000001</v>
      </c>
      <c r="M213" s="2">
        <v>1349.5</v>
      </c>
      <c r="N213" s="2">
        <v>1619</v>
      </c>
      <c r="O213" s="2">
        <v>1867.83</v>
      </c>
      <c r="P213" s="2">
        <v>2139.6</v>
      </c>
      <c r="Q213" s="2">
        <v>2452.21</v>
      </c>
      <c r="R213" s="2">
        <v>2660.62</v>
      </c>
      <c r="S213" s="2">
        <v>2882.58</v>
      </c>
      <c r="T213" s="2">
        <v>3327.73</v>
      </c>
      <c r="U213" s="2">
        <v>3586.39</v>
      </c>
    </row>
    <row r="214" spans="1:21" x14ac:dyDescent="0.25">
      <c r="A214" t="s">
        <v>496</v>
      </c>
      <c r="B214">
        <v>2.87</v>
      </c>
      <c r="C214">
        <v>2.82</v>
      </c>
      <c r="D214">
        <v>4.6900000000000004</v>
      </c>
      <c r="E214">
        <v>14.55</v>
      </c>
      <c r="F214">
        <v>14.55</v>
      </c>
      <c r="G214">
        <v>60.3</v>
      </c>
      <c r="H214">
        <v>98.3</v>
      </c>
      <c r="I214">
        <v>124.6</v>
      </c>
      <c r="J214">
        <v>188.7</v>
      </c>
      <c r="K214">
        <v>184</v>
      </c>
      <c r="L214">
        <v>126.5</v>
      </c>
      <c r="M214">
        <v>235.4</v>
      </c>
      <c r="N214">
        <v>257.39999999999998</v>
      </c>
      <c r="O214">
        <v>331.5</v>
      </c>
      <c r="P214">
        <v>317.87</v>
      </c>
      <c r="Q214">
        <v>299.7</v>
      </c>
      <c r="R214">
        <v>339.63</v>
      </c>
      <c r="S214">
        <v>339.63</v>
      </c>
      <c r="T214">
        <v>334.5</v>
      </c>
      <c r="U214">
        <v>334.5</v>
      </c>
    </row>
    <row r="215" spans="1:21" x14ac:dyDescent="0.25">
      <c r="A215" t="s">
        <v>411</v>
      </c>
      <c r="B215">
        <v>351.68</v>
      </c>
      <c r="C215">
        <v>271.72000000000003</v>
      </c>
      <c r="D215">
        <v>272.95999999999998</v>
      </c>
      <c r="E215">
        <v>224.98</v>
      </c>
      <c r="F215">
        <v>98.02</v>
      </c>
      <c r="G215">
        <v>67</v>
      </c>
      <c r="H215">
        <v>144.30000000000001</v>
      </c>
      <c r="I215">
        <v>118.3</v>
      </c>
      <c r="J215">
        <v>440.8</v>
      </c>
      <c r="K215">
        <v>45.5</v>
      </c>
      <c r="L215">
        <v>0</v>
      </c>
      <c r="M215">
        <v>0</v>
      </c>
      <c r="N215">
        <v>339.7</v>
      </c>
      <c r="O215">
        <v>404.83</v>
      </c>
      <c r="P215">
        <v>435.29</v>
      </c>
      <c r="Q215">
        <v>559.38</v>
      </c>
      <c r="R215">
        <v>399.1</v>
      </c>
      <c r="S215">
        <v>399.1</v>
      </c>
      <c r="T215">
        <v>399.1</v>
      </c>
      <c r="U215">
        <v>399.1</v>
      </c>
    </row>
    <row r="216" spans="1:21" x14ac:dyDescent="0.25">
      <c r="A216" t="s">
        <v>311</v>
      </c>
      <c r="B216">
        <v>30.06</v>
      </c>
      <c r="C216">
        <v>72.56</v>
      </c>
      <c r="D216">
        <v>119.22</v>
      </c>
      <c r="E216">
        <v>182.75</v>
      </c>
      <c r="F216">
        <v>146.93</v>
      </c>
      <c r="G216">
        <v>255</v>
      </c>
      <c r="H216">
        <v>226.3</v>
      </c>
      <c r="I216">
        <v>245.2</v>
      </c>
      <c r="J216">
        <v>342.3</v>
      </c>
      <c r="K216">
        <v>569.4</v>
      </c>
      <c r="L216">
        <v>868.8</v>
      </c>
      <c r="M216" s="2">
        <v>1335.6</v>
      </c>
      <c r="N216" s="2">
        <v>1314.9</v>
      </c>
      <c r="O216" s="2">
        <v>1390.33</v>
      </c>
      <c r="P216" s="2">
        <v>1479.57</v>
      </c>
      <c r="Q216" s="2">
        <v>1588.49</v>
      </c>
      <c r="R216" s="2">
        <v>1555.63</v>
      </c>
      <c r="S216" s="2">
        <v>1599.47</v>
      </c>
      <c r="T216" s="2">
        <v>1640.86</v>
      </c>
      <c r="U216" s="2">
        <v>1679.98</v>
      </c>
    </row>
    <row r="217" spans="1:21" x14ac:dyDescent="0.25">
      <c r="A217" t="s">
        <v>497</v>
      </c>
      <c r="B217">
        <v>6.84</v>
      </c>
      <c r="C217">
        <v>2.83</v>
      </c>
      <c r="D217">
        <v>17.64</v>
      </c>
      <c r="E217">
        <v>24.83</v>
      </c>
      <c r="F217">
        <v>16.260000000000002</v>
      </c>
      <c r="G217">
        <v>22.1</v>
      </c>
      <c r="H217">
        <v>0</v>
      </c>
      <c r="I217">
        <v>0</v>
      </c>
      <c r="J217">
        <v>63.6</v>
      </c>
      <c r="K217">
        <v>56</v>
      </c>
      <c r="L217">
        <v>35.299999999999997</v>
      </c>
      <c r="M217">
        <v>115</v>
      </c>
      <c r="N217">
        <v>97.3</v>
      </c>
      <c r="O217">
        <v>59</v>
      </c>
      <c r="P217">
        <v>11</v>
      </c>
    </row>
    <row r="218" spans="1:21" x14ac:dyDescent="0.25">
      <c r="A218" t="s">
        <v>498</v>
      </c>
      <c r="G218">
        <v>182.6</v>
      </c>
      <c r="H218">
        <v>237</v>
      </c>
      <c r="I218">
        <v>304.8</v>
      </c>
      <c r="J218">
        <v>423.3</v>
      </c>
      <c r="K218">
        <v>518.20000000000005</v>
      </c>
      <c r="L218">
        <v>605.6</v>
      </c>
      <c r="M218">
        <v>622.9</v>
      </c>
      <c r="N218">
        <v>735.5</v>
      </c>
      <c r="O218">
        <v>883.03</v>
      </c>
      <c r="P218" s="2">
        <v>1060.96</v>
      </c>
      <c r="Q218" s="2">
        <v>1242.27</v>
      </c>
      <c r="R218" s="2">
        <v>1102.1300000000001</v>
      </c>
      <c r="S218" s="2">
        <v>1186.69</v>
      </c>
      <c r="T218" s="2">
        <v>1275.1600000000001</v>
      </c>
      <c r="U218" s="2">
        <v>1366.58</v>
      </c>
    </row>
    <row r="219" spans="1:21" x14ac:dyDescent="0.25">
      <c r="A219" t="s">
        <v>78</v>
      </c>
      <c r="B219">
        <v>4.82</v>
      </c>
      <c r="C219">
        <v>10.53</v>
      </c>
      <c r="D219">
        <v>14.39</v>
      </c>
      <c r="E219">
        <v>16.87</v>
      </c>
      <c r="F219">
        <v>19.940000000000001</v>
      </c>
      <c r="G219">
        <v>20.8</v>
      </c>
      <c r="H219">
        <v>60</v>
      </c>
      <c r="I219">
        <v>63.2</v>
      </c>
      <c r="J219">
        <v>235.8</v>
      </c>
      <c r="K219">
        <v>202</v>
      </c>
      <c r="L219">
        <v>150</v>
      </c>
      <c r="M219">
        <v>133.19999999999999</v>
      </c>
      <c r="N219">
        <v>125.2</v>
      </c>
      <c r="O219">
        <v>121.06</v>
      </c>
      <c r="P219">
        <v>129.66999999999999</v>
      </c>
      <c r="Q219">
        <v>122.52</v>
      </c>
      <c r="R219">
        <v>103.35</v>
      </c>
      <c r="S219">
        <v>102.31</v>
      </c>
      <c r="T219">
        <v>101.3</v>
      </c>
      <c r="U219">
        <v>100.34</v>
      </c>
    </row>
    <row r="220" spans="1:21" x14ac:dyDescent="0.25">
      <c r="A220" t="s">
        <v>155</v>
      </c>
      <c r="B220" s="2">
        <v>1168.46</v>
      </c>
      <c r="C220" s="2">
        <v>1424.77</v>
      </c>
      <c r="D220" s="2">
        <v>1790.51</v>
      </c>
      <c r="E220" s="2">
        <v>2139.94</v>
      </c>
      <c r="F220" s="2">
        <v>2257.92</v>
      </c>
      <c r="G220" s="2">
        <v>3078</v>
      </c>
      <c r="H220" s="2">
        <v>3879.2</v>
      </c>
      <c r="I220" s="2">
        <v>4044.5</v>
      </c>
      <c r="J220" s="2">
        <v>5919.1</v>
      </c>
      <c r="K220" s="2">
        <v>6228</v>
      </c>
      <c r="L220" s="2">
        <v>7258.9</v>
      </c>
      <c r="M220" s="2">
        <v>9763.1</v>
      </c>
      <c r="N220" s="2">
        <v>10389.200000000001</v>
      </c>
      <c r="O220" s="2">
        <v>12725.46</v>
      </c>
      <c r="P220" s="2">
        <v>16694.759999999998</v>
      </c>
      <c r="Q220" s="2">
        <v>19976.23</v>
      </c>
      <c r="R220" s="2">
        <v>23792.959999999999</v>
      </c>
      <c r="S220" s="2">
        <v>28472.54</v>
      </c>
      <c r="T220" s="2">
        <v>27839.05</v>
      </c>
      <c r="U220" s="2">
        <v>31764.63</v>
      </c>
    </row>
    <row r="221" spans="1:21" x14ac:dyDescent="0.25">
      <c r="A221" t="s">
        <v>17</v>
      </c>
    </row>
    <row r="222" spans="1:21" x14ac:dyDescent="0.25">
      <c r="A222" t="s">
        <v>156</v>
      </c>
    </row>
    <row r="223" spans="1:21" x14ac:dyDescent="0.25">
      <c r="A223" t="s">
        <v>157</v>
      </c>
      <c r="B223">
        <v>413.06</v>
      </c>
      <c r="C223">
        <v>496.46</v>
      </c>
      <c r="D223">
        <v>678.67</v>
      </c>
      <c r="E223">
        <v>829.44</v>
      </c>
      <c r="F223" s="2">
        <v>1027.22</v>
      </c>
      <c r="G223" s="2">
        <v>1256.4000000000001</v>
      </c>
      <c r="H223" s="2">
        <v>1455.8</v>
      </c>
      <c r="I223" s="2">
        <v>1829.5</v>
      </c>
      <c r="J223" s="2">
        <v>2318.1</v>
      </c>
      <c r="K223" s="2">
        <v>3078.4</v>
      </c>
      <c r="L223" s="2">
        <v>3719</v>
      </c>
      <c r="M223" s="2">
        <v>4060.7</v>
      </c>
      <c r="N223" s="2">
        <v>5034</v>
      </c>
      <c r="O223" s="2">
        <v>5293.8</v>
      </c>
      <c r="P223" s="2">
        <v>6052.06</v>
      </c>
      <c r="Q223" s="2">
        <v>6552.67</v>
      </c>
      <c r="R223" s="2">
        <v>6460.92</v>
      </c>
      <c r="S223" s="2">
        <v>6887.04</v>
      </c>
      <c r="T223" s="2">
        <v>7294.69</v>
      </c>
      <c r="U223" s="2">
        <v>7693.59</v>
      </c>
    </row>
    <row r="224" spans="1:21" x14ac:dyDescent="0.25">
      <c r="A224" t="s">
        <v>158</v>
      </c>
      <c r="B224">
        <v>35.6</v>
      </c>
      <c r="C224">
        <v>49.95</v>
      </c>
      <c r="D224">
        <v>61.5</v>
      </c>
      <c r="E224">
        <v>56.73</v>
      </c>
      <c r="F224">
        <v>70.010000000000005</v>
      </c>
      <c r="G224">
        <v>86.4</v>
      </c>
      <c r="H224">
        <v>96.4</v>
      </c>
      <c r="I224">
        <v>141.6</v>
      </c>
      <c r="J224">
        <v>148.4</v>
      </c>
      <c r="K224">
        <v>243.4</v>
      </c>
      <c r="L224">
        <v>204.3</v>
      </c>
      <c r="M224">
        <v>190.9</v>
      </c>
      <c r="N224">
        <v>230.8</v>
      </c>
      <c r="O224">
        <v>285.45</v>
      </c>
      <c r="P224">
        <v>296.02999999999997</v>
      </c>
      <c r="Q224">
        <v>310.97000000000003</v>
      </c>
      <c r="R224">
        <v>344.4</v>
      </c>
      <c r="S224">
        <v>367.07</v>
      </c>
      <c r="T224">
        <v>344.46</v>
      </c>
      <c r="U224">
        <v>360.88</v>
      </c>
    </row>
    <row r="225" spans="1:21" x14ac:dyDescent="0.25">
      <c r="A225" t="s">
        <v>499</v>
      </c>
      <c r="B225">
        <v>21.42</v>
      </c>
      <c r="C225">
        <v>2.69</v>
      </c>
      <c r="D225">
        <v>8.3800000000000008</v>
      </c>
      <c r="E225">
        <v>13.59</v>
      </c>
      <c r="F225">
        <v>21.44</v>
      </c>
      <c r="G225">
        <v>28.2</v>
      </c>
      <c r="H225">
        <v>4.0999999999999996</v>
      </c>
      <c r="J225">
        <v>0</v>
      </c>
      <c r="K225">
        <v>0</v>
      </c>
      <c r="L225">
        <v>63.6</v>
      </c>
      <c r="O225">
        <v>31.48</v>
      </c>
      <c r="P225">
        <v>49.14</v>
      </c>
      <c r="Q225">
        <v>0</v>
      </c>
    </row>
    <row r="226" spans="1:21" x14ac:dyDescent="0.25">
      <c r="A226" t="s">
        <v>500</v>
      </c>
      <c r="B226">
        <v>35</v>
      </c>
      <c r="C226">
        <v>45.88</v>
      </c>
      <c r="D226">
        <v>61.11</v>
      </c>
      <c r="E226">
        <v>78.14</v>
      </c>
      <c r="F226">
        <v>91.94</v>
      </c>
      <c r="G226">
        <v>98.4</v>
      </c>
      <c r="H226">
        <v>101.8</v>
      </c>
      <c r="I226">
        <v>145.9</v>
      </c>
      <c r="J226">
        <v>195</v>
      </c>
      <c r="K226">
        <v>219.4</v>
      </c>
      <c r="L226">
        <v>242.3</v>
      </c>
      <c r="M226">
        <v>255.7</v>
      </c>
      <c r="N226">
        <v>312.89999999999998</v>
      </c>
      <c r="O226">
        <v>344.91</v>
      </c>
      <c r="P226">
        <v>367.53</v>
      </c>
      <c r="Q226">
        <v>394.33</v>
      </c>
      <c r="R226">
        <v>375.96</v>
      </c>
      <c r="S226">
        <v>392.8</v>
      </c>
      <c r="T226">
        <v>410.6</v>
      </c>
      <c r="U226">
        <v>429.37</v>
      </c>
    </row>
    <row r="227" spans="1:21" x14ac:dyDescent="0.25">
      <c r="A227" t="s">
        <v>417</v>
      </c>
      <c r="B227">
        <v>293.66000000000003</v>
      </c>
      <c r="C227">
        <v>368.93</v>
      </c>
      <c r="D227">
        <v>514.65</v>
      </c>
      <c r="E227">
        <v>645.34</v>
      </c>
      <c r="F227">
        <v>793.82</v>
      </c>
      <c r="G227">
        <v>965.9</v>
      </c>
      <c r="H227" s="2">
        <v>1155.8</v>
      </c>
      <c r="I227" s="2">
        <v>1392.8</v>
      </c>
      <c r="J227" s="2">
        <v>1777.4</v>
      </c>
      <c r="K227" s="2">
        <v>2349.3000000000002</v>
      </c>
      <c r="L227" s="2">
        <v>2848.7</v>
      </c>
      <c r="M227" s="2">
        <v>3276.2</v>
      </c>
      <c r="N227" s="2">
        <v>3636</v>
      </c>
      <c r="O227" s="2">
        <v>4238.6000000000004</v>
      </c>
      <c r="P227" s="2">
        <v>4923.92</v>
      </c>
      <c r="Q227" s="2">
        <v>5422.63</v>
      </c>
      <c r="R227" s="2">
        <v>5294.78</v>
      </c>
      <c r="S227" s="2">
        <v>5633.5</v>
      </c>
      <c r="T227" s="2">
        <v>5943.98</v>
      </c>
      <c r="U227" s="2">
        <v>6237.57</v>
      </c>
    </row>
    <row r="228" spans="1:21" x14ac:dyDescent="0.25">
      <c r="A228" t="s">
        <v>414</v>
      </c>
      <c r="B228">
        <v>27.38</v>
      </c>
      <c r="C228">
        <v>29.02</v>
      </c>
      <c r="D228">
        <v>33.03</v>
      </c>
      <c r="E228">
        <v>35.64</v>
      </c>
      <c r="F228">
        <v>50.02</v>
      </c>
      <c r="G228">
        <v>77.5</v>
      </c>
      <c r="H228">
        <v>101.8</v>
      </c>
      <c r="I228">
        <v>149.19999999999999</v>
      </c>
      <c r="J228">
        <v>197.3</v>
      </c>
      <c r="K228">
        <v>266.3</v>
      </c>
      <c r="L228">
        <v>423.7</v>
      </c>
      <c r="M228">
        <v>337.9</v>
      </c>
      <c r="N228">
        <v>354.6</v>
      </c>
      <c r="O228">
        <v>418.91</v>
      </c>
      <c r="P228">
        <v>457</v>
      </c>
      <c r="Q228">
        <v>451.17</v>
      </c>
      <c r="R228">
        <v>475.3</v>
      </c>
      <c r="S228">
        <v>532.29999999999995</v>
      </c>
      <c r="T228">
        <v>595.65</v>
      </c>
      <c r="U228">
        <v>665.77</v>
      </c>
    </row>
    <row r="229" spans="1:21" x14ac:dyDescent="0.25">
      <c r="A229" t="s">
        <v>164</v>
      </c>
      <c r="B229">
        <v>169.64</v>
      </c>
      <c r="C229">
        <v>252.35</v>
      </c>
      <c r="D229">
        <v>356.46</v>
      </c>
      <c r="E229">
        <v>472.82</v>
      </c>
      <c r="F229">
        <v>641.32000000000005</v>
      </c>
      <c r="G229">
        <v>811.4</v>
      </c>
      <c r="H229" s="2">
        <v>1081</v>
      </c>
      <c r="I229" s="2">
        <v>1359</v>
      </c>
      <c r="J229" s="2">
        <v>2802.6</v>
      </c>
      <c r="K229" s="2">
        <v>3431.2</v>
      </c>
      <c r="L229" s="2">
        <v>4003.3</v>
      </c>
      <c r="M229" s="2">
        <v>4208.6000000000004</v>
      </c>
      <c r="N229" s="2">
        <v>4117.7</v>
      </c>
      <c r="O229" s="2">
        <v>4825.2</v>
      </c>
      <c r="P229" s="2">
        <v>5436.78</v>
      </c>
      <c r="Q229" s="2">
        <v>5982.47</v>
      </c>
      <c r="R229" s="2">
        <v>6169.6</v>
      </c>
      <c r="S229" s="2">
        <v>6569.02</v>
      </c>
      <c r="T229" s="2">
        <v>6673.03</v>
      </c>
      <c r="U229" s="2">
        <v>6995.51</v>
      </c>
    </row>
    <row r="230" spans="1:21" x14ac:dyDescent="0.25">
      <c r="A230" t="s">
        <v>315</v>
      </c>
      <c r="J230">
        <v>988.4</v>
      </c>
      <c r="K230">
        <v>990.4</v>
      </c>
      <c r="L230">
        <v>992.3</v>
      </c>
      <c r="M230">
        <v>994.3</v>
      </c>
      <c r="N230">
        <v>496.6</v>
      </c>
      <c r="O230">
        <v>483.06</v>
      </c>
      <c r="P230">
        <v>464.07</v>
      </c>
      <c r="Q230">
        <v>439.88</v>
      </c>
      <c r="R230">
        <v>372.93</v>
      </c>
      <c r="S230">
        <v>372.93</v>
      </c>
      <c r="T230">
        <v>331.8</v>
      </c>
      <c r="U230">
        <v>331.8</v>
      </c>
    </row>
    <row r="231" spans="1:21" x14ac:dyDescent="0.25">
      <c r="A231" t="s">
        <v>501</v>
      </c>
      <c r="E231">
        <v>68.55</v>
      </c>
      <c r="F231">
        <v>90.21</v>
      </c>
      <c r="G231">
        <v>77.5</v>
      </c>
      <c r="H231">
        <v>82.8</v>
      </c>
      <c r="I231">
        <v>90.3</v>
      </c>
      <c r="J231">
        <v>79.5</v>
      </c>
      <c r="K231">
        <v>67.8</v>
      </c>
      <c r="L231">
        <v>61.9</v>
      </c>
      <c r="O231">
        <v>31</v>
      </c>
      <c r="P231">
        <v>30</v>
      </c>
    </row>
    <row r="232" spans="1:21" x14ac:dyDescent="0.25">
      <c r="A232" t="s">
        <v>420</v>
      </c>
      <c r="B232">
        <v>138.96</v>
      </c>
      <c r="C232">
        <v>189.83</v>
      </c>
      <c r="D232">
        <v>276.64999999999998</v>
      </c>
      <c r="E232">
        <v>390.01</v>
      </c>
      <c r="F232">
        <v>542.49</v>
      </c>
      <c r="G232">
        <v>720.9</v>
      </c>
      <c r="H232">
        <v>953.3</v>
      </c>
      <c r="I232" s="2">
        <v>1212.5</v>
      </c>
      <c r="J232" s="2">
        <v>1675.5</v>
      </c>
      <c r="K232" s="2">
        <v>2291</v>
      </c>
      <c r="L232" s="2">
        <v>2886.3</v>
      </c>
      <c r="M232" s="2">
        <v>3084.7</v>
      </c>
      <c r="N232" s="2">
        <v>3479.8</v>
      </c>
      <c r="O232" s="2">
        <v>4199.03</v>
      </c>
      <c r="P232" s="2">
        <v>4856.21</v>
      </c>
      <c r="Q232" s="2">
        <v>5403.68</v>
      </c>
      <c r="R232" s="2">
        <v>5333.44</v>
      </c>
      <c r="S232" s="2">
        <v>5692.72</v>
      </c>
      <c r="T232" s="2">
        <v>6025.75</v>
      </c>
      <c r="U232" s="2">
        <v>6344.56</v>
      </c>
    </row>
    <row r="233" spans="1:21" x14ac:dyDescent="0.25">
      <c r="A233" t="s">
        <v>502</v>
      </c>
      <c r="B233">
        <v>30.68</v>
      </c>
      <c r="C233">
        <v>62.52</v>
      </c>
      <c r="D233">
        <v>79.81</v>
      </c>
      <c r="E233">
        <v>14.26</v>
      </c>
      <c r="F233">
        <v>8.61</v>
      </c>
      <c r="G233">
        <v>13</v>
      </c>
      <c r="H233">
        <v>44.9</v>
      </c>
      <c r="I233">
        <v>56.2</v>
      </c>
      <c r="J233">
        <v>59.2</v>
      </c>
      <c r="K233">
        <v>82</v>
      </c>
      <c r="L233">
        <v>124.7</v>
      </c>
      <c r="M233">
        <v>129.6</v>
      </c>
      <c r="N233">
        <v>141.30000000000001</v>
      </c>
      <c r="O233">
        <v>152.52000000000001</v>
      </c>
      <c r="P233">
        <v>151.44</v>
      </c>
      <c r="Q233">
        <v>146.51</v>
      </c>
      <c r="R233">
        <v>148.13</v>
      </c>
      <c r="S233">
        <v>150.76</v>
      </c>
      <c r="T233">
        <v>141.86000000000001</v>
      </c>
      <c r="U233">
        <v>142.72999999999999</v>
      </c>
    </row>
    <row r="234" spans="1:21" x14ac:dyDescent="0.25">
      <c r="A234" t="s">
        <v>78</v>
      </c>
      <c r="B234">
        <v>30.68</v>
      </c>
      <c r="C234">
        <v>62.52</v>
      </c>
      <c r="D234">
        <v>79.81</v>
      </c>
      <c r="E234">
        <v>82.81</v>
      </c>
      <c r="F234">
        <v>98.82</v>
      </c>
      <c r="G234">
        <v>90.5</v>
      </c>
      <c r="H234">
        <v>97.1</v>
      </c>
      <c r="I234">
        <v>112.5</v>
      </c>
      <c r="J234">
        <v>98.2</v>
      </c>
      <c r="K234">
        <v>87.3</v>
      </c>
      <c r="L234">
        <v>79</v>
      </c>
      <c r="M234">
        <v>83.2</v>
      </c>
      <c r="N234">
        <v>111.9</v>
      </c>
      <c r="O234">
        <v>136.37</v>
      </c>
      <c r="P234">
        <v>135.88999999999999</v>
      </c>
      <c r="Q234">
        <v>166</v>
      </c>
    </row>
    <row r="235" spans="1:21" x14ac:dyDescent="0.25">
      <c r="A235" t="s">
        <v>167</v>
      </c>
      <c r="B235">
        <v>582.70000000000005</v>
      </c>
      <c r="C235">
        <v>748.81</v>
      </c>
      <c r="D235" s="2">
        <v>1035.1300000000001</v>
      </c>
      <c r="E235" s="2">
        <v>1302.26</v>
      </c>
      <c r="F235" s="2">
        <v>1668.54</v>
      </c>
      <c r="G235" s="2">
        <v>2067.8000000000002</v>
      </c>
      <c r="H235" s="2">
        <v>2536.8000000000002</v>
      </c>
      <c r="I235" s="2">
        <v>3188.5</v>
      </c>
      <c r="J235" s="2">
        <v>5120.7</v>
      </c>
      <c r="K235" s="2">
        <v>6509.6</v>
      </c>
      <c r="L235" s="2">
        <v>7722.3</v>
      </c>
      <c r="M235" s="2">
        <v>8269.2999999999993</v>
      </c>
      <c r="N235" s="2">
        <v>9151.7000000000007</v>
      </c>
      <c r="O235" s="2">
        <v>10129.290000000001</v>
      </c>
      <c r="P235" s="2">
        <v>11534.81</v>
      </c>
      <c r="Q235" s="2">
        <v>12578.66</v>
      </c>
      <c r="R235" s="2">
        <v>13123.32</v>
      </c>
      <c r="S235" s="2">
        <v>14165.25</v>
      </c>
      <c r="T235" s="2">
        <v>13794.11</v>
      </c>
      <c r="U235" s="2">
        <v>14512.68</v>
      </c>
    </row>
    <row r="236" spans="1:21" x14ac:dyDescent="0.25">
      <c r="A236" t="s">
        <v>170</v>
      </c>
      <c r="B236">
        <v>585.76</v>
      </c>
      <c r="C236">
        <v>675.97</v>
      </c>
      <c r="D236">
        <v>755.38</v>
      </c>
      <c r="E236">
        <v>837.68</v>
      </c>
      <c r="F236">
        <v>589.38</v>
      </c>
      <c r="G236" s="2">
        <v>1010.2</v>
      </c>
      <c r="H236" s="2">
        <v>1342.4</v>
      </c>
      <c r="I236">
        <v>856</v>
      </c>
      <c r="J236">
        <v>798.4</v>
      </c>
      <c r="K236">
        <v>-281.60000000000002</v>
      </c>
      <c r="L236">
        <v>-463.4</v>
      </c>
      <c r="M236" s="2">
        <v>1493.8</v>
      </c>
      <c r="N236" s="2">
        <v>1237.5</v>
      </c>
      <c r="O236" s="2">
        <v>2631.38</v>
      </c>
      <c r="P236" s="2">
        <v>5223.3599999999997</v>
      </c>
      <c r="Q236" s="2">
        <v>7481.24</v>
      </c>
      <c r="R236" s="2">
        <v>11199.34</v>
      </c>
      <c r="S236" s="2">
        <v>15010.51</v>
      </c>
      <c r="T236" s="2">
        <v>17128.919999999998</v>
      </c>
      <c r="U236" s="2">
        <v>21153.01</v>
      </c>
    </row>
    <row r="237" spans="1:21" x14ac:dyDescent="0.25">
      <c r="A237" t="s">
        <v>171</v>
      </c>
      <c r="B237">
        <v>0.16</v>
      </c>
      <c r="C237">
        <v>0.17</v>
      </c>
      <c r="D237">
        <v>0.17</v>
      </c>
      <c r="E237">
        <v>0.17</v>
      </c>
      <c r="F237">
        <v>0.17</v>
      </c>
      <c r="G237">
        <v>0.2</v>
      </c>
      <c r="H237">
        <v>0.2</v>
      </c>
      <c r="I237">
        <v>0.2</v>
      </c>
      <c r="J237">
        <v>0.2</v>
      </c>
      <c r="K237">
        <v>0.8</v>
      </c>
      <c r="L237">
        <v>0.8</v>
      </c>
      <c r="M237">
        <v>0.8</v>
      </c>
      <c r="N237">
        <v>0.7</v>
      </c>
      <c r="O237">
        <v>1.1000000000000001</v>
      </c>
      <c r="P237">
        <v>1.9</v>
      </c>
      <c r="Q237">
        <v>4.03</v>
      </c>
      <c r="R237">
        <v>0.7</v>
      </c>
      <c r="S237">
        <v>0.7</v>
      </c>
      <c r="T237">
        <v>0.7</v>
      </c>
      <c r="U237">
        <v>0.7</v>
      </c>
    </row>
    <row r="238" spans="1:21" x14ac:dyDescent="0.25">
      <c r="A238" t="s">
        <v>503</v>
      </c>
      <c r="B238">
        <v>462.64</v>
      </c>
      <c r="C238">
        <v>562.5</v>
      </c>
      <c r="D238">
        <v>687.66</v>
      </c>
      <c r="E238">
        <v>800.65</v>
      </c>
      <c r="F238">
        <v>909.64</v>
      </c>
      <c r="G238" s="2">
        <v>1068.3</v>
      </c>
      <c r="H238" s="2">
        <v>1180.3</v>
      </c>
      <c r="I238" s="2">
        <v>1207.2</v>
      </c>
      <c r="J238" s="2">
        <v>1254.2</v>
      </c>
      <c r="K238" s="2">
        <v>1284.2</v>
      </c>
      <c r="L238" s="2">
        <v>1416.4</v>
      </c>
      <c r="M238" s="2">
        <v>1636.2</v>
      </c>
      <c r="N238" s="2">
        <v>1770.1</v>
      </c>
      <c r="O238" s="2">
        <v>2007.12</v>
      </c>
      <c r="P238" s="2">
        <v>2190.41</v>
      </c>
      <c r="Q238" s="2">
        <v>2525.8200000000002</v>
      </c>
      <c r="R238" s="2">
        <v>3470.35</v>
      </c>
      <c r="S238" s="2">
        <v>4323.9799999999996</v>
      </c>
      <c r="T238" s="2">
        <v>5752.8</v>
      </c>
      <c r="U238" s="2">
        <v>6751.74</v>
      </c>
    </row>
    <row r="239" spans="1:21" x14ac:dyDescent="0.25">
      <c r="A239" t="s">
        <v>173</v>
      </c>
      <c r="B239">
        <v>121.86</v>
      </c>
      <c r="C239">
        <v>113.65</v>
      </c>
      <c r="D239">
        <v>68.48</v>
      </c>
      <c r="E239">
        <v>37.619999999999997</v>
      </c>
      <c r="F239">
        <v>-319.58</v>
      </c>
      <c r="G239">
        <v>-57.5</v>
      </c>
      <c r="H239">
        <v>160.80000000000001</v>
      </c>
      <c r="I239">
        <v>-352.1</v>
      </c>
      <c r="J239">
        <v>-467.9</v>
      </c>
      <c r="K239" s="2">
        <v>-1546.4</v>
      </c>
      <c r="L239" s="2">
        <v>-1861.7</v>
      </c>
      <c r="M239">
        <v>-117.1</v>
      </c>
      <c r="N239">
        <v>-507.9</v>
      </c>
      <c r="O239">
        <v>857</v>
      </c>
      <c r="P239" s="2">
        <v>3530.1</v>
      </c>
      <c r="Q239" s="2">
        <v>6650.72</v>
      </c>
      <c r="R239" s="2">
        <v>9652.7900000000009</v>
      </c>
      <c r="S239" s="2">
        <v>13269.9</v>
      </c>
      <c r="T239" s="2">
        <v>17284.419999999998</v>
      </c>
      <c r="U239" s="2">
        <v>21748.02</v>
      </c>
    </row>
    <row r="240" spans="1:21" x14ac:dyDescent="0.25">
      <c r="A240" t="s">
        <v>504</v>
      </c>
      <c r="B240">
        <v>1.0900000000000001</v>
      </c>
      <c r="C240">
        <v>-0.35</v>
      </c>
      <c r="D240">
        <v>-0.93</v>
      </c>
      <c r="E240">
        <v>-0.77</v>
      </c>
      <c r="F240">
        <v>-0.85</v>
      </c>
      <c r="G240">
        <v>-0.8</v>
      </c>
      <c r="H240">
        <v>1.1000000000000001</v>
      </c>
      <c r="I240">
        <v>0.7</v>
      </c>
      <c r="J240">
        <v>-4.8</v>
      </c>
      <c r="K240">
        <v>-20.2</v>
      </c>
      <c r="L240">
        <v>-18.899999999999999</v>
      </c>
      <c r="M240">
        <v>-26.1</v>
      </c>
      <c r="N240">
        <v>-25.4</v>
      </c>
      <c r="O240">
        <v>-29.02</v>
      </c>
      <c r="P240">
        <v>-28.46</v>
      </c>
      <c r="Q240">
        <v>-28.78</v>
      </c>
      <c r="R240">
        <v>-28.8</v>
      </c>
      <c r="S240">
        <v>-28.8</v>
      </c>
      <c r="T240">
        <v>-28.8</v>
      </c>
      <c r="U240">
        <v>-28.8</v>
      </c>
    </row>
    <row r="241" spans="1:21" x14ac:dyDescent="0.25">
      <c r="A241" t="s">
        <v>326</v>
      </c>
      <c r="B241" s="2">
        <v>1168.46</v>
      </c>
      <c r="C241" s="2">
        <v>1424.77</v>
      </c>
      <c r="D241" s="2">
        <v>1790.51</v>
      </c>
      <c r="E241" s="2">
        <v>2139.94</v>
      </c>
      <c r="F241" s="2">
        <v>2257.92</v>
      </c>
      <c r="G241" s="2">
        <v>3078</v>
      </c>
      <c r="H241" s="2">
        <v>3879.2</v>
      </c>
      <c r="I241" s="2">
        <v>4044.5</v>
      </c>
      <c r="J241" s="2">
        <v>5919.1</v>
      </c>
      <c r="K241" s="2">
        <v>6228</v>
      </c>
      <c r="L241" s="2">
        <v>7258.9</v>
      </c>
      <c r="M241" s="2">
        <v>9763.1</v>
      </c>
      <c r="N241" s="2">
        <v>10389.200000000001</v>
      </c>
      <c r="O241" s="2">
        <v>12725.46</v>
      </c>
      <c r="P241" s="2">
        <v>16694.759999999998</v>
      </c>
      <c r="Q241" s="2">
        <v>19976.23</v>
      </c>
      <c r="R241" s="2">
        <v>23792.959999999999</v>
      </c>
      <c r="S241" s="2">
        <v>28472.54</v>
      </c>
      <c r="T241" s="2">
        <v>27839.05</v>
      </c>
      <c r="U241" s="2">
        <v>31764.63</v>
      </c>
    </row>
    <row r="242" spans="1:21" x14ac:dyDescent="0.25">
      <c r="A242" t="s">
        <v>17</v>
      </c>
    </row>
    <row r="243" spans="1:21" x14ac:dyDescent="0.25">
      <c r="A243" t="s">
        <v>176</v>
      </c>
    </row>
    <row r="244" spans="1:21" x14ac:dyDescent="0.25">
      <c r="A244" t="s">
        <v>505</v>
      </c>
      <c r="B244">
        <v>-491.37</v>
      </c>
      <c r="C244">
        <v>-720.02</v>
      </c>
      <c r="D244">
        <v>-891.35</v>
      </c>
      <c r="E244" s="2">
        <v>-1085.53</v>
      </c>
      <c r="F244" s="2">
        <v>-1251.28</v>
      </c>
      <c r="G244" s="2">
        <v>-1649.6</v>
      </c>
      <c r="H244" s="2">
        <v>-2019.5</v>
      </c>
      <c r="I244" s="2">
        <v>-1784.2</v>
      </c>
      <c r="J244" s="2">
        <v>-1496.5</v>
      </c>
      <c r="K244" s="2">
        <v>-1124.9000000000001</v>
      </c>
      <c r="L244" s="2">
        <v>-1369</v>
      </c>
      <c r="M244" s="2">
        <v>-2993.1</v>
      </c>
      <c r="N244" s="2">
        <v>-2520.6999999999998</v>
      </c>
      <c r="O244" s="2">
        <v>-4669.9799999999996</v>
      </c>
      <c r="P244" s="2">
        <v>-7538.17</v>
      </c>
      <c r="Q244" s="2">
        <v>-10949.66</v>
      </c>
      <c r="R244" s="2">
        <v>-15286.2</v>
      </c>
      <c r="S244" s="2">
        <v>-19988.900000000001</v>
      </c>
      <c r="T244" s="2">
        <v>-25682.1</v>
      </c>
      <c r="U244" s="2">
        <v>-31385.8</v>
      </c>
    </row>
    <row r="245" spans="1:21" x14ac:dyDescent="0.25">
      <c r="A245" t="s">
        <v>178</v>
      </c>
    </row>
    <row r="246" spans="1:21" x14ac:dyDescent="0.25">
      <c r="A246" t="s">
        <v>179</v>
      </c>
      <c r="B246">
        <v>4.13</v>
      </c>
      <c r="C246">
        <v>1.95</v>
      </c>
      <c r="D246">
        <v>0.5</v>
      </c>
      <c r="E246">
        <v>1.64</v>
      </c>
      <c r="F246">
        <v>1.43</v>
      </c>
      <c r="G246">
        <v>12.45</v>
      </c>
      <c r="H246">
        <v>9.5399999999999991</v>
      </c>
      <c r="I246">
        <v>12.33</v>
      </c>
      <c r="J246">
        <v>12.18</v>
      </c>
      <c r="K246">
        <v>14.12</v>
      </c>
      <c r="L246">
        <v>17.02</v>
      </c>
      <c r="M246">
        <v>20.51</v>
      </c>
      <c r="N246">
        <v>18.39</v>
      </c>
      <c r="O246">
        <v>19.63</v>
      </c>
      <c r="P246">
        <v>16.690000000000001</v>
      </c>
      <c r="Q246">
        <v>15.45</v>
      </c>
      <c r="R246">
        <v>15</v>
      </c>
      <c r="S246">
        <v>14</v>
      </c>
    </row>
    <row r="247" spans="1:21" x14ac:dyDescent="0.25">
      <c r="A247" t="s">
        <v>180</v>
      </c>
      <c r="B247">
        <v>8.07</v>
      </c>
      <c r="C247">
        <v>4.0199999999999996</v>
      </c>
      <c r="D247">
        <v>1.1200000000000001</v>
      </c>
      <c r="E247">
        <v>4.04</v>
      </c>
      <c r="F247">
        <v>4.4000000000000004</v>
      </c>
      <c r="G247">
        <v>41.54</v>
      </c>
      <c r="H247">
        <v>28.2</v>
      </c>
      <c r="I247">
        <v>44.44</v>
      </c>
      <c r="J247">
        <v>74.099999999999994</v>
      </c>
      <c r="N247">
        <v>135.72</v>
      </c>
    </row>
    <row r="248" spans="1:21" x14ac:dyDescent="0.25">
      <c r="A248" t="s">
        <v>333</v>
      </c>
      <c r="B248">
        <v>322.49</v>
      </c>
      <c r="C248">
        <v>508.93</v>
      </c>
      <c r="D248">
        <v>591.87</v>
      </c>
      <c r="E248">
        <v>709.28</v>
      </c>
      <c r="F248">
        <v>689.6</v>
      </c>
      <c r="G248">
        <v>964.5</v>
      </c>
      <c r="H248" s="2">
        <v>1313.2</v>
      </c>
      <c r="I248">
        <v>910.9</v>
      </c>
      <c r="J248" s="2">
        <v>1282.5</v>
      </c>
      <c r="K248">
        <v>732</v>
      </c>
      <c r="L248">
        <v>709.3</v>
      </c>
      <c r="M248" s="2">
        <v>1910.8</v>
      </c>
      <c r="N248">
        <v>866.2</v>
      </c>
      <c r="O248" s="2">
        <v>2191.5500000000002</v>
      </c>
      <c r="P248" s="2">
        <v>4541.93</v>
      </c>
      <c r="Q248" s="2">
        <v>7167.74</v>
      </c>
      <c r="R248" s="2">
        <v>9592.09</v>
      </c>
      <c r="S248" s="2">
        <v>12919.13</v>
      </c>
      <c r="T248" s="2">
        <v>16549.68</v>
      </c>
      <c r="U248" s="2">
        <v>20505.22</v>
      </c>
    </row>
    <row r="249" spans="1:21" x14ac:dyDescent="0.25">
      <c r="A249" t="s">
        <v>422</v>
      </c>
      <c r="B249">
        <v>432.63</v>
      </c>
      <c r="C249">
        <v>558.76</v>
      </c>
      <c r="D249">
        <v>791.3</v>
      </c>
      <c r="E249" s="2">
        <v>1035.3499999999999</v>
      </c>
      <c r="F249" s="2">
        <v>1336.31</v>
      </c>
      <c r="G249" s="2">
        <v>1686.8</v>
      </c>
      <c r="H249" s="2">
        <v>2109.1</v>
      </c>
      <c r="I249" s="2">
        <v>2605.3000000000002</v>
      </c>
      <c r="J249" s="2">
        <v>3452.9</v>
      </c>
      <c r="K249" s="2">
        <v>4640.3</v>
      </c>
      <c r="L249" s="2">
        <v>5735</v>
      </c>
      <c r="M249" s="2">
        <v>6360.9</v>
      </c>
      <c r="N249" s="2">
        <v>7115.8</v>
      </c>
      <c r="O249" s="2">
        <v>8433.23</v>
      </c>
      <c r="P249" s="2">
        <v>9813.44</v>
      </c>
      <c r="Q249" s="2">
        <v>10997.4</v>
      </c>
      <c r="R249" s="2">
        <v>10393.94</v>
      </c>
      <c r="S249" s="2">
        <v>11028.57</v>
      </c>
      <c r="T249" s="2">
        <v>11644.11</v>
      </c>
      <c r="U249" s="2">
        <v>12294.21</v>
      </c>
    </row>
    <row r="250" spans="1:21" x14ac:dyDescent="0.25">
      <c r="A250" t="s">
        <v>186</v>
      </c>
      <c r="B250">
        <v>1.78</v>
      </c>
      <c r="C250">
        <v>2.0299999999999998</v>
      </c>
      <c r="D250">
        <v>1.87</v>
      </c>
      <c r="E250">
        <v>1.86</v>
      </c>
      <c r="F250">
        <v>1.67</v>
      </c>
      <c r="G250">
        <v>1.77</v>
      </c>
      <c r="H250">
        <v>1.9</v>
      </c>
      <c r="I250">
        <v>1.5</v>
      </c>
      <c r="J250">
        <v>1.55</v>
      </c>
      <c r="K250">
        <v>1.24</v>
      </c>
      <c r="L250">
        <v>1.19</v>
      </c>
      <c r="M250">
        <v>1.47</v>
      </c>
      <c r="N250">
        <v>1.17</v>
      </c>
      <c r="O250">
        <v>1.53</v>
      </c>
      <c r="P250">
        <v>1.99</v>
      </c>
      <c r="Q250">
        <v>2.09</v>
      </c>
      <c r="R250">
        <v>2.48</v>
      </c>
      <c r="S250">
        <v>2.88</v>
      </c>
      <c r="T250">
        <v>3.27</v>
      </c>
      <c r="U250">
        <v>3.67</v>
      </c>
    </row>
    <row r="251" spans="1:21" x14ac:dyDescent="0.25">
      <c r="A251" t="s">
        <v>183</v>
      </c>
      <c r="B251">
        <v>807.68</v>
      </c>
      <c r="C251">
        <v>832.22</v>
      </c>
      <c r="D251">
        <v>857</v>
      </c>
      <c r="E251">
        <v>865.39</v>
      </c>
      <c r="F251">
        <v>839.45</v>
      </c>
      <c r="G251">
        <v>849</v>
      </c>
      <c r="H251">
        <v>858.5</v>
      </c>
      <c r="I251">
        <v>812.5</v>
      </c>
      <c r="J251">
        <v>810</v>
      </c>
      <c r="K251">
        <v>781.5</v>
      </c>
      <c r="L251">
        <v>781.5</v>
      </c>
      <c r="M251">
        <v>767</v>
      </c>
      <c r="N251">
        <v>743</v>
      </c>
      <c r="O251">
        <v>740.67</v>
      </c>
      <c r="P251">
        <v>729.04</v>
      </c>
      <c r="Q251">
        <v>701.19</v>
      </c>
      <c r="R251">
        <v>741.23</v>
      </c>
      <c r="S251">
        <v>745.23</v>
      </c>
      <c r="T251">
        <v>749.23</v>
      </c>
      <c r="U251">
        <v>753.23</v>
      </c>
    </row>
    <row r="252" spans="1:21" x14ac:dyDescent="0.25">
      <c r="A252" t="s">
        <v>506</v>
      </c>
      <c r="B252">
        <v>98.34</v>
      </c>
      <c r="C252">
        <v>109.78</v>
      </c>
      <c r="D252">
        <v>106.74</v>
      </c>
      <c r="E252">
        <v>115.8</v>
      </c>
      <c r="F252">
        <v>73.22</v>
      </c>
      <c r="G252">
        <v>72.94</v>
      </c>
      <c r="H252">
        <v>85.06</v>
      </c>
      <c r="I252">
        <v>89.77</v>
      </c>
      <c r="J252">
        <v>81.95</v>
      </c>
      <c r="K252">
        <v>89.02</v>
      </c>
      <c r="L252">
        <v>143.03</v>
      </c>
      <c r="M252">
        <v>99.75</v>
      </c>
      <c r="N252">
        <v>109.73</v>
      </c>
      <c r="O252">
        <v>119.69</v>
      </c>
      <c r="P252">
        <v>111.99</v>
      </c>
      <c r="Q252">
        <v>114.18</v>
      </c>
      <c r="R252">
        <v>85.53</v>
      </c>
      <c r="S252">
        <v>83.39</v>
      </c>
      <c r="T252">
        <v>71.72</v>
      </c>
      <c r="U252">
        <v>68.84</v>
      </c>
    </row>
    <row r="253" spans="1:21" x14ac:dyDescent="0.25">
      <c r="A253" t="s">
        <v>424</v>
      </c>
      <c r="B253">
        <v>0.7</v>
      </c>
      <c r="C253">
        <v>0.8</v>
      </c>
      <c r="D253">
        <v>0.86</v>
      </c>
      <c r="E253">
        <v>0.95</v>
      </c>
      <c r="F253">
        <v>0.66</v>
      </c>
      <c r="G253">
        <v>1.1599999999999999</v>
      </c>
      <c r="H253">
        <v>1.53</v>
      </c>
      <c r="I253">
        <v>1.02</v>
      </c>
      <c r="J253">
        <v>0.94</v>
      </c>
      <c r="K253">
        <v>-0.35</v>
      </c>
      <c r="L253">
        <v>-0.59</v>
      </c>
      <c r="M253">
        <v>1.94</v>
      </c>
      <c r="N253">
        <v>1.62</v>
      </c>
      <c r="O253">
        <v>3.61</v>
      </c>
      <c r="P253">
        <v>7.04</v>
      </c>
    </row>
    <row r="254" spans="1:21" x14ac:dyDescent="0.25">
      <c r="A254" t="s">
        <v>184</v>
      </c>
      <c r="C254">
        <v>38.6</v>
      </c>
      <c r="D254">
        <v>60</v>
      </c>
      <c r="E254">
        <v>110.8</v>
      </c>
      <c r="F254">
        <v>446.3</v>
      </c>
      <c r="G254">
        <v>72.010000000000005</v>
      </c>
      <c r="H254">
        <v>135.66</v>
      </c>
      <c r="I254" s="2">
        <v>1077.57</v>
      </c>
      <c r="J254">
        <v>742.92</v>
      </c>
      <c r="K254" s="2">
        <v>1999.48</v>
      </c>
      <c r="L254">
        <v>390.32</v>
      </c>
      <c r="M254">
        <v>5.5</v>
      </c>
      <c r="N254" s="2">
        <v>1879.68</v>
      </c>
    </row>
    <row r="255" spans="1:21" x14ac:dyDescent="0.25">
      <c r="A255" t="s">
        <v>185</v>
      </c>
      <c r="C255">
        <v>8</v>
      </c>
      <c r="D255">
        <v>9</v>
      </c>
      <c r="E255">
        <v>19.27</v>
      </c>
      <c r="F255">
        <v>56.02</v>
      </c>
      <c r="G255">
        <v>12.7</v>
      </c>
      <c r="H255">
        <v>9.4</v>
      </c>
      <c r="I255">
        <v>58.5</v>
      </c>
      <c r="J255">
        <v>13</v>
      </c>
      <c r="K255">
        <v>26.9</v>
      </c>
      <c r="L255">
        <v>27.2</v>
      </c>
      <c r="M255">
        <v>0.1</v>
      </c>
      <c r="N255">
        <v>24</v>
      </c>
    </row>
    <row r="256" spans="1:21" x14ac:dyDescent="0.25">
      <c r="A256" t="s">
        <v>507</v>
      </c>
      <c r="C256">
        <v>4.83</v>
      </c>
      <c r="D256">
        <v>6.67</v>
      </c>
      <c r="E256">
        <v>5.75</v>
      </c>
      <c r="F256">
        <v>7.97</v>
      </c>
      <c r="G256">
        <v>5.67</v>
      </c>
      <c r="H256">
        <v>14.44</v>
      </c>
      <c r="I256">
        <v>18.420000000000002</v>
      </c>
      <c r="J256">
        <v>57.15</v>
      </c>
      <c r="K256">
        <v>74.33</v>
      </c>
      <c r="L256">
        <v>14.35</v>
      </c>
      <c r="M256">
        <v>54.99</v>
      </c>
      <c r="N256">
        <v>78.319999999999993</v>
      </c>
    </row>
    <row r="257" spans="1:21" x14ac:dyDescent="0.25">
      <c r="A257" t="s">
        <v>508</v>
      </c>
      <c r="B257">
        <v>-1</v>
      </c>
      <c r="C257">
        <v>-1.17</v>
      </c>
      <c r="D257">
        <v>-1.32</v>
      </c>
      <c r="E257">
        <v>-1.49</v>
      </c>
      <c r="F257">
        <v>-1.52</v>
      </c>
      <c r="G257">
        <v>-1.97</v>
      </c>
      <c r="H257">
        <v>-2.4700000000000002</v>
      </c>
      <c r="I257">
        <v>-2.27</v>
      </c>
      <c r="J257">
        <v>-2.3199999999999998</v>
      </c>
      <c r="K257">
        <v>-1.45</v>
      </c>
      <c r="L257">
        <v>-1.74</v>
      </c>
      <c r="M257">
        <v>-3.88</v>
      </c>
      <c r="N257">
        <v>-3.74</v>
      </c>
      <c r="O257">
        <v>-7.02</v>
      </c>
      <c r="P257">
        <v>-11.53</v>
      </c>
      <c r="Q257">
        <v>-8.52</v>
      </c>
    </row>
    <row r="258" spans="1:21" x14ac:dyDescent="0.25">
      <c r="A258" t="s">
        <v>17</v>
      </c>
    </row>
    <row r="259" spans="1:21" x14ac:dyDescent="0.25">
      <c r="A259" t="s">
        <v>188</v>
      </c>
    </row>
    <row r="260" spans="1:21" x14ac:dyDescent="0.25">
      <c r="A260" t="s">
        <v>189</v>
      </c>
    </row>
    <row r="261" spans="1:21" x14ac:dyDescent="0.25">
      <c r="A261" t="s">
        <v>121</v>
      </c>
      <c r="B261">
        <v>44.27</v>
      </c>
      <c r="C261">
        <v>25.34</v>
      </c>
      <c r="D261">
        <v>7.99</v>
      </c>
      <c r="E261">
        <v>32.19</v>
      </c>
      <c r="F261">
        <v>31.4</v>
      </c>
      <c r="G261">
        <v>332.2</v>
      </c>
      <c r="H261">
        <v>326.5</v>
      </c>
      <c r="I261">
        <v>488.5</v>
      </c>
      <c r="J261">
        <v>606.79999999999995</v>
      </c>
      <c r="K261">
        <v>857.3</v>
      </c>
      <c r="L261" s="2">
        <v>1147.8</v>
      </c>
      <c r="M261" s="2">
        <v>1745.2</v>
      </c>
      <c r="N261" s="2">
        <v>1853.4</v>
      </c>
      <c r="O261" s="2">
        <v>2291.2600000000002</v>
      </c>
      <c r="P261" s="2">
        <v>2522.88</v>
      </c>
      <c r="Q261" s="2">
        <v>2877.37</v>
      </c>
      <c r="R261" s="2">
        <v>3453.2</v>
      </c>
      <c r="S261" s="2">
        <v>3873.4</v>
      </c>
      <c r="T261" s="2">
        <v>3907</v>
      </c>
      <c r="U261" s="2">
        <v>4297.75</v>
      </c>
    </row>
    <row r="262" spans="1:21" x14ac:dyDescent="0.25">
      <c r="A262" t="s">
        <v>190</v>
      </c>
      <c r="B262">
        <v>15.62</v>
      </c>
      <c r="C262">
        <v>22.03</v>
      </c>
      <c r="D262">
        <v>31.59</v>
      </c>
      <c r="E262">
        <v>48.52</v>
      </c>
      <c r="F262">
        <v>55.48</v>
      </c>
      <c r="G262">
        <v>55.7</v>
      </c>
      <c r="H262">
        <v>61.6</v>
      </c>
      <c r="I262">
        <v>68.8</v>
      </c>
      <c r="J262">
        <v>84.4</v>
      </c>
      <c r="K262">
        <v>104.3</v>
      </c>
      <c r="L262">
        <v>113.4</v>
      </c>
      <c r="M262">
        <v>122.8</v>
      </c>
      <c r="N262">
        <v>152</v>
      </c>
      <c r="O262">
        <v>170.21</v>
      </c>
      <c r="P262">
        <v>193.14</v>
      </c>
      <c r="Q262">
        <v>216.47</v>
      </c>
      <c r="R262">
        <v>192.79</v>
      </c>
      <c r="S262">
        <v>200.47</v>
      </c>
      <c r="T262">
        <v>207.25</v>
      </c>
      <c r="U262">
        <v>212.93</v>
      </c>
    </row>
    <row r="263" spans="1:21" x14ac:dyDescent="0.25">
      <c r="A263" t="s">
        <v>191</v>
      </c>
      <c r="B263">
        <v>13.9</v>
      </c>
      <c r="C263">
        <v>20.5</v>
      </c>
      <c r="D263">
        <v>28.4</v>
      </c>
      <c r="E263">
        <v>39.200000000000003</v>
      </c>
      <c r="F263">
        <v>46.9</v>
      </c>
      <c r="G263">
        <v>46.7</v>
      </c>
      <c r="H263">
        <v>50.7</v>
      </c>
      <c r="I263">
        <v>55.5</v>
      </c>
      <c r="J263">
        <v>65.900000000000006</v>
      </c>
      <c r="K263">
        <v>81</v>
      </c>
      <c r="L263">
        <v>94.5</v>
      </c>
      <c r="M263">
        <v>99.7</v>
      </c>
      <c r="N263">
        <v>101.3</v>
      </c>
      <c r="O263">
        <v>133.28</v>
      </c>
      <c r="P263">
        <v>160.36000000000001</v>
      </c>
      <c r="Q263">
        <v>169.61</v>
      </c>
    </row>
    <row r="264" spans="1:21" x14ac:dyDescent="0.25">
      <c r="A264" t="s">
        <v>192</v>
      </c>
      <c r="B264">
        <v>1.55</v>
      </c>
      <c r="C264">
        <v>1.5</v>
      </c>
      <c r="D264">
        <v>3.2</v>
      </c>
      <c r="E264">
        <v>9.31</v>
      </c>
      <c r="F264">
        <v>8.57</v>
      </c>
      <c r="G264">
        <v>9</v>
      </c>
      <c r="H264">
        <v>10.9</v>
      </c>
      <c r="I264">
        <v>13.3</v>
      </c>
      <c r="J264">
        <v>18.5</v>
      </c>
      <c r="K264">
        <v>23.3</v>
      </c>
      <c r="L264">
        <v>18.899999999999999</v>
      </c>
      <c r="M264">
        <v>23.1</v>
      </c>
      <c r="N264">
        <v>50.7</v>
      </c>
      <c r="O264">
        <v>36.24</v>
      </c>
      <c r="P264">
        <v>38.82</v>
      </c>
      <c r="Q264">
        <v>36.200000000000003</v>
      </c>
      <c r="R264">
        <v>29.86</v>
      </c>
      <c r="S264">
        <v>30.45</v>
      </c>
      <c r="T264">
        <v>30.92</v>
      </c>
      <c r="U264">
        <v>31.24</v>
      </c>
    </row>
    <row r="265" spans="1:21" x14ac:dyDescent="0.25">
      <c r="A265" t="s">
        <v>509</v>
      </c>
      <c r="K265">
        <v>4.4000000000000004</v>
      </c>
      <c r="L265">
        <v>-27.7</v>
      </c>
      <c r="M265">
        <v>-48.8</v>
      </c>
      <c r="N265">
        <v>-33.700000000000003</v>
      </c>
      <c r="O265">
        <v>-16.73</v>
      </c>
      <c r="P265">
        <v>-26.1</v>
      </c>
      <c r="Q265">
        <v>-17.14</v>
      </c>
      <c r="R265">
        <v>-23.6</v>
      </c>
      <c r="S265">
        <v>-23.6</v>
      </c>
      <c r="T265">
        <v>-9.9499999999999993</v>
      </c>
      <c r="U265">
        <v>-23.6</v>
      </c>
    </row>
    <row r="266" spans="1:21" x14ac:dyDescent="0.25">
      <c r="A266" t="s">
        <v>510</v>
      </c>
      <c r="G266">
        <v>90.9</v>
      </c>
      <c r="H266">
        <v>107.9</v>
      </c>
      <c r="I266">
        <v>137.4</v>
      </c>
      <c r="J266">
        <v>175.9</v>
      </c>
      <c r="K266">
        <v>223.3</v>
      </c>
      <c r="L266">
        <v>266.3</v>
      </c>
      <c r="M266">
        <v>293.7</v>
      </c>
      <c r="N266">
        <v>336.3</v>
      </c>
      <c r="O266">
        <v>371.96</v>
      </c>
      <c r="P266">
        <v>412.22</v>
      </c>
      <c r="Q266">
        <v>434.38</v>
      </c>
      <c r="R266">
        <v>522.4</v>
      </c>
      <c r="S266">
        <v>563.36</v>
      </c>
      <c r="T266">
        <v>603.62</v>
      </c>
      <c r="U266">
        <v>642.41</v>
      </c>
    </row>
    <row r="267" spans="1:21" x14ac:dyDescent="0.25">
      <c r="A267" t="s">
        <v>67</v>
      </c>
      <c r="B267">
        <v>40.94</v>
      </c>
      <c r="C267">
        <v>58.99</v>
      </c>
      <c r="D267">
        <v>95.09</v>
      </c>
      <c r="E267">
        <v>122.42</v>
      </c>
      <c r="F267">
        <v>137.18</v>
      </c>
      <c r="G267">
        <v>162.9</v>
      </c>
      <c r="H267">
        <v>174.1</v>
      </c>
      <c r="I267">
        <v>191.7</v>
      </c>
      <c r="J267">
        <v>207.9</v>
      </c>
      <c r="K267">
        <v>217.3</v>
      </c>
      <c r="L267">
        <v>249</v>
      </c>
      <c r="M267">
        <v>257.89999999999998</v>
      </c>
      <c r="N267">
        <v>279.5</v>
      </c>
      <c r="O267">
        <v>300.47000000000003</v>
      </c>
      <c r="P267">
        <v>348.88</v>
      </c>
      <c r="Q267">
        <v>377.12</v>
      </c>
      <c r="R267">
        <v>401.49</v>
      </c>
      <c r="S267">
        <v>427.88</v>
      </c>
      <c r="T267">
        <v>447.93</v>
      </c>
      <c r="U267">
        <v>487.96</v>
      </c>
    </row>
    <row r="268" spans="1:21" x14ac:dyDescent="0.25">
      <c r="A268" t="s">
        <v>61</v>
      </c>
      <c r="B268">
        <v>7.23</v>
      </c>
      <c r="C268">
        <v>7.66</v>
      </c>
      <c r="D268">
        <v>9.42</v>
      </c>
      <c r="E268">
        <v>9.6</v>
      </c>
      <c r="F268">
        <v>9.16</v>
      </c>
      <c r="G268">
        <v>9.0299999999999994</v>
      </c>
      <c r="H268">
        <v>8.0500000000000007</v>
      </c>
      <c r="I268">
        <v>7.47</v>
      </c>
      <c r="J268">
        <v>6.32</v>
      </c>
      <c r="K268">
        <v>4.9800000000000004</v>
      </c>
      <c r="L268">
        <v>4.74</v>
      </c>
      <c r="M268">
        <v>4.37</v>
      </c>
      <c r="N268">
        <v>4.1500000000000004</v>
      </c>
      <c r="O268">
        <v>3.95</v>
      </c>
      <c r="P268">
        <v>3.91</v>
      </c>
      <c r="Q268">
        <v>3.85</v>
      </c>
      <c r="R268">
        <v>3.87</v>
      </c>
      <c r="S268">
        <v>3.83</v>
      </c>
      <c r="T268">
        <v>3.76</v>
      </c>
      <c r="U268">
        <v>3.76</v>
      </c>
    </row>
    <row r="269" spans="1:21" x14ac:dyDescent="0.25">
      <c r="A269" t="s">
        <v>511</v>
      </c>
      <c r="J269">
        <v>7.6</v>
      </c>
      <c r="K269">
        <v>68.099999999999994</v>
      </c>
      <c r="L269">
        <v>42.1</v>
      </c>
      <c r="M269">
        <v>29.4</v>
      </c>
      <c r="N269">
        <v>0</v>
      </c>
      <c r="O269">
        <v>-1.08</v>
      </c>
      <c r="P269">
        <v>-0.84</v>
      </c>
      <c r="Q269">
        <v>4.13</v>
      </c>
      <c r="R269">
        <v>-2.2000000000000002</v>
      </c>
      <c r="S269">
        <v>-2.2000000000000002</v>
      </c>
      <c r="T269">
        <v>-4.4000000000000004</v>
      </c>
      <c r="U269">
        <v>-4.4000000000000004</v>
      </c>
    </row>
    <row r="270" spans="1:21" x14ac:dyDescent="0.25">
      <c r="A270" t="s">
        <v>512</v>
      </c>
      <c r="B270">
        <v>0.96</v>
      </c>
      <c r="C270">
        <v>4.1399999999999997</v>
      </c>
      <c r="D270">
        <v>3.39</v>
      </c>
      <c r="E270">
        <v>2.64</v>
      </c>
      <c r="F270">
        <v>3.78</v>
      </c>
      <c r="G270">
        <v>-0.9</v>
      </c>
      <c r="H270">
        <v>5.7</v>
      </c>
      <c r="I270">
        <v>6</v>
      </c>
      <c r="J270">
        <v>7.9</v>
      </c>
      <c r="K270">
        <v>23.6</v>
      </c>
      <c r="L270">
        <v>18.5</v>
      </c>
      <c r="M270">
        <v>-121.5</v>
      </c>
      <c r="N270">
        <v>-52.7</v>
      </c>
      <c r="O270">
        <v>-52.37</v>
      </c>
      <c r="P270">
        <v>-40.19</v>
      </c>
      <c r="Q270">
        <v>-20.72</v>
      </c>
      <c r="R270">
        <v>-55.6</v>
      </c>
      <c r="S270">
        <v>-55.6</v>
      </c>
      <c r="T270">
        <v>-55.6</v>
      </c>
      <c r="U270">
        <v>-55.6</v>
      </c>
    </row>
    <row r="271" spans="1:21" x14ac:dyDescent="0.25">
      <c r="A271" t="s">
        <v>513</v>
      </c>
      <c r="O271">
        <v>376.32</v>
      </c>
      <c r="P271">
        <v>365.62</v>
      </c>
      <c r="Q271">
        <v>294</v>
      </c>
      <c r="R271">
        <v>671.19</v>
      </c>
      <c r="S271">
        <v>672.43</v>
      </c>
      <c r="T271">
        <v>700.95</v>
      </c>
      <c r="U271">
        <v>697.95</v>
      </c>
    </row>
    <row r="272" spans="1:21" x14ac:dyDescent="0.25">
      <c r="A272" t="s">
        <v>141</v>
      </c>
      <c r="B272">
        <v>-22.08</v>
      </c>
      <c r="C272">
        <v>-55.89</v>
      </c>
      <c r="D272">
        <v>-66.459999999999994</v>
      </c>
      <c r="E272">
        <v>-57.88</v>
      </c>
      <c r="F272">
        <v>-38.46</v>
      </c>
      <c r="G272">
        <v>-82</v>
      </c>
      <c r="H272">
        <v>-96.7</v>
      </c>
      <c r="I272">
        <v>-176.4</v>
      </c>
      <c r="J272">
        <v>-72.5</v>
      </c>
      <c r="K272">
        <v>-456.7</v>
      </c>
      <c r="L272">
        <v>-146.4</v>
      </c>
      <c r="M272">
        <v>-45.4</v>
      </c>
      <c r="N272">
        <v>-215.9</v>
      </c>
      <c r="O272">
        <v>-408.5</v>
      </c>
      <c r="P272">
        <v>-423.06</v>
      </c>
      <c r="Q272">
        <v>-313.87</v>
      </c>
      <c r="R272">
        <v>-108.51</v>
      </c>
      <c r="S272">
        <v>-66.39</v>
      </c>
      <c r="T272">
        <v>-38.64</v>
      </c>
      <c r="U272">
        <v>-78.900000000000006</v>
      </c>
    </row>
    <row r="273" spans="1:21" x14ac:dyDescent="0.25">
      <c r="A273" t="s">
        <v>340</v>
      </c>
      <c r="B273">
        <v>-35.090000000000003</v>
      </c>
      <c r="C273">
        <v>-32.46</v>
      </c>
      <c r="D273">
        <v>-19.09</v>
      </c>
      <c r="E273">
        <v>-43.02</v>
      </c>
      <c r="F273">
        <v>9.42</v>
      </c>
      <c r="G273">
        <v>-33.4</v>
      </c>
      <c r="H273">
        <v>-48.5</v>
      </c>
      <c r="I273">
        <v>-42.2</v>
      </c>
      <c r="J273">
        <v>-19.399999999999999</v>
      </c>
      <c r="K273">
        <v>-109.1</v>
      </c>
      <c r="L273">
        <v>-253.5</v>
      </c>
      <c r="M273">
        <v>131.19999999999999</v>
      </c>
      <c r="N273">
        <v>-90.6</v>
      </c>
      <c r="O273">
        <v>-117.8</v>
      </c>
      <c r="P273">
        <v>-60.28</v>
      </c>
      <c r="Q273">
        <v>-68.13</v>
      </c>
      <c r="R273">
        <v>-22.35</v>
      </c>
      <c r="S273">
        <v>-16.95</v>
      </c>
      <c r="T273">
        <v>-15.9</v>
      </c>
      <c r="U273">
        <v>-14.37</v>
      </c>
    </row>
    <row r="274" spans="1:21" x14ac:dyDescent="0.25">
      <c r="A274" t="s">
        <v>311</v>
      </c>
      <c r="B274">
        <v>-18.75</v>
      </c>
      <c r="C274">
        <v>9.07</v>
      </c>
      <c r="D274">
        <v>-29.85</v>
      </c>
      <c r="E274">
        <v>-27.82</v>
      </c>
      <c r="F274">
        <v>35.82</v>
      </c>
      <c r="G274">
        <v>-127.8</v>
      </c>
      <c r="H274">
        <v>19.399999999999999</v>
      </c>
      <c r="I274">
        <v>-10.5</v>
      </c>
      <c r="J274">
        <v>-94</v>
      </c>
      <c r="K274">
        <v>-226.4</v>
      </c>
      <c r="L274">
        <v>-301.89999999999998</v>
      </c>
      <c r="M274">
        <v>-223.2</v>
      </c>
      <c r="N274">
        <v>66.2</v>
      </c>
      <c r="O274">
        <v>-74.48</v>
      </c>
      <c r="P274">
        <v>-126.94</v>
      </c>
      <c r="Q274">
        <v>-98.04</v>
      </c>
      <c r="R274">
        <v>-80.87</v>
      </c>
      <c r="S274">
        <v>-65.760000000000005</v>
      </c>
      <c r="T274">
        <v>-62.08</v>
      </c>
      <c r="U274">
        <v>-58.68</v>
      </c>
    </row>
    <row r="275" spans="1:21" x14ac:dyDescent="0.25">
      <c r="A275" t="s">
        <v>203</v>
      </c>
      <c r="B275">
        <v>-0.91</v>
      </c>
      <c r="C275">
        <v>-16</v>
      </c>
      <c r="D275">
        <v>-2.63</v>
      </c>
      <c r="E275">
        <v>2.62</v>
      </c>
      <c r="F275">
        <v>-6.73</v>
      </c>
      <c r="G275">
        <v>4.2</v>
      </c>
      <c r="H275">
        <v>-2.1</v>
      </c>
      <c r="I275">
        <v>-2.8</v>
      </c>
      <c r="J275">
        <v>-17.7</v>
      </c>
      <c r="K275">
        <v>-7.7</v>
      </c>
      <c r="L275">
        <v>-27.6</v>
      </c>
      <c r="M275">
        <v>-13.7</v>
      </c>
      <c r="N275">
        <v>-95.9</v>
      </c>
      <c r="O275">
        <v>-15.29</v>
      </c>
      <c r="P275">
        <v>-37.630000000000003</v>
      </c>
      <c r="Q275">
        <v>-35.85</v>
      </c>
      <c r="R275">
        <v>0.93</v>
      </c>
      <c r="S275">
        <v>-6.18</v>
      </c>
      <c r="T275">
        <v>-5.81</v>
      </c>
      <c r="U275">
        <v>-5.41</v>
      </c>
    </row>
    <row r="276" spans="1:21" x14ac:dyDescent="0.25">
      <c r="A276" t="s">
        <v>514</v>
      </c>
      <c r="B276">
        <v>1.24</v>
      </c>
      <c r="C276">
        <v>7.77</v>
      </c>
      <c r="D276">
        <v>0.67</v>
      </c>
      <c r="E276">
        <v>-2.35</v>
      </c>
      <c r="F276">
        <v>-1</v>
      </c>
      <c r="G276">
        <v>-3.8</v>
      </c>
      <c r="H276">
        <v>-1.3</v>
      </c>
      <c r="I276">
        <v>-4.5999999999999996</v>
      </c>
      <c r="J276">
        <v>-19</v>
      </c>
      <c r="K276">
        <v>-35.299999999999997</v>
      </c>
      <c r="L276">
        <v>17.7</v>
      </c>
      <c r="M276">
        <v>-11</v>
      </c>
      <c r="N276">
        <v>-16.2</v>
      </c>
      <c r="O276">
        <v>-25.22</v>
      </c>
      <c r="P276">
        <v>-29.94</v>
      </c>
      <c r="Q276">
        <v>-34.049999999999997</v>
      </c>
      <c r="R276">
        <v>3.25</v>
      </c>
      <c r="S276">
        <v>3.13</v>
      </c>
      <c r="T276">
        <v>3.01</v>
      </c>
      <c r="U276">
        <v>2.9</v>
      </c>
    </row>
    <row r="277" spans="1:21" x14ac:dyDescent="0.25">
      <c r="A277" t="s">
        <v>414</v>
      </c>
      <c r="B277">
        <v>1.65</v>
      </c>
      <c r="C277">
        <v>7.12</v>
      </c>
      <c r="D277">
        <v>0.88</v>
      </c>
      <c r="E277">
        <v>-3.21</v>
      </c>
      <c r="F277">
        <v>14.45</v>
      </c>
      <c r="G277">
        <v>14.5</v>
      </c>
      <c r="H277">
        <v>-20.2</v>
      </c>
      <c r="I277">
        <v>45.8</v>
      </c>
      <c r="J277">
        <v>49.9</v>
      </c>
      <c r="K277">
        <v>55.2</v>
      </c>
      <c r="L277">
        <v>137.4</v>
      </c>
      <c r="M277">
        <v>-106.7</v>
      </c>
      <c r="N277">
        <v>13.3</v>
      </c>
      <c r="O277">
        <v>69.209999999999994</v>
      </c>
      <c r="P277">
        <v>30.77</v>
      </c>
      <c r="Q277">
        <v>37.5</v>
      </c>
      <c r="R277">
        <v>80.91</v>
      </c>
      <c r="S277">
        <v>85.5</v>
      </c>
      <c r="T277">
        <v>95.02</v>
      </c>
      <c r="U277">
        <v>105.18</v>
      </c>
    </row>
    <row r="278" spans="1:21" x14ac:dyDescent="0.25">
      <c r="A278" t="s">
        <v>158</v>
      </c>
      <c r="B278">
        <v>10.49</v>
      </c>
      <c r="C278">
        <v>18.03</v>
      </c>
      <c r="D278">
        <v>-2.52</v>
      </c>
      <c r="E278">
        <v>0.04</v>
      </c>
      <c r="F278">
        <v>13.09</v>
      </c>
      <c r="G278">
        <v>14.6</v>
      </c>
      <c r="H278">
        <v>7.7</v>
      </c>
      <c r="I278">
        <v>37.4</v>
      </c>
      <c r="J278">
        <v>-13.1</v>
      </c>
      <c r="K278">
        <v>105.2</v>
      </c>
      <c r="L278">
        <v>-43.1</v>
      </c>
      <c r="M278">
        <v>-10.199999999999999</v>
      </c>
      <c r="N278">
        <v>27.9</v>
      </c>
      <c r="O278">
        <v>51.98</v>
      </c>
      <c r="P278">
        <v>15.49</v>
      </c>
      <c r="Q278">
        <v>28.58</v>
      </c>
      <c r="R278">
        <v>23.66</v>
      </c>
      <c r="S278">
        <v>20.34</v>
      </c>
      <c r="T278">
        <v>24.05</v>
      </c>
      <c r="U278">
        <v>24.62</v>
      </c>
    </row>
    <row r="279" spans="1:21" x14ac:dyDescent="0.25">
      <c r="A279" t="s">
        <v>499</v>
      </c>
      <c r="B279">
        <v>22.52</v>
      </c>
      <c r="C279">
        <v>-3.77</v>
      </c>
      <c r="D279">
        <v>20.37</v>
      </c>
      <c r="E279">
        <v>13.14</v>
      </c>
      <c r="F279">
        <v>29.51</v>
      </c>
      <c r="G279">
        <v>-6</v>
      </c>
      <c r="H279">
        <v>0</v>
      </c>
      <c r="I279">
        <v>0</v>
      </c>
      <c r="J279">
        <v>0</v>
      </c>
      <c r="K279">
        <v>0</v>
      </c>
      <c r="L279">
        <v>40.299999999999997</v>
      </c>
      <c r="M279">
        <v>0</v>
      </c>
      <c r="O279">
        <v>94.45</v>
      </c>
      <c r="P279">
        <v>52.98</v>
      </c>
    </row>
    <row r="280" spans="1:21" x14ac:dyDescent="0.25">
      <c r="A280" t="s">
        <v>161</v>
      </c>
      <c r="B280">
        <v>68.87</v>
      </c>
      <c r="C280">
        <v>127.42</v>
      </c>
      <c r="D280">
        <v>222.35</v>
      </c>
      <c r="E280">
        <v>242.96</v>
      </c>
      <c r="F280">
        <v>300.83999999999997</v>
      </c>
      <c r="G280">
        <v>352.1</v>
      </c>
      <c r="H280">
        <v>439.9</v>
      </c>
      <c r="I280">
        <v>495.6</v>
      </c>
      <c r="J280">
        <v>839.4</v>
      </c>
      <c r="K280" s="2">
        <v>1177.5</v>
      </c>
      <c r="L280" s="2">
        <v>1095.3</v>
      </c>
      <c r="M280">
        <v>577.79999999999995</v>
      </c>
      <c r="N280">
        <v>754.2</v>
      </c>
      <c r="O280" s="2">
        <v>1286.29</v>
      </c>
      <c r="P280" s="2">
        <v>1350.83</v>
      </c>
      <c r="Q280" s="2">
        <v>1213.68</v>
      </c>
      <c r="R280">
        <v>846.88</v>
      </c>
      <c r="S280">
        <v>767.72</v>
      </c>
      <c r="T280">
        <v>670.17</v>
      </c>
      <c r="U280">
        <v>606.82000000000005</v>
      </c>
    </row>
    <row r="281" spans="1:21" x14ac:dyDescent="0.25">
      <c r="A281" t="s">
        <v>498</v>
      </c>
      <c r="F281">
        <v>0</v>
      </c>
      <c r="G281">
        <v>-136.4</v>
      </c>
      <c r="H281">
        <v>-162.30000000000001</v>
      </c>
      <c r="I281">
        <v>-205.1</v>
      </c>
      <c r="J281">
        <v>-294.5</v>
      </c>
      <c r="K281">
        <v>-318.2</v>
      </c>
      <c r="L281">
        <v>-353.5</v>
      </c>
      <c r="M281">
        <v>-311.10000000000002</v>
      </c>
      <c r="N281">
        <v>-449</v>
      </c>
      <c r="O281">
        <v>-430.02</v>
      </c>
      <c r="P281">
        <v>-407.9</v>
      </c>
      <c r="Q281">
        <v>-470.02</v>
      </c>
      <c r="R281">
        <v>-372.93</v>
      </c>
      <c r="S281">
        <v>-386.01</v>
      </c>
      <c r="T281">
        <v>-406.53</v>
      </c>
      <c r="U281">
        <v>-426.48</v>
      </c>
    </row>
    <row r="282" spans="1:21" x14ac:dyDescent="0.25">
      <c r="A282" t="s">
        <v>500</v>
      </c>
      <c r="B282">
        <v>6.01</v>
      </c>
      <c r="C282">
        <v>10.84</v>
      </c>
      <c r="D282">
        <v>11.3</v>
      </c>
      <c r="E282">
        <v>15.7</v>
      </c>
      <c r="F282">
        <v>12.57</v>
      </c>
      <c r="G282">
        <v>3.5</v>
      </c>
      <c r="H282">
        <v>-2.7</v>
      </c>
      <c r="I282">
        <v>43.1</v>
      </c>
      <c r="J282">
        <v>44</v>
      </c>
      <c r="K282">
        <v>25</v>
      </c>
      <c r="L282">
        <v>23.4</v>
      </c>
      <c r="M282">
        <v>0</v>
      </c>
      <c r="N282">
        <v>55</v>
      </c>
      <c r="O282">
        <v>44.14</v>
      </c>
      <c r="P282">
        <v>41.26</v>
      </c>
      <c r="Q282">
        <v>3.46</v>
      </c>
      <c r="R282">
        <v>27.56</v>
      </c>
      <c r="S282">
        <v>25.26</v>
      </c>
      <c r="T282">
        <v>26.7</v>
      </c>
      <c r="U282">
        <v>28.16</v>
      </c>
    </row>
    <row r="283" spans="1:21" x14ac:dyDescent="0.25">
      <c r="A283" t="s">
        <v>515</v>
      </c>
      <c r="C283">
        <v>14.32</v>
      </c>
      <c r="D283">
        <v>2.02</v>
      </c>
      <c r="E283">
        <v>-5.01</v>
      </c>
      <c r="F283">
        <v>-5.49</v>
      </c>
      <c r="G283">
        <v>-0.8</v>
      </c>
      <c r="H283">
        <v>-0.2</v>
      </c>
      <c r="I283">
        <v>9.6999999999999993</v>
      </c>
      <c r="J283">
        <v>-0.7</v>
      </c>
      <c r="K283">
        <v>23.5</v>
      </c>
      <c r="L283">
        <v>-21.7</v>
      </c>
      <c r="M283">
        <v>-8.3000000000000007</v>
      </c>
      <c r="N283">
        <v>6.8</v>
      </c>
      <c r="O283">
        <v>10.02</v>
      </c>
      <c r="P283">
        <v>-6.65</v>
      </c>
      <c r="Q283">
        <v>3.69</v>
      </c>
    </row>
    <row r="284" spans="1:21" x14ac:dyDescent="0.25">
      <c r="A284" t="s">
        <v>204</v>
      </c>
      <c r="B284">
        <v>147.38</v>
      </c>
      <c r="C284">
        <v>196.58</v>
      </c>
      <c r="D284">
        <v>282.55</v>
      </c>
      <c r="E284">
        <v>345.71</v>
      </c>
      <c r="F284">
        <v>594.41</v>
      </c>
      <c r="G284">
        <v>638.9</v>
      </c>
      <c r="H284">
        <v>808</v>
      </c>
      <c r="I284" s="2">
        <v>1083.7</v>
      </c>
      <c r="J284" s="2">
        <v>1499.7</v>
      </c>
      <c r="K284" s="2">
        <v>1730.6</v>
      </c>
      <c r="L284" s="2">
        <v>1935.5</v>
      </c>
      <c r="M284" s="2">
        <v>2258.1</v>
      </c>
      <c r="N284" s="2">
        <v>2590.6</v>
      </c>
      <c r="O284" s="2">
        <v>3471.21</v>
      </c>
      <c r="P284" s="2">
        <v>3783.9</v>
      </c>
      <c r="Q284" s="2">
        <v>4150.7299999999996</v>
      </c>
      <c r="R284" s="2">
        <v>3482.01</v>
      </c>
      <c r="S284" s="2">
        <v>4533.1499999999996</v>
      </c>
      <c r="T284" s="2">
        <v>4848.32</v>
      </c>
      <c r="U284" s="2">
        <v>5145.1099999999997</v>
      </c>
    </row>
    <row r="285" spans="1:21" x14ac:dyDescent="0.25">
      <c r="A285" t="s">
        <v>17</v>
      </c>
    </row>
    <row r="286" spans="1:21" x14ac:dyDescent="0.25">
      <c r="A286" t="s">
        <v>205</v>
      </c>
    </row>
    <row r="287" spans="1:21" x14ac:dyDescent="0.25">
      <c r="A287" t="s">
        <v>206</v>
      </c>
      <c r="B287">
        <v>-13.88</v>
      </c>
      <c r="C287">
        <v>-32.200000000000003</v>
      </c>
      <c r="D287">
        <v>-37.36</v>
      </c>
      <c r="E287">
        <v>-67.180000000000007</v>
      </c>
      <c r="F287">
        <v>-135.31</v>
      </c>
      <c r="G287">
        <v>-53</v>
      </c>
      <c r="H287">
        <v>-92.2</v>
      </c>
      <c r="I287">
        <v>-125.9</v>
      </c>
      <c r="J287">
        <v>-295.89999999999998</v>
      </c>
      <c r="K287">
        <v>-281.2</v>
      </c>
      <c r="L287">
        <v>-204.1</v>
      </c>
      <c r="M287">
        <v>-378.9</v>
      </c>
      <c r="N287">
        <v>-364.8</v>
      </c>
      <c r="O287">
        <v>-428.38</v>
      </c>
      <c r="P287">
        <v>-471.54</v>
      </c>
      <c r="Q287">
        <v>-503.75</v>
      </c>
      <c r="R287">
        <v>-481</v>
      </c>
      <c r="S287">
        <v>-481.8</v>
      </c>
      <c r="T287">
        <v>-485</v>
      </c>
      <c r="U287">
        <v>-509.75</v>
      </c>
    </row>
    <row r="288" spans="1:21" x14ac:dyDescent="0.25">
      <c r="A288" t="s">
        <v>61</v>
      </c>
      <c r="B288">
        <v>2.2599999999999998</v>
      </c>
      <c r="C288">
        <v>4.18</v>
      </c>
      <c r="D288">
        <v>3.7</v>
      </c>
      <c r="E288">
        <v>5.27</v>
      </c>
      <c r="F288">
        <v>9.0299999999999994</v>
      </c>
      <c r="G288">
        <v>2.94</v>
      </c>
      <c r="H288">
        <v>4.26</v>
      </c>
      <c r="I288">
        <v>4.8499999999999996</v>
      </c>
      <c r="J288">
        <v>8.85</v>
      </c>
      <c r="K288">
        <v>6.37</v>
      </c>
      <c r="L288">
        <v>3.85</v>
      </c>
      <c r="M288">
        <v>6.36</v>
      </c>
      <c r="N288">
        <v>5.37</v>
      </c>
      <c r="O288">
        <v>5.16</v>
      </c>
      <c r="P288">
        <v>5.42</v>
      </c>
      <c r="Q288">
        <v>5.36</v>
      </c>
      <c r="R288">
        <v>4</v>
      </c>
      <c r="S288">
        <v>2.44</v>
      </c>
      <c r="T288">
        <v>2.42</v>
      </c>
      <c r="U288">
        <v>2.4</v>
      </c>
    </row>
    <row r="289" spans="1:21" x14ac:dyDescent="0.25">
      <c r="A289" t="s">
        <v>516</v>
      </c>
      <c r="B289">
        <v>-7.64</v>
      </c>
      <c r="C289">
        <v>-0.02</v>
      </c>
      <c r="D289">
        <v>-38.03</v>
      </c>
      <c r="E289">
        <v>-22.09</v>
      </c>
      <c r="F289">
        <v>0</v>
      </c>
      <c r="G289">
        <v>-21.7</v>
      </c>
      <c r="H289">
        <v>-34.6</v>
      </c>
      <c r="I289">
        <v>-40.200000000000003</v>
      </c>
      <c r="J289">
        <v>-74.900000000000006</v>
      </c>
      <c r="K289">
        <v>-30.8</v>
      </c>
      <c r="L289">
        <v>0</v>
      </c>
      <c r="M289">
        <v>-275.5</v>
      </c>
      <c r="N289">
        <v>-41.6</v>
      </c>
      <c r="O289">
        <v>-9.65</v>
      </c>
      <c r="P289">
        <v>-34.86</v>
      </c>
      <c r="Q289">
        <v>0</v>
      </c>
      <c r="R289">
        <v>0</v>
      </c>
      <c r="S289">
        <v>0</v>
      </c>
    </row>
    <row r="290" spans="1:21" x14ac:dyDescent="0.25">
      <c r="A290" t="s">
        <v>517</v>
      </c>
      <c r="B290">
        <v>-125.22</v>
      </c>
      <c r="C290">
        <v>2.86</v>
      </c>
      <c r="D290">
        <v>74.42</v>
      </c>
      <c r="E290">
        <v>15.15</v>
      </c>
      <c r="F290">
        <v>58.51</v>
      </c>
      <c r="G290">
        <v>-60.2</v>
      </c>
      <c r="H290">
        <v>-375.5</v>
      </c>
      <c r="I290">
        <v>93.3</v>
      </c>
      <c r="J290">
        <v>-954.3</v>
      </c>
      <c r="K290" s="2">
        <v>1075.9000000000001</v>
      </c>
      <c r="L290">
        <v>-445.2</v>
      </c>
      <c r="M290">
        <v>-73</v>
      </c>
      <c r="N290">
        <v>-192.7</v>
      </c>
      <c r="O290">
        <v>-65.569999999999993</v>
      </c>
      <c r="P290">
        <v>-81.39</v>
      </c>
      <c r="Q290">
        <v>-187.06</v>
      </c>
      <c r="R290">
        <v>-213.83</v>
      </c>
      <c r="S290">
        <v>-243.11</v>
      </c>
      <c r="T290">
        <v>-274.94</v>
      </c>
      <c r="U290">
        <v>-309.3</v>
      </c>
    </row>
    <row r="291" spans="1:21" x14ac:dyDescent="0.25">
      <c r="A291" t="s">
        <v>518</v>
      </c>
      <c r="B291">
        <v>-552.78</v>
      </c>
      <c r="C291">
        <v>-497.08</v>
      </c>
      <c r="D291">
        <v>-459.9</v>
      </c>
      <c r="E291">
        <v>-473.61</v>
      </c>
      <c r="F291">
        <v>-669.17</v>
      </c>
      <c r="G291">
        <v>-681.8</v>
      </c>
      <c r="H291" s="2">
        <v>-1332.3</v>
      </c>
      <c r="I291" s="2">
        <v>-1079</v>
      </c>
      <c r="J291" s="2">
        <v>-2510.5</v>
      </c>
      <c r="K291">
        <v>-389.1</v>
      </c>
      <c r="L291" s="2">
        <v>-1864.3</v>
      </c>
      <c r="M291" s="2">
        <v>-1948.6</v>
      </c>
      <c r="N291" s="2">
        <v>-1996.1</v>
      </c>
      <c r="O291">
        <v>-884.89</v>
      </c>
      <c r="P291">
        <v>-867.43</v>
      </c>
      <c r="Q291">
        <v>-785.64</v>
      </c>
    </row>
    <row r="292" spans="1:21" x14ac:dyDescent="0.25">
      <c r="A292" t="s">
        <v>519</v>
      </c>
      <c r="D292">
        <v>534.32000000000005</v>
      </c>
      <c r="E292">
        <v>488.75</v>
      </c>
      <c r="F292">
        <v>727.68</v>
      </c>
      <c r="G292">
        <v>621.6</v>
      </c>
      <c r="H292">
        <v>956.8</v>
      </c>
      <c r="I292" s="2">
        <v>1171</v>
      </c>
      <c r="J292" s="2">
        <v>1555.8</v>
      </c>
      <c r="K292" s="2">
        <v>1465</v>
      </c>
      <c r="L292" s="2">
        <v>1418.8</v>
      </c>
      <c r="M292" s="2">
        <v>1892.2</v>
      </c>
      <c r="N292" s="2">
        <v>1803.3</v>
      </c>
      <c r="O292">
        <v>746.18</v>
      </c>
      <c r="P292">
        <v>879.91</v>
      </c>
      <c r="Q292">
        <v>512.34</v>
      </c>
      <c r="R292" s="2">
        <v>1460.17</v>
      </c>
      <c r="S292" s="2">
        <v>1387.16</v>
      </c>
      <c r="T292" s="2">
        <v>1317.8</v>
      </c>
      <c r="U292" s="2">
        <v>1251.9100000000001</v>
      </c>
    </row>
    <row r="293" spans="1:21" x14ac:dyDescent="0.25">
      <c r="A293" t="s">
        <v>346</v>
      </c>
      <c r="H293">
        <v>0</v>
      </c>
      <c r="I293">
        <v>1.3</v>
      </c>
      <c r="J293">
        <v>0.4</v>
      </c>
      <c r="K293">
        <v>0</v>
      </c>
      <c r="L293">
        <v>0.3</v>
      </c>
      <c r="M293">
        <v>0.1</v>
      </c>
      <c r="N293">
        <v>0.1</v>
      </c>
      <c r="O293">
        <v>8.4</v>
      </c>
      <c r="P293">
        <v>0</v>
      </c>
      <c r="Q293">
        <v>0</v>
      </c>
    </row>
    <row r="294" spans="1:21" x14ac:dyDescent="0.25">
      <c r="A294" t="s">
        <v>213</v>
      </c>
      <c r="B294">
        <v>-146.72999999999999</v>
      </c>
      <c r="C294">
        <v>-29.35</v>
      </c>
      <c r="D294">
        <v>-0.97</v>
      </c>
      <c r="E294">
        <v>-74.12</v>
      </c>
      <c r="F294">
        <v>-76.8</v>
      </c>
      <c r="G294">
        <v>-134.9</v>
      </c>
      <c r="H294">
        <v>-502.3</v>
      </c>
      <c r="I294">
        <v>-72.8</v>
      </c>
      <c r="J294" s="2">
        <v>-1325.1</v>
      </c>
      <c r="K294">
        <v>763.9</v>
      </c>
      <c r="L294">
        <v>-649.29999999999995</v>
      </c>
      <c r="M294">
        <v>-727.4</v>
      </c>
      <c r="N294">
        <v>-599.1</v>
      </c>
      <c r="O294">
        <v>-445.48</v>
      </c>
      <c r="P294">
        <v>-517.61</v>
      </c>
      <c r="Q294">
        <v>-570.63</v>
      </c>
      <c r="R294">
        <v>-22.27</v>
      </c>
      <c r="S294">
        <v>-14.98</v>
      </c>
      <c r="T294">
        <v>-59.34</v>
      </c>
      <c r="U294">
        <v>-100.65</v>
      </c>
    </row>
    <row r="295" spans="1:21" x14ac:dyDescent="0.25">
      <c r="A295" t="s">
        <v>17</v>
      </c>
    </row>
    <row r="296" spans="1:21" x14ac:dyDescent="0.25">
      <c r="A296" t="s">
        <v>353</v>
      </c>
    </row>
    <row r="297" spans="1:21" x14ac:dyDescent="0.25">
      <c r="A297" t="s">
        <v>215</v>
      </c>
      <c r="B297">
        <v>25.58</v>
      </c>
      <c r="C297">
        <v>55.32</v>
      </c>
      <c r="D297">
        <v>67.31</v>
      </c>
      <c r="E297">
        <v>44.86</v>
      </c>
      <c r="F297">
        <v>75.87</v>
      </c>
      <c r="G297">
        <v>86.5</v>
      </c>
      <c r="H297">
        <v>49.5</v>
      </c>
      <c r="I297">
        <v>22.1</v>
      </c>
      <c r="J297">
        <v>26</v>
      </c>
      <c r="K297">
        <v>26.1</v>
      </c>
      <c r="L297">
        <v>43.8</v>
      </c>
      <c r="M297">
        <v>63.1</v>
      </c>
      <c r="N297">
        <v>44.7</v>
      </c>
      <c r="O297">
        <v>66.040000000000006</v>
      </c>
      <c r="P297">
        <v>41.57</v>
      </c>
      <c r="Q297">
        <v>36.21</v>
      </c>
      <c r="R297">
        <v>60.65</v>
      </c>
      <c r="S297">
        <v>64.66</v>
      </c>
      <c r="T297">
        <v>66.069999999999993</v>
      </c>
      <c r="U297">
        <v>69.95</v>
      </c>
    </row>
    <row r="298" spans="1:21" x14ac:dyDescent="0.25">
      <c r="A298" t="s">
        <v>520</v>
      </c>
      <c r="F298">
        <v>-45.14</v>
      </c>
      <c r="G298">
        <v>-67.2</v>
      </c>
      <c r="H298">
        <v>-96</v>
      </c>
      <c r="I298">
        <v>-108.2</v>
      </c>
      <c r="J298">
        <v>-167.9</v>
      </c>
      <c r="K298">
        <v>-160.4</v>
      </c>
      <c r="L298">
        <v>-112.5</v>
      </c>
      <c r="M298">
        <v>-100.9</v>
      </c>
      <c r="N298">
        <v>-126.3</v>
      </c>
      <c r="O298">
        <v>-103.48</v>
      </c>
      <c r="P298">
        <v>-88.22</v>
      </c>
      <c r="Q298">
        <v>-105.14</v>
      </c>
      <c r="R298">
        <v>-128.77000000000001</v>
      </c>
      <c r="S298">
        <v>-129.66</v>
      </c>
      <c r="T298">
        <v>-131.13999999999999</v>
      </c>
      <c r="U298">
        <v>-132.36000000000001</v>
      </c>
    </row>
    <row r="299" spans="1:21" x14ac:dyDescent="0.25">
      <c r="A299" t="s">
        <v>521</v>
      </c>
      <c r="B299">
        <v>-33.53</v>
      </c>
      <c r="C299">
        <v>-43.98</v>
      </c>
      <c r="D299">
        <v>-60</v>
      </c>
      <c r="E299">
        <v>-110.83</v>
      </c>
      <c r="F299">
        <v>-446.33</v>
      </c>
      <c r="G299">
        <v>-211.8</v>
      </c>
      <c r="H299">
        <v>-145.1</v>
      </c>
      <c r="I299" s="2">
        <v>-1080.0999999999999</v>
      </c>
      <c r="J299">
        <v>-741.8</v>
      </c>
      <c r="K299" s="2">
        <v>-1991.2</v>
      </c>
      <c r="L299" s="2">
        <v>-1500.5</v>
      </c>
      <c r="M299">
        <v>-0.6</v>
      </c>
      <c r="N299" s="2">
        <v>-2289.8000000000002</v>
      </c>
      <c r="O299" s="2">
        <v>-1155.9000000000001</v>
      </c>
      <c r="P299">
        <v>-615.88</v>
      </c>
      <c r="Q299">
        <v>-638.46</v>
      </c>
      <c r="R299" s="2">
        <v>-1200</v>
      </c>
      <c r="S299" s="2">
        <v>-1200</v>
      </c>
      <c r="T299" s="2">
        <v>-1200</v>
      </c>
      <c r="U299" s="2">
        <v>-1200</v>
      </c>
    </row>
    <row r="300" spans="1:21" x14ac:dyDescent="0.25">
      <c r="A300" t="s">
        <v>522</v>
      </c>
      <c r="B300">
        <v>-1.45</v>
      </c>
      <c r="C300">
        <v>-10.6</v>
      </c>
      <c r="D300">
        <v>-28.87</v>
      </c>
      <c r="E300">
        <v>-39.89</v>
      </c>
      <c r="F300">
        <v>0</v>
      </c>
      <c r="G300">
        <v>-10.1</v>
      </c>
      <c r="H300">
        <v>-4</v>
      </c>
      <c r="I300">
        <v>-5.4</v>
      </c>
      <c r="J300">
        <v>-20.5</v>
      </c>
      <c r="K300">
        <v>-4.8</v>
      </c>
      <c r="L300">
        <v>-1.2</v>
      </c>
      <c r="M300">
        <v>-11.7</v>
      </c>
      <c r="N300">
        <v>-0.1</v>
      </c>
      <c r="O300">
        <v>-47.51</v>
      </c>
      <c r="P300">
        <v>0.01</v>
      </c>
      <c r="Q300">
        <v>0.02</v>
      </c>
    </row>
    <row r="301" spans="1:21" x14ac:dyDescent="0.25">
      <c r="A301" t="s">
        <v>218</v>
      </c>
      <c r="B301">
        <v>-6.42</v>
      </c>
      <c r="C301">
        <v>0.75</v>
      </c>
      <c r="D301">
        <v>-21.56</v>
      </c>
      <c r="E301">
        <v>-105.86</v>
      </c>
      <c r="F301">
        <v>-415.6</v>
      </c>
      <c r="G301">
        <v>-202.6</v>
      </c>
      <c r="H301">
        <v>-195.6</v>
      </c>
      <c r="I301" s="2">
        <v>-1171.5999999999999</v>
      </c>
      <c r="J301">
        <v>82.8</v>
      </c>
      <c r="K301" s="2">
        <v>-2130.3000000000002</v>
      </c>
      <c r="L301" s="2">
        <v>-1570.4</v>
      </c>
      <c r="M301">
        <v>-50.1</v>
      </c>
      <c r="N301" s="2">
        <v>-2371.5</v>
      </c>
      <c r="O301" s="2">
        <v>-1581.89</v>
      </c>
      <c r="P301">
        <v>-513.72</v>
      </c>
      <c r="Q301">
        <v>-502.41</v>
      </c>
      <c r="R301">
        <v>-668.12</v>
      </c>
      <c r="S301">
        <v>-665.01</v>
      </c>
      <c r="T301">
        <v>-665.07</v>
      </c>
      <c r="U301">
        <v>-662.41</v>
      </c>
    </row>
    <row r="302" spans="1:21" x14ac:dyDescent="0.25">
      <c r="A302" t="s">
        <v>17</v>
      </c>
    </row>
    <row r="303" spans="1:21" x14ac:dyDescent="0.25">
      <c r="A303" t="s">
        <v>176</v>
      </c>
    </row>
    <row r="304" spans="1:21" x14ac:dyDescent="0.25">
      <c r="A304" t="s">
        <v>219</v>
      </c>
      <c r="B304">
        <v>-1.33</v>
      </c>
      <c r="C304">
        <v>-0.6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-0.1</v>
      </c>
      <c r="K304">
        <v>-0.4</v>
      </c>
      <c r="L304">
        <v>-0.8</v>
      </c>
      <c r="M304">
        <v>-2.6</v>
      </c>
      <c r="N304">
        <v>-0.6</v>
      </c>
      <c r="O304">
        <v>-1.1000000000000001</v>
      </c>
      <c r="P304">
        <v>-1.33</v>
      </c>
      <c r="Q304">
        <v>0</v>
      </c>
    </row>
    <row r="305" spans="1:21" x14ac:dyDescent="0.25">
      <c r="A305" t="s">
        <v>220</v>
      </c>
      <c r="B305">
        <v>-7.1</v>
      </c>
      <c r="C305">
        <v>167.38</v>
      </c>
      <c r="D305">
        <v>260.02</v>
      </c>
      <c r="E305">
        <v>165.73</v>
      </c>
      <c r="F305">
        <v>102</v>
      </c>
      <c r="G305">
        <v>301.39999999999998</v>
      </c>
      <c r="H305">
        <v>110.1</v>
      </c>
      <c r="I305">
        <v>-160.69999999999999</v>
      </c>
      <c r="J305">
        <v>257.3</v>
      </c>
      <c r="K305">
        <v>363.8</v>
      </c>
      <c r="L305">
        <v>-285</v>
      </c>
      <c r="M305" s="2">
        <v>1478</v>
      </c>
      <c r="N305">
        <v>-380.6</v>
      </c>
      <c r="O305" s="2">
        <v>1520.34</v>
      </c>
      <c r="P305" s="2">
        <v>2930.14</v>
      </c>
      <c r="Q305" s="2">
        <v>3261.71</v>
      </c>
      <c r="R305" s="2">
        <v>3784.87</v>
      </c>
      <c r="S305" s="2">
        <v>4074.83</v>
      </c>
      <c r="T305" s="2">
        <v>4345.6000000000004</v>
      </c>
      <c r="U305" s="2">
        <v>4602.8500000000004</v>
      </c>
    </row>
    <row r="306" spans="1:21" x14ac:dyDescent="0.25">
      <c r="A306" t="s">
        <v>221</v>
      </c>
      <c r="B306">
        <v>122.98</v>
      </c>
      <c r="C306">
        <v>115.87</v>
      </c>
      <c r="D306">
        <v>283.25</v>
      </c>
      <c r="E306">
        <v>543.28</v>
      </c>
      <c r="F306">
        <v>709</v>
      </c>
      <c r="G306">
        <v>811</v>
      </c>
      <c r="H306" s="2">
        <v>1112.4000000000001</v>
      </c>
      <c r="I306" s="2">
        <v>1222.5</v>
      </c>
      <c r="J306" s="2">
        <v>1061.8</v>
      </c>
      <c r="K306" s="2">
        <v>1319.1</v>
      </c>
      <c r="L306" s="2">
        <v>1682.9</v>
      </c>
      <c r="M306" s="2">
        <v>1397.9</v>
      </c>
      <c r="N306" s="2">
        <v>2875.9</v>
      </c>
      <c r="O306" s="2">
        <v>2505.6999999999998</v>
      </c>
      <c r="P306" s="2">
        <v>3885.51</v>
      </c>
      <c r="Q306" s="2">
        <v>6854.63</v>
      </c>
      <c r="R306" s="2">
        <v>9941.18</v>
      </c>
      <c r="S306" s="2">
        <v>13726.04</v>
      </c>
      <c r="T306" s="2">
        <v>17800.87</v>
      </c>
      <c r="U306" s="2">
        <v>22146.46</v>
      </c>
    </row>
    <row r="307" spans="1:21" x14ac:dyDescent="0.25">
      <c r="A307" t="s">
        <v>222</v>
      </c>
      <c r="B307">
        <v>115.87</v>
      </c>
      <c r="C307">
        <v>283.25</v>
      </c>
      <c r="D307">
        <v>543.28</v>
      </c>
      <c r="E307">
        <v>709</v>
      </c>
      <c r="F307">
        <v>811</v>
      </c>
      <c r="G307" s="2">
        <v>1112.4000000000001</v>
      </c>
      <c r="H307" s="2">
        <v>1222.5</v>
      </c>
      <c r="I307" s="2">
        <v>1061.8</v>
      </c>
      <c r="J307" s="2">
        <v>1319.1</v>
      </c>
      <c r="K307" s="2">
        <v>1682.9</v>
      </c>
      <c r="L307" s="2">
        <v>1397.9</v>
      </c>
      <c r="M307" s="2">
        <v>2875.9</v>
      </c>
      <c r="N307" s="2">
        <v>2495.3000000000002</v>
      </c>
      <c r="O307" s="2">
        <v>3914.23</v>
      </c>
      <c r="P307" s="2">
        <v>6618.1</v>
      </c>
      <c r="Q307" s="2">
        <v>9709.93</v>
      </c>
      <c r="R307" s="2">
        <v>13726.14</v>
      </c>
      <c r="S307" s="2">
        <v>17800.97</v>
      </c>
      <c r="T307" s="2">
        <v>22146.560000000001</v>
      </c>
      <c r="U307" s="2">
        <v>26749.42</v>
      </c>
    </row>
    <row r="308" spans="1:21" x14ac:dyDescent="0.25">
      <c r="A308" t="s">
        <v>178</v>
      </c>
    </row>
    <row r="309" spans="1:21" x14ac:dyDescent="0.25">
      <c r="A309" t="s">
        <v>523</v>
      </c>
      <c r="B309">
        <v>25.45</v>
      </c>
      <c r="C309">
        <v>40.549999999999997</v>
      </c>
      <c r="D309">
        <v>18.89</v>
      </c>
      <c r="E309">
        <v>26.61</v>
      </c>
      <c r="F309">
        <v>32.159999999999997</v>
      </c>
      <c r="G309">
        <v>41.4</v>
      </c>
      <c r="H309">
        <v>58.7</v>
      </c>
      <c r="I309">
        <v>39.700000000000003</v>
      </c>
      <c r="J309">
        <v>127.4</v>
      </c>
      <c r="K309">
        <v>260.2</v>
      </c>
      <c r="L309">
        <v>426.3</v>
      </c>
      <c r="M309">
        <v>578.9</v>
      </c>
      <c r="N309">
        <v>451.5</v>
      </c>
      <c r="O309">
        <v>423.97</v>
      </c>
      <c r="P309">
        <v>439.25</v>
      </c>
      <c r="Q309">
        <v>426.85</v>
      </c>
    </row>
    <row r="310" spans="1:21" x14ac:dyDescent="0.25">
      <c r="A310" t="s">
        <v>225</v>
      </c>
      <c r="B310">
        <v>133.5</v>
      </c>
      <c r="C310">
        <v>164.39</v>
      </c>
      <c r="D310">
        <v>245.19</v>
      </c>
      <c r="E310">
        <v>278.52999999999997</v>
      </c>
      <c r="F310">
        <v>566</v>
      </c>
      <c r="G310">
        <v>605</v>
      </c>
      <c r="H310">
        <v>715.8</v>
      </c>
      <c r="I310">
        <v>957.8</v>
      </c>
      <c r="J310" s="2">
        <v>1203.8</v>
      </c>
      <c r="K310" s="2">
        <v>1449.4</v>
      </c>
      <c r="L310" s="2">
        <v>1731.4</v>
      </c>
      <c r="M310" s="2">
        <v>1879.2</v>
      </c>
      <c r="N310" s="2">
        <v>2225.8000000000002</v>
      </c>
      <c r="O310" s="2">
        <v>3064.87</v>
      </c>
      <c r="P310" s="2">
        <v>3307.34</v>
      </c>
      <c r="Q310" s="2">
        <v>3631.31</v>
      </c>
      <c r="R310" s="2">
        <v>3981.86</v>
      </c>
      <c r="S310" s="2">
        <v>4404.76</v>
      </c>
      <c r="T310" s="2">
        <v>4657.41</v>
      </c>
      <c r="U310" s="2">
        <v>4923.5</v>
      </c>
    </row>
    <row r="311" spans="1:21" x14ac:dyDescent="0.25">
      <c r="A311" t="s">
        <v>228</v>
      </c>
      <c r="B311">
        <v>21.7</v>
      </c>
      <c r="C311">
        <v>21.34</v>
      </c>
      <c r="D311">
        <v>24.29</v>
      </c>
      <c r="E311">
        <v>21.84</v>
      </c>
      <c r="F311">
        <v>30.65</v>
      </c>
      <c r="G311">
        <v>32.47</v>
      </c>
      <c r="H311">
        <v>33.090000000000003</v>
      </c>
      <c r="I311">
        <v>36.92</v>
      </c>
      <c r="J311">
        <v>36.020000000000003</v>
      </c>
      <c r="K311">
        <v>32.81</v>
      </c>
      <c r="L311">
        <v>32.64</v>
      </c>
      <c r="M311">
        <v>31.55</v>
      </c>
      <c r="N311">
        <v>32.729999999999997</v>
      </c>
      <c r="O311">
        <v>37.619999999999997</v>
      </c>
      <c r="P311">
        <v>36.76</v>
      </c>
      <c r="Q311">
        <v>36.64</v>
      </c>
      <c r="R311">
        <v>37.42</v>
      </c>
      <c r="S311">
        <v>37.770000000000003</v>
      </c>
      <c r="T311">
        <v>37.53</v>
      </c>
      <c r="U311">
        <v>37.14</v>
      </c>
    </row>
    <row r="312" spans="1:21" x14ac:dyDescent="0.25">
      <c r="A312" t="s">
        <v>438</v>
      </c>
      <c r="B312">
        <v>0.16</v>
      </c>
      <c r="C312">
        <v>0.19</v>
      </c>
      <c r="D312">
        <v>0.28000000000000003</v>
      </c>
      <c r="E312">
        <v>0.32</v>
      </c>
      <c r="F312">
        <v>0.52</v>
      </c>
      <c r="G312">
        <v>0.67</v>
      </c>
      <c r="H312">
        <v>0.82</v>
      </c>
      <c r="I312">
        <v>1.1399999999999999</v>
      </c>
      <c r="J312">
        <v>1.44</v>
      </c>
      <c r="K312">
        <v>1.8</v>
      </c>
      <c r="L312">
        <v>2.2000000000000002</v>
      </c>
      <c r="M312">
        <v>2.4300000000000002</v>
      </c>
      <c r="N312">
        <v>2.91</v>
      </c>
      <c r="O312">
        <v>4.04</v>
      </c>
      <c r="P312">
        <v>4.42</v>
      </c>
      <c r="Q312">
        <v>4.99</v>
      </c>
      <c r="R312">
        <v>5</v>
      </c>
      <c r="S312">
        <v>5.46</v>
      </c>
      <c r="T312">
        <v>5.63</v>
      </c>
      <c r="U312">
        <v>5.69</v>
      </c>
    </row>
    <row r="313" spans="1:21" x14ac:dyDescent="0.25">
      <c r="A313" t="s">
        <v>355</v>
      </c>
      <c r="E313">
        <v>278.52999999999997</v>
      </c>
      <c r="F313">
        <v>566</v>
      </c>
      <c r="G313">
        <v>605</v>
      </c>
      <c r="H313">
        <v>775</v>
      </c>
      <c r="I313">
        <v>997</v>
      </c>
      <c r="J313" s="2">
        <v>1435.8</v>
      </c>
      <c r="K313" s="2">
        <v>1644.5</v>
      </c>
      <c r="L313" s="2">
        <v>1858.3</v>
      </c>
      <c r="M313" s="2">
        <v>2207.9</v>
      </c>
      <c r="N313" s="2">
        <v>2501.5</v>
      </c>
    </row>
    <row r="314" spans="1:21" x14ac:dyDescent="0.25">
      <c r="A314" t="s">
        <v>524</v>
      </c>
      <c r="B314">
        <v>23.95</v>
      </c>
      <c r="C314">
        <v>25.52</v>
      </c>
      <c r="D314">
        <v>28</v>
      </c>
      <c r="E314">
        <v>27.1</v>
      </c>
      <c r="F314">
        <v>39.69</v>
      </c>
      <c r="G314">
        <v>35.4</v>
      </c>
      <c r="H314">
        <v>37.36</v>
      </c>
      <c r="I314">
        <v>41.77</v>
      </c>
      <c r="J314">
        <v>44.87</v>
      </c>
      <c r="K314">
        <v>39.18</v>
      </c>
      <c r="L314">
        <v>36.49</v>
      </c>
      <c r="M314">
        <v>37.909999999999997</v>
      </c>
      <c r="N314">
        <v>38.1</v>
      </c>
      <c r="O314">
        <v>42.52</v>
      </c>
      <c r="P314">
        <v>41.86</v>
      </c>
      <c r="Q314">
        <v>43.6</v>
      </c>
    </row>
    <row r="315" spans="1:21" x14ac:dyDescent="0.25">
      <c r="A315" t="s">
        <v>17</v>
      </c>
    </row>
    <row r="316" spans="1:21" x14ac:dyDescent="0.25">
      <c r="A316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6EE9-B7E4-4278-A1B2-A59A42C623A4}">
  <dimension ref="A1:U144"/>
  <sheetViews>
    <sheetView workbookViewId="0">
      <selection activeCell="U3" sqref="U3"/>
    </sheetView>
  </sheetViews>
  <sheetFormatPr defaultRowHeight="15" x14ac:dyDescent="0.25"/>
  <cols>
    <col min="1" max="1" width="85.85546875" bestFit="1" customWidth="1"/>
    <col min="2" max="14" width="11.7109375" bestFit="1" customWidth="1"/>
    <col min="15" max="21" width="12" bestFit="1" customWidth="1"/>
  </cols>
  <sheetData>
    <row r="1" spans="1:21" x14ac:dyDescent="0.25">
      <c r="A1" t="s">
        <v>525</v>
      </c>
    </row>
    <row r="2" spans="1:21" x14ac:dyDescent="0.25">
      <c r="A2" t="s">
        <v>526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0.01</v>
      </c>
      <c r="C6">
        <v>0.68</v>
      </c>
      <c r="D6">
        <v>1.03</v>
      </c>
      <c r="E6">
        <v>1.39</v>
      </c>
      <c r="F6">
        <v>4.62</v>
      </c>
      <c r="G6">
        <v>1.04</v>
      </c>
      <c r="H6">
        <v>-0.86</v>
      </c>
      <c r="I6">
        <v>-0.92</v>
      </c>
      <c r="J6">
        <v>-0.76</v>
      </c>
      <c r="K6">
        <v>-1.01</v>
      </c>
      <c r="L6">
        <v>-0.42</v>
      </c>
      <c r="M6">
        <v>-0.79</v>
      </c>
      <c r="N6">
        <v>-0.26</v>
      </c>
      <c r="O6">
        <v>1.01</v>
      </c>
      <c r="P6">
        <v>4.5999999999999996</v>
      </c>
      <c r="Q6">
        <v>7.16</v>
      </c>
    </row>
    <row r="7" spans="1:21" x14ac:dyDescent="0.25">
      <c r="A7" t="s">
        <v>16</v>
      </c>
      <c r="B7">
        <v>78.42</v>
      </c>
      <c r="C7">
        <v>130.44999999999999</v>
      </c>
      <c r="D7">
        <v>189.9</v>
      </c>
      <c r="E7">
        <v>260.70999999999998</v>
      </c>
      <c r="F7">
        <v>382.33</v>
      </c>
      <c r="G7">
        <v>267.47000000000003</v>
      </c>
      <c r="H7">
        <v>190.87</v>
      </c>
      <c r="I7">
        <v>235.07</v>
      </c>
      <c r="J7">
        <v>211.57</v>
      </c>
      <c r="K7">
        <v>222.82</v>
      </c>
      <c r="L7">
        <v>217.65</v>
      </c>
      <c r="M7">
        <v>249.37</v>
      </c>
      <c r="N7">
        <v>455.72</v>
      </c>
      <c r="O7" s="2">
        <v>1047.71</v>
      </c>
      <c r="P7" s="2">
        <v>2872.67</v>
      </c>
      <c r="Q7" s="2">
        <v>4475.67</v>
      </c>
    </row>
    <row r="8" spans="1:21" x14ac:dyDescent="0.25">
      <c r="A8" t="s">
        <v>17</v>
      </c>
    </row>
    <row r="9" spans="1:21" x14ac:dyDescent="0.25">
      <c r="A9" t="s">
        <v>30</v>
      </c>
      <c r="B9">
        <v>29.43</v>
      </c>
      <c r="C9">
        <v>34.6</v>
      </c>
      <c r="D9">
        <v>31.89</v>
      </c>
      <c r="E9">
        <v>33.43</v>
      </c>
      <c r="F9">
        <v>43.73</v>
      </c>
      <c r="G9">
        <v>35.619999999999997</v>
      </c>
      <c r="H9">
        <v>27.23</v>
      </c>
      <c r="I9">
        <v>24.88</v>
      </c>
      <c r="J9">
        <v>21.71</v>
      </c>
      <c r="K9">
        <v>18.510000000000002</v>
      </c>
      <c r="L9">
        <v>29.84</v>
      </c>
      <c r="M9">
        <v>25.13</v>
      </c>
      <c r="N9">
        <v>30.91</v>
      </c>
      <c r="O9">
        <v>30.4</v>
      </c>
      <c r="P9">
        <v>33.9</v>
      </c>
      <c r="Q9">
        <v>37.74</v>
      </c>
    </row>
    <row r="10" spans="1:21" x14ac:dyDescent="0.25">
      <c r="A10" t="s">
        <v>527</v>
      </c>
      <c r="B10">
        <v>-0.24</v>
      </c>
      <c r="C10">
        <v>9.26</v>
      </c>
      <c r="D10">
        <v>16.399999999999999</v>
      </c>
      <c r="E10">
        <v>26.06</v>
      </c>
      <c r="F10">
        <v>95.92</v>
      </c>
      <c r="G10">
        <v>13.29</v>
      </c>
      <c r="H10">
        <v>-28.17</v>
      </c>
      <c r="I10">
        <v>-29.96</v>
      </c>
      <c r="J10">
        <v>-33.89</v>
      </c>
      <c r="K10">
        <v>-42.65</v>
      </c>
      <c r="L10">
        <v>-23.47</v>
      </c>
      <c r="M10">
        <v>-52.18</v>
      </c>
      <c r="N10">
        <v>-24.95</v>
      </c>
      <c r="O10">
        <v>53.76</v>
      </c>
      <c r="P10">
        <v>590.83000000000004</v>
      </c>
      <c r="Q10" s="2">
        <v>1147.33</v>
      </c>
    </row>
    <row r="11" spans="1:21" x14ac:dyDescent="0.25">
      <c r="A11" t="s">
        <v>528</v>
      </c>
      <c r="B11">
        <v>0.1</v>
      </c>
      <c r="C11">
        <v>10.36</v>
      </c>
      <c r="D11">
        <v>16.95</v>
      </c>
      <c r="E11">
        <v>24.62</v>
      </c>
      <c r="F11">
        <v>93.04</v>
      </c>
      <c r="G11">
        <v>20.76</v>
      </c>
      <c r="H11">
        <v>-17.100000000000001</v>
      </c>
      <c r="I11">
        <v>-20.04</v>
      </c>
      <c r="J11">
        <v>-20.420000000000002</v>
      </c>
      <c r="K11">
        <v>-28.02</v>
      </c>
      <c r="L11">
        <v>-13.33</v>
      </c>
      <c r="M11">
        <v>-32.72</v>
      </c>
      <c r="N11">
        <v>-15.72</v>
      </c>
      <c r="O11">
        <v>75.8</v>
      </c>
      <c r="P11">
        <v>541.66999999999996</v>
      </c>
      <c r="Q11">
        <v>981.67</v>
      </c>
    </row>
    <row r="12" spans="1:21" x14ac:dyDescent="0.25">
      <c r="A12" t="s">
        <v>17</v>
      </c>
    </row>
    <row r="13" spans="1:21" x14ac:dyDescent="0.25">
      <c r="A13" t="s">
        <v>258</v>
      </c>
    </row>
    <row r="14" spans="1:21" x14ac:dyDescent="0.25">
      <c r="A14" t="s">
        <v>16</v>
      </c>
      <c r="B14">
        <v>78.42</v>
      </c>
      <c r="C14">
        <v>130.44999999999999</v>
      </c>
      <c r="D14">
        <v>189.9</v>
      </c>
      <c r="E14">
        <v>260.70999999999998</v>
      </c>
      <c r="F14">
        <v>382.33</v>
      </c>
      <c r="G14">
        <v>267.47000000000003</v>
      </c>
      <c r="H14">
        <v>190.87</v>
      </c>
      <c r="I14">
        <v>235.07</v>
      </c>
      <c r="J14">
        <v>211.57</v>
      </c>
      <c r="K14">
        <v>222.82</v>
      </c>
      <c r="L14">
        <v>217.65</v>
      </c>
      <c r="M14">
        <v>249.37</v>
      </c>
      <c r="N14">
        <v>455.72</v>
      </c>
      <c r="O14" s="2">
        <v>1047.71</v>
      </c>
      <c r="P14" s="2">
        <v>2872.67</v>
      </c>
      <c r="Q14" s="2">
        <v>4475.67</v>
      </c>
    </row>
    <row r="15" spans="1:21" x14ac:dyDescent="0.25">
      <c r="A15" t="s">
        <v>529</v>
      </c>
      <c r="B15">
        <v>47.4</v>
      </c>
      <c r="C15">
        <v>47.39</v>
      </c>
      <c r="D15">
        <v>53.68</v>
      </c>
      <c r="E15">
        <v>43.57</v>
      </c>
      <c r="F15">
        <v>60.76</v>
      </c>
      <c r="G15">
        <v>51.7</v>
      </c>
      <c r="H15">
        <v>37.33</v>
      </c>
      <c r="I15">
        <v>37.94</v>
      </c>
      <c r="J15">
        <v>94.27</v>
      </c>
      <c r="K15">
        <v>118.17</v>
      </c>
      <c r="L15">
        <v>59.94</v>
      </c>
      <c r="M15">
        <v>87.71</v>
      </c>
      <c r="N15">
        <v>245.12</v>
      </c>
      <c r="O15">
        <v>345.23</v>
      </c>
      <c r="P15">
        <v>397.37</v>
      </c>
      <c r="Q15">
        <v>374.24</v>
      </c>
    </row>
    <row r="16" spans="1:21" x14ac:dyDescent="0.25">
      <c r="A16" t="s">
        <v>69</v>
      </c>
      <c r="B16">
        <v>60.4</v>
      </c>
      <c r="C16">
        <v>36.299999999999997</v>
      </c>
      <c r="D16">
        <v>28.3</v>
      </c>
      <c r="E16">
        <v>16.7</v>
      </c>
      <c r="F16">
        <v>15.9</v>
      </c>
      <c r="G16">
        <v>19.3</v>
      </c>
      <c r="H16">
        <v>19.600000000000001</v>
      </c>
      <c r="I16">
        <v>16.2</v>
      </c>
      <c r="J16">
        <v>44.6</v>
      </c>
      <c r="K16">
        <v>53</v>
      </c>
      <c r="L16">
        <v>27.5</v>
      </c>
      <c r="M16">
        <v>35.200000000000003</v>
      </c>
      <c r="N16">
        <v>53.8</v>
      </c>
      <c r="O16">
        <v>32.94</v>
      </c>
      <c r="P16">
        <v>16.18</v>
      </c>
      <c r="Q16">
        <v>10.65</v>
      </c>
    </row>
    <row r="17" spans="1:17" x14ac:dyDescent="0.25">
      <c r="A17" t="s">
        <v>530</v>
      </c>
      <c r="B17">
        <v>19.399999999999999</v>
      </c>
      <c r="C17">
        <v>64.45</v>
      </c>
      <c r="D17">
        <v>123.29</v>
      </c>
      <c r="E17">
        <v>201.31</v>
      </c>
      <c r="F17">
        <v>306.70999999999998</v>
      </c>
      <c r="G17">
        <v>200.24</v>
      </c>
      <c r="H17">
        <v>143.56</v>
      </c>
      <c r="I17">
        <v>173.44</v>
      </c>
      <c r="J17">
        <v>97.46</v>
      </c>
      <c r="K17">
        <v>77.09</v>
      </c>
      <c r="L17">
        <v>141.21</v>
      </c>
      <c r="M17">
        <v>148.53</v>
      </c>
      <c r="N17">
        <v>195.65</v>
      </c>
      <c r="O17">
        <v>675.4</v>
      </c>
      <c r="P17" s="2">
        <v>2312.5</v>
      </c>
      <c r="Q17" s="2">
        <v>3191.36</v>
      </c>
    </row>
    <row r="18" spans="1:17" x14ac:dyDescent="0.25">
      <c r="A18" t="s">
        <v>69</v>
      </c>
      <c r="B18">
        <v>24.7</v>
      </c>
      <c r="C18">
        <v>49.4</v>
      </c>
      <c r="D18">
        <v>64.900000000000006</v>
      </c>
      <c r="E18">
        <v>77.2</v>
      </c>
      <c r="F18">
        <v>80.2</v>
      </c>
      <c r="G18">
        <v>74.900000000000006</v>
      </c>
      <c r="H18">
        <v>75.2</v>
      </c>
      <c r="I18">
        <v>73.900000000000006</v>
      </c>
      <c r="J18">
        <v>46.1</v>
      </c>
      <c r="K18">
        <v>34.6</v>
      </c>
      <c r="L18">
        <v>64.900000000000006</v>
      </c>
      <c r="M18">
        <v>59.5</v>
      </c>
      <c r="N18">
        <v>42.9</v>
      </c>
      <c r="O18">
        <v>65.709999999999994</v>
      </c>
      <c r="P18">
        <v>83.21</v>
      </c>
      <c r="Q18">
        <v>88.91</v>
      </c>
    </row>
    <row r="19" spans="1:17" x14ac:dyDescent="0.25">
      <c r="A19" t="s">
        <v>531</v>
      </c>
      <c r="E19">
        <v>12.94</v>
      </c>
      <c r="F19">
        <v>12.9</v>
      </c>
      <c r="G19">
        <v>13.16</v>
      </c>
      <c r="H19">
        <v>8.43</v>
      </c>
      <c r="I19">
        <v>21.09</v>
      </c>
      <c r="J19">
        <v>16.25</v>
      </c>
      <c r="K19">
        <v>24.73</v>
      </c>
      <c r="L19">
        <v>13.83</v>
      </c>
      <c r="M19">
        <v>10.98</v>
      </c>
      <c r="N19">
        <v>13.73</v>
      </c>
      <c r="O19">
        <v>13.22</v>
      </c>
      <c r="P19">
        <v>14.77</v>
      </c>
      <c r="Q19">
        <v>14.54</v>
      </c>
    </row>
    <row r="20" spans="1:17" x14ac:dyDescent="0.25">
      <c r="A20" t="s">
        <v>69</v>
      </c>
      <c r="E20">
        <v>0.5</v>
      </c>
      <c r="F20">
        <v>3.4</v>
      </c>
      <c r="G20">
        <v>4.9000000000000004</v>
      </c>
      <c r="H20">
        <v>4.4000000000000004</v>
      </c>
      <c r="I20">
        <v>9</v>
      </c>
      <c r="J20">
        <v>7.7</v>
      </c>
      <c r="K20">
        <v>11.1</v>
      </c>
      <c r="L20">
        <v>6.4</v>
      </c>
      <c r="M20">
        <v>4.4000000000000004</v>
      </c>
      <c r="N20">
        <v>3</v>
      </c>
      <c r="O20">
        <v>1.24</v>
      </c>
      <c r="P20">
        <v>0.56999999999999995</v>
      </c>
      <c r="Q20">
        <v>0.41</v>
      </c>
    </row>
    <row r="21" spans="1:17" x14ac:dyDescent="0.25">
      <c r="A21" t="s">
        <v>532</v>
      </c>
      <c r="B21">
        <v>4.4000000000000004</v>
      </c>
      <c r="C21">
        <v>13.59</v>
      </c>
      <c r="D21">
        <v>2.46</v>
      </c>
      <c r="E21">
        <v>1.57</v>
      </c>
      <c r="F21">
        <v>0.49</v>
      </c>
      <c r="G21">
        <v>0.82</v>
      </c>
      <c r="H21">
        <v>0.19</v>
      </c>
      <c r="I21">
        <v>0.11</v>
      </c>
      <c r="J21">
        <v>0.96</v>
      </c>
      <c r="K21">
        <v>0.13</v>
      </c>
      <c r="L21">
        <v>0.06</v>
      </c>
      <c r="M21">
        <v>0</v>
      </c>
    </row>
    <row r="22" spans="1:17" x14ac:dyDescent="0.25">
      <c r="A22" t="s">
        <v>212</v>
      </c>
      <c r="B22">
        <v>7.3</v>
      </c>
      <c r="C22">
        <v>5.0199999999999996</v>
      </c>
      <c r="D22">
        <v>10.48</v>
      </c>
      <c r="E22">
        <v>1.33</v>
      </c>
      <c r="F22">
        <v>1.47</v>
      </c>
      <c r="G22">
        <v>1.55</v>
      </c>
      <c r="H22">
        <v>1.36</v>
      </c>
      <c r="I22">
        <v>2.04</v>
      </c>
      <c r="J22">
        <v>2.63</v>
      </c>
      <c r="K22">
        <v>2.7</v>
      </c>
      <c r="L22">
        <v>2.6</v>
      </c>
      <c r="M22">
        <v>2.14</v>
      </c>
      <c r="N22">
        <v>1.21</v>
      </c>
      <c r="O22">
        <v>1.19</v>
      </c>
      <c r="P22">
        <v>1.1499999999999999</v>
      </c>
      <c r="Q22">
        <v>1.06</v>
      </c>
    </row>
    <row r="23" spans="1:17" x14ac:dyDescent="0.25">
      <c r="A23" t="s">
        <v>69</v>
      </c>
      <c r="B23">
        <v>9.3000000000000007</v>
      </c>
      <c r="C23">
        <v>3.9</v>
      </c>
      <c r="D23">
        <v>5.5</v>
      </c>
      <c r="E23">
        <v>5</v>
      </c>
      <c r="F23">
        <v>0.4</v>
      </c>
      <c r="G23">
        <v>0.6</v>
      </c>
      <c r="H23">
        <v>0.7</v>
      </c>
      <c r="I23">
        <v>0.9</v>
      </c>
      <c r="J23">
        <v>1.1000000000000001</v>
      </c>
      <c r="K23">
        <v>1.2</v>
      </c>
      <c r="L23">
        <v>1.2</v>
      </c>
      <c r="M23">
        <v>0.9</v>
      </c>
      <c r="N23">
        <v>0.26</v>
      </c>
      <c r="O23">
        <v>0.11</v>
      </c>
      <c r="P23">
        <v>0.04</v>
      </c>
      <c r="Q23">
        <v>0.03</v>
      </c>
    </row>
    <row r="24" spans="1:17" x14ac:dyDescent="0.25">
      <c r="A24" t="s">
        <v>17</v>
      </c>
    </row>
    <row r="25" spans="1:17" x14ac:dyDescent="0.25">
      <c r="A25" t="s">
        <v>274</v>
      </c>
    </row>
    <row r="26" spans="1:17" x14ac:dyDescent="0.25">
      <c r="A26" t="s">
        <v>80</v>
      </c>
      <c r="B26">
        <v>78.42</v>
      </c>
      <c r="C26">
        <v>130.44999999999999</v>
      </c>
      <c r="D26">
        <v>189.9</v>
      </c>
      <c r="E26">
        <v>260.70999999999998</v>
      </c>
      <c r="F26">
        <v>382.33</v>
      </c>
      <c r="G26">
        <v>267.47000000000003</v>
      </c>
      <c r="H26">
        <v>190.87</v>
      </c>
      <c r="I26">
        <v>235.07</v>
      </c>
      <c r="J26">
        <v>211.57</v>
      </c>
      <c r="K26">
        <v>222.82</v>
      </c>
      <c r="L26">
        <v>217.65</v>
      </c>
      <c r="M26">
        <v>249.37</v>
      </c>
      <c r="N26">
        <v>455.72</v>
      </c>
      <c r="O26" s="2">
        <v>1047.71</v>
      </c>
      <c r="P26" s="2">
        <v>2872.67</v>
      </c>
      <c r="Q26" s="2">
        <v>4475.67</v>
      </c>
    </row>
    <row r="27" spans="1:17" x14ac:dyDescent="0.25">
      <c r="A27" t="s">
        <v>17</v>
      </c>
    </row>
    <row r="28" spans="1:17" x14ac:dyDescent="0.25">
      <c r="A28" t="s">
        <v>82</v>
      </c>
      <c r="B28">
        <v>55.4</v>
      </c>
      <c r="C28">
        <v>86.2</v>
      </c>
      <c r="D28">
        <v>129.44999999999999</v>
      </c>
      <c r="E28">
        <v>173.76</v>
      </c>
      <c r="F28">
        <v>216.05</v>
      </c>
      <c r="G28">
        <v>179.69</v>
      </c>
      <c r="H28">
        <v>144.66999999999999</v>
      </c>
      <c r="I28">
        <v>184.08</v>
      </c>
      <c r="J28">
        <v>173.85</v>
      </c>
      <c r="K28">
        <v>189.19</v>
      </c>
      <c r="L28">
        <v>158.72999999999999</v>
      </c>
      <c r="M28">
        <v>187.57</v>
      </c>
      <c r="N28">
        <v>318.8</v>
      </c>
      <c r="O28">
        <v>724.49</v>
      </c>
      <c r="P28" s="2">
        <v>1727.79</v>
      </c>
      <c r="Q28" s="2">
        <v>2230.1</v>
      </c>
    </row>
    <row r="29" spans="1:17" x14ac:dyDescent="0.25">
      <c r="A29" t="s">
        <v>84</v>
      </c>
      <c r="B29">
        <v>23.08</v>
      </c>
      <c r="C29">
        <v>45.13</v>
      </c>
      <c r="D29">
        <v>60.57</v>
      </c>
      <c r="E29">
        <v>87.14</v>
      </c>
      <c r="F29">
        <v>167.2</v>
      </c>
      <c r="G29">
        <v>95.28</v>
      </c>
      <c r="H29">
        <v>51.98</v>
      </c>
      <c r="I29">
        <v>58.48</v>
      </c>
      <c r="J29">
        <v>45.93</v>
      </c>
      <c r="K29">
        <v>41.24</v>
      </c>
      <c r="L29">
        <v>64.97</v>
      </c>
      <c r="M29">
        <v>62.66</v>
      </c>
      <c r="N29">
        <v>140.85</v>
      </c>
      <c r="O29">
        <v>316.3</v>
      </c>
      <c r="P29">
        <v>902.15</v>
      </c>
      <c r="Q29" s="2">
        <v>1490.16</v>
      </c>
    </row>
    <row r="30" spans="1:17" x14ac:dyDescent="0.25">
      <c r="A30" t="s">
        <v>85</v>
      </c>
      <c r="B30">
        <v>29.43</v>
      </c>
      <c r="C30">
        <v>34.6</v>
      </c>
      <c r="D30">
        <v>31.89</v>
      </c>
      <c r="E30">
        <v>33.43</v>
      </c>
      <c r="F30">
        <v>43.73</v>
      </c>
      <c r="G30">
        <v>35.619999999999997</v>
      </c>
      <c r="H30">
        <v>27.23</v>
      </c>
      <c r="I30">
        <v>24.88</v>
      </c>
      <c r="J30">
        <v>21.71</v>
      </c>
      <c r="K30">
        <v>18.510000000000002</v>
      </c>
      <c r="L30">
        <v>29.84</v>
      </c>
      <c r="M30">
        <v>25.13</v>
      </c>
      <c r="N30">
        <v>30.91</v>
      </c>
      <c r="O30">
        <v>30.4</v>
      </c>
      <c r="P30">
        <v>33.9</v>
      </c>
      <c r="Q30">
        <v>37.74</v>
      </c>
    </row>
    <row r="31" spans="1:17" x14ac:dyDescent="0.25">
      <c r="A31" t="s">
        <v>17</v>
      </c>
    </row>
    <row r="32" spans="1:17" x14ac:dyDescent="0.25">
      <c r="A32" t="s">
        <v>275</v>
      </c>
      <c r="B32">
        <v>23.34</v>
      </c>
      <c r="C32">
        <v>39.11</v>
      </c>
      <c r="D32">
        <v>47</v>
      </c>
      <c r="E32">
        <v>63.93</v>
      </c>
      <c r="F32">
        <v>79.33</v>
      </c>
      <c r="G32">
        <v>98.54</v>
      </c>
      <c r="H32">
        <v>94.95</v>
      </c>
      <c r="I32">
        <v>99.38</v>
      </c>
      <c r="J32">
        <v>94.48</v>
      </c>
      <c r="K32">
        <v>92.63</v>
      </c>
      <c r="L32">
        <v>100.27</v>
      </c>
      <c r="M32">
        <v>132.71</v>
      </c>
      <c r="N32">
        <v>191.52</v>
      </c>
      <c r="O32">
        <v>299.58</v>
      </c>
      <c r="P32">
        <v>365.71</v>
      </c>
      <c r="Q32">
        <v>395.28</v>
      </c>
    </row>
    <row r="33" spans="1:17" x14ac:dyDescent="0.25">
      <c r="A33" t="s">
        <v>17</v>
      </c>
    </row>
    <row r="34" spans="1:17" x14ac:dyDescent="0.25">
      <c r="A34" t="s">
        <v>91</v>
      </c>
      <c r="B34">
        <v>0.86</v>
      </c>
      <c r="C34">
        <v>9.91</v>
      </c>
      <c r="D34">
        <v>16.829999999999998</v>
      </c>
      <c r="E34">
        <v>28.08</v>
      </c>
      <c r="F34">
        <v>86.95</v>
      </c>
      <c r="G34">
        <v>-10.77</v>
      </c>
      <c r="H34">
        <v>-25.53</v>
      </c>
      <c r="I34">
        <v>-27.58</v>
      </c>
      <c r="J34">
        <v>-30.9</v>
      </c>
      <c r="K34">
        <v>-37.07</v>
      </c>
      <c r="L34">
        <v>-20.79</v>
      </c>
      <c r="M34">
        <v>-46.67</v>
      </c>
      <c r="N34">
        <v>-28.75</v>
      </c>
      <c r="O34">
        <v>59.3</v>
      </c>
      <c r="P34">
        <v>520</v>
      </c>
      <c r="Q34">
        <v>904.5</v>
      </c>
    </row>
    <row r="35" spans="1:17" x14ac:dyDescent="0.25">
      <c r="A35" t="s">
        <v>92</v>
      </c>
      <c r="B35">
        <v>-0.39</v>
      </c>
      <c r="C35">
        <v>3.94</v>
      </c>
      <c r="D35">
        <v>7.08</v>
      </c>
      <c r="E35">
        <v>8.83</v>
      </c>
      <c r="F35">
        <v>22.74</v>
      </c>
      <c r="G35">
        <v>-4.01</v>
      </c>
      <c r="H35">
        <v>-25.54</v>
      </c>
      <c r="I35">
        <v>-20.82</v>
      </c>
      <c r="J35">
        <v>-26.83</v>
      </c>
      <c r="K35">
        <v>-26.48</v>
      </c>
      <c r="L35">
        <v>-19</v>
      </c>
      <c r="M35">
        <v>-28.44</v>
      </c>
      <c r="N35">
        <v>-11.98</v>
      </c>
      <c r="O35">
        <v>2.12</v>
      </c>
      <c r="P35">
        <v>21.82</v>
      </c>
      <c r="Q35">
        <v>26.61</v>
      </c>
    </row>
    <row r="36" spans="1:17" x14ac:dyDescent="0.25">
      <c r="A36" t="s">
        <v>17</v>
      </c>
    </row>
    <row r="37" spans="1:17" x14ac:dyDescent="0.25">
      <c r="A37" t="s">
        <v>533</v>
      </c>
      <c r="B37">
        <v>3.41</v>
      </c>
      <c r="C37">
        <v>6.17</v>
      </c>
      <c r="D37">
        <v>9.42</v>
      </c>
      <c r="E37">
        <v>14.19</v>
      </c>
      <c r="F37">
        <v>20.38</v>
      </c>
      <c r="G37">
        <v>29.7</v>
      </c>
      <c r="H37">
        <v>24.01</v>
      </c>
      <c r="I37">
        <v>24.73</v>
      </c>
      <c r="J37">
        <v>25.37</v>
      </c>
      <c r="K37">
        <v>23.2</v>
      </c>
      <c r="L37">
        <v>20.43</v>
      </c>
      <c r="M37">
        <v>20.65</v>
      </c>
      <c r="N37">
        <v>27.7</v>
      </c>
      <c r="O37">
        <v>46.57</v>
      </c>
      <c r="P37">
        <v>56.54</v>
      </c>
      <c r="Q37">
        <v>62.95</v>
      </c>
    </row>
    <row r="38" spans="1:17" x14ac:dyDescent="0.25">
      <c r="A38" t="s">
        <v>94</v>
      </c>
      <c r="B38">
        <v>3.3</v>
      </c>
      <c r="C38">
        <v>5.8</v>
      </c>
      <c r="D38">
        <v>9.01</v>
      </c>
      <c r="E38">
        <v>13.73</v>
      </c>
      <c r="F38">
        <v>19.899999999999999</v>
      </c>
      <c r="G38">
        <v>29.2</v>
      </c>
      <c r="H38">
        <v>23.5</v>
      </c>
      <c r="I38">
        <v>24.2</v>
      </c>
      <c r="J38">
        <v>24.8</v>
      </c>
      <c r="K38">
        <v>22.6</v>
      </c>
      <c r="L38">
        <v>19.7</v>
      </c>
      <c r="M38">
        <v>20.2</v>
      </c>
      <c r="N38">
        <v>27.2</v>
      </c>
      <c r="O38">
        <v>37.9</v>
      </c>
      <c r="P38">
        <v>44.67</v>
      </c>
      <c r="Q38">
        <v>62.95</v>
      </c>
    </row>
    <row r="39" spans="1:17" x14ac:dyDescent="0.25">
      <c r="A39" t="s">
        <v>127</v>
      </c>
      <c r="B39">
        <v>7.0000000000000007E-2</v>
      </c>
      <c r="C39">
        <v>0.36</v>
      </c>
      <c r="D39">
        <v>0.41</v>
      </c>
      <c r="E39">
        <v>0.45</v>
      </c>
      <c r="F39">
        <v>0.49</v>
      </c>
      <c r="G39">
        <v>0.51</v>
      </c>
      <c r="H39">
        <v>0.54</v>
      </c>
      <c r="I39">
        <v>0.5</v>
      </c>
      <c r="J39">
        <v>0.6</v>
      </c>
      <c r="K39">
        <v>0.62</v>
      </c>
      <c r="L39">
        <v>0.73</v>
      </c>
      <c r="M39">
        <v>0.4</v>
      </c>
      <c r="N39">
        <v>0.4</v>
      </c>
      <c r="O39">
        <v>0.49</v>
      </c>
      <c r="P39">
        <v>0.49</v>
      </c>
      <c r="Q39">
        <v>0.49</v>
      </c>
    </row>
    <row r="40" spans="1:17" x14ac:dyDescent="0.25">
      <c r="A40" t="s">
        <v>277</v>
      </c>
      <c r="B40">
        <v>4.47</v>
      </c>
      <c r="C40">
        <v>16.329999999999998</v>
      </c>
      <c r="D40">
        <v>27.03</v>
      </c>
      <c r="E40">
        <v>41.45</v>
      </c>
      <c r="F40">
        <v>87.44</v>
      </c>
      <c r="G40">
        <v>-10.26</v>
      </c>
      <c r="H40">
        <v>-4.72</v>
      </c>
      <c r="I40">
        <v>-3.21</v>
      </c>
      <c r="J40">
        <v>-8.41</v>
      </c>
      <c r="K40">
        <v>-18.5</v>
      </c>
      <c r="L40">
        <v>-0.36</v>
      </c>
      <c r="M40">
        <v>-30.22</v>
      </c>
      <c r="N40">
        <v>-0.26</v>
      </c>
      <c r="O40">
        <v>103.93</v>
      </c>
      <c r="P40">
        <v>667</v>
      </c>
    </row>
    <row r="41" spans="1:17" x14ac:dyDescent="0.25">
      <c r="A41" t="s">
        <v>17</v>
      </c>
    </row>
    <row r="42" spans="1:17" x14ac:dyDescent="0.25">
      <c r="A42" t="s">
        <v>95</v>
      </c>
      <c r="B42">
        <v>1.1000000000000001</v>
      </c>
      <c r="C42">
        <v>0.66</v>
      </c>
      <c r="D42">
        <v>2.2799999999999998</v>
      </c>
      <c r="E42">
        <v>2.02</v>
      </c>
      <c r="F42">
        <v>2.4300000000000002</v>
      </c>
      <c r="G42">
        <v>-0.99</v>
      </c>
      <c r="H42">
        <v>2.64</v>
      </c>
      <c r="I42">
        <v>2.38</v>
      </c>
      <c r="J42">
        <v>-2.61</v>
      </c>
      <c r="K42">
        <v>7.4</v>
      </c>
      <c r="L42">
        <v>14.69</v>
      </c>
      <c r="M42">
        <v>115.82</v>
      </c>
      <c r="N42">
        <v>-7.9</v>
      </c>
      <c r="O42">
        <v>-6.11</v>
      </c>
      <c r="P42">
        <v>-10.029999999999999</v>
      </c>
      <c r="Q42">
        <v>-17.420000000000002</v>
      </c>
    </row>
    <row r="43" spans="1:17" x14ac:dyDescent="0.25">
      <c r="A43" t="s">
        <v>97</v>
      </c>
      <c r="B43">
        <v>0.1</v>
      </c>
      <c r="C43">
        <v>0.37</v>
      </c>
      <c r="D43">
        <v>0.33</v>
      </c>
      <c r="E43">
        <v>0.25</v>
      </c>
      <c r="F43">
        <v>0.22</v>
      </c>
      <c r="G43">
        <v>0.28000000000000003</v>
      </c>
      <c r="H43">
        <v>0.93</v>
      </c>
      <c r="I43">
        <v>0.26</v>
      </c>
      <c r="J43">
        <v>7.0000000000000007E-2</v>
      </c>
      <c r="K43">
        <v>0.13</v>
      </c>
      <c r="L43">
        <v>0.61</v>
      </c>
      <c r="M43">
        <v>0.87</v>
      </c>
      <c r="N43">
        <v>1.79</v>
      </c>
      <c r="O43">
        <v>11.88</v>
      </c>
      <c r="P43">
        <v>16.39</v>
      </c>
      <c r="Q43">
        <v>13.55</v>
      </c>
    </row>
    <row r="44" spans="1:17" x14ac:dyDescent="0.25">
      <c r="A44" t="s">
        <v>534</v>
      </c>
      <c r="B44">
        <v>-0.24</v>
      </c>
      <c r="C44">
        <v>9.26</v>
      </c>
      <c r="D44">
        <v>16.399999999999999</v>
      </c>
      <c r="E44">
        <v>26.06</v>
      </c>
      <c r="F44">
        <v>95.92</v>
      </c>
      <c r="G44">
        <v>13.29</v>
      </c>
      <c r="H44">
        <v>-28.17</v>
      </c>
      <c r="I44">
        <v>-29.96</v>
      </c>
      <c r="J44">
        <v>-33.89</v>
      </c>
      <c r="K44">
        <v>-42.65</v>
      </c>
      <c r="L44">
        <v>-23.47</v>
      </c>
      <c r="M44">
        <v>-52.18</v>
      </c>
      <c r="N44">
        <v>-24.95</v>
      </c>
      <c r="O44">
        <v>53.76</v>
      </c>
      <c r="P44">
        <v>590.83000000000004</v>
      </c>
      <c r="Q44" s="2">
        <v>1147.33</v>
      </c>
    </row>
    <row r="45" spans="1:17" x14ac:dyDescent="0.25">
      <c r="A45" t="s">
        <v>17</v>
      </c>
    </row>
    <row r="46" spans="1:17" x14ac:dyDescent="0.25">
      <c r="A46" t="s">
        <v>106</v>
      </c>
      <c r="B46">
        <v>0.1</v>
      </c>
      <c r="C46">
        <v>10.36</v>
      </c>
      <c r="D46">
        <v>16.95</v>
      </c>
      <c r="E46">
        <v>24.62</v>
      </c>
      <c r="F46">
        <v>93.04</v>
      </c>
      <c r="G46">
        <v>20.76</v>
      </c>
      <c r="H46">
        <v>-17.100000000000001</v>
      </c>
      <c r="I46">
        <v>-20.04</v>
      </c>
      <c r="J46">
        <v>-20.420000000000002</v>
      </c>
      <c r="K46">
        <v>-28.02</v>
      </c>
      <c r="L46">
        <v>-13.33</v>
      </c>
      <c r="M46">
        <v>-32.72</v>
      </c>
      <c r="N46">
        <v>-15.72</v>
      </c>
      <c r="O46">
        <v>75.8</v>
      </c>
      <c r="P46">
        <v>541.66999999999996</v>
      </c>
      <c r="Q46">
        <v>981.67</v>
      </c>
    </row>
    <row r="47" spans="1:17" x14ac:dyDescent="0.25">
      <c r="A47" t="s">
        <v>280</v>
      </c>
      <c r="B47">
        <v>0.14000000000000001</v>
      </c>
      <c r="C47">
        <v>7.94</v>
      </c>
      <c r="D47">
        <v>8.93</v>
      </c>
      <c r="E47">
        <v>5.94</v>
      </c>
      <c r="F47">
        <v>24.34</v>
      </c>
      <c r="G47">
        <v>7.73</v>
      </c>
      <c r="H47">
        <v>-8.9600000000000009</v>
      </c>
      <c r="I47">
        <v>-8.5399999999999991</v>
      </c>
      <c r="J47">
        <v>-9.65</v>
      </c>
      <c r="K47">
        <v>-12.57</v>
      </c>
      <c r="L47">
        <v>-6.12</v>
      </c>
      <c r="M47">
        <v>-13.12</v>
      </c>
      <c r="N47">
        <v>-3.45</v>
      </c>
      <c r="O47">
        <v>6.81</v>
      </c>
      <c r="P47">
        <v>18.579999999999998</v>
      </c>
      <c r="Q47">
        <v>21.36</v>
      </c>
    </row>
    <row r="48" spans="1:17" x14ac:dyDescent="0.25">
      <c r="A48" t="s">
        <v>17</v>
      </c>
    </row>
    <row r="49" spans="1:17" x14ac:dyDescent="0.25">
      <c r="A49" t="s">
        <v>109</v>
      </c>
      <c r="B49">
        <v>9.9600000000000009</v>
      </c>
      <c r="C49">
        <v>15.19</v>
      </c>
      <c r="D49">
        <v>16.53</v>
      </c>
      <c r="E49">
        <v>17.71</v>
      </c>
      <c r="F49">
        <v>20.14</v>
      </c>
      <c r="G49">
        <v>19.649999999999999</v>
      </c>
      <c r="H49">
        <v>19.98</v>
      </c>
      <c r="I49">
        <v>21.87</v>
      </c>
      <c r="J49">
        <v>26.91</v>
      </c>
      <c r="K49">
        <v>27.85</v>
      </c>
      <c r="L49">
        <v>31.94</v>
      </c>
      <c r="M49">
        <v>41.54</v>
      </c>
      <c r="N49">
        <v>60.18</v>
      </c>
      <c r="O49">
        <v>88.07</v>
      </c>
      <c r="P49">
        <v>101.18</v>
      </c>
      <c r="Q49">
        <v>103.23</v>
      </c>
    </row>
    <row r="50" spans="1:17" x14ac:dyDescent="0.25">
      <c r="A50" t="s">
        <v>110</v>
      </c>
      <c r="B50">
        <v>0.01</v>
      </c>
      <c r="C50">
        <v>0.68</v>
      </c>
      <c r="D50">
        <v>1.03</v>
      </c>
      <c r="E50">
        <v>1.39</v>
      </c>
      <c r="F50">
        <v>4.62</v>
      </c>
      <c r="G50">
        <v>1.04</v>
      </c>
      <c r="H50">
        <v>-0.86</v>
      </c>
      <c r="I50">
        <v>-0.92</v>
      </c>
      <c r="J50">
        <v>-0.76</v>
      </c>
      <c r="K50">
        <v>-1.01</v>
      </c>
      <c r="L50">
        <v>-0.42</v>
      </c>
      <c r="M50">
        <v>-0.79</v>
      </c>
      <c r="N50">
        <v>-0.26</v>
      </c>
      <c r="O50">
        <v>1.01</v>
      </c>
      <c r="P50">
        <v>4.5999999999999996</v>
      </c>
      <c r="Q50">
        <v>7.16</v>
      </c>
    </row>
    <row r="51" spans="1:17" x14ac:dyDescent="0.25">
      <c r="A51" t="s">
        <v>17</v>
      </c>
    </row>
    <row r="52" spans="1:17" x14ac:dyDescent="0.25">
      <c r="A52" t="s">
        <v>282</v>
      </c>
    </row>
    <row r="53" spans="1:17" x14ac:dyDescent="0.25">
      <c r="A53" t="s">
        <v>116</v>
      </c>
      <c r="B53">
        <v>-0.31</v>
      </c>
      <c r="C53">
        <v>5.14</v>
      </c>
      <c r="D53">
        <v>13.45</v>
      </c>
      <c r="E53">
        <v>23.02</v>
      </c>
      <c r="F53">
        <v>86.95</v>
      </c>
      <c r="G53">
        <v>-10.77</v>
      </c>
      <c r="H53">
        <v>-48.75</v>
      </c>
      <c r="I53">
        <v>-48.84</v>
      </c>
      <c r="J53">
        <v>-56.77</v>
      </c>
      <c r="K53">
        <v>-59</v>
      </c>
      <c r="L53">
        <v>-41.35</v>
      </c>
      <c r="M53">
        <v>-70.91</v>
      </c>
      <c r="N53">
        <v>-54.6</v>
      </c>
      <c r="O53">
        <v>22.99</v>
      </c>
      <c r="P53">
        <v>747.02</v>
      </c>
      <c r="Q53" s="2">
        <v>1349.42</v>
      </c>
    </row>
    <row r="54" spans="1:17" x14ac:dyDescent="0.25">
      <c r="A54" t="s">
        <v>63</v>
      </c>
      <c r="B54">
        <v>23.03</v>
      </c>
      <c r="C54">
        <v>44.25</v>
      </c>
      <c r="D54">
        <v>60.45</v>
      </c>
      <c r="E54">
        <v>86.95</v>
      </c>
      <c r="F54">
        <v>166.28</v>
      </c>
      <c r="G54">
        <v>87.77</v>
      </c>
      <c r="H54">
        <v>46.2</v>
      </c>
      <c r="I54">
        <v>50.54</v>
      </c>
      <c r="J54">
        <v>37.72</v>
      </c>
      <c r="K54">
        <v>33.630000000000003</v>
      </c>
      <c r="L54">
        <v>58.92</v>
      </c>
      <c r="M54">
        <v>61.8</v>
      </c>
      <c r="N54">
        <v>136.91</v>
      </c>
      <c r="O54">
        <v>321.70999999999998</v>
      </c>
      <c r="P54" s="2">
        <v>1154.1600000000001</v>
      </c>
      <c r="Q54" s="2">
        <v>1851.06</v>
      </c>
    </row>
    <row r="55" spans="1:17" x14ac:dyDescent="0.25">
      <c r="A55" t="s">
        <v>64</v>
      </c>
      <c r="B55">
        <v>29.4</v>
      </c>
      <c r="C55">
        <v>33.9</v>
      </c>
      <c r="D55">
        <v>31.8</v>
      </c>
      <c r="E55">
        <v>33.4</v>
      </c>
      <c r="F55">
        <v>43.5</v>
      </c>
      <c r="G55">
        <v>32.799999999999997</v>
      </c>
      <c r="H55">
        <v>24.2</v>
      </c>
      <c r="I55">
        <v>21.5</v>
      </c>
      <c r="J55">
        <v>17.8</v>
      </c>
      <c r="K55">
        <v>15.1</v>
      </c>
      <c r="L55">
        <v>27.1</v>
      </c>
      <c r="M55">
        <v>24.8</v>
      </c>
      <c r="N55">
        <v>30</v>
      </c>
      <c r="O55">
        <v>30.69</v>
      </c>
      <c r="P55">
        <v>33.96</v>
      </c>
      <c r="Q55">
        <v>36.44</v>
      </c>
    </row>
    <row r="56" spans="1:17" x14ac:dyDescent="0.25">
      <c r="A56" t="s">
        <v>283</v>
      </c>
    </row>
    <row r="57" spans="1:17" x14ac:dyDescent="0.25">
      <c r="A57" t="s">
        <v>114</v>
      </c>
      <c r="B57">
        <v>8.51</v>
      </c>
      <c r="C57">
        <v>15.97</v>
      </c>
      <c r="D57">
        <v>20.85</v>
      </c>
      <c r="E57">
        <v>31.78</v>
      </c>
      <c r="F57">
        <v>35.369999999999997</v>
      </c>
      <c r="G57">
        <v>49.9</v>
      </c>
      <c r="H57">
        <v>43.4</v>
      </c>
      <c r="I57">
        <v>43.39</v>
      </c>
      <c r="J57">
        <v>41.22</v>
      </c>
      <c r="K57">
        <v>36.24</v>
      </c>
      <c r="L57">
        <v>35.979999999999997</v>
      </c>
      <c r="M57">
        <v>54.96</v>
      </c>
      <c r="N57">
        <v>85.51</v>
      </c>
      <c r="O57">
        <v>136.30000000000001</v>
      </c>
      <c r="P57">
        <v>179.81</v>
      </c>
      <c r="Q57">
        <v>218.55</v>
      </c>
    </row>
    <row r="58" spans="1:17" x14ac:dyDescent="0.25">
      <c r="A58" t="s">
        <v>113</v>
      </c>
      <c r="B58">
        <v>4.1900000000000004</v>
      </c>
      <c r="C58">
        <v>6.04</v>
      </c>
      <c r="D58">
        <v>6.38</v>
      </c>
      <c r="E58">
        <v>6.63</v>
      </c>
      <c r="F58">
        <v>8.6999999999999993</v>
      </c>
      <c r="G58">
        <v>9.14</v>
      </c>
      <c r="H58">
        <v>10.06</v>
      </c>
      <c r="I58">
        <v>14.09</v>
      </c>
      <c r="J58">
        <v>10.9</v>
      </c>
      <c r="K58">
        <v>9.7200000000000006</v>
      </c>
      <c r="L58">
        <v>11.07</v>
      </c>
      <c r="M58">
        <v>18.149999999999999</v>
      </c>
      <c r="N58">
        <v>30.27</v>
      </c>
      <c r="O58">
        <v>30.92</v>
      </c>
      <c r="P58">
        <v>83</v>
      </c>
      <c r="Q58">
        <v>107</v>
      </c>
    </row>
    <row r="59" spans="1:17" x14ac:dyDescent="0.25">
      <c r="A59" t="s">
        <v>115</v>
      </c>
      <c r="B59">
        <v>10.63</v>
      </c>
      <c r="C59">
        <v>17.100000000000001</v>
      </c>
      <c r="D59">
        <v>19.77</v>
      </c>
      <c r="E59">
        <v>25.53</v>
      </c>
      <c r="F59">
        <v>35.26</v>
      </c>
      <c r="G59">
        <v>39.5</v>
      </c>
      <c r="H59">
        <v>41.49</v>
      </c>
      <c r="I59">
        <v>41.9</v>
      </c>
      <c r="J59">
        <v>42.36</v>
      </c>
      <c r="K59">
        <v>46.66</v>
      </c>
      <c r="L59">
        <v>53.23</v>
      </c>
      <c r="M59">
        <v>59.6</v>
      </c>
      <c r="N59">
        <v>75.739999999999995</v>
      </c>
      <c r="O59">
        <v>88.74</v>
      </c>
      <c r="P59">
        <v>158</v>
      </c>
      <c r="Q59">
        <v>188</v>
      </c>
    </row>
    <row r="60" spans="1:17" x14ac:dyDescent="0.25">
      <c r="A60" t="s">
        <v>87</v>
      </c>
      <c r="B60">
        <v>29.75</v>
      </c>
      <c r="C60">
        <v>29.98</v>
      </c>
      <c r="D60">
        <v>24.75</v>
      </c>
      <c r="E60">
        <v>24.52</v>
      </c>
      <c r="F60">
        <v>20.75</v>
      </c>
      <c r="G60">
        <v>36.71</v>
      </c>
      <c r="H60">
        <v>49.74</v>
      </c>
      <c r="I60">
        <v>42.36</v>
      </c>
      <c r="J60">
        <v>44.66</v>
      </c>
      <c r="K60">
        <v>41.57</v>
      </c>
      <c r="L60">
        <v>46.07</v>
      </c>
      <c r="M60">
        <v>53.22</v>
      </c>
      <c r="N60">
        <v>42.03</v>
      </c>
      <c r="O60">
        <v>28.1</v>
      </c>
      <c r="P60">
        <v>13.23</v>
      </c>
      <c r="Q60">
        <v>9.9700000000000006</v>
      </c>
    </row>
    <row r="61" spans="1:17" x14ac:dyDescent="0.25">
      <c r="A61" t="s">
        <v>484</v>
      </c>
      <c r="B61">
        <v>1.1299999999999999</v>
      </c>
      <c r="C61">
        <v>0.33</v>
      </c>
      <c r="D61">
        <v>1.02</v>
      </c>
      <c r="E61">
        <v>1.72</v>
      </c>
      <c r="F61">
        <v>0.86</v>
      </c>
      <c r="G61">
        <v>1.1100000000000001</v>
      </c>
      <c r="H61">
        <v>5.41</v>
      </c>
      <c r="I61">
        <v>5.64</v>
      </c>
      <c r="J61">
        <v>5.62</v>
      </c>
      <c r="K61">
        <v>6.32</v>
      </c>
      <c r="L61">
        <v>9.43</v>
      </c>
      <c r="M61">
        <v>6.83</v>
      </c>
      <c r="N61">
        <v>3.5</v>
      </c>
      <c r="O61">
        <v>3.65</v>
      </c>
      <c r="P61">
        <v>3.75</v>
      </c>
      <c r="Q61">
        <v>3.87</v>
      </c>
    </row>
    <row r="62" spans="1:17" x14ac:dyDescent="0.25">
      <c r="A62" t="s">
        <v>119</v>
      </c>
      <c r="B62">
        <v>-1.41</v>
      </c>
      <c r="C62">
        <v>4.4800000000000004</v>
      </c>
      <c r="D62">
        <v>11.17</v>
      </c>
      <c r="E62">
        <v>21</v>
      </c>
      <c r="F62">
        <v>84.53</v>
      </c>
      <c r="G62">
        <v>-9.7799999999999994</v>
      </c>
      <c r="H62">
        <v>-51.39</v>
      </c>
      <c r="I62">
        <v>-51.22</v>
      </c>
      <c r="J62">
        <v>-54.16</v>
      </c>
      <c r="K62">
        <v>-66.400000000000006</v>
      </c>
      <c r="L62">
        <v>-56.04</v>
      </c>
      <c r="M62">
        <v>-186.73</v>
      </c>
      <c r="N62">
        <v>-46.7</v>
      </c>
      <c r="O62">
        <v>25.04</v>
      </c>
      <c r="P62">
        <v>657.55</v>
      </c>
      <c r="Q62" s="2">
        <v>1104.8599999999999</v>
      </c>
    </row>
    <row r="63" spans="1:17" x14ac:dyDescent="0.25">
      <c r="A63" t="s">
        <v>120</v>
      </c>
      <c r="C63">
        <v>0.2</v>
      </c>
      <c r="D63">
        <v>0.38</v>
      </c>
      <c r="E63">
        <v>-10.23</v>
      </c>
      <c r="F63">
        <v>10.58</v>
      </c>
      <c r="G63">
        <v>-7.63</v>
      </c>
      <c r="H63">
        <v>14.66</v>
      </c>
      <c r="I63">
        <v>7.23</v>
      </c>
      <c r="J63">
        <v>0</v>
      </c>
      <c r="K63">
        <v>0</v>
      </c>
      <c r="L63">
        <v>0.01</v>
      </c>
      <c r="M63">
        <v>0</v>
      </c>
      <c r="N63">
        <v>-8.48</v>
      </c>
      <c r="O63">
        <v>16.96</v>
      </c>
      <c r="P63">
        <v>129.38999999999999</v>
      </c>
      <c r="Q63">
        <v>285.85000000000002</v>
      </c>
    </row>
    <row r="64" spans="1:17" x14ac:dyDescent="0.25">
      <c r="A64" t="s">
        <v>124</v>
      </c>
      <c r="B64">
        <v>-0.14000000000000001</v>
      </c>
      <c r="C64">
        <v>0.28000000000000003</v>
      </c>
      <c r="D64">
        <v>0.65</v>
      </c>
      <c r="E64">
        <v>1.76</v>
      </c>
      <c r="F64">
        <v>3.67</v>
      </c>
      <c r="G64">
        <v>-0.11</v>
      </c>
      <c r="H64">
        <v>-3.31</v>
      </c>
      <c r="I64">
        <v>-2.67</v>
      </c>
      <c r="J64">
        <v>-2.0099999999999998</v>
      </c>
      <c r="K64">
        <v>-2.38</v>
      </c>
      <c r="L64">
        <v>-1.75</v>
      </c>
      <c r="M64">
        <v>-4.5</v>
      </c>
      <c r="N64">
        <v>-0.64</v>
      </c>
      <c r="O64">
        <v>-0.05</v>
      </c>
      <c r="P64">
        <v>4.9000000000000004</v>
      </c>
      <c r="Q64">
        <v>8.66</v>
      </c>
    </row>
    <row r="65" spans="1:17" x14ac:dyDescent="0.25">
      <c r="A65" t="s">
        <v>17</v>
      </c>
    </row>
    <row r="66" spans="1:17" x14ac:dyDescent="0.25">
      <c r="A66" t="s">
        <v>125</v>
      </c>
    </row>
    <row r="67" spans="1:17" x14ac:dyDescent="0.25">
      <c r="A67" t="s">
        <v>535</v>
      </c>
      <c r="B67">
        <v>100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</row>
    <row r="68" spans="1:17" x14ac:dyDescent="0.25">
      <c r="A68" t="s">
        <v>17</v>
      </c>
    </row>
    <row r="69" spans="1:17" x14ac:dyDescent="0.25">
      <c r="A69" t="s">
        <v>134</v>
      </c>
    </row>
    <row r="70" spans="1:17" x14ac:dyDescent="0.25">
      <c r="A70" t="s">
        <v>135</v>
      </c>
    </row>
    <row r="71" spans="1:17" x14ac:dyDescent="0.25">
      <c r="A71" t="s">
        <v>136</v>
      </c>
      <c r="B71">
        <v>77.94</v>
      </c>
      <c r="C71">
        <v>113.24</v>
      </c>
      <c r="D71">
        <v>153.93</v>
      </c>
      <c r="E71">
        <v>157.55000000000001</v>
      </c>
      <c r="F71">
        <v>229.66</v>
      </c>
      <c r="G71">
        <v>194.28</v>
      </c>
      <c r="H71">
        <v>192.8</v>
      </c>
      <c r="I71">
        <v>209.17</v>
      </c>
      <c r="J71">
        <v>194.08</v>
      </c>
      <c r="K71">
        <v>183.16</v>
      </c>
      <c r="L71">
        <v>172.61</v>
      </c>
      <c r="M71">
        <v>301.27</v>
      </c>
      <c r="N71">
        <v>675.73</v>
      </c>
      <c r="O71" s="2">
        <v>1571.38</v>
      </c>
      <c r="P71" s="2">
        <v>2754.69</v>
      </c>
      <c r="Q71" s="2">
        <v>4145.0200000000004</v>
      </c>
    </row>
    <row r="72" spans="1:17" x14ac:dyDescent="0.25">
      <c r="A72" t="s">
        <v>536</v>
      </c>
      <c r="B72">
        <v>22.01</v>
      </c>
      <c r="C72">
        <v>32.18</v>
      </c>
      <c r="D72">
        <v>28.07</v>
      </c>
      <c r="E72">
        <v>50.22</v>
      </c>
      <c r="F72">
        <v>82.94</v>
      </c>
      <c r="G72">
        <v>55.65</v>
      </c>
      <c r="H72">
        <v>59.98</v>
      </c>
      <c r="I72">
        <v>43.43</v>
      </c>
      <c r="J72">
        <v>34.659999999999997</v>
      </c>
      <c r="K72">
        <v>24.69</v>
      </c>
      <c r="L72">
        <v>45.37</v>
      </c>
      <c r="M72">
        <v>67.430000000000007</v>
      </c>
      <c r="N72">
        <v>206.14</v>
      </c>
      <c r="O72">
        <v>630</v>
      </c>
      <c r="P72">
        <v>493</v>
      </c>
      <c r="Q72" s="2">
        <v>1278</v>
      </c>
    </row>
    <row r="73" spans="1:17" x14ac:dyDescent="0.25">
      <c r="A73" t="s">
        <v>141</v>
      </c>
      <c r="B73">
        <v>22.09</v>
      </c>
      <c r="C73">
        <v>31.59</v>
      </c>
      <c r="D73">
        <v>38.78</v>
      </c>
      <c r="E73">
        <v>49.77</v>
      </c>
      <c r="F73">
        <v>59.85</v>
      </c>
      <c r="G73">
        <v>30.53</v>
      </c>
      <c r="H73">
        <v>34.659999999999997</v>
      </c>
      <c r="I73">
        <v>43.04</v>
      </c>
      <c r="J73">
        <v>47.94</v>
      </c>
      <c r="K73">
        <v>61.18</v>
      </c>
      <c r="L73">
        <v>48.07</v>
      </c>
      <c r="M73">
        <v>116.8</v>
      </c>
      <c r="N73">
        <v>244.4</v>
      </c>
      <c r="O73">
        <v>495.76</v>
      </c>
      <c r="P73">
        <v>945.6</v>
      </c>
      <c r="Q73" s="2">
        <v>1623.01</v>
      </c>
    </row>
    <row r="74" spans="1:17" x14ac:dyDescent="0.25">
      <c r="A74" t="s">
        <v>340</v>
      </c>
      <c r="B74">
        <v>19.61</v>
      </c>
      <c r="C74">
        <v>33.78</v>
      </c>
      <c r="D74">
        <v>66.239999999999995</v>
      </c>
      <c r="E74">
        <v>51.82</v>
      </c>
      <c r="F74">
        <v>75.77</v>
      </c>
      <c r="G74">
        <v>93.26</v>
      </c>
      <c r="H74">
        <v>85.03</v>
      </c>
      <c r="I74">
        <v>110.4</v>
      </c>
      <c r="J74">
        <v>92.52</v>
      </c>
      <c r="K74">
        <v>79.680000000000007</v>
      </c>
      <c r="L74">
        <v>63.87</v>
      </c>
      <c r="M74">
        <v>88.14</v>
      </c>
      <c r="N74">
        <v>183.11</v>
      </c>
      <c r="O74">
        <v>328.42</v>
      </c>
      <c r="P74">
        <v>568.24</v>
      </c>
      <c r="Q74">
        <v>871.87</v>
      </c>
    </row>
    <row r="75" spans="1:17" x14ac:dyDescent="0.25">
      <c r="A75" t="s">
        <v>537</v>
      </c>
      <c r="B75">
        <v>5.49</v>
      </c>
      <c r="C75">
        <v>6.02</v>
      </c>
      <c r="D75">
        <v>8.24</v>
      </c>
      <c r="E75">
        <v>3.97</v>
      </c>
      <c r="F75">
        <v>10.06</v>
      </c>
      <c r="G75">
        <v>12.48</v>
      </c>
      <c r="H75">
        <v>6.09</v>
      </c>
      <c r="I75">
        <v>5.21</v>
      </c>
      <c r="J75">
        <v>4.33</v>
      </c>
      <c r="K75">
        <v>6.38</v>
      </c>
      <c r="L75">
        <v>5.35</v>
      </c>
      <c r="M75">
        <v>17.2</v>
      </c>
      <c r="N75">
        <v>32.18</v>
      </c>
      <c r="O75">
        <v>88.32</v>
      </c>
      <c r="P75">
        <v>88.32</v>
      </c>
      <c r="Q75">
        <v>88.32</v>
      </c>
    </row>
    <row r="76" spans="1:17" x14ac:dyDescent="0.25">
      <c r="A76" t="s">
        <v>146</v>
      </c>
      <c r="B76">
        <v>33.119999999999997</v>
      </c>
      <c r="C76">
        <v>70.430000000000007</v>
      </c>
      <c r="D76">
        <v>119.55</v>
      </c>
      <c r="E76">
        <v>164.77</v>
      </c>
      <c r="F76">
        <v>223.29</v>
      </c>
      <c r="G76">
        <v>272.57</v>
      </c>
      <c r="H76">
        <v>274.02</v>
      </c>
      <c r="I76">
        <v>271.64</v>
      </c>
      <c r="J76">
        <v>260.38</v>
      </c>
      <c r="K76">
        <v>225.1</v>
      </c>
      <c r="L76">
        <v>216.58</v>
      </c>
      <c r="M76">
        <v>245.76</v>
      </c>
      <c r="N76">
        <v>492.7</v>
      </c>
    </row>
    <row r="77" spans="1:17" x14ac:dyDescent="0.25">
      <c r="A77" t="s">
        <v>148</v>
      </c>
      <c r="B77">
        <v>31.13</v>
      </c>
      <c r="C77">
        <v>64.81</v>
      </c>
      <c r="D77">
        <v>109.7</v>
      </c>
      <c r="E77">
        <v>144.1</v>
      </c>
      <c r="F77">
        <v>197.94</v>
      </c>
      <c r="G77">
        <v>234.21</v>
      </c>
      <c r="H77">
        <v>248.44</v>
      </c>
      <c r="I77">
        <v>252.98</v>
      </c>
      <c r="J77">
        <v>243.04</v>
      </c>
      <c r="K77">
        <v>210.18</v>
      </c>
      <c r="L77">
        <v>200.32</v>
      </c>
      <c r="M77">
        <v>219.24</v>
      </c>
      <c r="N77">
        <v>376.05</v>
      </c>
      <c r="O77">
        <v>754.54</v>
      </c>
      <c r="P77">
        <v>995.65</v>
      </c>
      <c r="Q77" s="2">
        <v>1242.71</v>
      </c>
    </row>
    <row r="78" spans="1:17" x14ac:dyDescent="0.25">
      <c r="A78" t="s">
        <v>538</v>
      </c>
      <c r="C78">
        <v>3.83</v>
      </c>
      <c r="D78">
        <v>3.9</v>
      </c>
      <c r="E78">
        <v>3.99</v>
      </c>
      <c r="F78">
        <v>4.01</v>
      </c>
      <c r="G78">
        <v>3.98</v>
      </c>
      <c r="H78">
        <v>4.08</v>
      </c>
      <c r="I78">
        <v>4</v>
      </c>
      <c r="J78">
        <v>3.84</v>
      </c>
      <c r="K78">
        <v>3.7</v>
      </c>
      <c r="L78">
        <v>3.63</v>
      </c>
      <c r="M78">
        <v>3.68</v>
      </c>
      <c r="N78">
        <v>3.62</v>
      </c>
      <c r="O78">
        <v>3.63</v>
      </c>
      <c r="P78">
        <v>3.63</v>
      </c>
      <c r="Q78">
        <v>3.63</v>
      </c>
    </row>
    <row r="79" spans="1:17" x14ac:dyDescent="0.25">
      <c r="A79" t="s">
        <v>539</v>
      </c>
      <c r="H79">
        <v>7.77</v>
      </c>
      <c r="I79">
        <v>7.73</v>
      </c>
      <c r="J79">
        <v>7.08</v>
      </c>
      <c r="K79">
        <v>5.57</v>
      </c>
      <c r="L79">
        <v>5.03</v>
      </c>
      <c r="M79">
        <v>9.65</v>
      </c>
      <c r="N79">
        <v>49.7</v>
      </c>
    </row>
    <row r="80" spans="1:17" x14ac:dyDescent="0.25">
      <c r="A80" t="s">
        <v>540</v>
      </c>
      <c r="B80">
        <v>0.85</v>
      </c>
      <c r="C80">
        <v>4.76</v>
      </c>
      <c r="D80">
        <v>4.75</v>
      </c>
      <c r="E80">
        <v>4.7699999999999996</v>
      </c>
      <c r="F80">
        <v>4.8099999999999996</v>
      </c>
      <c r="G80">
        <v>9.7899999999999991</v>
      </c>
      <c r="H80">
        <v>9.68</v>
      </c>
      <c r="I80">
        <v>5.85</v>
      </c>
      <c r="J80">
        <v>5.86</v>
      </c>
      <c r="K80">
        <v>5.24</v>
      </c>
      <c r="L80">
        <v>5.03</v>
      </c>
      <c r="M80">
        <v>4.84</v>
      </c>
      <c r="N80">
        <v>4.83</v>
      </c>
    </row>
    <row r="81" spans="1:17" x14ac:dyDescent="0.25">
      <c r="A81" t="s">
        <v>541</v>
      </c>
      <c r="B81">
        <v>1.1399999999999999</v>
      </c>
      <c r="C81">
        <v>0.86</v>
      </c>
      <c r="D81">
        <v>5.09</v>
      </c>
      <c r="E81">
        <v>4.4800000000000004</v>
      </c>
      <c r="F81">
        <v>7.73</v>
      </c>
      <c r="G81">
        <v>6.85</v>
      </c>
      <c r="H81">
        <v>0.72</v>
      </c>
      <c r="I81">
        <v>0.98</v>
      </c>
      <c r="J81">
        <v>0.52</v>
      </c>
      <c r="K81">
        <v>0.39</v>
      </c>
      <c r="L81">
        <v>2.58</v>
      </c>
      <c r="M81">
        <v>8.3699999999999992</v>
      </c>
      <c r="N81">
        <v>58.5</v>
      </c>
    </row>
    <row r="82" spans="1:17" x14ac:dyDescent="0.25">
      <c r="A82" t="s">
        <v>155</v>
      </c>
      <c r="B82">
        <v>111.06</v>
      </c>
      <c r="C82">
        <v>183.67</v>
      </c>
      <c r="D82">
        <v>273.48</v>
      </c>
      <c r="E82">
        <v>322.32</v>
      </c>
      <c r="F82">
        <v>452.95</v>
      </c>
      <c r="G82">
        <v>466.84</v>
      </c>
      <c r="H82">
        <v>466.83</v>
      </c>
      <c r="I82">
        <v>480.81</v>
      </c>
      <c r="J82">
        <v>454.46</v>
      </c>
      <c r="K82">
        <v>408.26</v>
      </c>
      <c r="L82">
        <v>389.19</v>
      </c>
      <c r="M82">
        <v>547.03</v>
      </c>
      <c r="N82" s="2">
        <v>1168.42</v>
      </c>
      <c r="O82" s="2">
        <v>2590.54</v>
      </c>
      <c r="P82" s="2">
        <v>4012.96</v>
      </c>
      <c r="Q82" s="2">
        <v>5649.35</v>
      </c>
    </row>
    <row r="83" spans="1:17" x14ac:dyDescent="0.25">
      <c r="A83" t="s">
        <v>17</v>
      </c>
    </row>
    <row r="84" spans="1:17" x14ac:dyDescent="0.25">
      <c r="A84" t="s">
        <v>156</v>
      </c>
    </row>
    <row r="85" spans="1:17" x14ac:dyDescent="0.25">
      <c r="A85" t="s">
        <v>157</v>
      </c>
      <c r="B85">
        <v>39.06</v>
      </c>
      <c r="C85">
        <v>48.6</v>
      </c>
      <c r="D85">
        <v>74.08</v>
      </c>
      <c r="E85">
        <v>59.97</v>
      </c>
      <c r="F85">
        <v>70.709999999999994</v>
      </c>
      <c r="G85">
        <v>77.42</v>
      </c>
      <c r="H85">
        <v>91.36</v>
      </c>
      <c r="I85">
        <v>103.15</v>
      </c>
      <c r="J85">
        <v>108.96</v>
      </c>
      <c r="K85">
        <v>138.58000000000001</v>
      </c>
      <c r="L85">
        <v>93.36</v>
      </c>
      <c r="M85">
        <v>170.07</v>
      </c>
      <c r="N85">
        <v>257.27999999999997</v>
      </c>
      <c r="O85">
        <v>562.30999999999995</v>
      </c>
      <c r="P85" s="2">
        <v>1155.3800000000001</v>
      </c>
      <c r="Q85" s="2">
        <v>1620.37</v>
      </c>
    </row>
    <row r="86" spans="1:17" x14ac:dyDescent="0.25">
      <c r="A86" t="s">
        <v>158</v>
      </c>
      <c r="B86">
        <v>15.01</v>
      </c>
      <c r="C86">
        <v>30.98</v>
      </c>
      <c r="D86">
        <v>28.67</v>
      </c>
      <c r="E86">
        <v>36.380000000000003</v>
      </c>
      <c r="F86">
        <v>43.62</v>
      </c>
      <c r="G86">
        <v>29.91</v>
      </c>
      <c r="H86">
        <v>32.83</v>
      </c>
      <c r="I86">
        <v>29.48</v>
      </c>
      <c r="J86">
        <v>34.4</v>
      </c>
      <c r="K86">
        <v>47.85</v>
      </c>
      <c r="L86">
        <v>32.89</v>
      </c>
      <c r="M86">
        <v>104.97</v>
      </c>
      <c r="N86">
        <v>143.93</v>
      </c>
      <c r="O86">
        <v>494.15</v>
      </c>
      <c r="P86">
        <v>817.71</v>
      </c>
      <c r="Q86" s="2">
        <v>1748.42</v>
      </c>
    </row>
    <row r="87" spans="1:17" x14ac:dyDescent="0.25">
      <c r="A87" t="s">
        <v>315</v>
      </c>
      <c r="B87">
        <v>17.190000000000001</v>
      </c>
      <c r="C87">
        <v>9.59</v>
      </c>
      <c r="D87">
        <v>30.91</v>
      </c>
      <c r="E87">
        <v>7.87</v>
      </c>
      <c r="F87">
        <v>0.56000000000000005</v>
      </c>
      <c r="G87">
        <v>23.59</v>
      </c>
      <c r="H87">
        <v>33.369999999999997</v>
      </c>
      <c r="I87">
        <v>38.270000000000003</v>
      </c>
      <c r="J87">
        <v>49.69</v>
      </c>
      <c r="K87">
        <v>57.07</v>
      </c>
      <c r="L87">
        <v>23.2</v>
      </c>
      <c r="M87">
        <v>22.37</v>
      </c>
      <c r="N87">
        <v>33.979999999999997</v>
      </c>
      <c r="O87">
        <v>37.61</v>
      </c>
      <c r="P87">
        <v>37.61</v>
      </c>
      <c r="Q87">
        <v>37.61</v>
      </c>
    </row>
    <row r="88" spans="1:17" x14ac:dyDescent="0.25">
      <c r="A88" t="s">
        <v>542</v>
      </c>
      <c r="B88">
        <v>13.26</v>
      </c>
      <c r="D88">
        <v>27.32</v>
      </c>
      <c r="E88">
        <v>0</v>
      </c>
      <c r="F88">
        <v>0</v>
      </c>
      <c r="H88">
        <v>6.31</v>
      </c>
      <c r="I88">
        <v>15.86</v>
      </c>
      <c r="J88">
        <v>8.1999999999999993</v>
      </c>
      <c r="K88">
        <v>12.34</v>
      </c>
      <c r="L88">
        <v>15.48</v>
      </c>
      <c r="M88">
        <v>19.260000000000002</v>
      </c>
      <c r="N88">
        <v>33.36</v>
      </c>
    </row>
    <row r="89" spans="1:17" x14ac:dyDescent="0.25">
      <c r="A89" t="s">
        <v>543</v>
      </c>
      <c r="B89">
        <v>4.5199999999999996</v>
      </c>
      <c r="C89">
        <v>6.76</v>
      </c>
      <c r="D89">
        <v>11.51</v>
      </c>
      <c r="E89">
        <v>15.43</v>
      </c>
      <c r="F89">
        <v>19.100000000000001</v>
      </c>
      <c r="G89">
        <v>19.29</v>
      </c>
      <c r="H89">
        <v>17.86</v>
      </c>
      <c r="I89">
        <v>18.510000000000002</v>
      </c>
      <c r="J89">
        <v>15.59</v>
      </c>
      <c r="K89">
        <v>17.22</v>
      </c>
      <c r="L89">
        <v>18.55</v>
      </c>
      <c r="M89">
        <v>22.09</v>
      </c>
      <c r="N89">
        <v>42.49</v>
      </c>
    </row>
    <row r="90" spans="1:17" x14ac:dyDescent="0.25">
      <c r="A90" t="s">
        <v>164</v>
      </c>
      <c r="B90">
        <v>8.92</v>
      </c>
      <c r="C90">
        <v>20.059999999999999</v>
      </c>
      <c r="D90">
        <v>34</v>
      </c>
      <c r="E90">
        <v>34.96</v>
      </c>
      <c r="F90">
        <v>48.96</v>
      </c>
      <c r="G90">
        <v>60.33</v>
      </c>
      <c r="H90">
        <v>101.68</v>
      </c>
      <c r="I90">
        <v>99.77</v>
      </c>
      <c r="J90">
        <v>90.93</v>
      </c>
      <c r="K90">
        <v>85.01</v>
      </c>
      <c r="L90">
        <v>80.959999999999994</v>
      </c>
      <c r="M90">
        <v>147.85</v>
      </c>
      <c r="N90">
        <v>177.22</v>
      </c>
    </row>
    <row r="91" spans="1:17" x14ac:dyDescent="0.25">
      <c r="A91" t="s">
        <v>544</v>
      </c>
      <c r="H91">
        <v>8.08</v>
      </c>
      <c r="I91">
        <v>8.01</v>
      </c>
      <c r="J91">
        <v>7.25</v>
      </c>
      <c r="K91">
        <v>5.51</v>
      </c>
      <c r="L91">
        <v>4.7300000000000004</v>
      </c>
      <c r="M91">
        <v>9.0399999999999991</v>
      </c>
      <c r="N91">
        <v>47.39</v>
      </c>
      <c r="O91">
        <v>75.58</v>
      </c>
      <c r="P91">
        <v>75.58</v>
      </c>
      <c r="Q91">
        <v>75.58</v>
      </c>
    </row>
    <row r="92" spans="1:17" x14ac:dyDescent="0.25">
      <c r="A92" t="s">
        <v>545</v>
      </c>
      <c r="B92">
        <v>8.92</v>
      </c>
      <c r="C92">
        <v>19.059999999999999</v>
      </c>
      <c r="D92">
        <v>34</v>
      </c>
      <c r="E92">
        <v>34.96</v>
      </c>
      <c r="F92">
        <v>48.96</v>
      </c>
      <c r="G92">
        <v>60.33</v>
      </c>
      <c r="H92">
        <v>93.59</v>
      </c>
      <c r="I92">
        <v>91.76</v>
      </c>
      <c r="J92">
        <v>83.68</v>
      </c>
      <c r="K92">
        <v>79.510000000000005</v>
      </c>
      <c r="L92">
        <v>76.23</v>
      </c>
      <c r="M92">
        <v>138.81</v>
      </c>
      <c r="N92">
        <v>129.83000000000001</v>
      </c>
      <c r="O92">
        <v>128.19</v>
      </c>
      <c r="P92">
        <v>126.29</v>
      </c>
      <c r="Q92">
        <v>124.39</v>
      </c>
    </row>
    <row r="93" spans="1:17" x14ac:dyDescent="0.25">
      <c r="A93" t="s">
        <v>167</v>
      </c>
      <c r="B93">
        <v>47.98</v>
      </c>
      <c r="C93">
        <v>68.66</v>
      </c>
      <c r="D93">
        <v>108.08</v>
      </c>
      <c r="E93">
        <v>94.93</v>
      </c>
      <c r="F93">
        <v>119.67</v>
      </c>
      <c r="G93">
        <v>137.75</v>
      </c>
      <c r="H93">
        <v>193.03</v>
      </c>
      <c r="I93">
        <v>202.91</v>
      </c>
      <c r="J93">
        <v>199.89</v>
      </c>
      <c r="K93">
        <v>223.59</v>
      </c>
      <c r="L93">
        <v>174.32</v>
      </c>
      <c r="M93">
        <v>317.92</v>
      </c>
      <c r="N93">
        <v>434.51</v>
      </c>
      <c r="O93">
        <v>753.2</v>
      </c>
      <c r="P93" s="2">
        <v>1344.81</v>
      </c>
      <c r="Q93" s="2">
        <v>1809.36</v>
      </c>
    </row>
    <row r="94" spans="1:17" x14ac:dyDescent="0.25">
      <c r="A94" t="s">
        <v>170</v>
      </c>
      <c r="B94">
        <v>63.08</v>
      </c>
      <c r="C94">
        <v>115.01</v>
      </c>
      <c r="D94">
        <v>165.4</v>
      </c>
      <c r="E94">
        <v>227.38</v>
      </c>
      <c r="F94">
        <v>333.28</v>
      </c>
      <c r="G94">
        <v>329.09</v>
      </c>
      <c r="H94">
        <v>273.79000000000002</v>
      </c>
      <c r="I94">
        <v>277.89</v>
      </c>
      <c r="J94">
        <v>254.57</v>
      </c>
      <c r="K94">
        <v>184.67</v>
      </c>
      <c r="L94">
        <v>214.87</v>
      </c>
      <c r="M94">
        <v>229.11</v>
      </c>
      <c r="N94">
        <v>733.92</v>
      </c>
      <c r="O94" s="2">
        <v>1747.67</v>
      </c>
      <c r="P94" s="2">
        <v>2302</v>
      </c>
      <c r="Q94" s="2">
        <v>3840</v>
      </c>
    </row>
    <row r="95" spans="1:17" x14ac:dyDescent="0.25">
      <c r="A95" t="s">
        <v>326</v>
      </c>
      <c r="B95">
        <v>111.06</v>
      </c>
      <c r="C95">
        <v>183.67</v>
      </c>
      <c r="D95">
        <v>273.48</v>
      </c>
      <c r="E95">
        <v>322.32</v>
      </c>
      <c r="F95">
        <v>452.95</v>
      </c>
      <c r="G95">
        <v>466.84</v>
      </c>
      <c r="H95">
        <v>466.83</v>
      </c>
      <c r="I95">
        <v>480.81</v>
      </c>
      <c r="J95">
        <v>454.46</v>
      </c>
      <c r="K95">
        <v>408.26</v>
      </c>
      <c r="L95">
        <v>389.19</v>
      </c>
      <c r="M95">
        <v>547.03</v>
      </c>
      <c r="N95" s="2">
        <v>1168.42</v>
      </c>
      <c r="O95" s="2">
        <v>2590.54</v>
      </c>
      <c r="P95" s="2">
        <v>4012.96</v>
      </c>
      <c r="Q95" s="2">
        <v>5649.35</v>
      </c>
    </row>
    <row r="96" spans="1:17" x14ac:dyDescent="0.25">
      <c r="A96" t="s">
        <v>17</v>
      </c>
    </row>
    <row r="97" spans="1:17" x14ac:dyDescent="0.25">
      <c r="A97" t="s">
        <v>176</v>
      </c>
    </row>
    <row r="98" spans="1:17" x14ac:dyDescent="0.25">
      <c r="A98" t="s">
        <v>424</v>
      </c>
      <c r="B98">
        <v>4.99</v>
      </c>
      <c r="C98">
        <v>7.76</v>
      </c>
      <c r="D98">
        <v>9.82</v>
      </c>
      <c r="E98">
        <v>12.36</v>
      </c>
      <c r="F98">
        <v>16.82</v>
      </c>
      <c r="G98">
        <v>16.61</v>
      </c>
      <c r="H98">
        <v>13.59</v>
      </c>
      <c r="I98">
        <v>11.07</v>
      </c>
      <c r="J98">
        <v>9.32</v>
      </c>
      <c r="K98">
        <v>6.45</v>
      </c>
      <c r="L98">
        <v>5.63</v>
      </c>
      <c r="M98">
        <v>4.6399999999999997</v>
      </c>
      <c r="N98">
        <v>9.7899999999999991</v>
      </c>
      <c r="O98">
        <v>13.39</v>
      </c>
      <c r="P98">
        <v>27.35</v>
      </c>
      <c r="Q98">
        <v>36.229999999999997</v>
      </c>
    </row>
    <row r="99" spans="1:17" x14ac:dyDescent="0.25">
      <c r="A99" t="s">
        <v>17</v>
      </c>
    </row>
    <row r="100" spans="1:17" x14ac:dyDescent="0.25">
      <c r="A100" t="s">
        <v>188</v>
      </c>
    </row>
    <row r="101" spans="1:17" x14ac:dyDescent="0.25">
      <c r="A101" t="s">
        <v>189</v>
      </c>
    </row>
    <row r="102" spans="1:17" x14ac:dyDescent="0.25">
      <c r="A102" t="s">
        <v>121</v>
      </c>
      <c r="B102">
        <v>-1.41</v>
      </c>
      <c r="C102">
        <v>4.28</v>
      </c>
      <c r="D102">
        <v>10.79</v>
      </c>
      <c r="E102">
        <v>31.23</v>
      </c>
      <c r="F102">
        <v>73.95</v>
      </c>
      <c r="G102">
        <v>-2.15</v>
      </c>
      <c r="H102">
        <v>-66.05</v>
      </c>
      <c r="I102">
        <v>-58.45</v>
      </c>
      <c r="J102">
        <v>-54.16</v>
      </c>
      <c r="K102">
        <v>-66.400000000000006</v>
      </c>
      <c r="L102">
        <v>-56.05</v>
      </c>
      <c r="M102">
        <v>-186.73</v>
      </c>
      <c r="N102">
        <v>-38.229999999999997</v>
      </c>
      <c r="O102">
        <v>14.04</v>
      </c>
      <c r="P102">
        <v>584.75</v>
      </c>
      <c r="Q102" s="2">
        <v>1111</v>
      </c>
    </row>
    <row r="103" spans="1:17" x14ac:dyDescent="0.25">
      <c r="A103" t="s">
        <v>190</v>
      </c>
      <c r="B103">
        <v>3.41</v>
      </c>
      <c r="C103">
        <v>6.17</v>
      </c>
      <c r="D103">
        <v>9.42</v>
      </c>
      <c r="E103">
        <v>14.19</v>
      </c>
      <c r="F103">
        <v>20.38</v>
      </c>
      <c r="G103">
        <v>29.7</v>
      </c>
      <c r="H103">
        <v>24.01</v>
      </c>
      <c r="I103">
        <v>24.73</v>
      </c>
      <c r="J103">
        <v>25.37</v>
      </c>
      <c r="K103">
        <v>23.2</v>
      </c>
      <c r="L103">
        <v>20.43</v>
      </c>
      <c r="M103">
        <v>20.65</v>
      </c>
      <c r="N103">
        <v>27.7</v>
      </c>
      <c r="O103">
        <v>46.57</v>
      </c>
      <c r="P103">
        <v>56.54</v>
      </c>
      <c r="Q103">
        <v>62.95</v>
      </c>
    </row>
    <row r="104" spans="1:17" x14ac:dyDescent="0.25">
      <c r="A104" t="s">
        <v>191</v>
      </c>
      <c r="B104">
        <v>3.3</v>
      </c>
      <c r="C104">
        <v>5.8</v>
      </c>
      <c r="D104">
        <v>9.01</v>
      </c>
      <c r="E104">
        <v>13.73</v>
      </c>
      <c r="F104">
        <v>19.899999999999999</v>
      </c>
      <c r="G104">
        <v>29.2</v>
      </c>
      <c r="H104">
        <v>23.5</v>
      </c>
      <c r="I104">
        <v>24.2</v>
      </c>
      <c r="J104">
        <v>24.8</v>
      </c>
      <c r="K104">
        <v>22.6</v>
      </c>
      <c r="L104">
        <v>19.7</v>
      </c>
      <c r="M104">
        <v>20.2</v>
      </c>
      <c r="N104">
        <v>27.2</v>
      </c>
      <c r="O104">
        <v>37.9</v>
      </c>
      <c r="P104">
        <v>44.67</v>
      </c>
      <c r="Q104">
        <v>62.95</v>
      </c>
    </row>
    <row r="105" spans="1:17" x14ac:dyDescent="0.25">
      <c r="A105" t="s">
        <v>192</v>
      </c>
      <c r="B105">
        <v>7.0000000000000007E-2</v>
      </c>
      <c r="C105">
        <v>0.36</v>
      </c>
      <c r="D105">
        <v>0.41</v>
      </c>
      <c r="E105">
        <v>0.45</v>
      </c>
      <c r="F105">
        <v>0.49</v>
      </c>
      <c r="G105">
        <v>0.51</v>
      </c>
      <c r="H105">
        <v>0.54</v>
      </c>
      <c r="I105">
        <v>0.5</v>
      </c>
      <c r="J105">
        <v>0.6</v>
      </c>
      <c r="K105">
        <v>0.62</v>
      </c>
      <c r="L105">
        <v>0.73</v>
      </c>
      <c r="M105">
        <v>0.4</v>
      </c>
      <c r="N105">
        <v>0.4</v>
      </c>
      <c r="O105">
        <v>0.49</v>
      </c>
      <c r="P105">
        <v>0.49</v>
      </c>
      <c r="Q105">
        <v>0.49</v>
      </c>
    </row>
    <row r="106" spans="1:17" x14ac:dyDescent="0.25">
      <c r="A106" t="s">
        <v>546</v>
      </c>
      <c r="E106">
        <v>-11.43</v>
      </c>
      <c r="F106">
        <v>-0.11</v>
      </c>
      <c r="G106">
        <v>-8.9600000000000009</v>
      </c>
      <c r="H106">
        <v>14.57</v>
      </c>
      <c r="I106">
        <v>7.35</v>
      </c>
      <c r="J106">
        <v>0</v>
      </c>
      <c r="K106">
        <v>0</v>
      </c>
      <c r="N106">
        <v>-7.58</v>
      </c>
      <c r="O106">
        <v>1.37</v>
      </c>
    </row>
    <row r="107" spans="1:17" x14ac:dyDescent="0.25">
      <c r="A107" t="s">
        <v>547</v>
      </c>
      <c r="I107">
        <v>0.03</v>
      </c>
      <c r="J107">
        <v>-0.03</v>
      </c>
      <c r="K107">
        <v>0</v>
      </c>
      <c r="L107">
        <v>-0.02</v>
      </c>
      <c r="M107">
        <v>0</v>
      </c>
      <c r="N107">
        <v>0</v>
      </c>
      <c r="O107">
        <v>0.05</v>
      </c>
    </row>
    <row r="108" spans="1:17" x14ac:dyDescent="0.25">
      <c r="A108" t="s">
        <v>548</v>
      </c>
      <c r="C108">
        <v>0.94</v>
      </c>
      <c r="D108">
        <v>2.83</v>
      </c>
      <c r="E108">
        <v>3.71</v>
      </c>
      <c r="F108">
        <v>1.87</v>
      </c>
      <c r="G108">
        <v>7.17</v>
      </c>
      <c r="H108">
        <v>6.77</v>
      </c>
      <c r="I108">
        <v>3.93</v>
      </c>
      <c r="J108">
        <v>3.89</v>
      </c>
      <c r="K108">
        <v>4.9000000000000004</v>
      </c>
      <c r="L108">
        <v>8.73</v>
      </c>
      <c r="M108">
        <v>3.43</v>
      </c>
      <c r="N108">
        <v>7.8</v>
      </c>
      <c r="O108">
        <v>1.1299999999999999</v>
      </c>
    </row>
    <row r="109" spans="1:17" x14ac:dyDescent="0.25">
      <c r="A109" t="s">
        <v>549</v>
      </c>
      <c r="F109">
        <v>0.08</v>
      </c>
      <c r="G109">
        <v>0.04</v>
      </c>
      <c r="H109">
        <v>0.89</v>
      </c>
      <c r="I109">
        <v>0.9</v>
      </c>
      <c r="J109">
        <v>0.87</v>
      </c>
      <c r="K109">
        <v>0.9</v>
      </c>
      <c r="L109">
        <v>2.31</v>
      </c>
      <c r="M109">
        <v>1.43</v>
      </c>
      <c r="N109">
        <v>-1.02</v>
      </c>
      <c r="O109">
        <v>-0.51</v>
      </c>
    </row>
    <row r="110" spans="1:17" x14ac:dyDescent="0.25">
      <c r="A110" t="s">
        <v>550</v>
      </c>
      <c r="C110">
        <v>0.01</v>
      </c>
      <c r="D110">
        <v>0.08</v>
      </c>
      <c r="E110">
        <v>0.13</v>
      </c>
      <c r="F110">
        <v>0.1</v>
      </c>
      <c r="G110">
        <v>0.01</v>
      </c>
      <c r="H110">
        <v>0.01</v>
      </c>
      <c r="I110">
        <v>0.02</v>
      </c>
      <c r="J110">
        <v>0</v>
      </c>
      <c r="K110">
        <v>-0.05</v>
      </c>
      <c r="L110">
        <v>0.05</v>
      </c>
      <c r="M110">
        <v>0.13</v>
      </c>
      <c r="N110">
        <v>0.04</v>
      </c>
      <c r="O110">
        <v>0.24</v>
      </c>
    </row>
    <row r="111" spans="1:17" x14ac:dyDescent="0.25">
      <c r="A111" t="s">
        <v>551</v>
      </c>
    </row>
    <row r="112" spans="1:17" x14ac:dyDescent="0.25">
      <c r="A112" t="s">
        <v>141</v>
      </c>
      <c r="C112">
        <v>-9.6999999999999993</v>
      </c>
      <c r="D112">
        <v>-7.53</v>
      </c>
      <c r="E112">
        <v>-11.15</v>
      </c>
      <c r="F112">
        <v>-10.08</v>
      </c>
      <c r="G112">
        <v>29.32</v>
      </c>
      <c r="H112">
        <v>-4.3600000000000003</v>
      </c>
      <c r="I112">
        <v>-8.42</v>
      </c>
      <c r="J112">
        <v>-7.02</v>
      </c>
      <c r="K112">
        <v>-12.75</v>
      </c>
      <c r="L112">
        <v>13.13</v>
      </c>
      <c r="M112">
        <v>-68.73</v>
      </c>
      <c r="N112">
        <v>-127.6</v>
      </c>
      <c r="O112">
        <v>-421.1</v>
      </c>
      <c r="P112">
        <v>-348.34</v>
      </c>
      <c r="Q112">
        <v>-200.55</v>
      </c>
    </row>
    <row r="113" spans="1:17" x14ac:dyDescent="0.25">
      <c r="A113" t="s">
        <v>340</v>
      </c>
      <c r="B113">
        <v>-7.52</v>
      </c>
      <c r="C113">
        <v>-16.11</v>
      </c>
      <c r="D113">
        <v>-37.5</v>
      </c>
      <c r="E113">
        <v>10.210000000000001</v>
      </c>
      <c r="F113">
        <v>-21.88</v>
      </c>
      <c r="G113">
        <v>-28.4</v>
      </c>
      <c r="H113">
        <v>1.56</v>
      </c>
      <c r="I113">
        <v>-23.67</v>
      </c>
      <c r="J113">
        <v>15.79</v>
      </c>
      <c r="K113">
        <v>1.1499999999999999</v>
      </c>
      <c r="L113">
        <v>6.79</v>
      </c>
      <c r="M113">
        <v>-29.41</v>
      </c>
      <c r="N113">
        <v>-100.72</v>
      </c>
      <c r="O113">
        <v>-303.7</v>
      </c>
      <c r="P113">
        <v>-273.12</v>
      </c>
      <c r="Q113">
        <v>-121.68</v>
      </c>
    </row>
    <row r="114" spans="1:17" x14ac:dyDescent="0.25">
      <c r="A114" t="s">
        <v>158</v>
      </c>
      <c r="B114">
        <v>8.08</v>
      </c>
      <c r="C114">
        <v>18.95</v>
      </c>
      <c r="D114">
        <v>-1.26</v>
      </c>
      <c r="E114">
        <v>9.11</v>
      </c>
      <c r="F114">
        <v>7.25</v>
      </c>
      <c r="G114">
        <v>-13.71</v>
      </c>
      <c r="H114">
        <v>3.15</v>
      </c>
      <c r="I114">
        <v>-3.35</v>
      </c>
      <c r="J114">
        <v>7.07</v>
      </c>
      <c r="K114">
        <v>12.97</v>
      </c>
      <c r="L114">
        <v>-14.95</v>
      </c>
      <c r="M114">
        <v>72.08</v>
      </c>
      <c r="N114">
        <v>38.96</v>
      </c>
      <c r="O114">
        <v>234.02</v>
      </c>
      <c r="P114">
        <v>183.53</v>
      </c>
      <c r="Q114">
        <v>87.53</v>
      </c>
    </row>
    <row r="115" spans="1:17" x14ac:dyDescent="0.25">
      <c r="A115" t="s">
        <v>552</v>
      </c>
      <c r="H115">
        <v>0.85</v>
      </c>
      <c r="I115">
        <v>0.41</v>
      </c>
      <c r="J115">
        <v>0.85</v>
      </c>
      <c r="K115">
        <v>0.89</v>
      </c>
      <c r="L115">
        <v>0.53</v>
      </c>
      <c r="M115">
        <v>-5.03</v>
      </c>
      <c r="N115">
        <v>-40.9</v>
      </c>
      <c r="O115">
        <v>-42.43</v>
      </c>
      <c r="P115">
        <v>-34.79</v>
      </c>
      <c r="Q115">
        <v>-37.659999999999997</v>
      </c>
    </row>
    <row r="116" spans="1:17" x14ac:dyDescent="0.25">
      <c r="A116" t="s">
        <v>553</v>
      </c>
      <c r="H116">
        <v>-0.9</v>
      </c>
      <c r="I116">
        <v>-0.44</v>
      </c>
      <c r="J116">
        <v>-0.92</v>
      </c>
      <c r="K116">
        <v>-0.97</v>
      </c>
      <c r="L116">
        <v>-0.66</v>
      </c>
      <c r="M116">
        <v>5.01</v>
      </c>
      <c r="N116">
        <v>41.33</v>
      </c>
      <c r="O116">
        <v>23.59</v>
      </c>
    </row>
    <row r="117" spans="1:17" x14ac:dyDescent="0.25">
      <c r="A117" t="s">
        <v>554</v>
      </c>
      <c r="C117">
        <v>-0.75</v>
      </c>
      <c r="D117">
        <v>-2.62</v>
      </c>
      <c r="E117">
        <v>4.12</v>
      </c>
      <c r="F117">
        <v>-4.2699999999999996</v>
      </c>
      <c r="G117">
        <v>-2.94</v>
      </c>
      <c r="H117">
        <v>5.51</v>
      </c>
      <c r="I117">
        <v>1.22</v>
      </c>
      <c r="J117">
        <v>0.87</v>
      </c>
      <c r="K117">
        <v>-2.41</v>
      </c>
      <c r="L117">
        <v>1.01</v>
      </c>
      <c r="M117">
        <v>-12.03</v>
      </c>
      <c r="N117">
        <v>-13.53</v>
      </c>
      <c r="O117">
        <v>-164.55</v>
      </c>
      <c r="P117">
        <v>-126.12</v>
      </c>
      <c r="Q117">
        <v>-63.89</v>
      </c>
    </row>
    <row r="118" spans="1:17" x14ac:dyDescent="0.25">
      <c r="A118" t="s">
        <v>555</v>
      </c>
      <c r="C118">
        <v>2.36</v>
      </c>
      <c r="D118">
        <v>5.0199999999999996</v>
      </c>
      <c r="E118">
        <v>4.0999999999999996</v>
      </c>
      <c r="F118">
        <v>4.05</v>
      </c>
      <c r="G118">
        <v>0.55000000000000004</v>
      </c>
      <c r="H118">
        <v>-0.31</v>
      </c>
      <c r="I118">
        <v>0.04</v>
      </c>
      <c r="J118">
        <v>-3.09</v>
      </c>
      <c r="K118">
        <v>5.26</v>
      </c>
      <c r="L118">
        <v>1.33</v>
      </c>
      <c r="M118">
        <v>3.83</v>
      </c>
      <c r="N118">
        <v>26.51</v>
      </c>
      <c r="O118">
        <v>6.54</v>
      </c>
      <c r="P118">
        <v>2.91</v>
      </c>
      <c r="Q118">
        <v>3.15</v>
      </c>
    </row>
    <row r="119" spans="1:17" x14ac:dyDescent="0.25">
      <c r="A119" t="s">
        <v>204</v>
      </c>
      <c r="B119">
        <v>-6.55</v>
      </c>
      <c r="C119">
        <v>8.5299999999999994</v>
      </c>
      <c r="D119">
        <v>-15.21</v>
      </c>
      <c r="E119">
        <v>57.1</v>
      </c>
      <c r="F119">
        <v>84.28</v>
      </c>
      <c r="G119">
        <v>14.03</v>
      </c>
      <c r="H119">
        <v>-1.75</v>
      </c>
      <c r="I119">
        <v>-44.01</v>
      </c>
      <c r="J119">
        <v>-11.64</v>
      </c>
      <c r="K119">
        <v>-14.02</v>
      </c>
      <c r="L119">
        <v>-7.93</v>
      </c>
      <c r="M119">
        <v>-69.53</v>
      </c>
      <c r="N119">
        <v>-174.43</v>
      </c>
      <c r="O119">
        <v>-271.87</v>
      </c>
      <c r="P119">
        <v>-73.760000000000005</v>
      </c>
      <c r="Q119">
        <v>637.07000000000005</v>
      </c>
    </row>
    <row r="120" spans="1:17" x14ac:dyDescent="0.25">
      <c r="A120" t="s">
        <v>17</v>
      </c>
    </row>
    <row r="121" spans="1:17" x14ac:dyDescent="0.25">
      <c r="A121" t="s">
        <v>205</v>
      </c>
    </row>
    <row r="122" spans="1:17" x14ac:dyDescent="0.25">
      <c r="A122" t="s">
        <v>556</v>
      </c>
    </row>
    <row r="123" spans="1:17" x14ac:dyDescent="0.25">
      <c r="A123" t="s">
        <v>557</v>
      </c>
      <c r="B123">
        <v>-9.6</v>
      </c>
      <c r="C123">
        <v>-41.13</v>
      </c>
      <c r="D123">
        <v>-57.08</v>
      </c>
      <c r="E123">
        <v>-49.44</v>
      </c>
      <c r="F123">
        <v>-66.97</v>
      </c>
      <c r="G123">
        <v>-71.849999999999994</v>
      </c>
      <c r="H123">
        <v>-28.79</v>
      </c>
      <c r="I123">
        <v>-15.8</v>
      </c>
      <c r="J123">
        <v>-7.98</v>
      </c>
      <c r="K123">
        <v>-3.21</v>
      </c>
      <c r="L123">
        <v>-9.08</v>
      </c>
      <c r="M123">
        <v>-43.41</v>
      </c>
      <c r="N123">
        <v>-179.15</v>
      </c>
      <c r="O123">
        <v>-500</v>
      </c>
      <c r="P123">
        <v>-200</v>
      </c>
      <c r="Q123">
        <v>-300</v>
      </c>
    </row>
    <row r="124" spans="1:17" x14ac:dyDescent="0.25">
      <c r="A124" t="s">
        <v>558</v>
      </c>
      <c r="B124">
        <v>-0.12</v>
      </c>
      <c r="C124">
        <v>-3.34</v>
      </c>
      <c r="D124">
        <v>-0.48</v>
      </c>
      <c r="E124">
        <v>-0.55000000000000004</v>
      </c>
      <c r="F124">
        <v>-0.5</v>
      </c>
      <c r="G124">
        <v>-0.48</v>
      </c>
      <c r="H124">
        <v>-0.64</v>
      </c>
      <c r="I124">
        <v>-0.49</v>
      </c>
      <c r="J124">
        <v>-0.46</v>
      </c>
      <c r="K124">
        <v>-0.5</v>
      </c>
      <c r="L124">
        <v>-0.59</v>
      </c>
      <c r="M124">
        <v>-0.51</v>
      </c>
      <c r="N124">
        <v>-0.38</v>
      </c>
      <c r="O124">
        <v>-0.26</v>
      </c>
    </row>
    <row r="125" spans="1:17" x14ac:dyDescent="0.25">
      <c r="A125" t="s">
        <v>559</v>
      </c>
      <c r="B125">
        <v>-8.01</v>
      </c>
      <c r="C125">
        <v>-0.97</v>
      </c>
      <c r="D125">
        <v>-4.41</v>
      </c>
      <c r="E125">
        <v>8.43</v>
      </c>
      <c r="F125">
        <v>-2.86</v>
      </c>
      <c r="G125">
        <v>-4.88</v>
      </c>
      <c r="H125">
        <v>-2.69</v>
      </c>
      <c r="I125">
        <v>-3.28</v>
      </c>
      <c r="J125">
        <v>-2.2200000000000002</v>
      </c>
      <c r="K125">
        <v>-0.53</v>
      </c>
      <c r="L125">
        <v>-5.23</v>
      </c>
      <c r="M125">
        <v>-6.79</v>
      </c>
      <c r="N125">
        <v>-31.08</v>
      </c>
      <c r="O125">
        <v>-289.74</v>
      </c>
      <c r="P125">
        <v>0</v>
      </c>
      <c r="Q125">
        <v>0</v>
      </c>
    </row>
    <row r="126" spans="1:17" x14ac:dyDescent="0.25">
      <c r="A126" t="s">
        <v>213</v>
      </c>
      <c r="B126">
        <v>-17.739999999999998</v>
      </c>
      <c r="C126">
        <v>-45.39</v>
      </c>
      <c r="D126">
        <v>-61.62</v>
      </c>
      <c r="E126">
        <v>-41.54</v>
      </c>
      <c r="F126">
        <v>-70.16</v>
      </c>
      <c r="G126">
        <v>-76.510000000000005</v>
      </c>
      <c r="H126">
        <v>-32.119999999999997</v>
      </c>
      <c r="I126">
        <v>-19.350000000000001</v>
      </c>
      <c r="J126">
        <v>-10.55</v>
      </c>
      <c r="K126">
        <v>-3.83</v>
      </c>
      <c r="L126">
        <v>-14.76</v>
      </c>
      <c r="M126">
        <v>-50.7</v>
      </c>
      <c r="N126">
        <v>-210.6</v>
      </c>
      <c r="O126">
        <v>-841.36</v>
      </c>
      <c r="P126">
        <v>-350</v>
      </c>
      <c r="Q126">
        <v>-300</v>
      </c>
    </row>
    <row r="127" spans="1:17" x14ac:dyDescent="0.25">
      <c r="A127" t="s">
        <v>17</v>
      </c>
    </row>
    <row r="128" spans="1:17" x14ac:dyDescent="0.25">
      <c r="A128" t="s">
        <v>214</v>
      </c>
    </row>
    <row r="129" spans="1:17" x14ac:dyDescent="0.25">
      <c r="A129" t="s">
        <v>560</v>
      </c>
      <c r="B129">
        <v>26.04</v>
      </c>
      <c r="C129">
        <v>61.81</v>
      </c>
      <c r="D129">
        <v>161.33000000000001</v>
      </c>
      <c r="E129">
        <v>146.03</v>
      </c>
      <c r="F129">
        <v>88</v>
      </c>
      <c r="G129">
        <v>202.93</v>
      </c>
      <c r="H129">
        <v>97.1</v>
      </c>
      <c r="I129">
        <v>101.96</v>
      </c>
      <c r="J129">
        <v>122.94</v>
      </c>
      <c r="K129">
        <v>143.26</v>
      </c>
      <c r="L129">
        <v>141.29</v>
      </c>
      <c r="M129">
        <v>48.68</v>
      </c>
      <c r="N129">
        <v>61.2</v>
      </c>
      <c r="O129">
        <v>46.91</v>
      </c>
    </row>
    <row r="130" spans="1:17" x14ac:dyDescent="0.25">
      <c r="A130" t="s">
        <v>561</v>
      </c>
      <c r="C130">
        <v>5.93</v>
      </c>
      <c r="D130">
        <v>8.26</v>
      </c>
      <c r="E130">
        <v>5.85</v>
      </c>
      <c r="F130">
        <v>0</v>
      </c>
      <c r="G130">
        <v>4.5999999999999996</v>
      </c>
      <c r="H130">
        <v>13.64</v>
      </c>
      <c r="I130">
        <v>39.96</v>
      </c>
      <c r="J130">
        <v>24.62</v>
      </c>
      <c r="K130">
        <v>45.67</v>
      </c>
      <c r="L130">
        <v>57.06</v>
      </c>
      <c r="M130">
        <v>44.15</v>
      </c>
      <c r="N130">
        <v>121.41</v>
      </c>
      <c r="O130">
        <v>68.64</v>
      </c>
    </row>
    <row r="131" spans="1:17" x14ac:dyDescent="0.25">
      <c r="A131" t="s">
        <v>562</v>
      </c>
      <c r="B131">
        <v>32.119999999999997</v>
      </c>
      <c r="C131">
        <v>46.05</v>
      </c>
      <c r="D131">
        <v>39.1</v>
      </c>
      <c r="E131">
        <v>28.1</v>
      </c>
      <c r="F131">
        <v>23.03</v>
      </c>
      <c r="G131">
        <v>0.12</v>
      </c>
      <c r="H131">
        <v>76.38</v>
      </c>
      <c r="I131">
        <v>39.22</v>
      </c>
      <c r="J131">
        <v>15.41</v>
      </c>
      <c r="K131">
        <v>1.24</v>
      </c>
      <c r="L131">
        <v>69.010000000000005</v>
      </c>
      <c r="M131">
        <v>146.29</v>
      </c>
      <c r="N131">
        <v>518.91</v>
      </c>
    </row>
    <row r="132" spans="1:17" x14ac:dyDescent="0.25">
      <c r="A132" t="s">
        <v>563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-0.02</v>
      </c>
      <c r="J132">
        <v>0</v>
      </c>
      <c r="K132">
        <v>0</v>
      </c>
      <c r="L132">
        <v>0</v>
      </c>
      <c r="M132">
        <v>0</v>
      </c>
      <c r="N132">
        <v>-10.45</v>
      </c>
      <c r="O132">
        <v>-71.16</v>
      </c>
    </row>
    <row r="133" spans="1:17" x14ac:dyDescent="0.25">
      <c r="A133" t="s">
        <v>218</v>
      </c>
      <c r="B133">
        <v>35.369999999999997</v>
      </c>
      <c r="C133">
        <v>47.25</v>
      </c>
      <c r="D133">
        <v>73.11</v>
      </c>
      <c r="E133">
        <v>4.6399999999999997</v>
      </c>
      <c r="F133">
        <v>18.239999999999998</v>
      </c>
      <c r="G133">
        <v>34.799999999999997</v>
      </c>
      <c r="H133">
        <v>42.6</v>
      </c>
      <c r="I133">
        <v>47.44</v>
      </c>
      <c r="J133">
        <v>14.09</v>
      </c>
      <c r="K133">
        <v>10.75</v>
      </c>
      <c r="L133">
        <v>40.58</v>
      </c>
      <c r="M133">
        <v>142.18</v>
      </c>
      <c r="N133">
        <v>527.94000000000005</v>
      </c>
      <c r="O133" s="2">
        <v>1191.6400000000001</v>
      </c>
      <c r="P133">
        <v>325</v>
      </c>
      <c r="Q133">
        <v>225</v>
      </c>
    </row>
    <row r="134" spans="1:17" x14ac:dyDescent="0.25">
      <c r="A134" t="s">
        <v>17</v>
      </c>
    </row>
    <row r="135" spans="1:17" x14ac:dyDescent="0.25">
      <c r="A135" t="s">
        <v>176</v>
      </c>
    </row>
    <row r="136" spans="1:17" x14ac:dyDescent="0.25">
      <c r="A136" t="s">
        <v>219</v>
      </c>
      <c r="B136">
        <v>0.2</v>
      </c>
      <c r="C136">
        <v>-0.22</v>
      </c>
      <c r="D136">
        <v>-0.38</v>
      </c>
      <c r="E136">
        <v>1.95</v>
      </c>
      <c r="F136">
        <v>-0.39</v>
      </c>
      <c r="G136">
        <v>1.74</v>
      </c>
      <c r="H136">
        <v>0.3</v>
      </c>
      <c r="I136">
        <v>-1</v>
      </c>
      <c r="J136">
        <v>-0.88</v>
      </c>
      <c r="K136">
        <v>1.55</v>
      </c>
      <c r="L136">
        <v>1.62</v>
      </c>
      <c r="M136">
        <v>2.08</v>
      </c>
      <c r="N136">
        <v>-6.01</v>
      </c>
      <c r="O136">
        <v>19.940000000000001</v>
      </c>
    </row>
    <row r="137" spans="1:17" x14ac:dyDescent="0.25">
      <c r="A137" t="s">
        <v>17</v>
      </c>
    </row>
    <row r="138" spans="1:17" x14ac:dyDescent="0.25">
      <c r="A138" t="s">
        <v>220</v>
      </c>
      <c r="C138">
        <v>10.17</v>
      </c>
      <c r="D138">
        <v>-4.0999999999999996</v>
      </c>
      <c r="E138">
        <v>22.15</v>
      </c>
      <c r="F138">
        <v>31.98</v>
      </c>
      <c r="G138">
        <v>-25.94</v>
      </c>
      <c r="H138">
        <v>9.02</v>
      </c>
      <c r="I138">
        <v>-16.91</v>
      </c>
      <c r="J138">
        <v>-8.98</v>
      </c>
      <c r="K138">
        <v>-5.55</v>
      </c>
      <c r="L138">
        <v>19.510000000000002</v>
      </c>
      <c r="M138">
        <v>24.04</v>
      </c>
      <c r="N138">
        <v>136.9</v>
      </c>
      <c r="O138">
        <v>88.39</v>
      </c>
      <c r="P138">
        <v>-98.76</v>
      </c>
      <c r="Q138">
        <v>562.07000000000005</v>
      </c>
    </row>
    <row r="139" spans="1:17" x14ac:dyDescent="0.25">
      <c r="A139" t="s">
        <v>221</v>
      </c>
      <c r="C139">
        <v>22.01</v>
      </c>
      <c r="D139">
        <v>32.18</v>
      </c>
      <c r="E139">
        <v>28.07</v>
      </c>
      <c r="F139">
        <v>51.96</v>
      </c>
      <c r="G139">
        <v>83.95</v>
      </c>
      <c r="H139">
        <v>58</v>
      </c>
      <c r="I139">
        <v>67.03</v>
      </c>
      <c r="J139">
        <v>50.12</v>
      </c>
      <c r="K139">
        <v>41.14</v>
      </c>
      <c r="L139">
        <v>35.590000000000003</v>
      </c>
      <c r="M139">
        <v>55.1</v>
      </c>
      <c r="N139">
        <v>158.27000000000001</v>
      </c>
      <c r="O139">
        <v>216.02</v>
      </c>
      <c r="P139">
        <v>304.39999999999998</v>
      </c>
      <c r="Q139">
        <v>205.64</v>
      </c>
    </row>
    <row r="140" spans="1:17" x14ac:dyDescent="0.25">
      <c r="A140" t="s">
        <v>222</v>
      </c>
      <c r="C140">
        <v>32.18</v>
      </c>
      <c r="D140">
        <v>28.07</v>
      </c>
      <c r="E140">
        <v>50.22</v>
      </c>
      <c r="F140">
        <v>83.95</v>
      </c>
      <c r="G140">
        <v>58</v>
      </c>
      <c r="H140">
        <v>67.03</v>
      </c>
      <c r="I140">
        <v>50.11</v>
      </c>
      <c r="J140">
        <v>41.14</v>
      </c>
      <c r="K140">
        <v>35.590000000000003</v>
      </c>
      <c r="L140">
        <v>55.1</v>
      </c>
      <c r="M140">
        <v>79.13</v>
      </c>
      <c r="N140">
        <v>216.04</v>
      </c>
      <c r="O140">
        <v>309.02</v>
      </c>
      <c r="P140">
        <v>545.46</v>
      </c>
      <c r="Q140" s="2">
        <v>1505.98</v>
      </c>
    </row>
    <row r="141" spans="1:17" x14ac:dyDescent="0.25">
      <c r="A141" t="s">
        <v>17</v>
      </c>
    </row>
    <row r="142" spans="1:17" x14ac:dyDescent="0.25">
      <c r="A142" t="s">
        <v>225</v>
      </c>
      <c r="B142">
        <v>-16.149999999999999</v>
      </c>
      <c r="C142">
        <v>-32.6</v>
      </c>
      <c r="D142">
        <v>-72.290000000000006</v>
      </c>
      <c r="E142">
        <v>7.66</v>
      </c>
      <c r="F142">
        <v>17.32</v>
      </c>
      <c r="G142">
        <v>-57.83</v>
      </c>
      <c r="H142">
        <v>-30.54</v>
      </c>
      <c r="I142">
        <v>-59.8</v>
      </c>
      <c r="J142">
        <v>-19.63</v>
      </c>
      <c r="K142">
        <v>-17.23</v>
      </c>
      <c r="L142">
        <v>-17.010000000000002</v>
      </c>
      <c r="M142">
        <v>-112.93</v>
      </c>
      <c r="N142">
        <v>-353.58</v>
      </c>
      <c r="O142" s="2">
        <v>-1323.86</v>
      </c>
      <c r="P142">
        <v>-710.52</v>
      </c>
      <c r="Q142">
        <v>-110.86</v>
      </c>
    </row>
    <row r="143" spans="1:17" x14ac:dyDescent="0.25">
      <c r="A143" t="s">
        <v>17</v>
      </c>
    </row>
    <row r="144" spans="1:17" x14ac:dyDescent="0.25">
      <c r="A144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4466-D7A9-40C7-96DE-6A1FD8D519C1}">
  <dimension ref="A1:U249"/>
  <sheetViews>
    <sheetView workbookViewId="0">
      <selection sqref="A1:U249"/>
    </sheetView>
  </sheetViews>
  <sheetFormatPr defaultRowHeight="15" x14ac:dyDescent="0.25"/>
  <sheetData>
    <row r="1" spans="1:21" x14ac:dyDescent="0.25">
      <c r="A1" t="s">
        <v>564</v>
      </c>
    </row>
    <row r="2" spans="1:21" x14ac:dyDescent="0.25">
      <c r="A2" t="s">
        <v>565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41820</v>
      </c>
      <c r="C4" s="1">
        <v>42185</v>
      </c>
      <c r="D4" s="1">
        <v>42551</v>
      </c>
      <c r="E4" s="1">
        <v>42916</v>
      </c>
      <c r="F4" s="1">
        <v>43281</v>
      </c>
      <c r="G4" s="1">
        <v>43646</v>
      </c>
      <c r="H4" s="1">
        <v>44012</v>
      </c>
      <c r="I4" s="1">
        <v>44377</v>
      </c>
      <c r="J4" s="1">
        <v>44742</v>
      </c>
      <c r="K4" s="1">
        <v>45107</v>
      </c>
      <c r="L4" s="1">
        <v>45473</v>
      </c>
      <c r="M4" s="1">
        <v>45838</v>
      </c>
      <c r="N4" s="1">
        <v>46203</v>
      </c>
      <c r="O4" s="1">
        <v>46568</v>
      </c>
      <c r="P4" s="1">
        <v>46934</v>
      </c>
      <c r="Q4" s="1">
        <v>47299</v>
      </c>
      <c r="R4" s="1">
        <v>47664</v>
      </c>
      <c r="S4" s="1">
        <v>48029</v>
      </c>
      <c r="T4" s="1">
        <v>48395</v>
      </c>
      <c r="U4" s="1">
        <v>48760</v>
      </c>
    </row>
    <row r="5" spans="1:21" x14ac:dyDescent="0.25">
      <c r="A5" t="s">
        <v>14</v>
      </c>
    </row>
    <row r="6" spans="1:21" x14ac:dyDescent="0.25">
      <c r="A6" t="s">
        <v>15</v>
      </c>
      <c r="B6">
        <v>0.84</v>
      </c>
      <c r="C6">
        <v>0.94</v>
      </c>
      <c r="D6">
        <v>1.33</v>
      </c>
      <c r="E6">
        <v>1.48</v>
      </c>
      <c r="F6">
        <v>2.0299999999999998</v>
      </c>
      <c r="G6">
        <v>2.54</v>
      </c>
      <c r="H6">
        <v>2.85</v>
      </c>
      <c r="I6">
        <v>3.73</v>
      </c>
      <c r="J6">
        <v>3.72</v>
      </c>
      <c r="L6">
        <v>1.67</v>
      </c>
      <c r="M6">
        <v>3.53</v>
      </c>
      <c r="N6">
        <v>5.61</v>
      </c>
      <c r="O6">
        <v>9.49</v>
      </c>
      <c r="P6">
        <v>14.41</v>
      </c>
      <c r="Q6">
        <v>19.329999999999998</v>
      </c>
      <c r="R6">
        <v>26.38</v>
      </c>
      <c r="S6">
        <v>26.67</v>
      </c>
    </row>
    <row r="7" spans="1:21" x14ac:dyDescent="0.25">
      <c r="A7" t="s">
        <v>16</v>
      </c>
      <c r="B7">
        <v>683.26</v>
      </c>
      <c r="C7">
        <v>741.96</v>
      </c>
      <c r="D7">
        <v>813.3</v>
      </c>
      <c r="E7">
        <v>972.05</v>
      </c>
      <c r="F7" s="2">
        <v>1158.79</v>
      </c>
      <c r="G7" s="2">
        <v>1362.5</v>
      </c>
      <c r="H7" s="2">
        <v>2380.0700000000002</v>
      </c>
      <c r="I7" s="2">
        <v>3105.89</v>
      </c>
      <c r="J7" s="2">
        <v>3316.62</v>
      </c>
      <c r="K7" s="2">
        <v>5160.1000000000004</v>
      </c>
      <c r="L7" s="2">
        <v>4707.7</v>
      </c>
      <c r="M7" s="2">
        <v>5810.1</v>
      </c>
      <c r="N7" s="2">
        <v>7118.2</v>
      </c>
      <c r="O7" s="2">
        <v>10699.38</v>
      </c>
      <c r="P7" s="2">
        <v>14736.91</v>
      </c>
      <c r="Q7" s="2">
        <v>19381</v>
      </c>
      <c r="R7" s="2">
        <v>25552.67</v>
      </c>
      <c r="S7" s="2">
        <v>26191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566</v>
      </c>
      <c r="M10" s="2">
        <v>2054</v>
      </c>
      <c r="N10" s="2">
        <v>1843.6</v>
      </c>
      <c r="O10" s="2">
        <v>1853.15</v>
      </c>
      <c r="P10" s="2">
        <v>2003.99</v>
      </c>
      <c r="Q10" s="2">
        <v>2152.34</v>
      </c>
      <c r="R10" s="2">
        <v>2334.71</v>
      </c>
      <c r="S10" s="2">
        <v>2646.73</v>
      </c>
    </row>
    <row r="11" spans="1:21" x14ac:dyDescent="0.25">
      <c r="A11" t="s">
        <v>567</v>
      </c>
      <c r="M11" s="2">
        <v>3756</v>
      </c>
      <c r="N11" s="2">
        <v>5274.6</v>
      </c>
      <c r="O11" s="2">
        <v>8848.57</v>
      </c>
      <c r="P11" s="2">
        <v>12589.74</v>
      </c>
      <c r="Q11" s="2">
        <v>17202.36</v>
      </c>
      <c r="R11" s="2">
        <v>23218.240000000002</v>
      </c>
      <c r="S11" s="2">
        <v>23543.95</v>
      </c>
    </row>
    <row r="12" spans="1:21" x14ac:dyDescent="0.25">
      <c r="A12" t="s">
        <v>17</v>
      </c>
    </row>
    <row r="13" spans="1:21" x14ac:dyDescent="0.25">
      <c r="A13" t="s">
        <v>30</v>
      </c>
      <c r="B13">
        <v>33.18</v>
      </c>
      <c r="C13">
        <v>36.6</v>
      </c>
      <c r="D13">
        <v>37.799999999999997</v>
      </c>
      <c r="E13">
        <v>40</v>
      </c>
      <c r="F13">
        <v>39.799999999999997</v>
      </c>
      <c r="G13">
        <v>38.299999999999997</v>
      </c>
      <c r="H13">
        <v>38.299999999999997</v>
      </c>
      <c r="I13">
        <v>39.799999999999997</v>
      </c>
      <c r="J13">
        <v>39.799999999999997</v>
      </c>
      <c r="K13">
        <v>38.450000000000003</v>
      </c>
      <c r="L13">
        <v>36</v>
      </c>
      <c r="M13">
        <v>37.9</v>
      </c>
      <c r="N13">
        <v>39.4</v>
      </c>
      <c r="O13">
        <v>40.93</v>
      </c>
      <c r="P13">
        <v>41.99</v>
      </c>
      <c r="Q13">
        <v>43.02</v>
      </c>
      <c r="R13">
        <v>43.29</v>
      </c>
      <c r="S13">
        <v>42</v>
      </c>
    </row>
    <row r="14" spans="1:21" x14ac:dyDescent="0.25">
      <c r="A14" t="s">
        <v>29</v>
      </c>
      <c r="B14">
        <v>69.930000000000007</v>
      </c>
      <c r="C14">
        <v>181.5</v>
      </c>
      <c r="D14">
        <v>112.4</v>
      </c>
      <c r="E14">
        <v>115.5</v>
      </c>
      <c r="F14">
        <v>135.30000000000001</v>
      </c>
      <c r="G14">
        <v>209.7</v>
      </c>
      <c r="H14">
        <v>324.8</v>
      </c>
      <c r="I14">
        <v>601.5</v>
      </c>
      <c r="J14">
        <v>650.20000000000005</v>
      </c>
      <c r="K14">
        <v>966.5</v>
      </c>
      <c r="L14">
        <v>709.5</v>
      </c>
      <c r="M14" s="2">
        <v>1037</v>
      </c>
      <c r="N14" s="2">
        <v>1457</v>
      </c>
      <c r="O14" s="2">
        <v>2538.27</v>
      </c>
      <c r="P14" s="2">
        <v>3829.7</v>
      </c>
      <c r="Q14" s="2">
        <v>4993.88</v>
      </c>
      <c r="R14" s="2">
        <v>7266</v>
      </c>
      <c r="S14" s="2">
        <v>6875</v>
      </c>
    </row>
    <row r="15" spans="1:21" x14ac:dyDescent="0.25">
      <c r="A15" t="s">
        <v>240</v>
      </c>
      <c r="D15">
        <v>13.59</v>
      </c>
      <c r="E15">
        <v>11.88</v>
      </c>
      <c r="F15">
        <v>11.68</v>
      </c>
      <c r="G15">
        <v>15.39</v>
      </c>
      <c r="H15">
        <v>13.65</v>
      </c>
      <c r="I15">
        <v>19.37</v>
      </c>
      <c r="J15">
        <v>19.600000000000001</v>
      </c>
      <c r="K15">
        <v>18.73</v>
      </c>
      <c r="L15">
        <v>15.07</v>
      </c>
      <c r="M15">
        <v>17.850000000000001</v>
      </c>
      <c r="N15">
        <v>20.47</v>
      </c>
      <c r="O15">
        <v>24.01</v>
      </c>
      <c r="P15">
        <v>26.57</v>
      </c>
      <c r="Q15">
        <v>26.85</v>
      </c>
      <c r="R15">
        <v>27</v>
      </c>
      <c r="S15">
        <v>26.25</v>
      </c>
    </row>
    <row r="16" spans="1:21" x14ac:dyDescent="0.25">
      <c r="A16" t="s">
        <v>528</v>
      </c>
      <c r="B16">
        <v>53.6</v>
      </c>
      <c r="C16">
        <v>58.28</v>
      </c>
      <c r="D16">
        <v>83.6</v>
      </c>
      <c r="E16">
        <v>95.27</v>
      </c>
      <c r="F16">
        <v>132</v>
      </c>
      <c r="G16">
        <v>167.6</v>
      </c>
      <c r="H16">
        <v>258.64999999999998</v>
      </c>
      <c r="I16">
        <v>460.2</v>
      </c>
      <c r="J16">
        <v>504.6</v>
      </c>
      <c r="L16">
        <v>381.2</v>
      </c>
      <c r="M16">
        <v>692.6</v>
      </c>
      <c r="N16" s="2">
        <v>1096.5999999999999</v>
      </c>
      <c r="O16" s="2">
        <v>1991.87</v>
      </c>
      <c r="P16" s="2">
        <v>3091.89</v>
      </c>
      <c r="Q16" s="2">
        <v>4166</v>
      </c>
      <c r="R16" s="2">
        <v>4738.33</v>
      </c>
      <c r="S16" s="2">
        <v>2813</v>
      </c>
    </row>
    <row r="17" spans="1:19" x14ac:dyDescent="0.25">
      <c r="A17" t="s">
        <v>17</v>
      </c>
    </row>
    <row r="18" spans="1:19" x14ac:dyDescent="0.25">
      <c r="A18" t="s">
        <v>379</v>
      </c>
      <c r="B18">
        <v>174.66</v>
      </c>
      <c r="C18">
        <v>173.63</v>
      </c>
      <c r="D18">
        <v>218.45</v>
      </c>
      <c r="E18">
        <v>271.89</v>
      </c>
      <c r="F18">
        <v>247.04</v>
      </c>
      <c r="G18">
        <v>204.87</v>
      </c>
      <c r="H18">
        <v>493.05</v>
      </c>
      <c r="I18" s="2">
        <v>1591.89</v>
      </c>
      <c r="J18" s="2">
        <v>2582.37</v>
      </c>
      <c r="K18">
        <v>833.33</v>
      </c>
      <c r="L18">
        <v>926.03</v>
      </c>
      <c r="M18">
        <v>909.2</v>
      </c>
      <c r="N18" s="2">
        <v>1162.02</v>
      </c>
      <c r="O18" s="2">
        <v>1716.41</v>
      </c>
      <c r="P18" s="2">
        <v>2951.86</v>
      </c>
      <c r="Q18" s="2">
        <v>3395.35</v>
      </c>
      <c r="R18" s="2">
        <v>5573.83</v>
      </c>
      <c r="S18" s="2">
        <v>13386.25</v>
      </c>
    </row>
    <row r="19" spans="1:19" x14ac:dyDescent="0.25">
      <c r="A19" t="s">
        <v>17</v>
      </c>
    </row>
    <row r="20" spans="1:19" x14ac:dyDescent="0.25">
      <c r="A20" t="s">
        <v>36</v>
      </c>
      <c r="B20">
        <v>66.239999999999995</v>
      </c>
      <c r="C20">
        <v>77.05</v>
      </c>
      <c r="D20">
        <v>64.8</v>
      </c>
      <c r="E20">
        <v>-19.899999999999999</v>
      </c>
      <c r="F20">
        <v>7.58</v>
      </c>
      <c r="G20">
        <v>41.35</v>
      </c>
      <c r="H20">
        <v>160.41999999999999</v>
      </c>
      <c r="I20">
        <v>428.02</v>
      </c>
      <c r="J20">
        <v>99</v>
      </c>
      <c r="K20">
        <v>197.97</v>
      </c>
      <c r="L20">
        <v>198.92</v>
      </c>
      <c r="M20">
        <v>192.76</v>
      </c>
      <c r="N20" s="2">
        <v>-1023.4</v>
      </c>
      <c r="O20">
        <v>-206.8</v>
      </c>
      <c r="P20" s="2">
        <v>1090.8</v>
      </c>
      <c r="Q20" s="2">
        <v>1873.23</v>
      </c>
      <c r="R20" s="2">
        <v>2530.7600000000002</v>
      </c>
      <c r="S20" s="2">
        <v>4398.93</v>
      </c>
    </row>
    <row r="21" spans="1:19" x14ac:dyDescent="0.25">
      <c r="A21" t="s">
        <v>17</v>
      </c>
    </row>
    <row r="22" spans="1:19" x14ac:dyDescent="0.25">
      <c r="A22" t="s">
        <v>37</v>
      </c>
    </row>
    <row r="23" spans="1:19" x14ac:dyDescent="0.25">
      <c r="A23" t="s">
        <v>17</v>
      </c>
    </row>
    <row r="24" spans="1:19" x14ac:dyDescent="0.25">
      <c r="A24" t="s">
        <v>252</v>
      </c>
    </row>
    <row r="25" spans="1:19" x14ac:dyDescent="0.25">
      <c r="A25" t="s">
        <v>179</v>
      </c>
      <c r="B25">
        <v>3.97</v>
      </c>
      <c r="C25">
        <v>6.19</v>
      </c>
      <c r="D25">
        <v>5.77</v>
      </c>
      <c r="E25">
        <v>7.09</v>
      </c>
      <c r="F25">
        <v>5.43</v>
      </c>
      <c r="G25">
        <v>5.79</v>
      </c>
      <c r="H25">
        <v>-1.86</v>
      </c>
      <c r="I25">
        <v>5.07</v>
      </c>
      <c r="J25">
        <v>3.27</v>
      </c>
      <c r="K25">
        <v>-2.41</v>
      </c>
      <c r="L25">
        <v>-1.1100000000000001</v>
      </c>
      <c r="M25">
        <v>0.34</v>
      </c>
      <c r="N25">
        <v>4.8499999999999996</v>
      </c>
      <c r="O25">
        <v>8.25</v>
      </c>
      <c r="P25">
        <v>52.49</v>
      </c>
      <c r="Q25">
        <v>13.96</v>
      </c>
      <c r="R25">
        <v>14.27</v>
      </c>
    </row>
    <row r="26" spans="1:19" x14ac:dyDescent="0.25">
      <c r="A26" t="s">
        <v>180</v>
      </c>
      <c r="B26">
        <v>5.86</v>
      </c>
      <c r="C26">
        <v>9.4</v>
      </c>
      <c r="D26">
        <v>8.67</v>
      </c>
      <c r="E26">
        <v>11.32</v>
      </c>
      <c r="F26">
        <v>9.14</v>
      </c>
      <c r="G26">
        <v>9.9700000000000006</v>
      </c>
      <c r="H26">
        <v>-4.18</v>
      </c>
      <c r="I26">
        <v>10.34</v>
      </c>
      <c r="J26">
        <v>5.43</v>
      </c>
      <c r="K26">
        <v>-8.16</v>
      </c>
      <c r="L26">
        <v>-4.68</v>
      </c>
      <c r="M26">
        <v>-1.48</v>
      </c>
      <c r="N26">
        <v>9.31</v>
      </c>
      <c r="O26">
        <v>13.1</v>
      </c>
      <c r="P26">
        <v>16.600000000000001</v>
      </c>
    </row>
    <row r="27" spans="1:19" x14ac:dyDescent="0.25">
      <c r="A27" t="s">
        <v>568</v>
      </c>
      <c r="B27">
        <v>3.74</v>
      </c>
      <c r="C27">
        <v>3.69</v>
      </c>
      <c r="D27">
        <v>3.4</v>
      </c>
      <c r="E27">
        <v>3.8</v>
      </c>
      <c r="F27">
        <v>3.22</v>
      </c>
      <c r="G27">
        <v>3</v>
      </c>
      <c r="H27">
        <v>2.66</v>
      </c>
      <c r="I27">
        <v>4.1500000000000004</v>
      </c>
      <c r="J27">
        <v>3.4</v>
      </c>
      <c r="K27">
        <v>3.01</v>
      </c>
      <c r="L27">
        <v>2.72</v>
      </c>
      <c r="M27">
        <v>2.19</v>
      </c>
      <c r="N27">
        <v>2.4300000000000002</v>
      </c>
      <c r="O27">
        <v>2.91</v>
      </c>
      <c r="P27">
        <v>3.06</v>
      </c>
      <c r="Q27">
        <v>3.02</v>
      </c>
      <c r="R27">
        <v>3.27</v>
      </c>
      <c r="S27">
        <v>3.96</v>
      </c>
    </row>
    <row r="28" spans="1:19" x14ac:dyDescent="0.25">
      <c r="A28" t="s">
        <v>182</v>
      </c>
      <c r="B28">
        <v>10.98</v>
      </c>
      <c r="C28">
        <v>11.91</v>
      </c>
      <c r="D28">
        <v>12.64</v>
      </c>
      <c r="E28">
        <v>14.26</v>
      </c>
      <c r="F28">
        <v>16.18</v>
      </c>
      <c r="G28">
        <v>17.79</v>
      </c>
      <c r="H28">
        <v>22.44</v>
      </c>
      <c r="I28">
        <v>28.07</v>
      </c>
      <c r="J28">
        <v>29.65</v>
      </c>
      <c r="K28">
        <v>48.19</v>
      </c>
      <c r="L28">
        <v>34.1</v>
      </c>
      <c r="M28">
        <v>36.29</v>
      </c>
      <c r="N28">
        <v>55.7</v>
      </c>
      <c r="O28">
        <v>59.66</v>
      </c>
      <c r="P28">
        <v>68.53</v>
      </c>
      <c r="Q28">
        <v>81.45</v>
      </c>
      <c r="R28">
        <v>112.4</v>
      </c>
    </row>
    <row r="29" spans="1:19" x14ac:dyDescent="0.25">
      <c r="A29" t="s">
        <v>17</v>
      </c>
    </row>
    <row r="30" spans="1:19" x14ac:dyDescent="0.25">
      <c r="A30" t="s">
        <v>26</v>
      </c>
      <c r="B30">
        <v>220</v>
      </c>
      <c r="C30">
        <v>242</v>
      </c>
      <c r="D30">
        <v>290</v>
      </c>
      <c r="E30">
        <v>400</v>
      </c>
      <c r="F30">
        <v>450</v>
      </c>
      <c r="G30">
        <v>500</v>
      </c>
      <c r="H30">
        <v>957</v>
      </c>
      <c r="I30" s="2">
        <v>1300</v>
      </c>
      <c r="J30" s="2">
        <v>2300</v>
      </c>
      <c r="K30" s="2">
        <v>2700</v>
      </c>
      <c r="L30" s="2">
        <v>2600</v>
      </c>
    </row>
    <row r="31" spans="1:19" x14ac:dyDescent="0.25">
      <c r="A31" t="s">
        <v>569</v>
      </c>
      <c r="B31">
        <v>2.97</v>
      </c>
      <c r="C31">
        <v>2.85</v>
      </c>
      <c r="D31">
        <v>3.03</v>
      </c>
      <c r="E31">
        <v>3.08</v>
      </c>
      <c r="F31">
        <v>3.08</v>
      </c>
      <c r="G31">
        <v>3.09</v>
      </c>
      <c r="H31">
        <v>3.41</v>
      </c>
      <c r="I31">
        <v>2.93</v>
      </c>
      <c r="J31">
        <v>2.57</v>
      </c>
      <c r="K31">
        <v>3.26</v>
      </c>
      <c r="L31">
        <v>2.54</v>
      </c>
      <c r="M31">
        <v>2.77</v>
      </c>
      <c r="N31">
        <v>2.21</v>
      </c>
    </row>
    <row r="32" spans="1:19" x14ac:dyDescent="0.25">
      <c r="A32" t="s">
        <v>17</v>
      </c>
    </row>
    <row r="33" spans="1:19" x14ac:dyDescent="0.25">
      <c r="A33" t="s">
        <v>570</v>
      </c>
    </row>
    <row r="34" spans="1:19" x14ac:dyDescent="0.25">
      <c r="A34" t="s">
        <v>16</v>
      </c>
    </row>
    <row r="35" spans="1:19" x14ac:dyDescent="0.25">
      <c r="A35" t="s">
        <v>566</v>
      </c>
      <c r="M35" s="2">
        <v>2054</v>
      </c>
      <c r="N35" s="2">
        <v>1843.6</v>
      </c>
      <c r="O35" s="2">
        <v>1853.15</v>
      </c>
      <c r="P35" s="2">
        <v>2003.99</v>
      </c>
      <c r="Q35" s="2">
        <v>2152.34</v>
      </c>
      <c r="R35" s="2">
        <v>2334.71</v>
      </c>
      <c r="S35" s="2">
        <v>2646.73</v>
      </c>
    </row>
    <row r="36" spans="1:19" x14ac:dyDescent="0.25">
      <c r="A36" t="s">
        <v>567</v>
      </c>
      <c r="M36" s="2">
        <v>3756</v>
      </c>
      <c r="N36" s="2">
        <v>5274.6</v>
      </c>
      <c r="O36" s="2">
        <v>8848.57</v>
      </c>
      <c r="P36" s="2">
        <v>12589.74</v>
      </c>
      <c r="Q36" s="2">
        <v>17202.36</v>
      </c>
      <c r="R36" s="2">
        <v>23218.240000000002</v>
      </c>
      <c r="S36" s="2">
        <v>23543.95</v>
      </c>
    </row>
    <row r="37" spans="1:19" x14ac:dyDescent="0.25">
      <c r="A37" t="s">
        <v>17</v>
      </c>
    </row>
    <row r="38" spans="1:19" x14ac:dyDescent="0.25">
      <c r="A38" t="s">
        <v>571</v>
      </c>
    </row>
    <row r="39" spans="1:19" x14ac:dyDescent="0.25">
      <c r="A39" t="s">
        <v>566</v>
      </c>
      <c r="N39">
        <v>422.77</v>
      </c>
    </row>
    <row r="40" spans="1:19" x14ac:dyDescent="0.25">
      <c r="A40" t="s">
        <v>567</v>
      </c>
      <c r="N40" s="2">
        <v>1329.72</v>
      </c>
    </row>
    <row r="41" spans="1:19" x14ac:dyDescent="0.25">
      <c r="A41" t="s">
        <v>17</v>
      </c>
    </row>
    <row r="42" spans="1:19" x14ac:dyDescent="0.25">
      <c r="A42" t="s">
        <v>51</v>
      </c>
    </row>
    <row r="43" spans="1:19" x14ac:dyDescent="0.25">
      <c r="A43" t="s">
        <v>566</v>
      </c>
      <c r="J43">
        <v>746.76</v>
      </c>
      <c r="K43" s="2">
        <v>1761.62</v>
      </c>
      <c r="L43" s="2">
        <v>1680.18</v>
      </c>
      <c r="M43" s="2">
        <v>1707.79</v>
      </c>
      <c r="N43" s="2">
        <v>1843.55</v>
      </c>
      <c r="O43" s="2">
        <v>2788.85</v>
      </c>
      <c r="P43" s="2">
        <v>2279.67</v>
      </c>
      <c r="Q43" s="2">
        <v>2552.79</v>
      </c>
      <c r="R43" s="2">
        <v>2859.51</v>
      </c>
    </row>
    <row r="44" spans="1:19" x14ac:dyDescent="0.25">
      <c r="A44" t="s">
        <v>572</v>
      </c>
      <c r="J44" s="2">
        <v>2154.83</v>
      </c>
      <c r="K44" s="2">
        <v>2293.38</v>
      </c>
      <c r="L44" s="2">
        <v>2273.7600000000002</v>
      </c>
      <c r="M44" s="2">
        <v>3436.04</v>
      </c>
      <c r="N44" s="2">
        <v>5274.63</v>
      </c>
    </row>
    <row r="45" spans="1:19" x14ac:dyDescent="0.25">
      <c r="A45" t="s">
        <v>573</v>
      </c>
      <c r="J45">
        <v>310.37</v>
      </c>
      <c r="K45">
        <v>625.64</v>
      </c>
      <c r="L45">
        <v>355.91</v>
      </c>
      <c r="M45">
        <v>286.39</v>
      </c>
      <c r="O45">
        <v>466.3</v>
      </c>
      <c r="P45">
        <v>-130.96</v>
      </c>
      <c r="Q45">
        <v>382.16</v>
      </c>
      <c r="R45">
        <v>450.37</v>
      </c>
    </row>
    <row r="46" spans="1:19" x14ac:dyDescent="0.25">
      <c r="A46" t="s">
        <v>574</v>
      </c>
      <c r="J46">
        <v>104.65</v>
      </c>
      <c r="K46">
        <v>479.46</v>
      </c>
      <c r="L46">
        <v>397.85</v>
      </c>
      <c r="M46">
        <v>379.9</v>
      </c>
      <c r="O46" s="2">
        <v>2263.16</v>
      </c>
      <c r="P46" s="2">
        <v>6438.35</v>
      </c>
      <c r="Q46" s="2">
        <v>9231.7900000000009</v>
      </c>
      <c r="R46" s="2">
        <v>11862.71</v>
      </c>
    </row>
    <row r="47" spans="1:19" x14ac:dyDescent="0.25">
      <c r="A47" t="s">
        <v>17</v>
      </c>
    </row>
    <row r="48" spans="1:19" x14ac:dyDescent="0.25">
      <c r="A48" t="s">
        <v>58</v>
      </c>
    </row>
    <row r="49" spans="1:18" x14ac:dyDescent="0.25">
      <c r="A49" t="s">
        <v>51</v>
      </c>
    </row>
    <row r="50" spans="1:18" x14ac:dyDescent="0.25">
      <c r="A50" t="s">
        <v>17</v>
      </c>
    </row>
    <row r="51" spans="1:18" x14ac:dyDescent="0.25">
      <c r="A51" t="s">
        <v>16</v>
      </c>
    </row>
    <row r="52" spans="1:18" x14ac:dyDescent="0.25">
      <c r="A52" t="s">
        <v>575</v>
      </c>
      <c r="J52" s="2">
        <v>2197.25</v>
      </c>
      <c r="K52" s="2">
        <v>2340.9299999999998</v>
      </c>
      <c r="L52" s="2">
        <v>2295.73</v>
      </c>
      <c r="M52" s="2">
        <v>3421.28</v>
      </c>
      <c r="O52" s="2">
        <v>6416.28</v>
      </c>
      <c r="P52" s="2">
        <v>10284.74</v>
      </c>
      <c r="Q52" s="2">
        <v>16978.09</v>
      </c>
    </row>
    <row r="53" spans="1:18" x14ac:dyDescent="0.25">
      <c r="A53" t="s">
        <v>576</v>
      </c>
      <c r="J53">
        <v>84.03</v>
      </c>
      <c r="K53">
        <v>70.08</v>
      </c>
      <c r="L53">
        <v>63.91</v>
      </c>
      <c r="M53">
        <v>61.97</v>
      </c>
      <c r="O53">
        <v>123.59</v>
      </c>
      <c r="P53">
        <v>180.79</v>
      </c>
    </row>
    <row r="54" spans="1:18" x14ac:dyDescent="0.25">
      <c r="A54" t="s">
        <v>577</v>
      </c>
      <c r="J54" s="2">
        <v>2064.42</v>
      </c>
      <c r="K54" s="2">
        <v>2219.6799999999998</v>
      </c>
      <c r="L54" s="2">
        <v>2192.29</v>
      </c>
      <c r="M54" s="2">
        <v>3320.78</v>
      </c>
      <c r="O54" s="2">
        <v>7022.93</v>
      </c>
      <c r="P54" s="2">
        <v>10496.9</v>
      </c>
      <c r="Q54" s="2">
        <v>16881.21</v>
      </c>
    </row>
    <row r="55" spans="1:18" x14ac:dyDescent="0.25">
      <c r="A55" t="s">
        <v>578</v>
      </c>
      <c r="J55">
        <v>12.22</v>
      </c>
      <c r="K55">
        <v>11.49</v>
      </c>
      <c r="L55">
        <v>6.66</v>
      </c>
      <c r="M55">
        <v>8.19</v>
      </c>
      <c r="O55">
        <v>15.74</v>
      </c>
      <c r="P55">
        <v>22.01</v>
      </c>
    </row>
    <row r="56" spans="1:18" x14ac:dyDescent="0.25">
      <c r="A56" t="s">
        <v>579</v>
      </c>
      <c r="J56">
        <v>36.58</v>
      </c>
      <c r="K56">
        <v>39.69</v>
      </c>
      <c r="L56">
        <v>32.880000000000003</v>
      </c>
      <c r="M56">
        <v>30.34</v>
      </c>
      <c r="O56">
        <v>59.05</v>
      </c>
      <c r="P56">
        <v>83</v>
      </c>
    </row>
    <row r="57" spans="1:18" x14ac:dyDescent="0.25">
      <c r="A57" t="s">
        <v>580</v>
      </c>
      <c r="J57" s="2">
        <v>1119.3699999999999</v>
      </c>
      <c r="K57" s="2">
        <v>1349.76</v>
      </c>
      <c r="L57" s="2">
        <v>1016.57</v>
      </c>
      <c r="M57">
        <v>953.84</v>
      </c>
      <c r="O57" s="2">
        <v>1498.81</v>
      </c>
      <c r="P57" s="2">
        <v>1789.26</v>
      </c>
      <c r="Q57" s="2">
        <v>1158.6500000000001</v>
      </c>
    </row>
    <row r="58" spans="1:18" x14ac:dyDescent="0.25">
      <c r="A58" t="s">
        <v>576</v>
      </c>
      <c r="J58">
        <v>662.73</v>
      </c>
      <c r="K58">
        <v>603.66</v>
      </c>
      <c r="L58">
        <v>546</v>
      </c>
      <c r="M58">
        <v>516.77</v>
      </c>
      <c r="O58">
        <v>947.25</v>
      </c>
      <c r="P58" s="2">
        <v>1324.65</v>
      </c>
    </row>
    <row r="59" spans="1:18" x14ac:dyDescent="0.25">
      <c r="A59" t="s">
        <v>577</v>
      </c>
      <c r="J59">
        <v>90.41</v>
      </c>
      <c r="K59">
        <v>73.7</v>
      </c>
      <c r="L59">
        <v>81.48</v>
      </c>
      <c r="M59">
        <v>115.26</v>
      </c>
      <c r="O59">
        <v>174.07</v>
      </c>
      <c r="P59">
        <v>218.37</v>
      </c>
      <c r="Q59">
        <v>203.17</v>
      </c>
    </row>
    <row r="60" spans="1:18" x14ac:dyDescent="0.25">
      <c r="A60" t="s">
        <v>578</v>
      </c>
      <c r="J60">
        <v>298.16000000000003</v>
      </c>
      <c r="K60">
        <v>614.15</v>
      </c>
      <c r="L60">
        <v>349.25</v>
      </c>
      <c r="M60">
        <v>278.18</v>
      </c>
      <c r="O60">
        <v>529.32000000000005</v>
      </c>
      <c r="P60">
        <v>626.63</v>
      </c>
    </row>
    <row r="61" spans="1:18" x14ac:dyDescent="0.25">
      <c r="A61" t="s">
        <v>581</v>
      </c>
      <c r="J61">
        <v>68.069999999999993</v>
      </c>
      <c r="K61">
        <v>58.24</v>
      </c>
      <c r="L61">
        <v>39.85</v>
      </c>
      <c r="M61">
        <v>43.63</v>
      </c>
      <c r="O61">
        <v>82.61</v>
      </c>
      <c r="P61">
        <v>113.27</v>
      </c>
    </row>
    <row r="62" spans="1:18" x14ac:dyDescent="0.25">
      <c r="A62" t="s">
        <v>582</v>
      </c>
      <c r="J62">
        <v>0</v>
      </c>
      <c r="K62" s="2">
        <v>1469.41</v>
      </c>
      <c r="L62" s="2">
        <v>1395.39</v>
      </c>
      <c r="M62" s="2">
        <v>1435</v>
      </c>
      <c r="O62" s="2">
        <v>1751.01</v>
      </c>
      <c r="P62" s="2">
        <v>1810.69</v>
      </c>
      <c r="Q62" s="2">
        <v>1211.26</v>
      </c>
      <c r="R62" s="2">
        <v>1297.8800000000001</v>
      </c>
    </row>
    <row r="63" spans="1:18" x14ac:dyDescent="0.25">
      <c r="A63" t="s">
        <v>576</v>
      </c>
      <c r="J63">
        <v>0</v>
      </c>
      <c r="K63" s="2">
        <v>1087.8800000000001</v>
      </c>
      <c r="L63" s="2">
        <v>1070.27</v>
      </c>
      <c r="M63" s="2">
        <v>1129.05</v>
      </c>
      <c r="O63" s="2">
        <v>2094.41</v>
      </c>
      <c r="P63" s="2">
        <v>2651.12</v>
      </c>
    </row>
    <row r="64" spans="1:18" x14ac:dyDescent="0.25">
      <c r="A64" t="s">
        <v>579</v>
      </c>
      <c r="J64">
        <v>0</v>
      </c>
      <c r="K64">
        <v>381.53</v>
      </c>
      <c r="L64">
        <v>325.12</v>
      </c>
      <c r="M64">
        <v>305.93</v>
      </c>
      <c r="O64">
        <v>614.67999999999995</v>
      </c>
      <c r="P64">
        <v>761.78</v>
      </c>
    </row>
    <row r="65" spans="1:17" x14ac:dyDescent="0.25">
      <c r="A65" t="s">
        <v>17</v>
      </c>
    </row>
    <row r="66" spans="1:17" x14ac:dyDescent="0.25">
      <c r="A66" t="s">
        <v>84</v>
      </c>
    </row>
    <row r="67" spans="1:17" x14ac:dyDescent="0.25">
      <c r="A67" t="s">
        <v>575</v>
      </c>
      <c r="K67">
        <v>639.25</v>
      </c>
      <c r="L67">
        <v>548.41</v>
      </c>
      <c r="M67">
        <v>914.12</v>
      </c>
    </row>
    <row r="68" spans="1:17" x14ac:dyDescent="0.25">
      <c r="A68" t="s">
        <v>580</v>
      </c>
      <c r="K68">
        <v>288.7</v>
      </c>
      <c r="L68">
        <v>101.88</v>
      </c>
      <c r="M68">
        <v>97.18</v>
      </c>
    </row>
    <row r="69" spans="1:17" x14ac:dyDescent="0.25">
      <c r="A69" t="s">
        <v>582</v>
      </c>
      <c r="K69">
        <v>603.22</v>
      </c>
      <c r="L69">
        <v>522.02</v>
      </c>
      <c r="M69">
        <v>598.4</v>
      </c>
    </row>
    <row r="70" spans="1:17" x14ac:dyDescent="0.25">
      <c r="A70" t="s">
        <v>17</v>
      </c>
    </row>
    <row r="71" spans="1:17" x14ac:dyDescent="0.25">
      <c r="A71" t="s">
        <v>571</v>
      </c>
    </row>
    <row r="72" spans="1:17" x14ac:dyDescent="0.25">
      <c r="A72" t="s">
        <v>575</v>
      </c>
      <c r="J72">
        <v>335.5</v>
      </c>
      <c r="K72">
        <v>389.1</v>
      </c>
      <c r="L72">
        <v>353.65</v>
      </c>
      <c r="M72">
        <v>643.52</v>
      </c>
      <c r="O72">
        <v>909.82</v>
      </c>
      <c r="P72" s="2">
        <v>1272.31</v>
      </c>
    </row>
    <row r="73" spans="1:17" x14ac:dyDescent="0.25">
      <c r="A73" t="s">
        <v>269</v>
      </c>
      <c r="J73">
        <v>15.3</v>
      </c>
      <c r="K73">
        <v>16.600000000000001</v>
      </c>
      <c r="L73">
        <v>13.4</v>
      </c>
      <c r="O73">
        <v>17.61</v>
      </c>
      <c r="P73">
        <v>18.46</v>
      </c>
      <c r="Q73">
        <v>23.2</v>
      </c>
    </row>
    <row r="74" spans="1:17" x14ac:dyDescent="0.25">
      <c r="A74" t="s">
        <v>580</v>
      </c>
      <c r="J74">
        <v>314.7</v>
      </c>
      <c r="K74">
        <v>356.4</v>
      </c>
      <c r="L74">
        <v>296.87</v>
      </c>
      <c r="M74">
        <v>354.71</v>
      </c>
      <c r="O74">
        <v>409.64</v>
      </c>
      <c r="P74">
        <v>523.99</v>
      </c>
      <c r="Q74">
        <v>397.42</v>
      </c>
    </row>
    <row r="75" spans="1:17" x14ac:dyDescent="0.25">
      <c r="A75" t="s">
        <v>269</v>
      </c>
      <c r="J75">
        <v>28.1</v>
      </c>
      <c r="K75">
        <v>26.4</v>
      </c>
      <c r="L75">
        <v>21</v>
      </c>
      <c r="O75">
        <v>28.36</v>
      </c>
      <c r="P75">
        <v>28.36</v>
      </c>
    </row>
    <row r="76" spans="1:17" x14ac:dyDescent="0.25">
      <c r="A76" t="s">
        <v>582</v>
      </c>
      <c r="J76">
        <v>0</v>
      </c>
      <c r="K76">
        <v>221</v>
      </c>
      <c r="L76">
        <v>206.78</v>
      </c>
      <c r="M76">
        <v>316.48</v>
      </c>
    </row>
    <row r="77" spans="1:17" x14ac:dyDescent="0.25">
      <c r="A77" t="s">
        <v>269</v>
      </c>
      <c r="K77">
        <v>15</v>
      </c>
      <c r="L77">
        <v>13.4</v>
      </c>
      <c r="O77">
        <v>19.64</v>
      </c>
      <c r="P77">
        <v>19.899999999999999</v>
      </c>
      <c r="Q77">
        <v>25.53</v>
      </c>
    </row>
    <row r="78" spans="1:17" x14ac:dyDescent="0.25">
      <c r="A78" t="s">
        <v>17</v>
      </c>
    </row>
    <row r="79" spans="1:17" x14ac:dyDescent="0.25">
      <c r="A79" t="s">
        <v>72</v>
      </c>
    </row>
    <row r="80" spans="1:17" x14ac:dyDescent="0.25">
      <c r="A80" t="s">
        <v>17</v>
      </c>
    </row>
    <row r="81" spans="1:19" x14ac:dyDescent="0.25">
      <c r="A81" t="s">
        <v>16</v>
      </c>
    </row>
    <row r="82" spans="1:19" x14ac:dyDescent="0.25">
      <c r="A82" t="s">
        <v>583</v>
      </c>
      <c r="D82">
        <v>266.35000000000002</v>
      </c>
      <c r="E82">
        <v>294.2</v>
      </c>
      <c r="F82">
        <v>373.74</v>
      </c>
      <c r="G82">
        <v>405.4</v>
      </c>
      <c r="H82" s="2">
        <v>1432.49</v>
      </c>
      <c r="I82" s="2">
        <v>1560.25</v>
      </c>
      <c r="J82" s="2">
        <v>1771.39</v>
      </c>
      <c r="K82" s="2">
        <v>2745.89</v>
      </c>
      <c r="L82" s="2">
        <v>2622.57</v>
      </c>
      <c r="M82" s="2">
        <v>3564.85</v>
      </c>
      <c r="N82" s="2">
        <v>4633.7</v>
      </c>
    </row>
    <row r="83" spans="1:19" x14ac:dyDescent="0.25">
      <c r="A83" t="s">
        <v>584</v>
      </c>
      <c r="D83">
        <v>151.16999999999999</v>
      </c>
      <c r="E83">
        <v>165.57</v>
      </c>
      <c r="F83">
        <v>207.05</v>
      </c>
      <c r="G83">
        <v>190.48</v>
      </c>
      <c r="H83">
        <v>165.06</v>
      </c>
      <c r="I83">
        <v>567.70000000000005</v>
      </c>
      <c r="J83">
        <v>623.16</v>
      </c>
      <c r="K83">
        <v>979.91</v>
      </c>
      <c r="L83">
        <v>714.28</v>
      </c>
      <c r="M83">
        <v>698.8</v>
      </c>
      <c r="N83">
        <v>814.18</v>
      </c>
    </row>
    <row r="84" spans="1:19" x14ac:dyDescent="0.25">
      <c r="A84" t="s">
        <v>585</v>
      </c>
      <c r="B84">
        <v>114.25</v>
      </c>
      <c r="C84">
        <v>140.59</v>
      </c>
      <c r="D84">
        <v>172.29</v>
      </c>
      <c r="E84">
        <v>208.6</v>
      </c>
      <c r="F84">
        <v>253.67</v>
      </c>
      <c r="G84">
        <v>290.29000000000002</v>
      </c>
      <c r="H84">
        <v>292.14</v>
      </c>
      <c r="I84">
        <v>680.48</v>
      </c>
      <c r="J84">
        <v>614.39</v>
      </c>
      <c r="K84">
        <v>577.17999999999995</v>
      </c>
      <c r="L84">
        <v>621.91999999999996</v>
      </c>
      <c r="M84">
        <v>680.11</v>
      </c>
      <c r="N84">
        <v>813.38</v>
      </c>
    </row>
    <row r="85" spans="1:19" x14ac:dyDescent="0.25">
      <c r="A85" t="s">
        <v>586</v>
      </c>
      <c r="B85">
        <v>38.11</v>
      </c>
      <c r="C85">
        <v>52.86</v>
      </c>
      <c r="D85">
        <v>57.29</v>
      </c>
      <c r="E85">
        <v>76.209999999999994</v>
      </c>
      <c r="F85">
        <v>89.15</v>
      </c>
      <c r="G85">
        <v>109.67</v>
      </c>
      <c r="H85">
        <v>146.33000000000001</v>
      </c>
      <c r="I85">
        <v>203.66</v>
      </c>
      <c r="J85">
        <v>196.51</v>
      </c>
      <c r="K85">
        <v>392.48</v>
      </c>
      <c r="L85">
        <v>340.86</v>
      </c>
      <c r="M85">
        <v>390.61</v>
      </c>
      <c r="N85">
        <v>390.37</v>
      </c>
    </row>
    <row r="86" spans="1:19" x14ac:dyDescent="0.25">
      <c r="A86" t="s">
        <v>587</v>
      </c>
      <c r="D86">
        <v>180.12</v>
      </c>
      <c r="E86">
        <v>227.47</v>
      </c>
      <c r="F86">
        <v>235.19</v>
      </c>
      <c r="G86">
        <v>366.65</v>
      </c>
      <c r="H86">
        <v>344.06</v>
      </c>
      <c r="I86">
        <v>93.8</v>
      </c>
      <c r="J86">
        <v>111.17</v>
      </c>
      <c r="K86">
        <v>464.64</v>
      </c>
      <c r="L86">
        <v>408.06</v>
      </c>
      <c r="M86">
        <v>475.75</v>
      </c>
      <c r="N86">
        <v>466.56</v>
      </c>
    </row>
    <row r="87" spans="1:19" x14ac:dyDescent="0.25">
      <c r="A87" t="s">
        <v>17</v>
      </c>
    </row>
    <row r="88" spans="1:19" x14ac:dyDescent="0.25">
      <c r="A88" t="s">
        <v>274</v>
      </c>
    </row>
    <row r="89" spans="1:19" x14ac:dyDescent="0.25">
      <c r="A89" t="s">
        <v>16</v>
      </c>
      <c r="B89">
        <v>683.26</v>
      </c>
      <c r="C89">
        <v>741.96</v>
      </c>
      <c r="D89">
        <v>813.3</v>
      </c>
      <c r="E89">
        <v>972.05</v>
      </c>
      <c r="F89" s="2">
        <v>1158.79</v>
      </c>
      <c r="G89" s="2">
        <v>1362.5</v>
      </c>
      <c r="H89" s="2">
        <v>2380.0700000000002</v>
      </c>
      <c r="I89" s="2">
        <v>3105.89</v>
      </c>
      <c r="J89" s="2">
        <v>3316.62</v>
      </c>
      <c r="K89" s="2">
        <v>5160.1000000000004</v>
      </c>
      <c r="L89" s="2">
        <v>4707.7</v>
      </c>
      <c r="M89" s="2">
        <v>5810.1</v>
      </c>
      <c r="N89" s="2">
        <v>7118.2</v>
      </c>
      <c r="O89" s="2">
        <v>10699.38</v>
      </c>
      <c r="P89" s="2">
        <v>14736.91</v>
      </c>
      <c r="Q89" s="2">
        <v>19381</v>
      </c>
      <c r="R89" s="2">
        <v>25552.67</v>
      </c>
      <c r="S89" s="2">
        <v>26191</v>
      </c>
    </row>
    <row r="90" spans="1:19" x14ac:dyDescent="0.25">
      <c r="A90" t="s">
        <v>17</v>
      </c>
    </row>
    <row r="91" spans="1:19" x14ac:dyDescent="0.25">
      <c r="A91" t="s">
        <v>82</v>
      </c>
      <c r="N91" s="2">
        <v>4311.7</v>
      </c>
    </row>
    <row r="92" spans="1:19" x14ac:dyDescent="0.25">
      <c r="A92" t="s">
        <v>84</v>
      </c>
      <c r="H92">
        <v>912.4</v>
      </c>
      <c r="I92" s="2">
        <v>1235</v>
      </c>
      <c r="J92" s="2">
        <v>1321.5</v>
      </c>
      <c r="K92" s="2">
        <v>1984</v>
      </c>
      <c r="L92" s="2">
        <v>1696.1</v>
      </c>
      <c r="M92" s="2">
        <v>2202.3000000000002</v>
      </c>
      <c r="N92" s="2">
        <v>2806.5</v>
      </c>
      <c r="O92" s="2">
        <v>4431.6400000000003</v>
      </c>
      <c r="P92" s="2">
        <v>6149.77</v>
      </c>
      <c r="Q92" s="2">
        <v>8259.8799999999992</v>
      </c>
      <c r="R92" s="2">
        <v>11108.66</v>
      </c>
      <c r="S92" s="2">
        <v>11000.09</v>
      </c>
    </row>
    <row r="93" spans="1:19" x14ac:dyDescent="0.25">
      <c r="A93" t="s">
        <v>85</v>
      </c>
      <c r="B93">
        <v>33.18</v>
      </c>
      <c r="C93">
        <v>36.6</v>
      </c>
      <c r="D93">
        <v>37.799999999999997</v>
      </c>
      <c r="E93">
        <v>40</v>
      </c>
      <c r="F93">
        <v>39.799999999999997</v>
      </c>
      <c r="G93">
        <v>38.299999999999997</v>
      </c>
      <c r="H93">
        <v>38.299999999999997</v>
      </c>
      <c r="I93">
        <v>39.799999999999997</v>
      </c>
      <c r="J93">
        <v>39.799999999999997</v>
      </c>
      <c r="K93">
        <v>38.450000000000003</v>
      </c>
      <c r="L93">
        <v>36</v>
      </c>
      <c r="M93">
        <v>37.9</v>
      </c>
      <c r="N93">
        <v>39.4</v>
      </c>
      <c r="O93">
        <v>40.93</v>
      </c>
      <c r="P93">
        <v>41.99</v>
      </c>
      <c r="Q93">
        <v>43.02</v>
      </c>
      <c r="R93">
        <v>43.29</v>
      </c>
      <c r="S93">
        <v>42</v>
      </c>
    </row>
    <row r="94" spans="1:19" x14ac:dyDescent="0.25">
      <c r="A94" t="s">
        <v>17</v>
      </c>
    </row>
    <row r="95" spans="1:19" x14ac:dyDescent="0.25">
      <c r="A95" t="s">
        <v>275</v>
      </c>
      <c r="N95" s="2">
        <v>1350</v>
      </c>
    </row>
    <row r="96" spans="1:19" x14ac:dyDescent="0.25">
      <c r="A96" t="s">
        <v>276</v>
      </c>
      <c r="H96">
        <v>271.2</v>
      </c>
      <c r="I96">
        <v>320.39999999999998</v>
      </c>
      <c r="J96">
        <v>331.8</v>
      </c>
      <c r="K96">
        <v>544.20000000000005</v>
      </c>
      <c r="L96">
        <v>545.4</v>
      </c>
      <c r="M96">
        <v>611</v>
      </c>
      <c r="N96">
        <v>656.3</v>
      </c>
      <c r="O96">
        <v>832.85</v>
      </c>
      <c r="P96">
        <v>995.71</v>
      </c>
      <c r="Q96" s="2">
        <v>1353.4</v>
      </c>
      <c r="R96" s="2">
        <v>1882.2</v>
      </c>
      <c r="S96" s="2">
        <v>1964.3</v>
      </c>
    </row>
    <row r="97" spans="1:19" x14ac:dyDescent="0.25">
      <c r="A97" t="s">
        <v>61</v>
      </c>
    </row>
    <row r="98" spans="1:19" x14ac:dyDescent="0.25">
      <c r="A98" t="s">
        <v>89</v>
      </c>
      <c r="H98">
        <v>316.5</v>
      </c>
      <c r="I98">
        <v>313.10000000000002</v>
      </c>
      <c r="J98">
        <v>339.4</v>
      </c>
      <c r="K98">
        <v>473.4</v>
      </c>
      <c r="L98">
        <v>441.2</v>
      </c>
      <c r="M98">
        <v>554.29999999999995</v>
      </c>
      <c r="N98">
        <v>693.3</v>
      </c>
      <c r="O98">
        <v>999.05</v>
      </c>
      <c r="P98" s="2">
        <v>1282.3599999999999</v>
      </c>
      <c r="Q98" s="2">
        <v>1672.99</v>
      </c>
      <c r="R98" s="2">
        <v>2313.5</v>
      </c>
      <c r="S98" s="2">
        <v>2160.73</v>
      </c>
    </row>
    <row r="99" spans="1:19" x14ac:dyDescent="0.25">
      <c r="A99" t="s">
        <v>61</v>
      </c>
      <c r="H99">
        <v>13.3</v>
      </c>
      <c r="I99">
        <v>10.08</v>
      </c>
      <c r="J99">
        <v>10.23</v>
      </c>
      <c r="K99">
        <v>9.17</v>
      </c>
      <c r="L99">
        <v>9.3699999999999992</v>
      </c>
      <c r="M99">
        <v>9.5399999999999991</v>
      </c>
      <c r="N99">
        <v>9.74</v>
      </c>
      <c r="O99">
        <v>9.4</v>
      </c>
      <c r="P99">
        <v>8.7799999999999994</v>
      </c>
      <c r="Q99">
        <v>8.8699999999999992</v>
      </c>
      <c r="R99">
        <v>8.94</v>
      </c>
      <c r="S99">
        <v>8.25</v>
      </c>
    </row>
    <row r="100" spans="1:19" x14ac:dyDescent="0.25">
      <c r="A100" t="s">
        <v>17</v>
      </c>
    </row>
    <row r="101" spans="1:19" x14ac:dyDescent="0.25">
      <c r="A101" t="s">
        <v>91</v>
      </c>
      <c r="B101">
        <v>69.930000000000007</v>
      </c>
      <c r="C101">
        <v>181.5</v>
      </c>
      <c r="D101">
        <v>112.4</v>
      </c>
      <c r="E101">
        <v>115.5</v>
      </c>
      <c r="F101">
        <v>135.30000000000001</v>
      </c>
      <c r="G101">
        <v>209.7</v>
      </c>
      <c r="H101">
        <v>324.8</v>
      </c>
      <c r="I101">
        <v>601.5</v>
      </c>
      <c r="J101">
        <v>650.20000000000005</v>
      </c>
      <c r="K101">
        <v>966.5</v>
      </c>
      <c r="L101">
        <v>709.5</v>
      </c>
      <c r="M101" s="2">
        <v>1037</v>
      </c>
      <c r="N101" s="2">
        <v>1457</v>
      </c>
      <c r="O101" s="2">
        <v>2538.27</v>
      </c>
      <c r="P101" s="2">
        <v>3829.7</v>
      </c>
      <c r="Q101" s="2">
        <v>4993.88</v>
      </c>
      <c r="R101" s="2">
        <v>7266</v>
      </c>
      <c r="S101" s="2">
        <v>6875</v>
      </c>
    </row>
    <row r="102" spans="1:19" x14ac:dyDescent="0.25">
      <c r="A102" t="s">
        <v>92</v>
      </c>
      <c r="D102">
        <v>13.59</v>
      </c>
      <c r="E102">
        <v>11.88</v>
      </c>
      <c r="F102">
        <v>11.68</v>
      </c>
      <c r="G102">
        <v>15.39</v>
      </c>
      <c r="H102">
        <v>13.65</v>
      </c>
      <c r="I102">
        <v>19.37</v>
      </c>
      <c r="J102">
        <v>19.600000000000001</v>
      </c>
      <c r="K102">
        <v>18.73</v>
      </c>
      <c r="L102">
        <v>15.07</v>
      </c>
      <c r="M102">
        <v>17.850000000000001</v>
      </c>
      <c r="N102">
        <v>20.47</v>
      </c>
      <c r="O102">
        <v>24.01</v>
      </c>
      <c r="P102">
        <v>26.57</v>
      </c>
      <c r="Q102">
        <v>26.85</v>
      </c>
      <c r="R102">
        <v>27</v>
      </c>
      <c r="S102">
        <v>26.25</v>
      </c>
    </row>
    <row r="103" spans="1:19" x14ac:dyDescent="0.25">
      <c r="A103" t="s">
        <v>17</v>
      </c>
    </row>
    <row r="104" spans="1:19" x14ac:dyDescent="0.25">
      <c r="A104" t="s">
        <v>93</v>
      </c>
      <c r="B104">
        <v>53.1</v>
      </c>
      <c r="C104">
        <v>53.08</v>
      </c>
      <c r="D104">
        <v>56.66</v>
      </c>
      <c r="E104">
        <v>63.64</v>
      </c>
      <c r="F104">
        <v>80.77</v>
      </c>
      <c r="G104">
        <v>92.37</v>
      </c>
      <c r="H104">
        <v>220.88</v>
      </c>
      <c r="I104">
        <v>270.07</v>
      </c>
      <c r="J104">
        <v>286.77999999999997</v>
      </c>
      <c r="K104">
        <v>681.69</v>
      </c>
      <c r="L104">
        <v>559.76</v>
      </c>
      <c r="M104">
        <v>553.6</v>
      </c>
      <c r="N104">
        <v>521.9</v>
      </c>
      <c r="O104">
        <v>690.82</v>
      </c>
      <c r="P104">
        <v>829.53</v>
      </c>
      <c r="Q104" s="2">
        <v>1209.3800000000001</v>
      </c>
      <c r="R104" s="2">
        <v>2113.8000000000002</v>
      </c>
      <c r="S104" s="2">
        <v>1692.3</v>
      </c>
    </row>
    <row r="105" spans="1:19" x14ac:dyDescent="0.25">
      <c r="A105" t="s">
        <v>83</v>
      </c>
      <c r="B105">
        <v>6.12</v>
      </c>
      <c r="C105">
        <v>5.54</v>
      </c>
      <c r="D105">
        <v>5.36</v>
      </c>
      <c r="E105">
        <v>5.24</v>
      </c>
      <c r="F105">
        <v>5.71</v>
      </c>
      <c r="G105">
        <v>5.56</v>
      </c>
      <c r="H105">
        <v>6.58</v>
      </c>
      <c r="I105">
        <v>6.05</v>
      </c>
      <c r="J105">
        <v>6.25</v>
      </c>
      <c r="K105">
        <v>5.19</v>
      </c>
      <c r="L105">
        <v>5.77</v>
      </c>
      <c r="M105">
        <v>4.32</v>
      </c>
      <c r="N105">
        <v>3.39</v>
      </c>
      <c r="O105">
        <v>3.98</v>
      </c>
      <c r="P105">
        <v>4.72</v>
      </c>
      <c r="Q105">
        <v>5.35</v>
      </c>
    </row>
    <row r="106" spans="1:19" x14ac:dyDescent="0.25">
      <c r="A106" t="s">
        <v>94</v>
      </c>
      <c r="B106">
        <v>41.81</v>
      </c>
      <c r="C106">
        <v>41.11</v>
      </c>
      <c r="D106">
        <v>44.32</v>
      </c>
      <c r="E106">
        <v>50.89</v>
      </c>
      <c r="F106">
        <v>66.2</v>
      </c>
      <c r="G106">
        <v>75.75</v>
      </c>
      <c r="H106">
        <v>156.69</v>
      </c>
      <c r="I106">
        <v>187.8</v>
      </c>
      <c r="J106">
        <v>207.13</v>
      </c>
      <c r="K106">
        <v>267.56</v>
      </c>
      <c r="L106">
        <v>271.60000000000002</v>
      </c>
      <c r="M106">
        <v>250.81</v>
      </c>
      <c r="N106">
        <v>241.6</v>
      </c>
      <c r="O106">
        <v>393.58</v>
      </c>
      <c r="P106">
        <v>516.15</v>
      </c>
      <c r="Q106">
        <v>609.72</v>
      </c>
      <c r="R106">
        <v>707.14</v>
      </c>
      <c r="S106">
        <v>697.05</v>
      </c>
    </row>
    <row r="107" spans="1:19" x14ac:dyDescent="0.25">
      <c r="A107" t="s">
        <v>127</v>
      </c>
      <c r="B107">
        <v>11.3</v>
      </c>
      <c r="C107">
        <v>12</v>
      </c>
      <c r="D107">
        <v>12.3</v>
      </c>
      <c r="E107">
        <v>12.74</v>
      </c>
      <c r="F107">
        <v>14.6</v>
      </c>
      <c r="G107">
        <v>16.600000000000001</v>
      </c>
      <c r="H107">
        <v>64.2</v>
      </c>
      <c r="I107">
        <v>82.27</v>
      </c>
      <c r="J107">
        <v>79.650000000000006</v>
      </c>
      <c r="K107">
        <v>414.13</v>
      </c>
      <c r="L107">
        <v>288.16000000000003</v>
      </c>
      <c r="M107">
        <v>302.8</v>
      </c>
      <c r="N107">
        <v>280.3</v>
      </c>
      <c r="O107">
        <v>279.64</v>
      </c>
      <c r="P107">
        <v>401.1</v>
      </c>
      <c r="Q107">
        <v>361.16</v>
      </c>
      <c r="R107">
        <v>466.24</v>
      </c>
      <c r="S107">
        <v>995.25</v>
      </c>
    </row>
    <row r="108" spans="1:19" x14ac:dyDescent="0.25">
      <c r="A108" t="s">
        <v>277</v>
      </c>
      <c r="B108">
        <v>103.3</v>
      </c>
      <c r="C108">
        <v>128.4</v>
      </c>
      <c r="D108">
        <v>167.8</v>
      </c>
      <c r="E108">
        <v>189.2</v>
      </c>
      <c r="F108">
        <v>221.4</v>
      </c>
      <c r="G108">
        <v>288</v>
      </c>
      <c r="H108">
        <v>493.1</v>
      </c>
      <c r="I108">
        <v>800.7</v>
      </c>
      <c r="J108">
        <v>864.8</v>
      </c>
      <c r="K108" s="2">
        <v>1238.7</v>
      </c>
      <c r="L108" s="2">
        <v>1001.2</v>
      </c>
      <c r="M108" s="2">
        <v>1287.71</v>
      </c>
      <c r="N108" s="2">
        <v>1698.46</v>
      </c>
      <c r="O108" s="2">
        <v>2855.19</v>
      </c>
      <c r="P108" s="2">
        <v>4257.08</v>
      </c>
      <c r="Q108" s="2">
        <v>5661.8</v>
      </c>
      <c r="R108" s="2">
        <v>6803</v>
      </c>
      <c r="S108" s="2">
        <v>7589</v>
      </c>
    </row>
    <row r="109" spans="1:19" x14ac:dyDescent="0.25">
      <c r="A109" t="s">
        <v>481</v>
      </c>
      <c r="C109">
        <v>17.3</v>
      </c>
      <c r="D109">
        <v>20.6</v>
      </c>
      <c r="E109">
        <v>19.5</v>
      </c>
      <c r="F109">
        <v>21</v>
      </c>
      <c r="G109">
        <v>21.1</v>
      </c>
      <c r="H109">
        <v>20.7</v>
      </c>
      <c r="I109">
        <v>25.8</v>
      </c>
      <c r="J109">
        <v>26.1</v>
      </c>
      <c r="K109">
        <v>24</v>
      </c>
      <c r="L109">
        <v>21.3</v>
      </c>
    </row>
    <row r="110" spans="1:19" x14ac:dyDescent="0.25">
      <c r="A110" t="s">
        <v>17</v>
      </c>
    </row>
    <row r="111" spans="1:19" x14ac:dyDescent="0.25">
      <c r="A111" t="s">
        <v>483</v>
      </c>
      <c r="M111">
        <v>167.3</v>
      </c>
      <c r="N111">
        <v>118.1</v>
      </c>
      <c r="O111">
        <v>113.21</v>
      </c>
      <c r="P111">
        <v>114.12</v>
      </c>
      <c r="Q111">
        <v>96.48</v>
      </c>
      <c r="R111">
        <v>124.51</v>
      </c>
      <c r="S111">
        <v>70.77</v>
      </c>
    </row>
    <row r="112" spans="1:19" x14ac:dyDescent="0.25">
      <c r="A112" t="s">
        <v>101</v>
      </c>
      <c r="M112">
        <v>184</v>
      </c>
      <c r="N112">
        <v>254.4</v>
      </c>
      <c r="O112">
        <v>475.27</v>
      </c>
      <c r="P112">
        <v>728.93</v>
      </c>
      <c r="Q112" s="2">
        <v>1013.31</v>
      </c>
      <c r="R112" s="2">
        <v>1289.8900000000001</v>
      </c>
      <c r="S112" s="2">
        <v>1292.81</v>
      </c>
    </row>
    <row r="113" spans="1:19" x14ac:dyDescent="0.25">
      <c r="A113" t="s">
        <v>102</v>
      </c>
      <c r="B113">
        <v>16</v>
      </c>
      <c r="C113">
        <v>16.600000000000001</v>
      </c>
      <c r="D113">
        <v>27.3</v>
      </c>
      <c r="E113">
        <v>19.8</v>
      </c>
      <c r="F113">
        <v>28</v>
      </c>
      <c r="G113">
        <v>16.600000000000001</v>
      </c>
      <c r="H113">
        <v>-4.9000000000000004</v>
      </c>
      <c r="I113">
        <v>16</v>
      </c>
      <c r="J113">
        <v>17</v>
      </c>
      <c r="K113">
        <v>27</v>
      </c>
      <c r="L113">
        <v>-8</v>
      </c>
      <c r="M113">
        <v>68</v>
      </c>
      <c r="N113">
        <v>7</v>
      </c>
      <c r="O113">
        <v>19.02</v>
      </c>
      <c r="P113">
        <v>19.13</v>
      </c>
      <c r="Q113">
        <v>19.579999999999998</v>
      </c>
      <c r="R113">
        <v>19</v>
      </c>
      <c r="S113">
        <v>19</v>
      </c>
    </row>
    <row r="114" spans="1:19" x14ac:dyDescent="0.25">
      <c r="A114" t="s">
        <v>17</v>
      </c>
    </row>
    <row r="115" spans="1:19" x14ac:dyDescent="0.25">
      <c r="A115" t="s">
        <v>100</v>
      </c>
      <c r="B115">
        <v>65.44</v>
      </c>
      <c r="C115">
        <v>79.11</v>
      </c>
      <c r="D115">
        <v>108.56</v>
      </c>
      <c r="E115">
        <v>118.79</v>
      </c>
      <c r="F115">
        <v>122.19</v>
      </c>
      <c r="G115">
        <v>128.81</v>
      </c>
      <c r="H115">
        <v>246.67</v>
      </c>
      <c r="I115">
        <v>528.19000000000005</v>
      </c>
      <c r="J115">
        <v>615.41</v>
      </c>
      <c r="K115">
        <v>789.5</v>
      </c>
      <c r="L115">
        <v>452.5</v>
      </c>
      <c r="M115">
        <v>876.6</v>
      </c>
      <c r="N115" s="2">
        <v>1351</v>
      </c>
      <c r="O115" s="2">
        <v>2406.33</v>
      </c>
      <c r="P115" s="2">
        <v>3786.43</v>
      </c>
      <c r="Q115" s="2">
        <v>5054.5600000000004</v>
      </c>
      <c r="R115" s="2">
        <v>6788.67</v>
      </c>
      <c r="S115" s="2">
        <v>6804</v>
      </c>
    </row>
    <row r="116" spans="1:19" x14ac:dyDescent="0.25">
      <c r="A116" t="s">
        <v>588</v>
      </c>
    </row>
    <row r="117" spans="1:19" x14ac:dyDescent="0.25">
      <c r="A117" t="s">
        <v>17</v>
      </c>
    </row>
    <row r="118" spans="1:19" x14ac:dyDescent="0.25">
      <c r="A118" t="s">
        <v>106</v>
      </c>
      <c r="B118">
        <v>53.6</v>
      </c>
      <c r="C118">
        <v>58.28</v>
      </c>
      <c r="D118">
        <v>83.6</v>
      </c>
      <c r="E118">
        <v>95.27</v>
      </c>
      <c r="F118">
        <v>132</v>
      </c>
      <c r="G118">
        <v>167.6</v>
      </c>
      <c r="H118">
        <v>258.64999999999998</v>
      </c>
      <c r="I118">
        <v>460.2</v>
      </c>
      <c r="J118">
        <v>504.6</v>
      </c>
      <c r="L118">
        <v>381.2</v>
      </c>
      <c r="M118">
        <v>692.6</v>
      </c>
      <c r="N118" s="2">
        <v>1096.5999999999999</v>
      </c>
      <c r="O118" s="2">
        <v>1991.87</v>
      </c>
      <c r="P118" s="2">
        <v>3091.89</v>
      </c>
      <c r="Q118" s="2">
        <v>4166</v>
      </c>
      <c r="R118" s="2">
        <v>4738.33</v>
      </c>
      <c r="S118" s="2">
        <v>2813</v>
      </c>
    </row>
    <row r="119" spans="1:19" x14ac:dyDescent="0.25">
      <c r="A119" t="s">
        <v>280</v>
      </c>
      <c r="B119">
        <v>7.84</v>
      </c>
      <c r="C119">
        <v>7.94</v>
      </c>
      <c r="D119">
        <v>10.11</v>
      </c>
      <c r="F119">
        <v>11.39</v>
      </c>
      <c r="G119">
        <v>12.3</v>
      </c>
      <c r="H119">
        <v>10.87</v>
      </c>
      <c r="I119">
        <v>14.82</v>
      </c>
      <c r="J119">
        <v>15.21</v>
      </c>
      <c r="K119">
        <v>11</v>
      </c>
      <c r="L119">
        <v>8.1</v>
      </c>
      <c r="M119">
        <v>11.92</v>
      </c>
      <c r="N119">
        <v>15.41</v>
      </c>
      <c r="O119">
        <v>18.96</v>
      </c>
      <c r="P119">
        <v>21.33</v>
      </c>
      <c r="Q119">
        <v>23.16</v>
      </c>
      <c r="R119">
        <v>27.54</v>
      </c>
    </row>
    <row r="120" spans="1:19" x14ac:dyDescent="0.25">
      <c r="A120" t="s">
        <v>589</v>
      </c>
      <c r="B120">
        <v>53.6</v>
      </c>
      <c r="C120">
        <v>58.28</v>
      </c>
      <c r="D120">
        <v>83.6</v>
      </c>
      <c r="E120">
        <v>95.27</v>
      </c>
      <c r="F120">
        <v>132</v>
      </c>
      <c r="G120">
        <v>167.6</v>
      </c>
      <c r="H120">
        <v>258.60000000000002</v>
      </c>
      <c r="I120">
        <v>460.2</v>
      </c>
      <c r="J120">
        <v>504.6</v>
      </c>
      <c r="K120">
        <v>567.5</v>
      </c>
      <c r="L120">
        <v>381.2</v>
      </c>
      <c r="M120">
        <v>692.6</v>
      </c>
      <c r="N120" s="2">
        <v>1096.5999999999999</v>
      </c>
      <c r="O120" s="2">
        <v>1991.87</v>
      </c>
      <c r="P120" s="2">
        <v>3091.89</v>
      </c>
      <c r="Q120" s="2">
        <v>4166</v>
      </c>
      <c r="R120" s="2">
        <v>4738.33</v>
      </c>
      <c r="S120" s="2">
        <v>2813</v>
      </c>
    </row>
    <row r="121" spans="1:19" x14ac:dyDescent="0.25">
      <c r="A121" t="s">
        <v>17</v>
      </c>
    </row>
    <row r="122" spans="1:19" x14ac:dyDescent="0.25">
      <c r="A122" t="s">
        <v>110</v>
      </c>
      <c r="B122">
        <v>0.84</v>
      </c>
      <c r="C122">
        <v>0.94</v>
      </c>
      <c r="D122">
        <v>1.33</v>
      </c>
      <c r="E122">
        <v>1.48</v>
      </c>
      <c r="F122">
        <v>2.0299999999999998</v>
      </c>
      <c r="G122">
        <v>2.54</v>
      </c>
      <c r="H122">
        <v>2.85</v>
      </c>
      <c r="I122">
        <v>3.73</v>
      </c>
      <c r="J122">
        <v>3.72</v>
      </c>
      <c r="L122">
        <v>1.67</v>
      </c>
      <c r="M122">
        <v>3.53</v>
      </c>
      <c r="N122">
        <v>5.61</v>
      </c>
      <c r="O122">
        <v>9.49</v>
      </c>
      <c r="P122">
        <v>14.41</v>
      </c>
      <c r="Q122">
        <v>19.329999999999998</v>
      </c>
      <c r="R122">
        <v>26.38</v>
      </c>
      <c r="S122">
        <v>26.67</v>
      </c>
    </row>
    <row r="123" spans="1:19" x14ac:dyDescent="0.25">
      <c r="A123" t="s">
        <v>17</v>
      </c>
    </row>
    <row r="124" spans="1:19" x14ac:dyDescent="0.25">
      <c r="A124" t="s">
        <v>282</v>
      </c>
    </row>
    <row r="125" spans="1:19" x14ac:dyDescent="0.25">
      <c r="A125" t="s">
        <v>62</v>
      </c>
      <c r="B125">
        <v>456.55</v>
      </c>
      <c r="C125">
        <v>470.36</v>
      </c>
      <c r="D125">
        <v>514.4</v>
      </c>
      <c r="E125">
        <v>583.69000000000005</v>
      </c>
      <c r="F125">
        <v>696.59</v>
      </c>
      <c r="G125">
        <v>841.15</v>
      </c>
      <c r="H125" s="2">
        <v>1560.52</v>
      </c>
      <c r="I125" s="2">
        <v>1928.43</v>
      </c>
      <c r="J125" s="2">
        <v>2051.12</v>
      </c>
      <c r="K125" s="2">
        <v>3541.82</v>
      </c>
      <c r="L125" s="2">
        <v>3251.72</v>
      </c>
      <c r="M125" s="2">
        <v>3766.79</v>
      </c>
      <c r="N125" s="2">
        <v>4449.1000000000004</v>
      </c>
      <c r="O125" s="2">
        <v>6416.13</v>
      </c>
      <c r="P125" s="2">
        <v>8534.0300000000007</v>
      </c>
      <c r="Q125" s="2">
        <v>10884.11</v>
      </c>
      <c r="R125" s="2">
        <v>14572.97</v>
      </c>
      <c r="S125" s="2">
        <v>15635.84</v>
      </c>
    </row>
    <row r="126" spans="1:19" x14ac:dyDescent="0.25">
      <c r="A126" t="s">
        <v>63</v>
      </c>
      <c r="B126">
        <v>226.72</v>
      </c>
      <c r="C126">
        <v>271.60000000000002</v>
      </c>
      <c r="D126">
        <v>312.81</v>
      </c>
      <c r="E126">
        <v>388.35</v>
      </c>
      <c r="F126">
        <v>462.2</v>
      </c>
      <c r="G126">
        <v>521.35</v>
      </c>
      <c r="H126">
        <v>819.55</v>
      </c>
      <c r="I126" s="2">
        <v>1177.46</v>
      </c>
      <c r="J126" s="2">
        <v>1265.5</v>
      </c>
      <c r="K126" s="2">
        <v>1618.28</v>
      </c>
      <c r="L126" s="2">
        <v>1455.96</v>
      </c>
      <c r="M126" s="2">
        <v>2043.32</v>
      </c>
      <c r="N126" s="2">
        <v>2669.1</v>
      </c>
      <c r="O126" s="2">
        <v>4225.74</v>
      </c>
      <c r="P126" s="2">
        <v>5966.57</v>
      </c>
      <c r="Q126" s="2">
        <v>7697.36</v>
      </c>
      <c r="R126" s="2">
        <v>9383.7900000000009</v>
      </c>
      <c r="S126" s="2">
        <v>10554.84</v>
      </c>
    </row>
    <row r="127" spans="1:19" x14ac:dyDescent="0.25">
      <c r="A127" t="s">
        <v>64</v>
      </c>
      <c r="C127">
        <v>36.6</v>
      </c>
      <c r="D127">
        <v>37.799999999999997</v>
      </c>
      <c r="E127">
        <v>39.9</v>
      </c>
      <c r="F127">
        <v>39.9</v>
      </c>
      <c r="G127">
        <v>38.299999999999997</v>
      </c>
      <c r="H127">
        <v>34.4</v>
      </c>
      <c r="I127">
        <v>37.9</v>
      </c>
      <c r="J127">
        <v>38.200000000000003</v>
      </c>
      <c r="K127">
        <v>31.4</v>
      </c>
      <c r="L127">
        <v>30.9</v>
      </c>
      <c r="M127">
        <v>35.200000000000003</v>
      </c>
      <c r="N127">
        <v>37.5</v>
      </c>
      <c r="O127">
        <v>39.58</v>
      </c>
      <c r="P127">
        <v>40.770000000000003</v>
      </c>
      <c r="Q127">
        <v>41.98</v>
      </c>
      <c r="R127">
        <v>41.23</v>
      </c>
      <c r="S127">
        <v>40.299999999999997</v>
      </c>
    </row>
    <row r="128" spans="1:19" x14ac:dyDescent="0.25">
      <c r="A128" t="s">
        <v>87</v>
      </c>
      <c r="B128">
        <v>637.62</v>
      </c>
      <c r="C128">
        <v>662.85</v>
      </c>
      <c r="D128">
        <v>737.26</v>
      </c>
      <c r="E128">
        <v>853.26</v>
      </c>
      <c r="F128" s="2">
        <v>1036.5999999999999</v>
      </c>
      <c r="G128" s="2">
        <v>1233.68</v>
      </c>
      <c r="H128" s="2">
        <v>2444</v>
      </c>
      <c r="I128" s="2">
        <v>2753.3</v>
      </c>
      <c r="J128" s="2">
        <v>3034.81</v>
      </c>
      <c r="K128" s="2">
        <v>5515.66</v>
      </c>
      <c r="L128" s="2">
        <v>4855.34</v>
      </c>
      <c r="M128" s="2">
        <v>5715.93</v>
      </c>
      <c r="N128" s="2">
        <v>6270.4</v>
      </c>
    </row>
    <row r="129" spans="1:19" x14ac:dyDescent="0.25">
      <c r="A129" t="s">
        <v>590</v>
      </c>
      <c r="B129">
        <v>180.23</v>
      </c>
      <c r="C129">
        <v>194.8</v>
      </c>
      <c r="D129">
        <v>221</v>
      </c>
      <c r="E129">
        <v>272.81</v>
      </c>
      <c r="F129">
        <v>325.44</v>
      </c>
      <c r="G129">
        <v>372.68</v>
      </c>
      <c r="H129">
        <v>780.07</v>
      </c>
      <c r="I129">
        <v>775.34</v>
      </c>
      <c r="J129">
        <v>851.2</v>
      </c>
      <c r="K129" s="2">
        <v>1655.4</v>
      </c>
      <c r="L129" s="2">
        <v>1359.84</v>
      </c>
      <c r="M129" s="2">
        <v>1753.44</v>
      </c>
      <c r="N129" s="2">
        <v>1771.2</v>
      </c>
      <c r="O129" s="2">
        <v>2352.5500000000002</v>
      </c>
      <c r="P129" s="2">
        <v>2886.1</v>
      </c>
      <c r="Q129" s="2">
        <v>3644.51</v>
      </c>
      <c r="R129" s="2">
        <v>4396.1000000000004</v>
      </c>
      <c r="S129" s="2">
        <v>5264.33</v>
      </c>
    </row>
    <row r="130" spans="1:19" x14ac:dyDescent="0.25">
      <c r="A130" t="s">
        <v>76</v>
      </c>
      <c r="B130">
        <v>26.38</v>
      </c>
      <c r="C130">
        <v>26.25</v>
      </c>
      <c r="D130">
        <v>26.72</v>
      </c>
      <c r="E130">
        <v>28.07</v>
      </c>
      <c r="F130">
        <v>28.08</v>
      </c>
      <c r="G130">
        <v>27.35</v>
      </c>
      <c r="H130">
        <v>32.78</v>
      </c>
      <c r="I130">
        <v>24.96</v>
      </c>
      <c r="J130">
        <v>25.66</v>
      </c>
      <c r="K130">
        <v>32.08</v>
      </c>
      <c r="L130">
        <v>28.89</v>
      </c>
      <c r="M130">
        <v>30.18</v>
      </c>
      <c r="N130">
        <v>24.88</v>
      </c>
      <c r="O130">
        <v>17.12</v>
      </c>
      <c r="P130">
        <v>15.97</v>
      </c>
      <c r="Q130">
        <v>15.71</v>
      </c>
      <c r="R130">
        <v>16.29</v>
      </c>
      <c r="S130">
        <v>15.75</v>
      </c>
    </row>
    <row r="131" spans="1:19" x14ac:dyDescent="0.25">
      <c r="A131" t="s">
        <v>591</v>
      </c>
      <c r="B131">
        <v>137.71</v>
      </c>
      <c r="C131">
        <v>143.54</v>
      </c>
      <c r="D131">
        <v>160.65</v>
      </c>
      <c r="E131">
        <v>176</v>
      </c>
      <c r="F131">
        <v>208.57</v>
      </c>
      <c r="G131">
        <v>233.52</v>
      </c>
      <c r="H131">
        <v>441</v>
      </c>
      <c r="I131">
        <v>445.24</v>
      </c>
      <c r="J131">
        <v>474.1</v>
      </c>
      <c r="K131" s="2">
        <v>1036.7</v>
      </c>
      <c r="L131">
        <v>854</v>
      </c>
      <c r="M131">
        <v>926.45</v>
      </c>
      <c r="N131" s="2">
        <v>1044.5999999999999</v>
      </c>
      <c r="O131" s="2">
        <v>1243.69</v>
      </c>
      <c r="P131" s="2">
        <v>1553.36</v>
      </c>
      <c r="Q131" s="2">
        <v>1935.85</v>
      </c>
      <c r="R131" s="2">
        <v>2626.13</v>
      </c>
      <c r="S131" s="2">
        <v>3025.02</v>
      </c>
    </row>
    <row r="132" spans="1:19" x14ac:dyDescent="0.25">
      <c r="A132" t="s">
        <v>592</v>
      </c>
      <c r="H132">
        <v>11.39</v>
      </c>
      <c r="I132">
        <v>10.32</v>
      </c>
      <c r="J132">
        <v>10</v>
      </c>
      <c r="K132">
        <v>10.55</v>
      </c>
      <c r="L132">
        <v>11.59</v>
      </c>
      <c r="M132">
        <v>10.52</v>
      </c>
      <c r="N132">
        <v>9.2200000000000006</v>
      </c>
      <c r="O132">
        <v>7.53</v>
      </c>
      <c r="P132">
        <v>6.84</v>
      </c>
      <c r="Q132">
        <v>7.3</v>
      </c>
      <c r="R132">
        <v>7.35</v>
      </c>
      <c r="S132">
        <v>7.5</v>
      </c>
    </row>
    <row r="133" spans="1:19" x14ac:dyDescent="0.25">
      <c r="A133" t="s">
        <v>593</v>
      </c>
      <c r="B133">
        <v>42.52</v>
      </c>
      <c r="C133">
        <v>51.26</v>
      </c>
      <c r="D133">
        <v>60.35</v>
      </c>
      <c r="E133">
        <v>96.81</v>
      </c>
      <c r="F133">
        <v>116.88</v>
      </c>
      <c r="G133">
        <v>139.16</v>
      </c>
      <c r="H133">
        <v>339.07</v>
      </c>
      <c r="I133">
        <v>330.11</v>
      </c>
      <c r="J133">
        <v>377.11</v>
      </c>
      <c r="K133">
        <v>499.6</v>
      </c>
      <c r="L133">
        <v>478.79</v>
      </c>
      <c r="M133">
        <v>581.91999999999996</v>
      </c>
      <c r="N133">
        <v>723</v>
      </c>
      <c r="O133" s="2">
        <v>1062.33</v>
      </c>
      <c r="P133" s="2">
        <v>1343.6</v>
      </c>
      <c r="Q133" s="2">
        <v>1618.35</v>
      </c>
      <c r="R133" s="2">
        <v>1944.02</v>
      </c>
      <c r="S133" s="2">
        <v>2239.3000000000002</v>
      </c>
    </row>
    <row r="134" spans="1:19" x14ac:dyDescent="0.25">
      <c r="A134" t="s">
        <v>592</v>
      </c>
      <c r="B134">
        <v>6.22</v>
      </c>
      <c r="C134">
        <v>6.91</v>
      </c>
      <c r="D134">
        <v>7.3</v>
      </c>
      <c r="E134">
        <v>9.9600000000000009</v>
      </c>
      <c r="F134">
        <v>10.09</v>
      </c>
      <c r="G134">
        <v>10.210000000000001</v>
      </c>
      <c r="H134">
        <v>14.25</v>
      </c>
      <c r="I134">
        <v>10.63</v>
      </c>
      <c r="J134">
        <v>11.37</v>
      </c>
      <c r="K134">
        <v>9.68</v>
      </c>
      <c r="L134">
        <v>10.17</v>
      </c>
      <c r="M134">
        <v>10.02</v>
      </c>
      <c r="N134">
        <v>10.16</v>
      </c>
      <c r="O134">
        <v>10.17</v>
      </c>
      <c r="P134">
        <v>9.0299999999999994</v>
      </c>
      <c r="Q134">
        <v>9.17</v>
      </c>
    </row>
    <row r="135" spans="1:19" x14ac:dyDescent="0.25">
      <c r="A135" t="s">
        <v>116</v>
      </c>
      <c r="B135">
        <v>46.49</v>
      </c>
      <c r="C135">
        <v>76.8</v>
      </c>
      <c r="D135">
        <v>91.81</v>
      </c>
      <c r="E135">
        <v>115.54</v>
      </c>
      <c r="F135">
        <v>136.76</v>
      </c>
      <c r="G135">
        <v>148.66999999999999</v>
      </c>
      <c r="H135">
        <v>39.479999999999997</v>
      </c>
      <c r="I135">
        <v>402.12</v>
      </c>
      <c r="J135">
        <v>414.29</v>
      </c>
      <c r="K135">
        <v>-37.119999999999997</v>
      </c>
      <c r="L135">
        <v>96.12</v>
      </c>
      <c r="M135">
        <v>289.88</v>
      </c>
      <c r="N135">
        <v>897.9</v>
      </c>
      <c r="O135" s="2">
        <v>1889.62</v>
      </c>
      <c r="P135" s="2">
        <v>3009.98</v>
      </c>
      <c r="Q135" s="2">
        <v>4157.0600000000004</v>
      </c>
      <c r="R135" s="2">
        <v>4987.6899999999996</v>
      </c>
      <c r="S135" s="2">
        <v>5290.52</v>
      </c>
    </row>
    <row r="136" spans="1:19" x14ac:dyDescent="0.25">
      <c r="A136" t="s">
        <v>269</v>
      </c>
      <c r="B136">
        <v>6.8</v>
      </c>
      <c r="C136">
        <v>10.35</v>
      </c>
      <c r="D136">
        <v>11.1</v>
      </c>
      <c r="E136">
        <v>11.89</v>
      </c>
      <c r="F136">
        <v>11.8</v>
      </c>
      <c r="G136">
        <v>10.91</v>
      </c>
      <c r="H136">
        <v>1.66</v>
      </c>
      <c r="I136">
        <v>12.95</v>
      </c>
      <c r="J136">
        <v>12.49</v>
      </c>
      <c r="K136">
        <v>-0.72</v>
      </c>
      <c r="L136">
        <v>2.04</v>
      </c>
      <c r="M136">
        <v>4.99</v>
      </c>
      <c r="N136">
        <v>12.61</v>
      </c>
      <c r="O136">
        <v>17.55</v>
      </c>
      <c r="P136">
        <v>20.72</v>
      </c>
      <c r="Q136">
        <v>22.63</v>
      </c>
      <c r="R136">
        <v>20.2</v>
      </c>
      <c r="S136">
        <v>20.2</v>
      </c>
    </row>
    <row r="137" spans="1:19" x14ac:dyDescent="0.25">
      <c r="A137" t="s">
        <v>117</v>
      </c>
      <c r="B137">
        <v>103.3</v>
      </c>
      <c r="C137">
        <v>136.1</v>
      </c>
      <c r="D137">
        <v>149.80000000000001</v>
      </c>
      <c r="E137">
        <v>189.2</v>
      </c>
      <c r="F137">
        <v>221.4</v>
      </c>
      <c r="G137">
        <v>243.6</v>
      </c>
      <c r="H137">
        <v>246.4</v>
      </c>
      <c r="I137">
        <v>682.6</v>
      </c>
      <c r="J137">
        <v>689.9</v>
      </c>
      <c r="K137">
        <v>603.79999999999995</v>
      </c>
      <c r="L137">
        <v>664.5</v>
      </c>
    </row>
    <row r="138" spans="1:19" x14ac:dyDescent="0.25">
      <c r="A138" t="s">
        <v>286</v>
      </c>
      <c r="D138">
        <v>18.100000000000001</v>
      </c>
      <c r="E138">
        <v>19.5</v>
      </c>
      <c r="F138">
        <v>19.100000000000001</v>
      </c>
      <c r="G138">
        <v>17.899999999999999</v>
      </c>
      <c r="H138">
        <v>10.4</v>
      </c>
      <c r="I138">
        <v>22</v>
      </c>
      <c r="J138">
        <v>20.8</v>
      </c>
      <c r="K138">
        <v>11.7</v>
      </c>
      <c r="L138">
        <v>14.1</v>
      </c>
    </row>
    <row r="139" spans="1:19" x14ac:dyDescent="0.25">
      <c r="A139" t="s">
        <v>594</v>
      </c>
      <c r="B139">
        <v>0.85</v>
      </c>
      <c r="C139">
        <v>-2.31</v>
      </c>
      <c r="D139">
        <v>1.86</v>
      </c>
      <c r="E139">
        <v>-3.25</v>
      </c>
      <c r="F139">
        <v>14.57</v>
      </c>
      <c r="G139">
        <v>19.86</v>
      </c>
      <c r="H139">
        <v>103.41</v>
      </c>
      <c r="I139">
        <v>49.53</v>
      </c>
      <c r="J139">
        <v>132.49</v>
      </c>
      <c r="K139">
        <v>318.44</v>
      </c>
      <c r="L139">
        <v>243.77</v>
      </c>
      <c r="M139">
        <v>195.7</v>
      </c>
      <c r="N139">
        <v>50.2</v>
      </c>
      <c r="O139">
        <v>36.229999999999997</v>
      </c>
      <c r="P139">
        <v>38.229999999999997</v>
      </c>
      <c r="Q139">
        <v>66.010000000000005</v>
      </c>
      <c r="R139">
        <v>28.83</v>
      </c>
      <c r="S139">
        <v>90.77</v>
      </c>
    </row>
    <row r="140" spans="1:19" x14ac:dyDescent="0.25">
      <c r="A140" t="s">
        <v>595</v>
      </c>
      <c r="B140">
        <v>4.4800000000000004</v>
      </c>
      <c r="C140">
        <v>3.86</v>
      </c>
      <c r="D140">
        <v>3.08</v>
      </c>
      <c r="E140">
        <v>6.81</v>
      </c>
      <c r="F140">
        <v>18.350000000000001</v>
      </c>
      <c r="G140">
        <v>22.42</v>
      </c>
      <c r="H140">
        <v>89.41</v>
      </c>
      <c r="I140">
        <v>59.9</v>
      </c>
      <c r="J140">
        <v>121.25</v>
      </c>
      <c r="K140">
        <v>286.87</v>
      </c>
      <c r="L140">
        <v>288.48</v>
      </c>
      <c r="M140">
        <v>243.25</v>
      </c>
      <c r="N140">
        <v>190.3</v>
      </c>
      <c r="O140">
        <v>173.66</v>
      </c>
      <c r="P140">
        <v>168.22</v>
      </c>
      <c r="Q140">
        <v>146.16999999999999</v>
      </c>
      <c r="R140">
        <v>229.29</v>
      </c>
    </row>
    <row r="141" spans="1:19" x14ac:dyDescent="0.25">
      <c r="A141" t="s">
        <v>596</v>
      </c>
      <c r="B141">
        <v>-3.63</v>
      </c>
      <c r="C141">
        <v>-6.18</v>
      </c>
      <c r="D141">
        <v>-1.22</v>
      </c>
      <c r="E141">
        <v>-10.06</v>
      </c>
      <c r="F141">
        <v>-3.78</v>
      </c>
      <c r="G141">
        <v>-2.56</v>
      </c>
      <c r="H141">
        <v>14</v>
      </c>
      <c r="I141">
        <v>-10.37</v>
      </c>
      <c r="J141">
        <v>11.23</v>
      </c>
      <c r="K141">
        <v>31.57</v>
      </c>
      <c r="L141">
        <v>-44.71</v>
      </c>
      <c r="M141">
        <v>-47.55</v>
      </c>
      <c r="N141">
        <v>-140.1</v>
      </c>
      <c r="O141">
        <v>-115.22</v>
      </c>
      <c r="P141">
        <v>-130.59</v>
      </c>
      <c r="Q141">
        <v>-69.849999999999994</v>
      </c>
    </row>
    <row r="142" spans="1:19" x14ac:dyDescent="0.25">
      <c r="A142" t="s">
        <v>119</v>
      </c>
      <c r="B142">
        <v>45.64</v>
      </c>
      <c r="C142">
        <v>79.11</v>
      </c>
      <c r="D142">
        <v>89.96</v>
      </c>
      <c r="E142">
        <v>118.79</v>
      </c>
      <c r="F142">
        <v>122.19</v>
      </c>
      <c r="G142">
        <v>128.81</v>
      </c>
      <c r="H142">
        <v>-63.93</v>
      </c>
      <c r="I142">
        <v>352.59</v>
      </c>
      <c r="J142">
        <v>281.81</v>
      </c>
      <c r="K142">
        <v>-355.56</v>
      </c>
      <c r="L142">
        <v>-147.65</v>
      </c>
      <c r="M142">
        <v>94.18</v>
      </c>
      <c r="N142">
        <v>847.7</v>
      </c>
      <c r="O142" s="2">
        <v>1853.4</v>
      </c>
      <c r="P142" s="2">
        <v>3092.24</v>
      </c>
      <c r="Q142" s="2">
        <v>4102.5</v>
      </c>
      <c r="R142" s="2">
        <v>4958.8599999999997</v>
      </c>
      <c r="S142" s="2">
        <v>5199.75</v>
      </c>
    </row>
    <row r="143" spans="1:19" x14ac:dyDescent="0.25">
      <c r="A143" t="s">
        <v>120</v>
      </c>
      <c r="B143">
        <v>7.33</v>
      </c>
      <c r="C143">
        <v>13.14</v>
      </c>
      <c r="D143">
        <v>24.47</v>
      </c>
      <c r="E143">
        <v>23.51</v>
      </c>
      <c r="F143">
        <v>34.19</v>
      </c>
      <c r="G143">
        <v>21.3</v>
      </c>
      <c r="H143">
        <v>3.1</v>
      </c>
      <c r="I143">
        <v>55.04</v>
      </c>
      <c r="J143">
        <v>47.05</v>
      </c>
      <c r="K143">
        <v>-96.1</v>
      </c>
      <c r="L143">
        <v>11.12</v>
      </c>
      <c r="M143">
        <v>64.12</v>
      </c>
      <c r="N143">
        <v>60.8</v>
      </c>
      <c r="O143">
        <v>336.57</v>
      </c>
      <c r="P143">
        <v>583.87</v>
      </c>
      <c r="Q143">
        <v>723.28</v>
      </c>
      <c r="R143">
        <v>921</v>
      </c>
      <c r="S143">
        <v>987.95</v>
      </c>
    </row>
    <row r="144" spans="1:19" x14ac:dyDescent="0.25">
      <c r="A144" t="s">
        <v>489</v>
      </c>
      <c r="B144">
        <v>16.05</v>
      </c>
      <c r="C144">
        <v>16.61</v>
      </c>
      <c r="D144">
        <v>27.2</v>
      </c>
      <c r="E144">
        <v>19.79</v>
      </c>
      <c r="F144">
        <v>27.98</v>
      </c>
      <c r="G144">
        <v>16.53</v>
      </c>
      <c r="I144">
        <v>15.61</v>
      </c>
      <c r="J144">
        <v>16.7</v>
      </c>
      <c r="K144">
        <v>27</v>
      </c>
      <c r="M144">
        <v>68.09</v>
      </c>
      <c r="N144">
        <v>7.17</v>
      </c>
      <c r="O144">
        <v>19.86</v>
      </c>
      <c r="P144">
        <v>19.86</v>
      </c>
      <c r="Q144">
        <v>18.5</v>
      </c>
      <c r="R144">
        <v>22</v>
      </c>
      <c r="S144">
        <v>19</v>
      </c>
    </row>
    <row r="145" spans="1:19" x14ac:dyDescent="0.25">
      <c r="A145" t="s">
        <v>597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37.229999999999997</v>
      </c>
      <c r="J145">
        <v>68.23</v>
      </c>
      <c r="K145">
        <v>144.21</v>
      </c>
      <c r="L145">
        <v>123.36</v>
      </c>
      <c r="M145">
        <v>129.93</v>
      </c>
      <c r="N145">
        <v>35.1</v>
      </c>
      <c r="O145">
        <v>59.11</v>
      </c>
      <c r="P145">
        <v>-13.6</v>
      </c>
    </row>
    <row r="146" spans="1:19" x14ac:dyDescent="0.25">
      <c r="A146" t="s">
        <v>598</v>
      </c>
      <c r="B146">
        <v>38.32</v>
      </c>
      <c r="C146">
        <v>65.98</v>
      </c>
      <c r="D146">
        <v>65.489999999999995</v>
      </c>
      <c r="E146">
        <v>95.27</v>
      </c>
      <c r="F146">
        <v>88</v>
      </c>
      <c r="G146">
        <v>107.52</v>
      </c>
      <c r="H146">
        <v>-67.03</v>
      </c>
      <c r="I146">
        <v>297.55</v>
      </c>
      <c r="J146">
        <v>234.76</v>
      </c>
      <c r="K146">
        <v>-259.45999999999998</v>
      </c>
      <c r="L146">
        <v>-158.76</v>
      </c>
      <c r="M146">
        <v>30.06</v>
      </c>
      <c r="N146">
        <v>786.9</v>
      </c>
      <c r="O146" s="2">
        <v>1506.33</v>
      </c>
      <c r="P146" s="2">
        <v>2452.4499999999998</v>
      </c>
      <c r="Q146" s="2">
        <v>3485.96</v>
      </c>
      <c r="R146" s="2">
        <v>4058.43</v>
      </c>
      <c r="S146" s="2">
        <v>4211.8</v>
      </c>
    </row>
    <row r="147" spans="1:19" x14ac:dyDescent="0.25">
      <c r="A147" t="s">
        <v>121</v>
      </c>
      <c r="B147">
        <v>38.450000000000003</v>
      </c>
      <c r="C147">
        <v>65.98</v>
      </c>
      <c r="D147">
        <v>65.489999999999995</v>
      </c>
      <c r="E147">
        <v>95.27</v>
      </c>
      <c r="F147">
        <v>88</v>
      </c>
      <c r="G147">
        <v>107.52</v>
      </c>
      <c r="H147">
        <v>-67.03</v>
      </c>
      <c r="I147">
        <v>297.55</v>
      </c>
      <c r="J147">
        <v>234.76</v>
      </c>
      <c r="K147">
        <v>-403.67</v>
      </c>
      <c r="L147">
        <v>-158.80000000000001</v>
      </c>
      <c r="M147">
        <v>49.4</v>
      </c>
      <c r="N147">
        <v>805</v>
      </c>
      <c r="O147" s="2">
        <v>1560</v>
      </c>
      <c r="P147" s="2">
        <v>2587</v>
      </c>
      <c r="Q147" s="2">
        <v>3562.57</v>
      </c>
      <c r="R147" s="2">
        <v>4230</v>
      </c>
      <c r="S147" s="2">
        <v>4804</v>
      </c>
    </row>
    <row r="148" spans="1:19" x14ac:dyDescent="0.25">
      <c r="A148" t="s">
        <v>122</v>
      </c>
      <c r="B148">
        <v>5.63</v>
      </c>
      <c r="C148">
        <v>8.89</v>
      </c>
      <c r="D148">
        <v>7.92</v>
      </c>
      <c r="E148">
        <v>9.8000000000000007</v>
      </c>
      <c r="F148">
        <v>7.59</v>
      </c>
      <c r="G148">
        <v>7.89</v>
      </c>
      <c r="H148">
        <v>-2.82</v>
      </c>
      <c r="I148">
        <v>9.58</v>
      </c>
      <c r="J148">
        <v>7.08</v>
      </c>
      <c r="K148">
        <v>-5.03</v>
      </c>
      <c r="L148">
        <v>-3.32</v>
      </c>
      <c r="M148">
        <v>0.85</v>
      </c>
      <c r="N148">
        <v>11.31</v>
      </c>
      <c r="O148">
        <v>13.86</v>
      </c>
      <c r="P148">
        <v>16.97</v>
      </c>
      <c r="Q148">
        <v>18.72</v>
      </c>
      <c r="R148">
        <v>19.440000000000001</v>
      </c>
      <c r="S148">
        <v>18.34</v>
      </c>
    </row>
    <row r="149" spans="1:19" x14ac:dyDescent="0.25">
      <c r="A149" t="s">
        <v>599</v>
      </c>
      <c r="B149">
        <v>38.450000000000003</v>
      </c>
      <c r="C149">
        <v>65.98</v>
      </c>
      <c r="D149">
        <v>65.489999999999995</v>
      </c>
      <c r="E149">
        <v>95.27</v>
      </c>
      <c r="F149">
        <v>88</v>
      </c>
      <c r="G149">
        <v>107.52</v>
      </c>
      <c r="H149">
        <v>-67.03</v>
      </c>
      <c r="I149">
        <v>260.32</v>
      </c>
      <c r="J149">
        <v>166.53</v>
      </c>
      <c r="K149">
        <v>-403.67</v>
      </c>
      <c r="L149">
        <v>-279.51</v>
      </c>
      <c r="M149">
        <v>-80.56</v>
      </c>
      <c r="N149">
        <v>769.9</v>
      </c>
      <c r="O149" s="2">
        <v>1530.92</v>
      </c>
      <c r="P149" s="2">
        <v>2553.9</v>
      </c>
      <c r="Q149" s="2">
        <v>3409.67</v>
      </c>
      <c r="R149" s="2">
        <v>3663.92</v>
      </c>
      <c r="S149" s="2">
        <v>4229</v>
      </c>
    </row>
    <row r="150" spans="1:19" x14ac:dyDescent="0.25">
      <c r="A150" t="s">
        <v>123</v>
      </c>
      <c r="B150">
        <v>63.69</v>
      </c>
      <c r="C150">
        <v>62.59</v>
      </c>
      <c r="D150">
        <v>62.91</v>
      </c>
      <c r="E150">
        <v>64.510000000000005</v>
      </c>
      <c r="F150">
        <v>65.13</v>
      </c>
      <c r="G150">
        <v>65.8</v>
      </c>
      <c r="H150">
        <v>84.83</v>
      </c>
      <c r="I150">
        <v>115.03</v>
      </c>
      <c r="J150">
        <v>116.51</v>
      </c>
      <c r="K150">
        <v>137.58000000000001</v>
      </c>
      <c r="L150">
        <v>151.6</v>
      </c>
      <c r="M150">
        <v>154.76</v>
      </c>
      <c r="N150">
        <v>195.4</v>
      </c>
      <c r="O150">
        <v>203.29</v>
      </c>
      <c r="P150">
        <v>206.97</v>
      </c>
      <c r="Q150">
        <v>210.52</v>
      </c>
      <c r="R150">
        <v>208.62</v>
      </c>
      <c r="S150">
        <v>207.28</v>
      </c>
    </row>
    <row r="151" spans="1:19" x14ac:dyDescent="0.25">
      <c r="A151" t="s">
        <v>124</v>
      </c>
      <c r="B151">
        <v>0.6</v>
      </c>
      <c r="C151">
        <v>1.05</v>
      </c>
      <c r="D151">
        <v>1.04</v>
      </c>
      <c r="E151">
        <v>1.48</v>
      </c>
      <c r="F151">
        <v>1.35</v>
      </c>
      <c r="G151">
        <v>1.63</v>
      </c>
      <c r="H151">
        <v>-0.79</v>
      </c>
      <c r="I151">
        <v>2.37</v>
      </c>
      <c r="J151">
        <v>1.45</v>
      </c>
      <c r="K151">
        <v>-2.93</v>
      </c>
      <c r="L151">
        <v>-1.84</v>
      </c>
      <c r="M151">
        <v>-0.52</v>
      </c>
      <c r="N151">
        <v>4.12</v>
      </c>
      <c r="O151">
        <v>7.81</v>
      </c>
      <c r="P151">
        <v>12.53</v>
      </c>
      <c r="Q151">
        <v>17.73</v>
      </c>
      <c r="R151">
        <v>19.37</v>
      </c>
      <c r="S151">
        <v>20.399999999999999</v>
      </c>
    </row>
    <row r="152" spans="1:19" x14ac:dyDescent="0.25">
      <c r="A152" t="s">
        <v>296</v>
      </c>
      <c r="B152">
        <v>62.25</v>
      </c>
      <c r="C152">
        <v>61.22</v>
      </c>
      <c r="D152">
        <v>61.37</v>
      </c>
      <c r="E152">
        <v>62.58</v>
      </c>
      <c r="F152">
        <v>62.5</v>
      </c>
      <c r="G152">
        <v>63.58</v>
      </c>
      <c r="H152">
        <v>84.83</v>
      </c>
      <c r="I152">
        <v>104.15</v>
      </c>
      <c r="J152">
        <v>106.19</v>
      </c>
      <c r="K152">
        <v>137.58000000000001</v>
      </c>
      <c r="L152">
        <v>151.6</v>
      </c>
      <c r="M152">
        <v>154.76</v>
      </c>
      <c r="N152">
        <v>177.3</v>
      </c>
      <c r="O152">
        <v>206.44</v>
      </c>
      <c r="P152">
        <v>210.31</v>
      </c>
      <c r="Q152">
        <v>237.77</v>
      </c>
      <c r="R152">
        <v>198.74</v>
      </c>
      <c r="S152">
        <v>172.78</v>
      </c>
    </row>
    <row r="153" spans="1:19" x14ac:dyDescent="0.25">
      <c r="A153" t="s">
        <v>297</v>
      </c>
      <c r="B153">
        <v>0.62</v>
      </c>
      <c r="C153">
        <v>1.08</v>
      </c>
      <c r="D153">
        <v>1.07</v>
      </c>
      <c r="E153">
        <v>1.52</v>
      </c>
      <c r="F153">
        <v>1.41</v>
      </c>
      <c r="G153">
        <v>1.69</v>
      </c>
      <c r="H153">
        <v>-0.79</v>
      </c>
      <c r="I153">
        <v>2.5</v>
      </c>
      <c r="J153">
        <v>1.57</v>
      </c>
      <c r="K153">
        <v>-2.93</v>
      </c>
      <c r="L153">
        <v>-1.84</v>
      </c>
      <c r="M153">
        <v>-0.52</v>
      </c>
      <c r="N153">
        <v>4.34</v>
      </c>
      <c r="O153">
        <v>7.81</v>
      </c>
      <c r="P153">
        <v>12.84</v>
      </c>
      <c r="Q153">
        <v>15.65</v>
      </c>
      <c r="R153">
        <v>19.579999999999998</v>
      </c>
    </row>
    <row r="154" spans="1:19" x14ac:dyDescent="0.25">
      <c r="A154" t="s">
        <v>17</v>
      </c>
    </row>
    <row r="155" spans="1:19" x14ac:dyDescent="0.25">
      <c r="A155" t="s">
        <v>125</v>
      </c>
    </row>
    <row r="156" spans="1:19" x14ac:dyDescent="0.25">
      <c r="A156" t="s">
        <v>67</v>
      </c>
      <c r="F156">
        <v>19.7</v>
      </c>
      <c r="G156">
        <v>25</v>
      </c>
      <c r="H156">
        <v>63.1</v>
      </c>
      <c r="I156">
        <v>78.900000000000006</v>
      </c>
      <c r="J156">
        <v>73.099999999999994</v>
      </c>
      <c r="K156">
        <v>149.6</v>
      </c>
      <c r="L156">
        <v>126.05</v>
      </c>
      <c r="M156">
        <v>160.24</v>
      </c>
      <c r="N156">
        <v>193.8</v>
      </c>
      <c r="O156">
        <v>234.33</v>
      </c>
      <c r="P156">
        <v>271.37</v>
      </c>
      <c r="Q156">
        <v>333.07</v>
      </c>
      <c r="R156">
        <v>509.59</v>
      </c>
    </row>
    <row r="157" spans="1:19" x14ac:dyDescent="0.25">
      <c r="A157" t="s">
        <v>298</v>
      </c>
      <c r="F157">
        <v>16.8</v>
      </c>
      <c r="G157">
        <v>21.8</v>
      </c>
      <c r="H157">
        <v>35.299999999999997</v>
      </c>
      <c r="I157">
        <v>49.8</v>
      </c>
      <c r="J157">
        <v>60.4</v>
      </c>
      <c r="K157">
        <v>104.4</v>
      </c>
      <c r="L157">
        <v>80.900000000000006</v>
      </c>
      <c r="M157">
        <v>116.3</v>
      </c>
      <c r="N157">
        <v>138.9</v>
      </c>
      <c r="O157">
        <v>169.45</v>
      </c>
      <c r="P157">
        <v>195.29</v>
      </c>
      <c r="Q157">
        <v>219.94</v>
      </c>
      <c r="R157">
        <v>290.45</v>
      </c>
      <c r="S157">
        <v>458.34</v>
      </c>
    </row>
    <row r="158" spans="1:19" x14ac:dyDescent="0.25">
      <c r="A158" t="s">
        <v>600</v>
      </c>
      <c r="B158">
        <v>3.4</v>
      </c>
      <c r="C158">
        <v>6.31</v>
      </c>
      <c r="H158">
        <v>27.6</v>
      </c>
      <c r="I158">
        <v>26.9</v>
      </c>
      <c r="J158">
        <v>132.30000000000001</v>
      </c>
      <c r="K158">
        <v>119.1</v>
      </c>
      <c r="L158">
        <v>28.6</v>
      </c>
      <c r="M158">
        <v>160.08000000000001</v>
      </c>
      <c r="N158">
        <v>63.4</v>
      </c>
    </row>
    <row r="159" spans="1:19" x14ac:dyDescent="0.25">
      <c r="A159" t="s">
        <v>130</v>
      </c>
      <c r="D159">
        <v>-0.5</v>
      </c>
      <c r="F159">
        <v>-0.3</v>
      </c>
      <c r="G159">
        <v>-0.9</v>
      </c>
      <c r="H159">
        <v>15.1</v>
      </c>
      <c r="I159">
        <v>-37.6</v>
      </c>
      <c r="J159">
        <v>-63.9</v>
      </c>
      <c r="K159">
        <v>-222.1</v>
      </c>
      <c r="L159">
        <v>-133.4</v>
      </c>
      <c r="M159">
        <v>-119.9</v>
      </c>
      <c r="N159">
        <v>-193.5</v>
      </c>
      <c r="O159">
        <v>-124.69</v>
      </c>
      <c r="P159">
        <v>-126.15</v>
      </c>
      <c r="Q159">
        <v>-164.3</v>
      </c>
      <c r="R159">
        <v>-167.1</v>
      </c>
    </row>
    <row r="160" spans="1:19" x14ac:dyDescent="0.25">
      <c r="A160" t="s">
        <v>601</v>
      </c>
      <c r="F160">
        <v>2.9</v>
      </c>
      <c r="G160">
        <v>3.2</v>
      </c>
      <c r="H160">
        <v>11.6</v>
      </c>
      <c r="I160">
        <v>12.1</v>
      </c>
      <c r="J160">
        <v>5.0999999999999996</v>
      </c>
      <c r="K160">
        <v>22.9</v>
      </c>
      <c r="L160">
        <v>22.9</v>
      </c>
      <c r="M160">
        <v>22.2</v>
      </c>
      <c r="N160">
        <v>26</v>
      </c>
      <c r="O160">
        <v>31.65</v>
      </c>
      <c r="P160">
        <v>35.47</v>
      </c>
      <c r="Q160">
        <v>37.97</v>
      </c>
      <c r="R160">
        <v>43.34</v>
      </c>
      <c r="S160">
        <v>52.38</v>
      </c>
    </row>
    <row r="161" spans="1:19" x14ac:dyDescent="0.25">
      <c r="A161" t="s">
        <v>17</v>
      </c>
    </row>
    <row r="162" spans="1:19" x14ac:dyDescent="0.25">
      <c r="A162" t="s">
        <v>134</v>
      </c>
    </row>
    <row r="163" spans="1:19" x14ac:dyDescent="0.25">
      <c r="A163" t="s">
        <v>135</v>
      </c>
    </row>
    <row r="164" spans="1:19" x14ac:dyDescent="0.25">
      <c r="A164" t="s">
        <v>136</v>
      </c>
      <c r="B164">
        <v>505.73</v>
      </c>
      <c r="C164">
        <v>512.97</v>
      </c>
      <c r="D164">
        <v>582.96</v>
      </c>
      <c r="E164">
        <v>702.3</v>
      </c>
      <c r="F164">
        <v>761.84</v>
      </c>
      <c r="G164">
        <v>812.91</v>
      </c>
      <c r="H164" s="2">
        <v>1788.97</v>
      </c>
      <c r="I164" s="2">
        <v>3027.39</v>
      </c>
      <c r="J164" s="2">
        <v>4305.1899999999996</v>
      </c>
      <c r="K164" s="2">
        <v>3252</v>
      </c>
      <c r="L164" s="2">
        <v>3660.1</v>
      </c>
      <c r="M164" s="2">
        <v>3927.15</v>
      </c>
      <c r="N164" s="2">
        <v>6925.5</v>
      </c>
      <c r="O164" s="2">
        <v>8466.0300000000007</v>
      </c>
      <c r="P164" s="2">
        <v>10054.709999999999</v>
      </c>
      <c r="Q164" s="2">
        <v>13568.79</v>
      </c>
      <c r="R164" s="2">
        <v>16290.25</v>
      </c>
      <c r="S164" s="2">
        <v>26895.03</v>
      </c>
    </row>
    <row r="165" spans="1:19" x14ac:dyDescent="0.25">
      <c r="A165" t="s">
        <v>602</v>
      </c>
      <c r="B165">
        <v>174.66</v>
      </c>
      <c r="C165">
        <v>173.63</v>
      </c>
      <c r="D165">
        <v>218.45</v>
      </c>
      <c r="E165">
        <v>271.89</v>
      </c>
      <c r="F165">
        <v>247.04</v>
      </c>
      <c r="G165">
        <v>204.87</v>
      </c>
      <c r="H165">
        <v>493.05</v>
      </c>
      <c r="I165" s="2">
        <v>1591.89</v>
      </c>
      <c r="J165" s="2">
        <v>2582.37</v>
      </c>
      <c r="K165">
        <v>833.33</v>
      </c>
      <c r="L165">
        <v>926.03</v>
      </c>
      <c r="M165">
        <v>909.2</v>
      </c>
      <c r="N165" s="2">
        <v>1162.02</v>
      </c>
      <c r="O165" s="2">
        <v>1716.41</v>
      </c>
      <c r="P165" s="2">
        <v>2951.86</v>
      </c>
      <c r="Q165" s="2">
        <v>3395.35</v>
      </c>
      <c r="R165" s="2">
        <v>5573.83</v>
      </c>
      <c r="S165" s="2">
        <v>13386.25</v>
      </c>
    </row>
    <row r="166" spans="1:19" x14ac:dyDescent="0.25">
      <c r="A166" t="s">
        <v>141</v>
      </c>
      <c r="B166">
        <v>136.72</v>
      </c>
      <c r="C166">
        <v>140.77000000000001</v>
      </c>
      <c r="D166">
        <v>164.82</v>
      </c>
      <c r="E166">
        <v>193.38</v>
      </c>
      <c r="F166">
        <v>215.03</v>
      </c>
      <c r="G166">
        <v>269.64</v>
      </c>
      <c r="H166">
        <v>598.12</v>
      </c>
      <c r="I166">
        <v>658.96</v>
      </c>
      <c r="J166">
        <v>700.33</v>
      </c>
      <c r="K166">
        <v>901.53</v>
      </c>
      <c r="L166">
        <v>848.54</v>
      </c>
      <c r="M166">
        <v>964.05</v>
      </c>
      <c r="N166" s="2">
        <v>1343.28</v>
      </c>
      <c r="O166" s="2">
        <v>1920.42</v>
      </c>
      <c r="P166" s="2">
        <v>2435.2600000000002</v>
      </c>
      <c r="Q166" s="2">
        <v>3224.34</v>
      </c>
      <c r="R166" s="2">
        <v>3995.01</v>
      </c>
      <c r="S166" s="2">
        <v>3946.54</v>
      </c>
    </row>
    <row r="167" spans="1:19" x14ac:dyDescent="0.25">
      <c r="A167" t="s">
        <v>340</v>
      </c>
      <c r="B167">
        <v>165.87</v>
      </c>
      <c r="C167">
        <v>164.39</v>
      </c>
      <c r="D167">
        <v>175.13</v>
      </c>
      <c r="E167">
        <v>203.7</v>
      </c>
      <c r="F167">
        <v>248.27</v>
      </c>
      <c r="G167">
        <v>296.27999999999997</v>
      </c>
      <c r="H167">
        <v>619.80999999999995</v>
      </c>
      <c r="I167">
        <v>695.83</v>
      </c>
      <c r="J167">
        <v>902.56</v>
      </c>
      <c r="K167" s="2">
        <v>1272.33</v>
      </c>
      <c r="L167" s="2">
        <v>1286.4000000000001</v>
      </c>
      <c r="M167" s="2">
        <v>1437.64</v>
      </c>
      <c r="N167" s="2">
        <v>2581.04</v>
      </c>
      <c r="O167" s="2">
        <v>3149.76</v>
      </c>
      <c r="P167" s="2">
        <v>3712.65</v>
      </c>
      <c r="Q167" s="2">
        <v>5425.5</v>
      </c>
      <c r="R167" s="2">
        <v>6758.01</v>
      </c>
      <c r="S167" s="2">
        <v>6658.89</v>
      </c>
    </row>
    <row r="168" spans="1:19" x14ac:dyDescent="0.25">
      <c r="A168" t="s">
        <v>603</v>
      </c>
      <c r="B168">
        <v>4.4400000000000004</v>
      </c>
      <c r="C168">
        <v>6.88</v>
      </c>
      <c r="D168">
        <v>6.54</v>
      </c>
      <c r="E168">
        <v>6.73</v>
      </c>
      <c r="F168">
        <v>7.85</v>
      </c>
      <c r="G168">
        <v>11.78</v>
      </c>
      <c r="H168">
        <v>12.28</v>
      </c>
      <c r="I168">
        <v>13.1</v>
      </c>
      <c r="J168">
        <v>19.59</v>
      </c>
      <c r="K168">
        <v>28.27</v>
      </c>
      <c r="L168">
        <v>26.91</v>
      </c>
      <c r="M168">
        <v>55.77</v>
      </c>
      <c r="N168">
        <v>78.89</v>
      </c>
      <c r="O168">
        <v>78.900000000000006</v>
      </c>
      <c r="P168">
        <v>78.900000000000006</v>
      </c>
      <c r="Q168">
        <v>78.89</v>
      </c>
      <c r="R168">
        <v>78.89</v>
      </c>
      <c r="S168">
        <v>78.89</v>
      </c>
    </row>
    <row r="169" spans="1:19" x14ac:dyDescent="0.25">
      <c r="A169" t="s">
        <v>428</v>
      </c>
      <c r="B169">
        <v>12.92</v>
      </c>
      <c r="C169">
        <v>14.03</v>
      </c>
      <c r="D169">
        <v>18.03</v>
      </c>
      <c r="E169">
        <v>26.6</v>
      </c>
      <c r="F169">
        <v>43.65</v>
      </c>
      <c r="G169">
        <v>30.34</v>
      </c>
      <c r="H169">
        <v>65.709999999999994</v>
      </c>
      <c r="I169">
        <v>67.62</v>
      </c>
      <c r="J169">
        <v>100.35</v>
      </c>
      <c r="K169">
        <v>216.53</v>
      </c>
      <c r="L169">
        <v>572.21</v>
      </c>
      <c r="M169">
        <v>560.49</v>
      </c>
      <c r="N169">
        <v>935.27</v>
      </c>
      <c r="O169" s="2">
        <v>1230.5999999999999</v>
      </c>
      <c r="P169" s="2">
        <v>1412.16</v>
      </c>
      <c r="Q169" s="2">
        <v>1334.91</v>
      </c>
      <c r="R169" s="2">
        <v>1302.7</v>
      </c>
      <c r="S169" s="2">
        <v>1964.3</v>
      </c>
    </row>
    <row r="170" spans="1:19" x14ac:dyDescent="0.25">
      <c r="A170" t="s">
        <v>146</v>
      </c>
    </row>
    <row r="171" spans="1:19" x14ac:dyDescent="0.25">
      <c r="A171" t="s">
        <v>409</v>
      </c>
      <c r="B171">
        <v>208.94</v>
      </c>
      <c r="C171">
        <v>203.81</v>
      </c>
      <c r="D171">
        <v>242.86</v>
      </c>
      <c r="E171">
        <v>367.73</v>
      </c>
      <c r="F171">
        <v>524.89</v>
      </c>
      <c r="G171">
        <v>582.79</v>
      </c>
      <c r="H171" s="2">
        <v>1214.77</v>
      </c>
      <c r="I171" s="2">
        <v>1242.9100000000001</v>
      </c>
      <c r="J171" s="2">
        <v>1363.2</v>
      </c>
      <c r="K171" s="2">
        <v>1782.04</v>
      </c>
      <c r="L171" s="2">
        <v>1817.26</v>
      </c>
      <c r="M171" s="2">
        <v>1877.51</v>
      </c>
      <c r="N171" s="2">
        <v>2999.34</v>
      </c>
      <c r="O171" s="2">
        <v>4254.45</v>
      </c>
      <c r="P171" s="2">
        <v>5525.08</v>
      </c>
      <c r="Q171" s="2">
        <v>5954.85</v>
      </c>
      <c r="R171" s="2">
        <v>5949.33</v>
      </c>
      <c r="S171" s="2">
        <v>5259.5</v>
      </c>
    </row>
    <row r="172" spans="1:19" x14ac:dyDescent="0.25">
      <c r="A172" t="s">
        <v>411</v>
      </c>
      <c r="B172">
        <v>11.59</v>
      </c>
      <c r="C172">
        <v>11.91</v>
      </c>
      <c r="D172">
        <v>11.35</v>
      </c>
      <c r="E172">
        <v>11.73</v>
      </c>
      <c r="F172">
        <v>69.22</v>
      </c>
      <c r="G172">
        <v>76.209999999999994</v>
      </c>
      <c r="H172">
        <v>73.77</v>
      </c>
      <c r="O172">
        <v>571.22</v>
      </c>
      <c r="P172">
        <v>571.22</v>
      </c>
      <c r="Q172">
        <v>571.22</v>
      </c>
      <c r="R172">
        <v>571.22</v>
      </c>
      <c r="S172">
        <v>571.22</v>
      </c>
    </row>
    <row r="173" spans="1:19" x14ac:dyDescent="0.25">
      <c r="A173" t="s">
        <v>604</v>
      </c>
      <c r="B173">
        <v>4.04</v>
      </c>
      <c r="C173">
        <v>2.21</v>
      </c>
      <c r="D173">
        <v>7.85</v>
      </c>
      <c r="E173">
        <v>3.02</v>
      </c>
      <c r="F173">
        <v>2.0499999999999998</v>
      </c>
      <c r="G173">
        <v>8.52</v>
      </c>
      <c r="H173">
        <v>22.94</v>
      </c>
      <c r="I173">
        <v>33.5</v>
      </c>
      <c r="J173">
        <v>31.71</v>
      </c>
      <c r="K173">
        <v>37.75</v>
      </c>
      <c r="L173">
        <v>40.97</v>
      </c>
      <c r="M173">
        <v>53.41</v>
      </c>
      <c r="N173">
        <v>69.430000000000007</v>
      </c>
      <c r="O173">
        <v>69.41</v>
      </c>
      <c r="P173">
        <v>69.41</v>
      </c>
      <c r="Q173">
        <v>69.41</v>
      </c>
      <c r="R173">
        <v>69.42</v>
      </c>
      <c r="S173">
        <v>69.430000000000007</v>
      </c>
    </row>
    <row r="174" spans="1:19" x14ac:dyDescent="0.25">
      <c r="A174" t="s">
        <v>496</v>
      </c>
      <c r="B174">
        <v>196.15</v>
      </c>
      <c r="C174">
        <v>195.89</v>
      </c>
      <c r="D174">
        <v>233.76</v>
      </c>
      <c r="E174">
        <v>250.34</v>
      </c>
      <c r="F174">
        <v>270.68</v>
      </c>
      <c r="G174">
        <v>319.77999999999997</v>
      </c>
      <c r="H174" s="2">
        <v>1239.01</v>
      </c>
      <c r="I174" s="2">
        <v>1296.73</v>
      </c>
      <c r="J174" s="2">
        <v>1285.76</v>
      </c>
      <c r="K174" s="2">
        <v>4512.7</v>
      </c>
      <c r="L174" s="2">
        <v>4464.33</v>
      </c>
      <c r="M174" s="2">
        <v>4471.08</v>
      </c>
      <c r="N174" s="2">
        <v>4375.6000000000004</v>
      </c>
      <c r="O174" s="2">
        <v>4388.99</v>
      </c>
      <c r="P174" s="2">
        <v>4370.74</v>
      </c>
      <c r="Q174" s="2">
        <v>4335.55</v>
      </c>
      <c r="R174" s="2">
        <v>4258.68</v>
      </c>
      <c r="S174" s="2">
        <v>4375.6000000000004</v>
      </c>
    </row>
    <row r="175" spans="1:19" x14ac:dyDescent="0.25">
      <c r="A175" t="s">
        <v>312</v>
      </c>
      <c r="B175">
        <v>136.4</v>
      </c>
      <c r="C175">
        <v>122.46</v>
      </c>
      <c r="D175">
        <v>124.59</v>
      </c>
      <c r="E175">
        <v>133.96</v>
      </c>
      <c r="F175">
        <v>125.07</v>
      </c>
      <c r="G175">
        <v>139.32</v>
      </c>
      <c r="H175">
        <v>758.37</v>
      </c>
      <c r="I175">
        <v>718.46</v>
      </c>
      <c r="J175">
        <v>635.4</v>
      </c>
      <c r="K175" s="2">
        <v>3814.68</v>
      </c>
      <c r="L175" s="2">
        <v>3503.25</v>
      </c>
      <c r="M175" s="2">
        <v>3204.75</v>
      </c>
      <c r="N175" s="2">
        <v>2884.47</v>
      </c>
      <c r="O175" s="2">
        <v>2736.31</v>
      </c>
      <c r="P175" s="2">
        <v>2492.08</v>
      </c>
      <c r="Q175" s="2">
        <v>2542.06</v>
      </c>
      <c r="R175" s="2">
        <v>2406.3200000000002</v>
      </c>
      <c r="S175" s="2">
        <v>1085.97</v>
      </c>
    </row>
    <row r="176" spans="1:19" x14ac:dyDescent="0.25">
      <c r="A176" t="s">
        <v>154</v>
      </c>
      <c r="B176">
        <v>9.08</v>
      </c>
      <c r="C176">
        <v>8.9</v>
      </c>
      <c r="D176">
        <v>8.61</v>
      </c>
      <c r="E176">
        <v>8.2200000000000006</v>
      </c>
      <c r="F176">
        <v>7.93</v>
      </c>
      <c r="G176">
        <v>14.24</v>
      </c>
      <c r="H176">
        <v>136.88999999999999</v>
      </c>
      <c r="I176">
        <v>193.67</v>
      </c>
      <c r="J176">
        <v>223.58</v>
      </c>
      <c r="K176">
        <v>311.97000000000003</v>
      </c>
      <c r="L176" s="2">
        <v>1002.73</v>
      </c>
      <c r="M176" s="2">
        <v>1377.04</v>
      </c>
      <c r="N176" s="2">
        <v>1045.51</v>
      </c>
      <c r="O176" s="2">
        <v>1054.25</v>
      </c>
      <c r="P176" s="2">
        <v>1063.18</v>
      </c>
      <c r="Q176" s="2">
        <v>1045.51</v>
      </c>
      <c r="R176" s="2">
        <v>1045.51</v>
      </c>
    </row>
    <row r="177" spans="1:19" x14ac:dyDescent="0.25">
      <c r="A177" t="s">
        <v>605</v>
      </c>
      <c r="B177">
        <v>9.08</v>
      </c>
      <c r="C177">
        <v>8.9</v>
      </c>
      <c r="D177">
        <v>8.61</v>
      </c>
      <c r="E177">
        <v>8.2200000000000006</v>
      </c>
      <c r="F177">
        <v>7.93</v>
      </c>
      <c r="G177">
        <v>14.24</v>
      </c>
      <c r="H177">
        <v>136.88999999999999</v>
      </c>
      <c r="I177">
        <v>193.67</v>
      </c>
      <c r="J177">
        <v>223.58</v>
      </c>
      <c r="K177">
        <v>311.97000000000003</v>
      </c>
      <c r="L177">
        <v>313.08999999999997</v>
      </c>
      <c r="M177">
        <v>662.22</v>
      </c>
      <c r="N177">
        <v>474.28</v>
      </c>
      <c r="O177">
        <v>519.83000000000004</v>
      </c>
      <c r="P177">
        <v>590.03</v>
      </c>
      <c r="Q177">
        <v>737.41</v>
      </c>
      <c r="R177" s="2">
        <v>1244.81</v>
      </c>
      <c r="S177">
        <v>474.28</v>
      </c>
    </row>
    <row r="178" spans="1:19" x14ac:dyDescent="0.25">
      <c r="A178" t="s">
        <v>155</v>
      </c>
      <c r="B178" s="2">
        <v>1071.93</v>
      </c>
      <c r="C178" s="2">
        <v>1058.1600000000001</v>
      </c>
      <c r="D178" s="2">
        <v>1211.98</v>
      </c>
      <c r="E178" s="2">
        <v>1477.3</v>
      </c>
      <c r="F178" s="2">
        <v>1761.66</v>
      </c>
      <c r="G178" s="2">
        <v>1953.77</v>
      </c>
      <c r="H178" s="2">
        <v>5234.71</v>
      </c>
      <c r="I178" s="2">
        <v>6512.65</v>
      </c>
      <c r="J178" s="2">
        <v>7844.85</v>
      </c>
      <c r="K178" s="2">
        <v>13711.13</v>
      </c>
      <c r="L178" s="2">
        <v>14488.63</v>
      </c>
      <c r="M178" s="2">
        <v>14910.94</v>
      </c>
      <c r="N178" s="2">
        <v>18299.849999999999</v>
      </c>
      <c r="O178" s="2">
        <v>20757.14</v>
      </c>
      <c r="P178" s="2">
        <v>24334.92</v>
      </c>
      <c r="Q178" s="2">
        <v>28030.7</v>
      </c>
      <c r="R178" s="2">
        <v>32560.37</v>
      </c>
      <c r="S178" s="2">
        <v>38731.11</v>
      </c>
    </row>
    <row r="179" spans="1:19" x14ac:dyDescent="0.25">
      <c r="A179" t="s">
        <v>17</v>
      </c>
    </row>
    <row r="180" spans="1:19" x14ac:dyDescent="0.25">
      <c r="A180" t="s">
        <v>156</v>
      </c>
    </row>
    <row r="181" spans="1:19" x14ac:dyDescent="0.25">
      <c r="A181" t="s">
        <v>157</v>
      </c>
      <c r="B181">
        <v>135.07</v>
      </c>
      <c r="C181">
        <v>139.16</v>
      </c>
      <c r="D181">
        <v>171.24</v>
      </c>
      <c r="E181">
        <v>184.95</v>
      </c>
      <c r="F181">
        <v>236.47</v>
      </c>
      <c r="G181">
        <v>270.56</v>
      </c>
      <c r="H181">
        <v>672.89</v>
      </c>
      <c r="I181">
        <v>729.59</v>
      </c>
      <c r="J181" s="2">
        <v>1266.96</v>
      </c>
      <c r="K181" s="2">
        <v>1078.75</v>
      </c>
      <c r="L181" s="2">
        <v>1343.77</v>
      </c>
      <c r="M181" s="2">
        <v>1794.84</v>
      </c>
      <c r="N181" s="2">
        <v>2853.93</v>
      </c>
      <c r="O181" s="2">
        <v>3224.02</v>
      </c>
      <c r="P181" s="2">
        <v>3926.85</v>
      </c>
      <c r="Q181" s="2">
        <v>4819.03</v>
      </c>
      <c r="R181" s="2">
        <v>4691.21</v>
      </c>
      <c r="S181" s="2">
        <v>6785.08</v>
      </c>
    </row>
    <row r="182" spans="1:19" x14ac:dyDescent="0.25">
      <c r="A182" t="s">
        <v>158</v>
      </c>
      <c r="B182">
        <v>45.77</v>
      </c>
      <c r="C182">
        <v>45.28</v>
      </c>
      <c r="D182">
        <v>53.8</v>
      </c>
      <c r="E182">
        <v>65.540000000000006</v>
      </c>
      <c r="F182">
        <v>89.77</v>
      </c>
      <c r="G182">
        <v>104.46</v>
      </c>
      <c r="H182">
        <v>268.77</v>
      </c>
      <c r="I182">
        <v>294.49</v>
      </c>
      <c r="J182">
        <v>434.92</v>
      </c>
      <c r="K182">
        <v>405.31</v>
      </c>
      <c r="L182">
        <v>631.54999999999995</v>
      </c>
      <c r="M182">
        <v>846.98</v>
      </c>
      <c r="N182" s="2">
        <v>1905.36</v>
      </c>
      <c r="O182" s="2">
        <v>2154.84</v>
      </c>
      <c r="P182" s="2">
        <v>2666.56</v>
      </c>
      <c r="Q182" s="2">
        <v>3460.67</v>
      </c>
      <c r="R182" s="2">
        <v>4527.5200000000004</v>
      </c>
      <c r="S182" s="2">
        <v>4161.8100000000004</v>
      </c>
    </row>
    <row r="183" spans="1:19" x14ac:dyDescent="0.25">
      <c r="A183" t="s">
        <v>606</v>
      </c>
      <c r="B183">
        <v>32.46</v>
      </c>
      <c r="C183">
        <v>39.31</v>
      </c>
      <c r="D183">
        <v>59.01</v>
      </c>
      <c r="E183">
        <v>58.18</v>
      </c>
      <c r="F183">
        <v>66.319999999999993</v>
      </c>
      <c r="G183">
        <v>71.849999999999994</v>
      </c>
      <c r="H183">
        <v>157.56</v>
      </c>
      <c r="I183">
        <v>181.49</v>
      </c>
      <c r="J183">
        <v>172.11</v>
      </c>
      <c r="K183">
        <v>175.56</v>
      </c>
      <c r="L183">
        <v>212.46</v>
      </c>
      <c r="M183">
        <v>258.64999999999998</v>
      </c>
      <c r="N183">
        <v>358.05</v>
      </c>
      <c r="O183">
        <v>276.58</v>
      </c>
      <c r="P183">
        <v>276.58</v>
      </c>
    </row>
    <row r="184" spans="1:19" x14ac:dyDescent="0.25">
      <c r="A184" t="s">
        <v>607</v>
      </c>
      <c r="H184">
        <v>24.63</v>
      </c>
      <c r="I184">
        <v>25.36</v>
      </c>
      <c r="J184">
        <v>27.57</v>
      </c>
      <c r="K184">
        <v>38.270000000000003</v>
      </c>
      <c r="L184">
        <v>40.58</v>
      </c>
      <c r="M184">
        <v>41.58</v>
      </c>
      <c r="N184">
        <v>61.37</v>
      </c>
      <c r="O184">
        <v>61.39</v>
      </c>
      <c r="P184">
        <v>61.39</v>
      </c>
      <c r="Q184">
        <v>61.39</v>
      </c>
      <c r="R184">
        <v>61.37</v>
      </c>
      <c r="S184">
        <v>61.37</v>
      </c>
    </row>
    <row r="185" spans="1:19" x14ac:dyDescent="0.25">
      <c r="A185" t="s">
        <v>608</v>
      </c>
      <c r="B185">
        <v>4.58</v>
      </c>
      <c r="C185">
        <v>9.31</v>
      </c>
      <c r="D185">
        <v>12.59</v>
      </c>
      <c r="E185">
        <v>12.18</v>
      </c>
      <c r="F185">
        <v>17.39</v>
      </c>
      <c r="G185">
        <v>20.48</v>
      </c>
      <c r="H185">
        <v>33.340000000000003</v>
      </c>
      <c r="I185">
        <v>20.3</v>
      </c>
      <c r="J185">
        <v>29.32</v>
      </c>
      <c r="K185">
        <v>74.489999999999995</v>
      </c>
      <c r="L185">
        <v>90.71</v>
      </c>
      <c r="M185">
        <v>123.76</v>
      </c>
      <c r="N185">
        <v>173.25</v>
      </c>
      <c r="O185">
        <v>744.52</v>
      </c>
      <c r="P185">
        <v>955.24</v>
      </c>
      <c r="Q185" s="2">
        <v>2067</v>
      </c>
    </row>
    <row r="186" spans="1:19" x14ac:dyDescent="0.25">
      <c r="A186" t="s">
        <v>313</v>
      </c>
      <c r="B186">
        <v>19.55</v>
      </c>
      <c r="C186">
        <v>20</v>
      </c>
      <c r="D186">
        <v>20</v>
      </c>
      <c r="E186">
        <v>20</v>
      </c>
      <c r="F186">
        <v>20</v>
      </c>
      <c r="G186">
        <v>23.83</v>
      </c>
      <c r="H186">
        <v>69.25</v>
      </c>
      <c r="I186">
        <v>62.05</v>
      </c>
      <c r="J186">
        <v>403.21</v>
      </c>
      <c r="K186">
        <v>74.84</v>
      </c>
      <c r="L186">
        <v>73.77</v>
      </c>
      <c r="M186">
        <v>188.31</v>
      </c>
      <c r="N186">
        <v>7.92</v>
      </c>
      <c r="O186">
        <v>82.57</v>
      </c>
      <c r="P186">
        <v>170.68</v>
      </c>
      <c r="Q186">
        <v>7.91</v>
      </c>
      <c r="R186">
        <v>7.92</v>
      </c>
      <c r="S186">
        <v>7.92</v>
      </c>
    </row>
    <row r="187" spans="1:19" x14ac:dyDescent="0.25">
      <c r="A187" t="s">
        <v>164</v>
      </c>
    </row>
    <row r="188" spans="1:19" x14ac:dyDescent="0.25">
      <c r="A188" t="s">
        <v>315</v>
      </c>
      <c r="B188">
        <v>221.96</v>
      </c>
      <c r="C188">
        <v>155.96</v>
      </c>
      <c r="D188">
        <v>215.31</v>
      </c>
      <c r="E188">
        <v>322.02</v>
      </c>
      <c r="F188">
        <v>419.01</v>
      </c>
      <c r="G188">
        <v>443.16</v>
      </c>
      <c r="H188" s="2">
        <v>2186.09</v>
      </c>
      <c r="I188" s="2">
        <v>1313.09</v>
      </c>
      <c r="J188" s="2">
        <v>1897.21</v>
      </c>
      <c r="K188" s="2">
        <v>4234.96</v>
      </c>
      <c r="L188" s="2">
        <v>4026.45</v>
      </c>
      <c r="M188" s="2">
        <v>3498.62</v>
      </c>
      <c r="N188" s="2">
        <v>3214.31</v>
      </c>
      <c r="O188" s="2">
        <v>2980.22</v>
      </c>
      <c r="P188" s="2">
        <v>2666.96</v>
      </c>
      <c r="Q188" s="2">
        <v>2614.3000000000002</v>
      </c>
      <c r="R188" s="2">
        <v>2714.31</v>
      </c>
      <c r="S188" s="2">
        <v>3214.31</v>
      </c>
    </row>
    <row r="189" spans="1:19" x14ac:dyDescent="0.25">
      <c r="A189" t="s">
        <v>604</v>
      </c>
      <c r="B189">
        <v>7.44</v>
      </c>
      <c r="C189">
        <v>7.11</v>
      </c>
      <c r="D189">
        <v>11.1</v>
      </c>
      <c r="E189">
        <v>15.35</v>
      </c>
      <c r="F189">
        <v>27.24</v>
      </c>
      <c r="G189">
        <v>23.91</v>
      </c>
      <c r="H189">
        <v>45.55</v>
      </c>
      <c r="I189">
        <v>73.959999999999994</v>
      </c>
      <c r="J189">
        <v>77.260000000000005</v>
      </c>
      <c r="K189">
        <v>780.31</v>
      </c>
      <c r="L189">
        <v>784.37</v>
      </c>
      <c r="M189">
        <v>711.72</v>
      </c>
      <c r="N189">
        <v>540.61</v>
      </c>
      <c r="O189">
        <v>547.29</v>
      </c>
      <c r="P189">
        <v>554.02</v>
      </c>
      <c r="Q189">
        <v>564.6</v>
      </c>
      <c r="R189">
        <v>540.61</v>
      </c>
      <c r="S189">
        <v>540.61</v>
      </c>
    </row>
    <row r="190" spans="1:19" x14ac:dyDescent="0.25">
      <c r="A190" t="s">
        <v>202</v>
      </c>
      <c r="H190">
        <v>94.7</v>
      </c>
      <c r="I190">
        <v>125.54</v>
      </c>
      <c r="J190">
        <v>110.21</v>
      </c>
      <c r="K190">
        <v>140.75</v>
      </c>
      <c r="L190">
        <v>162.36000000000001</v>
      </c>
      <c r="M190">
        <v>165.16</v>
      </c>
      <c r="N190">
        <v>254.84</v>
      </c>
      <c r="O190">
        <v>254.81</v>
      </c>
      <c r="P190">
        <v>254.81</v>
      </c>
      <c r="Q190">
        <v>254.82</v>
      </c>
      <c r="R190">
        <v>254.84</v>
      </c>
      <c r="S190">
        <v>254.84</v>
      </c>
    </row>
    <row r="191" spans="1:19" x14ac:dyDescent="0.25">
      <c r="A191" t="s">
        <v>166</v>
      </c>
      <c r="B191">
        <v>32.42</v>
      </c>
      <c r="C191">
        <v>26.87</v>
      </c>
      <c r="D191">
        <v>31.99</v>
      </c>
      <c r="E191">
        <v>31</v>
      </c>
      <c r="F191">
        <v>54.63</v>
      </c>
      <c r="G191">
        <v>82.93</v>
      </c>
      <c r="H191">
        <v>158.66999999999999</v>
      </c>
      <c r="I191">
        <v>138.12</v>
      </c>
      <c r="J191">
        <v>109.92</v>
      </c>
      <c r="K191">
        <v>247.4</v>
      </c>
      <c r="L191">
        <v>225.41</v>
      </c>
      <c r="M191">
        <v>259.32</v>
      </c>
      <c r="N191">
        <v>197.97</v>
      </c>
      <c r="O191">
        <v>221.83</v>
      </c>
      <c r="P191">
        <v>258.49</v>
      </c>
      <c r="Q191">
        <v>344.66</v>
      </c>
      <c r="R191">
        <v>520.07000000000005</v>
      </c>
      <c r="S191">
        <v>197.97</v>
      </c>
    </row>
    <row r="192" spans="1:19" x14ac:dyDescent="0.25">
      <c r="A192" t="s">
        <v>167</v>
      </c>
      <c r="B192">
        <v>396.88</v>
      </c>
      <c r="C192">
        <v>329.08</v>
      </c>
      <c r="D192">
        <v>429.64</v>
      </c>
      <c r="E192">
        <v>576.73</v>
      </c>
      <c r="F192">
        <v>737.35</v>
      </c>
      <c r="G192">
        <v>820.56</v>
      </c>
      <c r="H192" s="2">
        <v>3157.91</v>
      </c>
      <c r="I192" s="2">
        <v>2380.3000000000002</v>
      </c>
      <c r="J192" s="2">
        <v>3461.57</v>
      </c>
      <c r="K192" s="2">
        <v>6482.17</v>
      </c>
      <c r="L192" s="2">
        <v>6542.36</v>
      </c>
      <c r="M192" s="2">
        <v>6429.65</v>
      </c>
      <c r="N192" s="2">
        <v>7061.65</v>
      </c>
      <c r="O192" s="2">
        <v>7345.23</v>
      </c>
      <c r="P192" s="2">
        <v>7930.52</v>
      </c>
      <c r="Q192" s="2">
        <v>9564.26</v>
      </c>
      <c r="R192" s="2">
        <v>11310.27</v>
      </c>
      <c r="S192" s="2">
        <v>10992.81</v>
      </c>
    </row>
    <row r="193" spans="1:19" x14ac:dyDescent="0.25">
      <c r="A193" t="s">
        <v>170</v>
      </c>
      <c r="B193">
        <v>675.04</v>
      </c>
      <c r="C193">
        <v>822.58</v>
      </c>
      <c r="D193">
        <v>782.34</v>
      </c>
      <c r="E193">
        <v>900.56</v>
      </c>
      <c r="F193" s="2">
        <v>1184.05</v>
      </c>
      <c r="G193" s="2">
        <v>1133.21</v>
      </c>
      <c r="H193" s="2">
        <v>2076.8000000000002</v>
      </c>
      <c r="I193" s="2">
        <v>4132.3500000000004</v>
      </c>
      <c r="J193" s="2">
        <v>4383.28</v>
      </c>
      <c r="K193" s="2">
        <v>7228.97</v>
      </c>
      <c r="L193" s="2">
        <v>7574.89</v>
      </c>
      <c r="M193" s="2">
        <v>8127.78</v>
      </c>
      <c r="N193" s="2">
        <v>10903.5</v>
      </c>
      <c r="O193" s="2">
        <v>13097</v>
      </c>
      <c r="P193" s="2">
        <v>15777.45</v>
      </c>
      <c r="Q193" s="2">
        <v>18399.400000000001</v>
      </c>
      <c r="R193" s="2">
        <v>23202.5</v>
      </c>
      <c r="S193" s="2">
        <v>27738</v>
      </c>
    </row>
    <row r="194" spans="1:19" x14ac:dyDescent="0.25">
      <c r="A194" t="s">
        <v>173</v>
      </c>
      <c r="B194">
        <v>521.33000000000004</v>
      </c>
      <c r="C194">
        <v>587.29999999999995</v>
      </c>
      <c r="D194">
        <v>652.79</v>
      </c>
      <c r="E194">
        <v>748.06</v>
      </c>
      <c r="F194">
        <v>836.06</v>
      </c>
      <c r="G194">
        <v>943.58</v>
      </c>
      <c r="H194">
        <v>876.55</v>
      </c>
      <c r="I194" s="2">
        <v>1136.78</v>
      </c>
      <c r="J194" s="2">
        <v>1348.13</v>
      </c>
      <c r="K194">
        <v>944.42</v>
      </c>
      <c r="L194">
        <v>664.94</v>
      </c>
      <c r="M194">
        <v>584.37</v>
      </c>
      <c r="N194" s="2">
        <v>1354.27</v>
      </c>
      <c r="O194" s="2">
        <v>2820.45</v>
      </c>
      <c r="P194" s="2">
        <v>6322.42</v>
      </c>
      <c r="Q194" s="2">
        <v>8427.85</v>
      </c>
    </row>
    <row r="195" spans="1:19" x14ac:dyDescent="0.25">
      <c r="A195" t="s">
        <v>326</v>
      </c>
      <c r="B195" s="2">
        <v>1071.93</v>
      </c>
      <c r="C195" s="2">
        <v>1058.1600000000001</v>
      </c>
      <c r="D195" s="2">
        <v>1211.98</v>
      </c>
      <c r="E195" s="2">
        <v>1477.3</v>
      </c>
      <c r="F195" s="2">
        <v>1761.66</v>
      </c>
      <c r="G195" s="2">
        <v>1953.77</v>
      </c>
      <c r="H195" s="2">
        <v>5234.71</v>
      </c>
      <c r="I195" s="2">
        <v>6512.65</v>
      </c>
      <c r="J195" s="2">
        <v>7844.85</v>
      </c>
      <c r="K195" s="2">
        <v>13711.13</v>
      </c>
      <c r="L195" s="2">
        <v>14488.63</v>
      </c>
      <c r="M195" s="2">
        <v>14910.94</v>
      </c>
      <c r="N195" s="2">
        <v>18299.849999999999</v>
      </c>
      <c r="O195" s="2">
        <v>20757.14</v>
      </c>
      <c r="P195" s="2">
        <v>24334.92</v>
      </c>
      <c r="Q195" s="2">
        <v>28030.7</v>
      </c>
      <c r="R195" s="2">
        <v>32560.37</v>
      </c>
      <c r="S195" s="2">
        <v>38731.11</v>
      </c>
    </row>
    <row r="196" spans="1:19" x14ac:dyDescent="0.25">
      <c r="A196" t="s">
        <v>17</v>
      </c>
    </row>
    <row r="197" spans="1:19" x14ac:dyDescent="0.25">
      <c r="A197" t="s">
        <v>176</v>
      </c>
    </row>
    <row r="198" spans="1:19" x14ac:dyDescent="0.25">
      <c r="A198" t="s">
        <v>609</v>
      </c>
      <c r="B198">
        <v>241.96</v>
      </c>
      <c r="C198">
        <v>175.96</v>
      </c>
      <c r="D198">
        <v>235.92</v>
      </c>
      <c r="E198">
        <v>343.51</v>
      </c>
      <c r="F198">
        <v>439.01</v>
      </c>
      <c r="G198">
        <v>467</v>
      </c>
      <c r="H198" s="2">
        <v>2255.34</v>
      </c>
      <c r="I198" s="2">
        <v>1375.14</v>
      </c>
      <c r="J198" s="2">
        <v>2300.4299999999998</v>
      </c>
      <c r="K198" s="2">
        <v>4309.8</v>
      </c>
      <c r="L198" s="2">
        <v>4100.22</v>
      </c>
      <c r="M198" s="2">
        <v>3686.92</v>
      </c>
      <c r="N198" s="2">
        <v>3222.22</v>
      </c>
      <c r="O198" s="2">
        <v>3022.2</v>
      </c>
      <c r="P198" s="2">
        <v>2822.2</v>
      </c>
      <c r="Q198" s="2">
        <v>2622.2</v>
      </c>
      <c r="R198" s="2">
        <v>3222.2</v>
      </c>
    </row>
    <row r="199" spans="1:19" x14ac:dyDescent="0.25">
      <c r="A199" t="s">
        <v>195</v>
      </c>
      <c r="B199">
        <v>370.67</v>
      </c>
      <c r="C199">
        <v>373.81</v>
      </c>
      <c r="D199">
        <v>411.72</v>
      </c>
      <c r="E199">
        <v>517.34</v>
      </c>
      <c r="F199">
        <v>525.37</v>
      </c>
      <c r="G199">
        <v>542.35</v>
      </c>
      <c r="H199" s="2">
        <v>1116.08</v>
      </c>
      <c r="I199" s="2">
        <v>2297.81</v>
      </c>
      <c r="J199" s="2">
        <v>3038.23</v>
      </c>
      <c r="K199" s="2">
        <v>2173.25</v>
      </c>
      <c r="L199" s="2">
        <v>2316.33</v>
      </c>
      <c r="M199" s="2">
        <v>2132.31</v>
      </c>
      <c r="N199" s="2">
        <v>4071.57</v>
      </c>
      <c r="O199" s="2">
        <v>3964.02</v>
      </c>
      <c r="P199" s="2">
        <v>4684.3100000000004</v>
      </c>
      <c r="Q199" s="2">
        <v>8749.76</v>
      </c>
      <c r="R199" s="2">
        <v>11599.04</v>
      </c>
      <c r="S199" s="2">
        <v>20109.939999999999</v>
      </c>
    </row>
    <row r="200" spans="1:19" x14ac:dyDescent="0.25">
      <c r="A200" t="s">
        <v>505</v>
      </c>
      <c r="B200">
        <v>67.75</v>
      </c>
      <c r="C200">
        <v>2.3199999999999998</v>
      </c>
      <c r="D200">
        <v>16.86</v>
      </c>
      <c r="E200">
        <v>94.62</v>
      </c>
      <c r="F200">
        <v>192.55</v>
      </c>
      <c r="G200">
        <v>263.14999999999998</v>
      </c>
      <c r="H200" s="2">
        <v>1884.05</v>
      </c>
      <c r="I200">
        <v>-63.37</v>
      </c>
      <c r="J200">
        <v>-141.6</v>
      </c>
      <c r="K200" s="2">
        <v>3658.11</v>
      </c>
      <c r="L200" s="2">
        <v>3377.12</v>
      </c>
      <c r="M200" s="2">
        <v>2984.46</v>
      </c>
      <c r="N200" s="2">
        <v>1551.42</v>
      </c>
      <c r="O200" s="2">
        <v>1485.17</v>
      </c>
      <c r="P200">
        <v>189.17</v>
      </c>
      <c r="Q200" s="2">
        <v>-2523.5</v>
      </c>
    </row>
    <row r="201" spans="1:19" x14ac:dyDescent="0.25">
      <c r="A201" t="s">
        <v>610</v>
      </c>
      <c r="B201">
        <v>32.880000000000003</v>
      </c>
      <c r="C201">
        <v>21.39</v>
      </c>
      <c r="D201">
        <v>27.52</v>
      </c>
      <c r="E201">
        <v>38.36</v>
      </c>
      <c r="F201">
        <v>40.909999999999997</v>
      </c>
      <c r="G201">
        <v>39.11</v>
      </c>
      <c r="H201">
        <v>109.82</v>
      </c>
      <c r="I201">
        <v>48.59</v>
      </c>
      <c r="J201">
        <v>63.3</v>
      </c>
      <c r="K201">
        <v>65.06</v>
      </c>
      <c r="L201">
        <v>80.400000000000006</v>
      </c>
      <c r="M201">
        <v>64.91</v>
      </c>
      <c r="N201">
        <v>31.82</v>
      </c>
    </row>
    <row r="202" spans="1:19" x14ac:dyDescent="0.25">
      <c r="A202" t="s">
        <v>17</v>
      </c>
    </row>
    <row r="203" spans="1:19" x14ac:dyDescent="0.25">
      <c r="A203" t="s">
        <v>186</v>
      </c>
      <c r="B203">
        <v>3.74</v>
      </c>
      <c r="C203">
        <v>3.69</v>
      </c>
      <c r="D203">
        <v>3.4</v>
      </c>
      <c r="E203">
        <v>3.8</v>
      </c>
      <c r="F203">
        <v>3.22</v>
      </c>
      <c r="G203">
        <v>3</v>
      </c>
      <c r="H203">
        <v>2.66</v>
      </c>
      <c r="I203">
        <v>4.1500000000000004</v>
      </c>
      <c r="J203">
        <v>3.4</v>
      </c>
      <c r="K203">
        <v>3.01</v>
      </c>
      <c r="L203">
        <v>2.72</v>
      </c>
      <c r="M203">
        <v>2.19</v>
      </c>
      <c r="N203">
        <v>2.4300000000000002</v>
      </c>
      <c r="O203">
        <v>2.91</v>
      </c>
      <c r="P203">
        <v>3.06</v>
      </c>
      <c r="Q203">
        <v>3.02</v>
      </c>
      <c r="R203">
        <v>3.27</v>
      </c>
      <c r="S203">
        <v>3.96</v>
      </c>
    </row>
    <row r="204" spans="1:19" x14ac:dyDescent="0.25">
      <c r="A204" t="s">
        <v>179</v>
      </c>
      <c r="B204">
        <v>3.97</v>
      </c>
      <c r="C204">
        <v>6.19</v>
      </c>
      <c r="D204">
        <v>5.77</v>
      </c>
      <c r="E204">
        <v>7.09</v>
      </c>
      <c r="F204">
        <v>5.43</v>
      </c>
      <c r="G204">
        <v>5.79</v>
      </c>
      <c r="H204">
        <v>-1.86</v>
      </c>
      <c r="I204">
        <v>5.07</v>
      </c>
      <c r="J204">
        <v>3.27</v>
      </c>
      <c r="K204">
        <v>-2.41</v>
      </c>
      <c r="L204">
        <v>-1.1100000000000001</v>
      </c>
      <c r="M204">
        <v>0.34</v>
      </c>
      <c r="N204">
        <v>4.8499999999999996</v>
      </c>
      <c r="O204">
        <v>8.25</v>
      </c>
      <c r="P204">
        <v>52.49</v>
      </c>
      <c r="Q204">
        <v>13.96</v>
      </c>
      <c r="R204">
        <v>14.27</v>
      </c>
    </row>
    <row r="205" spans="1:19" x14ac:dyDescent="0.25">
      <c r="A205" t="s">
        <v>180</v>
      </c>
      <c r="B205">
        <v>5.86</v>
      </c>
      <c r="C205">
        <v>9.4</v>
      </c>
      <c r="D205">
        <v>8.67</v>
      </c>
      <c r="E205">
        <v>11.32</v>
      </c>
      <c r="F205">
        <v>9.14</v>
      </c>
      <c r="G205">
        <v>9.9700000000000006</v>
      </c>
      <c r="H205">
        <v>-4.18</v>
      </c>
      <c r="I205">
        <v>10.34</v>
      </c>
      <c r="J205">
        <v>5.43</v>
      </c>
      <c r="K205">
        <v>-8.16</v>
      </c>
      <c r="L205">
        <v>-4.68</v>
      </c>
      <c r="M205">
        <v>-1.48</v>
      </c>
      <c r="N205">
        <v>9.31</v>
      </c>
      <c r="O205">
        <v>13.1</v>
      </c>
      <c r="P205">
        <v>16.600000000000001</v>
      </c>
    </row>
    <row r="206" spans="1:19" x14ac:dyDescent="0.25">
      <c r="A206" t="s">
        <v>611</v>
      </c>
      <c r="B206">
        <v>73.040000000000006</v>
      </c>
      <c r="C206">
        <v>69.25</v>
      </c>
      <c r="D206">
        <v>72.92</v>
      </c>
      <c r="E206">
        <v>72.61</v>
      </c>
      <c r="F206">
        <v>67.73</v>
      </c>
      <c r="G206">
        <v>72.23</v>
      </c>
      <c r="H206">
        <v>91.98</v>
      </c>
      <c r="I206">
        <v>77.44</v>
      </c>
      <c r="J206">
        <v>77.069999999999993</v>
      </c>
      <c r="K206">
        <v>63.77</v>
      </c>
      <c r="L206">
        <v>65.97</v>
      </c>
      <c r="M206">
        <v>60.56</v>
      </c>
      <c r="N206">
        <v>68.88</v>
      </c>
      <c r="O206">
        <v>63.07</v>
      </c>
      <c r="P206">
        <v>60</v>
      </c>
      <c r="Q206">
        <v>59.55</v>
      </c>
      <c r="R206">
        <v>55.98</v>
      </c>
    </row>
    <row r="207" spans="1:19" x14ac:dyDescent="0.25">
      <c r="A207" t="s">
        <v>177</v>
      </c>
      <c r="B207">
        <v>67.75</v>
      </c>
      <c r="C207">
        <v>2.3199999999999998</v>
      </c>
      <c r="D207">
        <v>16.86</v>
      </c>
      <c r="E207">
        <v>94.62</v>
      </c>
      <c r="F207">
        <v>192.55</v>
      </c>
      <c r="G207">
        <v>263.14999999999998</v>
      </c>
      <c r="H207" s="2">
        <v>1884.05</v>
      </c>
      <c r="I207">
        <v>-63.37</v>
      </c>
      <c r="J207">
        <v>-141.6</v>
      </c>
      <c r="K207" s="2">
        <v>3658.11</v>
      </c>
      <c r="L207" s="2">
        <v>3377.12</v>
      </c>
      <c r="M207" s="2">
        <v>2984.46</v>
      </c>
      <c r="N207" s="2">
        <v>1551.42</v>
      </c>
      <c r="O207" s="2">
        <v>1233.6400000000001</v>
      </c>
      <c r="P207">
        <v>62.57</v>
      </c>
      <c r="Q207" s="2">
        <v>-2286.11</v>
      </c>
    </row>
    <row r="208" spans="1:19" x14ac:dyDescent="0.25">
      <c r="A208" t="s">
        <v>424</v>
      </c>
      <c r="B208">
        <v>10.98</v>
      </c>
      <c r="C208">
        <v>11.91</v>
      </c>
      <c r="D208">
        <v>12.64</v>
      </c>
      <c r="E208">
        <v>14.26</v>
      </c>
      <c r="F208">
        <v>16.18</v>
      </c>
      <c r="G208">
        <v>17.79</v>
      </c>
      <c r="H208">
        <v>22.44</v>
      </c>
      <c r="I208">
        <v>28.07</v>
      </c>
      <c r="J208">
        <v>29.65</v>
      </c>
      <c r="K208">
        <v>48.19</v>
      </c>
      <c r="L208">
        <v>34.1</v>
      </c>
      <c r="M208">
        <v>36.29</v>
      </c>
      <c r="N208">
        <v>55.7</v>
      </c>
      <c r="O208">
        <v>59.66</v>
      </c>
      <c r="P208">
        <v>68.53</v>
      </c>
      <c r="Q208">
        <v>81.45</v>
      </c>
      <c r="R208">
        <v>112.4</v>
      </c>
    </row>
    <row r="209" spans="1:19" x14ac:dyDescent="0.25">
      <c r="A209" t="s">
        <v>17</v>
      </c>
    </row>
    <row r="210" spans="1:19" x14ac:dyDescent="0.25">
      <c r="A210" t="s">
        <v>188</v>
      </c>
    </row>
    <row r="211" spans="1:19" x14ac:dyDescent="0.25">
      <c r="A211" t="s">
        <v>189</v>
      </c>
    </row>
    <row r="212" spans="1:19" x14ac:dyDescent="0.25">
      <c r="A212" t="s">
        <v>190</v>
      </c>
      <c r="B212">
        <v>53.1</v>
      </c>
      <c r="C212">
        <v>53.08</v>
      </c>
      <c r="D212">
        <v>56.66</v>
      </c>
      <c r="E212">
        <v>63.64</v>
      </c>
      <c r="F212">
        <v>80.77</v>
      </c>
      <c r="G212">
        <v>92.37</v>
      </c>
      <c r="H212">
        <v>220.88</v>
      </c>
      <c r="I212">
        <v>270.07</v>
      </c>
      <c r="J212">
        <v>286.77999999999997</v>
      </c>
      <c r="K212">
        <v>681.69</v>
      </c>
      <c r="L212">
        <v>559.76</v>
      </c>
      <c r="M212">
        <v>553.6</v>
      </c>
      <c r="N212">
        <v>521.9</v>
      </c>
      <c r="O212">
        <v>690.82</v>
      </c>
      <c r="P212">
        <v>829.53</v>
      </c>
      <c r="Q212" s="2">
        <v>1209.3800000000001</v>
      </c>
      <c r="R212" s="2">
        <v>2113.8000000000002</v>
      </c>
      <c r="S212" s="2">
        <v>1692.3</v>
      </c>
    </row>
    <row r="213" spans="1:19" x14ac:dyDescent="0.25">
      <c r="A213" t="s">
        <v>191</v>
      </c>
      <c r="B213">
        <v>41.81</v>
      </c>
      <c r="C213">
        <v>41.11</v>
      </c>
      <c r="D213">
        <v>44.32</v>
      </c>
      <c r="E213">
        <v>50.89</v>
      </c>
      <c r="F213">
        <v>66.2</v>
      </c>
      <c r="G213">
        <v>75.75</v>
      </c>
      <c r="H213">
        <v>156.69</v>
      </c>
      <c r="I213">
        <v>187.8</v>
      </c>
      <c r="J213">
        <v>207.13</v>
      </c>
      <c r="K213">
        <v>267.56</v>
      </c>
      <c r="L213">
        <v>271.60000000000002</v>
      </c>
      <c r="M213">
        <v>250.81</v>
      </c>
      <c r="N213">
        <v>241.6</v>
      </c>
      <c r="O213">
        <v>393.58</v>
      </c>
      <c r="P213">
        <v>516.15</v>
      </c>
      <c r="Q213">
        <v>609.72</v>
      </c>
      <c r="R213">
        <v>707.14</v>
      </c>
      <c r="S213">
        <v>697.05</v>
      </c>
    </row>
    <row r="214" spans="1:19" x14ac:dyDescent="0.25">
      <c r="A214" t="s">
        <v>192</v>
      </c>
      <c r="B214">
        <v>11.3</v>
      </c>
      <c r="C214">
        <v>12</v>
      </c>
      <c r="D214">
        <v>12.3</v>
      </c>
      <c r="E214">
        <v>12.74</v>
      </c>
      <c r="F214">
        <v>14.6</v>
      </c>
      <c r="G214">
        <v>16.600000000000001</v>
      </c>
      <c r="H214">
        <v>64.2</v>
      </c>
      <c r="I214">
        <v>82.27</v>
      </c>
      <c r="J214">
        <v>79.650000000000006</v>
      </c>
      <c r="K214">
        <v>414.13</v>
      </c>
      <c r="L214">
        <v>288.16000000000003</v>
      </c>
      <c r="M214">
        <v>302.8</v>
      </c>
      <c r="N214">
        <v>280.3</v>
      </c>
      <c r="O214">
        <v>279.64</v>
      </c>
      <c r="P214">
        <v>401.1</v>
      </c>
      <c r="Q214">
        <v>361.16</v>
      </c>
      <c r="R214">
        <v>466.24</v>
      </c>
      <c r="S214">
        <v>995.25</v>
      </c>
    </row>
    <row r="215" spans="1:19" x14ac:dyDescent="0.25">
      <c r="A215" t="s">
        <v>612</v>
      </c>
    </row>
    <row r="216" spans="1:19" x14ac:dyDescent="0.25">
      <c r="A216" t="s">
        <v>613</v>
      </c>
      <c r="D216">
        <v>-0.03</v>
      </c>
      <c r="E216">
        <v>-0.74</v>
      </c>
      <c r="F216">
        <v>-3.59</v>
      </c>
      <c r="G216">
        <v>-3.21</v>
      </c>
      <c r="H216">
        <v>-2.78</v>
      </c>
      <c r="I216">
        <v>-14.25</v>
      </c>
      <c r="J216">
        <v>-2.19</v>
      </c>
      <c r="K216">
        <v>7.0000000000000007E-2</v>
      </c>
      <c r="L216">
        <v>0.05</v>
      </c>
      <c r="M216">
        <v>-1.32</v>
      </c>
      <c r="N216">
        <v>-0.69</v>
      </c>
    </row>
    <row r="217" spans="1:19" x14ac:dyDescent="0.25">
      <c r="A217" t="s">
        <v>512</v>
      </c>
      <c r="B217">
        <v>0.7</v>
      </c>
      <c r="C217">
        <v>2.1800000000000002</v>
      </c>
      <c r="D217">
        <v>-0.05</v>
      </c>
      <c r="E217">
        <v>-1.28</v>
      </c>
      <c r="F217">
        <v>0.85</v>
      </c>
      <c r="G217">
        <v>3.16</v>
      </c>
      <c r="H217">
        <v>14.44</v>
      </c>
      <c r="I217">
        <v>5.55</v>
      </c>
      <c r="J217">
        <v>1.17</v>
      </c>
      <c r="K217">
        <v>-3.55</v>
      </c>
      <c r="L217">
        <v>-10.56</v>
      </c>
      <c r="M217">
        <v>33.119999999999997</v>
      </c>
      <c r="N217">
        <v>-148.93</v>
      </c>
    </row>
    <row r="218" spans="1:19" x14ac:dyDescent="0.25">
      <c r="A218" t="s">
        <v>67</v>
      </c>
      <c r="B218">
        <v>11.7</v>
      </c>
      <c r="C218">
        <v>11.01</v>
      </c>
      <c r="D218">
        <v>9.09</v>
      </c>
      <c r="E218">
        <v>11.76</v>
      </c>
      <c r="F218">
        <v>15.31</v>
      </c>
      <c r="G218">
        <v>21.95</v>
      </c>
      <c r="H218">
        <v>68.48</v>
      </c>
      <c r="I218">
        <v>70.95</v>
      </c>
      <c r="J218">
        <v>73.209999999999994</v>
      </c>
      <c r="K218">
        <v>148.87</v>
      </c>
      <c r="L218">
        <v>126.05</v>
      </c>
      <c r="M218">
        <v>160.24</v>
      </c>
      <c r="N218">
        <v>186.47</v>
      </c>
      <c r="O218">
        <v>236.03</v>
      </c>
      <c r="P218">
        <v>286.62</v>
      </c>
      <c r="Q218">
        <v>372.73</v>
      </c>
      <c r="R218">
        <v>510.25</v>
      </c>
      <c r="S218">
        <v>589.29</v>
      </c>
    </row>
    <row r="219" spans="1:19" x14ac:dyDescent="0.25">
      <c r="A219" t="s">
        <v>546</v>
      </c>
      <c r="B219">
        <v>-4.4400000000000004</v>
      </c>
      <c r="C219">
        <v>-3.78</v>
      </c>
      <c r="D219">
        <v>0.98</v>
      </c>
      <c r="E219">
        <v>-1.18</v>
      </c>
      <c r="F219">
        <v>0.95</v>
      </c>
      <c r="G219">
        <v>-10.46</v>
      </c>
      <c r="H219">
        <v>-42.45</v>
      </c>
      <c r="I219">
        <v>-0.37</v>
      </c>
      <c r="J219">
        <v>-8.15</v>
      </c>
      <c r="K219">
        <v>-206.82</v>
      </c>
      <c r="L219">
        <v>-112.1</v>
      </c>
      <c r="M219">
        <v>-95.43</v>
      </c>
      <c r="N219">
        <v>-198.73</v>
      </c>
      <c r="O219">
        <v>-16.43</v>
      </c>
      <c r="P219">
        <v>-16.05</v>
      </c>
    </row>
    <row r="220" spans="1:19" x14ac:dyDescent="0.25">
      <c r="A220" t="s">
        <v>338</v>
      </c>
      <c r="B220">
        <v>-4.41</v>
      </c>
      <c r="C220">
        <v>-0.11</v>
      </c>
      <c r="D220">
        <v>-9.16</v>
      </c>
      <c r="E220">
        <v>-48.85</v>
      </c>
      <c r="F220">
        <v>-31.33</v>
      </c>
      <c r="G220">
        <v>-45.38</v>
      </c>
      <c r="H220">
        <v>76.12</v>
      </c>
      <c r="I220">
        <v>-103.17</v>
      </c>
      <c r="J220">
        <v>-191.67</v>
      </c>
      <c r="K220">
        <v>124.63</v>
      </c>
      <c r="L220">
        <v>104.34</v>
      </c>
      <c r="M220">
        <v>-208.13</v>
      </c>
      <c r="N220" s="2">
        <v>-1102.17</v>
      </c>
      <c r="O220">
        <v>-614.17999999999995</v>
      </c>
      <c r="P220">
        <v>-673.69</v>
      </c>
      <c r="Q220" s="2">
        <v>-1040.1199999999999</v>
      </c>
      <c r="R220" s="2">
        <v>-1426.57</v>
      </c>
    </row>
    <row r="221" spans="1:19" x14ac:dyDescent="0.25">
      <c r="A221" t="s">
        <v>141</v>
      </c>
      <c r="B221">
        <v>-28.49</v>
      </c>
      <c r="C221">
        <v>-10.74</v>
      </c>
      <c r="D221">
        <v>-20.77</v>
      </c>
      <c r="E221">
        <v>-26.25</v>
      </c>
      <c r="F221">
        <v>-21.04</v>
      </c>
      <c r="G221">
        <v>-50.76</v>
      </c>
      <c r="H221">
        <v>-91.98</v>
      </c>
      <c r="I221">
        <v>-51.7</v>
      </c>
      <c r="J221">
        <v>-55.19</v>
      </c>
      <c r="K221">
        <v>68.319999999999993</v>
      </c>
      <c r="L221">
        <v>60.58</v>
      </c>
      <c r="M221">
        <v>-170.44</v>
      </c>
      <c r="N221">
        <v>-367.63</v>
      </c>
      <c r="O221">
        <v>-647.70000000000005</v>
      </c>
      <c r="P221">
        <v>-604.03</v>
      </c>
      <c r="Q221">
        <v>-740.85</v>
      </c>
      <c r="R221">
        <v>-654.46</v>
      </c>
      <c r="S221">
        <v>-520.41</v>
      </c>
    </row>
    <row r="222" spans="1:19" x14ac:dyDescent="0.25">
      <c r="A222" t="s">
        <v>340</v>
      </c>
      <c r="B222">
        <v>12.79</v>
      </c>
      <c r="C222">
        <v>-4.21</v>
      </c>
      <c r="D222">
        <v>-8.65</v>
      </c>
      <c r="E222">
        <v>-24.99</v>
      </c>
      <c r="F222">
        <v>-38.729999999999997</v>
      </c>
      <c r="G222">
        <v>-36.39</v>
      </c>
      <c r="H222">
        <v>112.57</v>
      </c>
      <c r="I222">
        <v>-44.65</v>
      </c>
      <c r="J222">
        <v>-230.88</v>
      </c>
      <c r="K222">
        <v>174.14</v>
      </c>
      <c r="L222">
        <v>-23.2</v>
      </c>
      <c r="M222">
        <v>-202.73</v>
      </c>
      <c r="N222" s="2">
        <v>-1183</v>
      </c>
      <c r="O222">
        <v>-764.86</v>
      </c>
      <c r="P222">
        <v>-874.43</v>
      </c>
      <c r="Q222" s="2">
        <v>-1188.22</v>
      </c>
      <c r="R222" s="2">
        <v>-1104.24</v>
      </c>
      <c r="S222">
        <v>-878.07</v>
      </c>
    </row>
    <row r="223" spans="1:19" x14ac:dyDescent="0.25">
      <c r="A223" t="s">
        <v>158</v>
      </c>
      <c r="B223">
        <v>19.809999999999999</v>
      </c>
      <c r="C223">
        <v>0.06</v>
      </c>
      <c r="D223">
        <v>5.72</v>
      </c>
      <c r="E223">
        <v>6.7</v>
      </c>
      <c r="F223">
        <v>17.440000000000001</v>
      </c>
      <c r="G223">
        <v>16</v>
      </c>
      <c r="H223">
        <v>45.03</v>
      </c>
      <c r="I223">
        <v>2.27</v>
      </c>
      <c r="J223">
        <v>97.05</v>
      </c>
      <c r="K223">
        <v>-83.33</v>
      </c>
      <c r="L223">
        <v>205.04</v>
      </c>
      <c r="M223">
        <v>217.36</v>
      </c>
      <c r="N223">
        <v>748.53</v>
      </c>
      <c r="O223">
        <v>388.57</v>
      </c>
      <c r="P223">
        <v>584.30999999999995</v>
      </c>
      <c r="Q223">
        <v>742.04</v>
      </c>
      <c r="R223">
        <v>690.15</v>
      </c>
      <c r="S223">
        <v>548.79</v>
      </c>
    </row>
    <row r="224" spans="1:19" x14ac:dyDescent="0.25">
      <c r="A224" t="s">
        <v>614</v>
      </c>
      <c r="B224">
        <v>-6.28</v>
      </c>
      <c r="C224">
        <v>7.59</v>
      </c>
      <c r="D224">
        <v>13.42</v>
      </c>
      <c r="E224">
        <v>0.74</v>
      </c>
      <c r="F224">
        <v>7.38</v>
      </c>
      <c r="G224">
        <v>0.37</v>
      </c>
      <c r="H224">
        <v>40.06</v>
      </c>
      <c r="I224">
        <v>-18.09</v>
      </c>
      <c r="J224">
        <v>17.96</v>
      </c>
      <c r="K224">
        <v>28.65</v>
      </c>
      <c r="L224">
        <v>12.25</v>
      </c>
      <c r="M224">
        <v>-22.12</v>
      </c>
      <c r="N224">
        <v>18.18</v>
      </c>
      <c r="O224">
        <v>25.45</v>
      </c>
      <c r="P224">
        <v>11.06</v>
      </c>
    </row>
    <row r="225" spans="1:19" x14ac:dyDescent="0.25">
      <c r="A225" t="s">
        <v>204</v>
      </c>
      <c r="B225">
        <v>95.46</v>
      </c>
      <c r="C225">
        <v>129.37</v>
      </c>
      <c r="D225">
        <v>122.97</v>
      </c>
      <c r="E225">
        <v>118.62</v>
      </c>
      <c r="F225">
        <v>161.01</v>
      </c>
      <c r="G225">
        <v>178.48</v>
      </c>
      <c r="H225">
        <v>297.29000000000002</v>
      </c>
      <c r="I225">
        <v>574.35</v>
      </c>
      <c r="J225">
        <v>413.33</v>
      </c>
      <c r="K225">
        <v>634.03</v>
      </c>
      <c r="L225">
        <v>545.73</v>
      </c>
      <c r="M225">
        <v>633.6</v>
      </c>
      <c r="N225">
        <v>79.510000000000005</v>
      </c>
      <c r="O225" s="2">
        <v>1371.68</v>
      </c>
      <c r="P225" s="2">
        <v>2790.26</v>
      </c>
      <c r="Q225" s="2">
        <v>3971.11</v>
      </c>
      <c r="R225" s="2">
        <v>5029.43</v>
      </c>
      <c r="S225" s="2">
        <v>5708.46</v>
      </c>
    </row>
    <row r="226" spans="1:19" x14ac:dyDescent="0.25">
      <c r="A226" t="s">
        <v>17</v>
      </c>
    </row>
    <row r="227" spans="1:19" x14ac:dyDescent="0.25">
      <c r="A227" t="s">
        <v>205</v>
      </c>
    </row>
    <row r="228" spans="1:19" x14ac:dyDescent="0.25">
      <c r="A228" t="s">
        <v>206</v>
      </c>
      <c r="B228">
        <v>-29.22</v>
      </c>
      <c r="C228">
        <v>-52.31</v>
      </c>
      <c r="D228">
        <v>-58.17</v>
      </c>
      <c r="E228">
        <v>-138.52000000000001</v>
      </c>
      <c r="F228">
        <v>-153.44</v>
      </c>
      <c r="G228">
        <v>-137.12</v>
      </c>
      <c r="H228">
        <v>-136.88</v>
      </c>
      <c r="I228">
        <v>-146.34</v>
      </c>
      <c r="J228">
        <v>-314.33</v>
      </c>
      <c r="K228">
        <v>-436.06</v>
      </c>
      <c r="L228">
        <v>-346.82</v>
      </c>
      <c r="M228">
        <v>-440.84</v>
      </c>
      <c r="N228" s="2">
        <v>-1102.9100000000001</v>
      </c>
      <c r="O228" s="2">
        <v>-1614.41</v>
      </c>
      <c r="P228" s="2">
        <v>-1602.25</v>
      </c>
      <c r="Q228" s="2">
        <v>-1896.14</v>
      </c>
      <c r="R228" s="2">
        <v>-2498.67</v>
      </c>
      <c r="S228" s="2">
        <v>-1310</v>
      </c>
    </row>
    <row r="229" spans="1:19" x14ac:dyDescent="0.25">
      <c r="A229" t="s">
        <v>61</v>
      </c>
      <c r="B229">
        <v>4.28</v>
      </c>
      <c r="C229">
        <v>7.05</v>
      </c>
      <c r="D229">
        <v>7.03</v>
      </c>
      <c r="E229">
        <v>14.25</v>
      </c>
      <c r="F229">
        <v>13.24</v>
      </c>
      <c r="G229">
        <v>10.06</v>
      </c>
      <c r="H229">
        <v>5.75</v>
      </c>
      <c r="I229">
        <v>4.71</v>
      </c>
      <c r="J229">
        <v>9.48</v>
      </c>
      <c r="K229">
        <v>8.4499999999999993</v>
      </c>
      <c r="L229">
        <v>7.37</v>
      </c>
      <c r="M229">
        <v>7.59</v>
      </c>
      <c r="N229">
        <v>15.49</v>
      </c>
      <c r="O229">
        <v>13</v>
      </c>
      <c r="P229">
        <v>9.4700000000000006</v>
      </c>
      <c r="Q229">
        <v>7.24</v>
      </c>
      <c r="R229">
        <v>6.5</v>
      </c>
      <c r="S229">
        <v>5</v>
      </c>
    </row>
    <row r="230" spans="1:19" x14ac:dyDescent="0.25">
      <c r="A230" t="s">
        <v>211</v>
      </c>
      <c r="B230">
        <v>-177.68</v>
      </c>
      <c r="C230">
        <v>0</v>
      </c>
      <c r="D230">
        <v>-122.16</v>
      </c>
      <c r="E230">
        <v>-40.020000000000003</v>
      </c>
      <c r="F230">
        <v>-80.5</v>
      </c>
      <c r="G230">
        <v>-83.07</v>
      </c>
      <c r="H230" s="2">
        <v>-1036.6099999999999</v>
      </c>
      <c r="I230">
        <v>-34.39</v>
      </c>
      <c r="J230">
        <v>0</v>
      </c>
      <c r="K230" s="2">
        <v>-5488.56</v>
      </c>
      <c r="L230">
        <v>0</v>
      </c>
      <c r="M230">
        <v>0</v>
      </c>
      <c r="N230">
        <v>0</v>
      </c>
    </row>
    <row r="231" spans="1:19" x14ac:dyDescent="0.25">
      <c r="A231" t="s">
        <v>346</v>
      </c>
      <c r="B231">
        <v>0.08</v>
      </c>
      <c r="C231">
        <v>7.0000000000000007E-2</v>
      </c>
      <c r="D231">
        <v>0.16</v>
      </c>
      <c r="E231">
        <v>1.29</v>
      </c>
      <c r="F231">
        <v>1.05</v>
      </c>
      <c r="G231">
        <v>0.69</v>
      </c>
      <c r="H231">
        <v>-3.75</v>
      </c>
      <c r="I231">
        <v>7.77</v>
      </c>
      <c r="J231">
        <v>-5.75</v>
      </c>
      <c r="K231">
        <v>-4.01</v>
      </c>
      <c r="L231">
        <v>-3.9</v>
      </c>
      <c r="M231">
        <v>-0.38</v>
      </c>
      <c r="N231">
        <v>-5.0199999999999996</v>
      </c>
      <c r="O231">
        <v>-9.84</v>
      </c>
      <c r="P231">
        <v>-9.84</v>
      </c>
    </row>
    <row r="232" spans="1:19" x14ac:dyDescent="0.25">
      <c r="A232" t="s">
        <v>213</v>
      </c>
      <c r="B232">
        <v>-206.82</v>
      </c>
      <c r="C232">
        <v>-52.25</v>
      </c>
      <c r="D232">
        <v>-135.16999999999999</v>
      </c>
      <c r="E232">
        <v>-177.24</v>
      </c>
      <c r="F232">
        <v>-284.95</v>
      </c>
      <c r="G232">
        <v>-223.98</v>
      </c>
      <c r="H232" s="2">
        <v>-1179.29</v>
      </c>
      <c r="I232">
        <v>-172.96</v>
      </c>
      <c r="J232">
        <v>-320.08</v>
      </c>
      <c r="K232" s="2">
        <v>-5928.63</v>
      </c>
      <c r="L232">
        <v>-350.71</v>
      </c>
      <c r="M232">
        <v>-414.22</v>
      </c>
      <c r="N232" s="2">
        <v>-1413.72</v>
      </c>
      <c r="O232" s="2">
        <v>-1678.05</v>
      </c>
      <c r="P232" s="2">
        <v>-1710.53</v>
      </c>
      <c r="Q232" s="2">
        <v>-2037.01</v>
      </c>
      <c r="R232" s="2">
        <v>-2632</v>
      </c>
      <c r="S232" s="2">
        <v>-1709.53</v>
      </c>
    </row>
    <row r="233" spans="1:19" x14ac:dyDescent="0.25">
      <c r="A233" t="s">
        <v>17</v>
      </c>
    </row>
    <row r="234" spans="1:19" x14ac:dyDescent="0.25">
      <c r="A234" t="s">
        <v>214</v>
      </c>
    </row>
    <row r="235" spans="1:19" x14ac:dyDescent="0.25">
      <c r="A235" t="s">
        <v>347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-20.32</v>
      </c>
      <c r="J235">
        <v>-34.51</v>
      </c>
      <c r="K235">
        <v>-27.6</v>
      </c>
      <c r="L235">
        <v>0</v>
      </c>
      <c r="M235">
        <v>-11.44</v>
      </c>
      <c r="N235">
        <v>-11.44</v>
      </c>
      <c r="O235">
        <v>-19.78</v>
      </c>
      <c r="P235">
        <v>-18.77</v>
      </c>
      <c r="Q235">
        <v>-20.96</v>
      </c>
      <c r="R235">
        <v>-14.41</v>
      </c>
      <c r="S235">
        <v>-14.51</v>
      </c>
    </row>
    <row r="236" spans="1:19" x14ac:dyDescent="0.25">
      <c r="A236" t="s">
        <v>215</v>
      </c>
      <c r="B236">
        <v>4.3600000000000003</v>
      </c>
      <c r="C236">
        <v>5.2</v>
      </c>
      <c r="D236">
        <v>9.65</v>
      </c>
      <c r="E236">
        <v>15.09</v>
      </c>
      <c r="F236">
        <v>10.47</v>
      </c>
      <c r="G236">
        <v>8.6999999999999993</v>
      </c>
      <c r="H236">
        <v>13.47</v>
      </c>
      <c r="I236">
        <v>32.36</v>
      </c>
      <c r="J236">
        <v>17.86</v>
      </c>
      <c r="K236" s="2">
        <v>1382.17</v>
      </c>
      <c r="L236">
        <v>10.46</v>
      </c>
      <c r="M236">
        <v>49.57</v>
      </c>
      <c r="N236" s="2">
        <v>2052.37</v>
      </c>
      <c r="O236">
        <v>35.770000000000003</v>
      </c>
      <c r="P236">
        <v>35.770000000000003</v>
      </c>
      <c r="Q236">
        <v>120</v>
      </c>
    </row>
    <row r="237" spans="1:19" x14ac:dyDescent="0.25">
      <c r="A237" t="s">
        <v>218</v>
      </c>
      <c r="B237">
        <v>99.08</v>
      </c>
      <c r="C237">
        <v>-76.06</v>
      </c>
      <c r="D237">
        <v>61.45</v>
      </c>
      <c r="E237">
        <v>111.57</v>
      </c>
      <c r="F237">
        <v>96.97</v>
      </c>
      <c r="G237">
        <v>4.88</v>
      </c>
      <c r="H237" s="2">
        <v>1173.6300000000001</v>
      </c>
      <c r="I237">
        <v>675.73</v>
      </c>
      <c r="J237">
        <v>862.95</v>
      </c>
      <c r="K237" s="2">
        <v>3554.02</v>
      </c>
      <c r="L237">
        <v>758.27</v>
      </c>
      <c r="M237">
        <v>-451.73</v>
      </c>
      <c r="N237" s="2">
        <v>1477.08</v>
      </c>
      <c r="O237">
        <v>40.75</v>
      </c>
      <c r="P237">
        <v>-11.05</v>
      </c>
      <c r="Q237">
        <v>-382.6</v>
      </c>
      <c r="R237">
        <v>17.2</v>
      </c>
      <c r="S237">
        <v>17.2</v>
      </c>
    </row>
    <row r="238" spans="1:19" x14ac:dyDescent="0.25">
      <c r="A238" t="s">
        <v>17</v>
      </c>
    </row>
    <row r="239" spans="1:19" x14ac:dyDescent="0.25">
      <c r="A239" t="s">
        <v>176</v>
      </c>
    </row>
    <row r="240" spans="1:19" x14ac:dyDescent="0.25">
      <c r="A240" t="s">
        <v>219</v>
      </c>
      <c r="B240">
        <v>1.5</v>
      </c>
      <c r="C240">
        <v>-2.08</v>
      </c>
      <c r="D240">
        <v>-4.45</v>
      </c>
      <c r="E240">
        <v>0.5</v>
      </c>
      <c r="F240">
        <v>2.12</v>
      </c>
      <c r="G240">
        <v>-1.54</v>
      </c>
      <c r="H240">
        <v>-3.45</v>
      </c>
      <c r="I240">
        <v>21.72</v>
      </c>
      <c r="J240">
        <v>34.28</v>
      </c>
      <c r="K240">
        <v>-4.22</v>
      </c>
      <c r="L240">
        <v>-1.17</v>
      </c>
      <c r="M240">
        <v>75.569999999999993</v>
      </c>
      <c r="N240">
        <v>-7.38</v>
      </c>
      <c r="O240">
        <v>-14.33</v>
      </c>
      <c r="P240">
        <v>-14.33</v>
      </c>
    </row>
    <row r="241" spans="1:19" x14ac:dyDescent="0.25">
      <c r="A241" t="s">
        <v>220</v>
      </c>
      <c r="B241">
        <v>-10.77</v>
      </c>
      <c r="C241">
        <v>-1.03</v>
      </c>
      <c r="D241">
        <v>44.81</v>
      </c>
      <c r="E241">
        <v>53.44</v>
      </c>
      <c r="F241">
        <v>-24.85</v>
      </c>
      <c r="G241">
        <v>-42.17</v>
      </c>
      <c r="H241">
        <v>288.17</v>
      </c>
      <c r="I241" s="2">
        <v>1098.8499999999999</v>
      </c>
      <c r="J241">
        <v>990.48</v>
      </c>
      <c r="K241" s="2">
        <v>-1744.81</v>
      </c>
      <c r="L241">
        <v>952.12</v>
      </c>
      <c r="M241">
        <v>-156.77000000000001</v>
      </c>
      <c r="N241">
        <v>135.47999999999999</v>
      </c>
      <c r="O241">
        <v>-427.1</v>
      </c>
      <c r="P241">
        <v>928.79</v>
      </c>
      <c r="Q241" s="2">
        <v>1386.44</v>
      </c>
      <c r="R241" s="2">
        <v>1441.43</v>
      </c>
    </row>
    <row r="242" spans="1:19" x14ac:dyDescent="0.25">
      <c r="A242" t="s">
        <v>221</v>
      </c>
      <c r="B242">
        <v>185.43</v>
      </c>
      <c r="C242">
        <v>174.66</v>
      </c>
      <c r="D242">
        <v>173.63</v>
      </c>
      <c r="E242">
        <v>218.45</v>
      </c>
      <c r="F242">
        <v>271.89</v>
      </c>
      <c r="G242">
        <v>247.04</v>
      </c>
      <c r="H242">
        <v>204.87</v>
      </c>
      <c r="I242">
        <v>493.05</v>
      </c>
      <c r="J242" s="2">
        <v>1591.89</v>
      </c>
      <c r="K242" s="2">
        <v>2582.37</v>
      </c>
      <c r="L242">
        <v>837.57</v>
      </c>
      <c r="M242" s="2">
        <v>1789.69</v>
      </c>
      <c r="N242" s="2">
        <v>1632.91</v>
      </c>
      <c r="O242" s="2">
        <v>1871.53</v>
      </c>
      <c r="P242" s="2">
        <v>1117.68</v>
      </c>
      <c r="Q242" s="2">
        <v>2264.6799999999998</v>
      </c>
      <c r="R242" s="2">
        <v>3795.08</v>
      </c>
      <c r="S242" s="2">
        <v>9991.01</v>
      </c>
    </row>
    <row r="243" spans="1:19" x14ac:dyDescent="0.25">
      <c r="A243" t="s">
        <v>222</v>
      </c>
      <c r="B243">
        <v>174.66</v>
      </c>
      <c r="C243">
        <v>173.63</v>
      </c>
      <c r="D243">
        <v>218.45</v>
      </c>
      <c r="E243">
        <v>271.89</v>
      </c>
      <c r="F243">
        <v>247.04</v>
      </c>
      <c r="G243">
        <v>204.87</v>
      </c>
      <c r="H243">
        <v>493.05</v>
      </c>
      <c r="I243" s="2">
        <v>1591.89</v>
      </c>
      <c r="J243" s="2">
        <v>2582.37</v>
      </c>
      <c r="K243">
        <v>837.57</v>
      </c>
      <c r="L243" s="2">
        <v>1789.69</v>
      </c>
      <c r="M243" s="2">
        <v>1632.91</v>
      </c>
      <c r="N243" s="2">
        <v>1768.4</v>
      </c>
      <c r="O243" s="2">
        <v>1513.23</v>
      </c>
      <c r="P243" s="2">
        <v>2551.81</v>
      </c>
      <c r="Q243" s="2">
        <v>3811.73</v>
      </c>
      <c r="R243" s="2">
        <v>6076.08</v>
      </c>
      <c r="S243" s="2">
        <v>13992.63</v>
      </c>
    </row>
    <row r="244" spans="1:19" x14ac:dyDescent="0.25">
      <c r="A244" t="s">
        <v>178</v>
      </c>
    </row>
    <row r="245" spans="1:19" x14ac:dyDescent="0.25">
      <c r="A245" t="s">
        <v>225</v>
      </c>
      <c r="B245">
        <v>66.239999999999995</v>
      </c>
      <c r="C245">
        <v>77.05</v>
      </c>
      <c r="D245">
        <v>64.8</v>
      </c>
      <c r="E245">
        <v>-19.899999999999999</v>
      </c>
      <c r="F245">
        <v>7.58</v>
      </c>
      <c r="G245">
        <v>41.35</v>
      </c>
      <c r="H245">
        <v>160.41999999999999</v>
      </c>
      <c r="I245">
        <v>428.02</v>
      </c>
      <c r="J245">
        <v>99</v>
      </c>
      <c r="K245">
        <v>197.97</v>
      </c>
      <c r="L245">
        <v>198.92</v>
      </c>
      <c r="M245">
        <v>192.76</v>
      </c>
      <c r="N245" s="2">
        <v>-1023.4</v>
      </c>
      <c r="O245">
        <v>-206.8</v>
      </c>
      <c r="P245" s="2">
        <v>1090.8</v>
      </c>
      <c r="Q245" s="2">
        <v>1873.23</v>
      </c>
      <c r="R245" s="2">
        <v>2530.7600000000002</v>
      </c>
      <c r="S245" s="2">
        <v>4398.93</v>
      </c>
    </row>
    <row r="246" spans="1:19" x14ac:dyDescent="0.25">
      <c r="A246" t="s">
        <v>615</v>
      </c>
      <c r="B246">
        <v>1.04</v>
      </c>
      <c r="C246">
        <v>1.23</v>
      </c>
      <c r="D246">
        <v>1.03</v>
      </c>
      <c r="E246">
        <v>-0.31</v>
      </c>
      <c r="F246">
        <v>0.12</v>
      </c>
      <c r="G246">
        <v>0.63</v>
      </c>
      <c r="H246">
        <v>1.89</v>
      </c>
      <c r="I246">
        <v>3.72</v>
      </c>
      <c r="J246">
        <v>0.85</v>
      </c>
      <c r="K246">
        <v>1.44</v>
      </c>
      <c r="L246">
        <v>1.31</v>
      </c>
      <c r="M246">
        <v>1.25</v>
      </c>
      <c r="N246">
        <v>-5.24</v>
      </c>
      <c r="O246">
        <v>-0.86</v>
      </c>
      <c r="P246">
        <v>5.45</v>
      </c>
      <c r="Q246">
        <v>8.9</v>
      </c>
      <c r="R246">
        <v>12.13</v>
      </c>
      <c r="S246">
        <v>21.22</v>
      </c>
    </row>
    <row r="247" spans="1:19" x14ac:dyDescent="0.25">
      <c r="A247" t="s">
        <v>228</v>
      </c>
      <c r="B247">
        <v>9.69</v>
      </c>
      <c r="C247">
        <v>10.39</v>
      </c>
      <c r="D247">
        <v>7.83</v>
      </c>
      <c r="E247">
        <v>-2.0499999999999998</v>
      </c>
      <c r="F247">
        <v>0.65</v>
      </c>
      <c r="G247">
        <v>3.04</v>
      </c>
      <c r="H247">
        <v>6.74</v>
      </c>
      <c r="I247">
        <v>13.78</v>
      </c>
      <c r="J247">
        <v>2.98</v>
      </c>
      <c r="K247">
        <v>3.84</v>
      </c>
      <c r="L247">
        <v>4.2300000000000004</v>
      </c>
      <c r="M247">
        <v>3.32</v>
      </c>
      <c r="N247">
        <v>-14.38</v>
      </c>
      <c r="O247">
        <v>0.36</v>
      </c>
      <c r="P247">
        <v>7.49</v>
      </c>
      <c r="Q247">
        <v>6.99</v>
      </c>
      <c r="R247">
        <v>10.050000000000001</v>
      </c>
      <c r="S247">
        <v>16.8</v>
      </c>
    </row>
    <row r="248" spans="1:19" x14ac:dyDescent="0.25">
      <c r="A248" t="s">
        <v>17</v>
      </c>
    </row>
    <row r="249" spans="1:19" x14ac:dyDescent="0.25">
      <c r="A249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479A-E18C-4D53-AD7B-063EBC7FF8A8}">
  <dimension ref="A1:U232"/>
  <sheetViews>
    <sheetView workbookViewId="0">
      <selection sqref="A1:U232"/>
    </sheetView>
  </sheetViews>
  <sheetFormatPr defaultRowHeight="15" x14ac:dyDescent="0.25"/>
  <sheetData>
    <row r="1" spans="1:21" x14ac:dyDescent="0.25">
      <c r="A1" t="s">
        <v>616</v>
      </c>
    </row>
    <row r="2" spans="1:21" x14ac:dyDescent="0.25">
      <c r="A2" t="s">
        <v>617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41818</v>
      </c>
      <c r="C4" s="1">
        <v>42182</v>
      </c>
      <c r="D4" s="1">
        <v>42553</v>
      </c>
      <c r="E4" s="1">
        <v>42917</v>
      </c>
      <c r="F4" s="1">
        <v>43281</v>
      </c>
      <c r="G4" s="1">
        <v>43645</v>
      </c>
      <c r="H4" s="1">
        <v>44009</v>
      </c>
      <c r="I4" s="1">
        <v>44380</v>
      </c>
      <c r="J4" s="1">
        <v>44744</v>
      </c>
      <c r="K4" s="1">
        <v>45108</v>
      </c>
      <c r="L4" s="1">
        <v>45472</v>
      </c>
      <c r="M4" s="1">
        <v>45836</v>
      </c>
      <c r="N4" s="1">
        <v>46200</v>
      </c>
      <c r="O4" s="1">
        <v>46571</v>
      </c>
      <c r="P4" s="1">
        <v>46935</v>
      </c>
      <c r="Q4" s="1">
        <v>47299</v>
      </c>
      <c r="R4" s="1">
        <v>47663</v>
      </c>
      <c r="S4" s="1">
        <v>48027</v>
      </c>
      <c r="T4" s="1">
        <v>48398</v>
      </c>
      <c r="U4" s="1">
        <v>48762</v>
      </c>
    </row>
    <row r="5" spans="1:21" x14ac:dyDescent="0.25">
      <c r="A5" t="s">
        <v>14</v>
      </c>
    </row>
    <row r="6" spans="1:21" x14ac:dyDescent="0.25">
      <c r="A6" t="s">
        <v>15</v>
      </c>
      <c r="D6">
        <v>1.29</v>
      </c>
      <c r="E6">
        <v>1.94</v>
      </c>
      <c r="F6">
        <v>3.82</v>
      </c>
      <c r="G6">
        <v>4.25</v>
      </c>
      <c r="H6">
        <v>5.42</v>
      </c>
      <c r="I6">
        <v>6.31</v>
      </c>
      <c r="J6">
        <v>6.05</v>
      </c>
      <c r="K6">
        <v>4.5599999999999996</v>
      </c>
      <c r="L6">
        <v>1.01</v>
      </c>
      <c r="M6">
        <v>2.06</v>
      </c>
      <c r="N6">
        <v>8.67</v>
      </c>
      <c r="O6">
        <v>21.6</v>
      </c>
      <c r="P6">
        <v>34.07</v>
      </c>
      <c r="Q6">
        <v>47.62</v>
      </c>
      <c r="R6">
        <v>63.65</v>
      </c>
      <c r="S6">
        <v>70.94</v>
      </c>
      <c r="T6">
        <v>80.27</v>
      </c>
    </row>
    <row r="7" spans="1:21" x14ac:dyDescent="0.25">
      <c r="A7" t="s">
        <v>16</v>
      </c>
      <c r="D7">
        <v>903</v>
      </c>
      <c r="E7" s="2">
        <v>1001.6</v>
      </c>
      <c r="F7" s="2">
        <v>1247.7</v>
      </c>
      <c r="G7" s="2">
        <v>1565.3</v>
      </c>
      <c r="H7" s="2">
        <v>1678.6</v>
      </c>
      <c r="I7" s="2">
        <v>1742.8</v>
      </c>
      <c r="J7" s="2">
        <v>1712.6</v>
      </c>
      <c r="K7" s="2">
        <v>1767</v>
      </c>
      <c r="L7" s="2">
        <v>1359.2</v>
      </c>
      <c r="M7" s="2">
        <v>1645</v>
      </c>
      <c r="N7" s="2">
        <v>3014</v>
      </c>
      <c r="O7" s="2">
        <v>6288.91</v>
      </c>
      <c r="P7" s="2">
        <v>9649.64</v>
      </c>
      <c r="Q7" s="2">
        <v>13602.25</v>
      </c>
      <c r="R7" s="2">
        <v>19931.25</v>
      </c>
      <c r="S7" s="2">
        <v>22212</v>
      </c>
      <c r="T7" s="2">
        <v>25556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618</v>
      </c>
      <c r="M10" s="2">
        <v>1116.3</v>
      </c>
      <c r="N10" s="2">
        <v>2005.6</v>
      </c>
      <c r="O10" s="2">
        <v>3683.73</v>
      </c>
      <c r="P10" s="2">
        <v>5572.64</v>
      </c>
      <c r="Q10" s="2">
        <v>8197.01</v>
      </c>
      <c r="R10" s="2">
        <v>10405.02</v>
      </c>
      <c r="S10" s="2">
        <v>11217.07</v>
      </c>
      <c r="T10" s="2">
        <v>12884.63</v>
      </c>
    </row>
    <row r="11" spans="1:21" x14ac:dyDescent="0.25">
      <c r="A11" t="s">
        <v>619</v>
      </c>
      <c r="M11">
        <v>528.70000000000005</v>
      </c>
      <c r="N11" s="2">
        <v>1008.4</v>
      </c>
      <c r="O11" s="2">
        <v>2622.94</v>
      </c>
      <c r="P11" s="2">
        <v>4287.41</v>
      </c>
      <c r="Q11" s="2">
        <v>6408.57</v>
      </c>
      <c r="R11" s="2">
        <v>9632.43</v>
      </c>
      <c r="S11" s="2">
        <v>10995.37</v>
      </c>
      <c r="T11" s="2">
        <v>12671.2</v>
      </c>
    </row>
    <row r="12" spans="1:21" x14ac:dyDescent="0.25">
      <c r="A12" t="s">
        <v>17</v>
      </c>
    </row>
    <row r="13" spans="1:21" x14ac:dyDescent="0.25">
      <c r="A13" t="s">
        <v>29</v>
      </c>
      <c r="D13">
        <v>83.1</v>
      </c>
      <c r="E13">
        <v>124.3</v>
      </c>
      <c r="F13">
        <v>246.2</v>
      </c>
      <c r="G13">
        <v>320.60000000000002</v>
      </c>
      <c r="H13">
        <v>446.8</v>
      </c>
      <c r="I13">
        <v>536.1</v>
      </c>
      <c r="J13">
        <v>527</v>
      </c>
      <c r="K13">
        <v>339.2</v>
      </c>
      <c r="L13">
        <v>37.799999999999997</v>
      </c>
      <c r="M13">
        <v>160.1</v>
      </c>
      <c r="N13">
        <v>897</v>
      </c>
      <c r="O13" s="2">
        <v>2590.6799999999998</v>
      </c>
      <c r="P13" s="2">
        <v>4224.07</v>
      </c>
      <c r="Q13" s="2">
        <v>5974.64</v>
      </c>
      <c r="R13" s="2">
        <v>8925.5</v>
      </c>
      <c r="S13" s="2">
        <v>9062</v>
      </c>
      <c r="T13" s="2">
        <v>10416</v>
      </c>
    </row>
    <row r="14" spans="1:21" x14ac:dyDescent="0.25">
      <c r="A14" t="s">
        <v>92</v>
      </c>
      <c r="D14">
        <v>9.1999999999999993</v>
      </c>
      <c r="E14">
        <v>12.41</v>
      </c>
      <c r="F14">
        <v>19.73</v>
      </c>
      <c r="G14">
        <v>20.48</v>
      </c>
      <c r="H14">
        <v>26.62</v>
      </c>
      <c r="I14">
        <v>30.76</v>
      </c>
      <c r="J14">
        <v>30.77</v>
      </c>
      <c r="K14">
        <v>19.2</v>
      </c>
      <c r="L14">
        <v>2.78</v>
      </c>
      <c r="M14">
        <v>9.73</v>
      </c>
      <c r="N14">
        <v>29.76</v>
      </c>
      <c r="O14">
        <v>41.82</v>
      </c>
      <c r="P14">
        <v>44.22</v>
      </c>
      <c r="Q14">
        <v>44.89</v>
      </c>
      <c r="R14">
        <v>45.92</v>
      </c>
      <c r="S14">
        <v>40.799999999999997</v>
      </c>
      <c r="T14">
        <v>40.76</v>
      </c>
    </row>
    <row r="15" spans="1:21" x14ac:dyDescent="0.25">
      <c r="A15" t="s">
        <v>30</v>
      </c>
      <c r="D15">
        <v>32.97</v>
      </c>
      <c r="E15">
        <v>34.659999999999997</v>
      </c>
      <c r="F15">
        <v>38.880000000000003</v>
      </c>
      <c r="G15">
        <v>39.5</v>
      </c>
      <c r="H15">
        <v>46.48</v>
      </c>
      <c r="I15">
        <v>50.92</v>
      </c>
      <c r="J15">
        <v>51.6</v>
      </c>
      <c r="K15">
        <v>43.2</v>
      </c>
      <c r="L15">
        <v>33</v>
      </c>
      <c r="M15">
        <v>34.700000000000003</v>
      </c>
      <c r="N15">
        <v>46</v>
      </c>
      <c r="O15">
        <v>51.89</v>
      </c>
      <c r="P15">
        <v>52.8</v>
      </c>
      <c r="Q15">
        <v>53.08</v>
      </c>
      <c r="R15">
        <v>54.76</v>
      </c>
      <c r="S15">
        <v>49.8</v>
      </c>
      <c r="T15">
        <v>49.76</v>
      </c>
    </row>
    <row r="16" spans="1:21" x14ac:dyDescent="0.25">
      <c r="A16" t="s">
        <v>85</v>
      </c>
      <c r="D16">
        <v>30.7</v>
      </c>
      <c r="E16">
        <v>31.8</v>
      </c>
      <c r="F16">
        <v>34.6</v>
      </c>
      <c r="G16">
        <v>27.2</v>
      </c>
      <c r="H16">
        <v>38.700000000000003</v>
      </c>
      <c r="I16">
        <v>44.9</v>
      </c>
      <c r="J16">
        <v>46</v>
      </c>
      <c r="K16">
        <v>32.200000000000003</v>
      </c>
      <c r="L16">
        <v>18.5</v>
      </c>
      <c r="M16">
        <v>28</v>
      </c>
      <c r="N16">
        <v>41.7</v>
      </c>
      <c r="O16">
        <v>47.46</v>
      </c>
      <c r="P16">
        <v>49.01</v>
      </c>
      <c r="Q16">
        <v>49.03</v>
      </c>
      <c r="R16">
        <v>47.84</v>
      </c>
      <c r="S16">
        <v>41.81</v>
      </c>
      <c r="T16">
        <v>41.77</v>
      </c>
    </row>
    <row r="17" spans="1:20" x14ac:dyDescent="0.25">
      <c r="A17" t="s">
        <v>17</v>
      </c>
    </row>
    <row r="18" spans="1:20" x14ac:dyDescent="0.25">
      <c r="A18" t="s">
        <v>204</v>
      </c>
      <c r="B18">
        <v>62.8</v>
      </c>
      <c r="C18">
        <v>9.3000000000000007</v>
      </c>
      <c r="D18">
        <v>86.6</v>
      </c>
      <c r="E18">
        <v>85</v>
      </c>
      <c r="F18">
        <v>247.5</v>
      </c>
      <c r="G18">
        <v>330.1</v>
      </c>
      <c r="H18">
        <v>524.29999999999995</v>
      </c>
      <c r="I18">
        <v>738.7</v>
      </c>
      <c r="J18">
        <v>459.3</v>
      </c>
      <c r="K18">
        <v>179.8</v>
      </c>
      <c r="L18">
        <v>24.7</v>
      </c>
      <c r="M18">
        <v>126.3</v>
      </c>
      <c r="N18">
        <v>751.4</v>
      </c>
      <c r="O18" s="2">
        <v>1568.82</v>
      </c>
      <c r="P18" s="2">
        <v>3293.02</v>
      </c>
      <c r="Q18" s="2">
        <v>5036.91</v>
      </c>
      <c r="R18" s="2">
        <v>7285.23</v>
      </c>
      <c r="S18" s="2">
        <v>7699.39</v>
      </c>
      <c r="T18" s="2">
        <v>8796.74</v>
      </c>
    </row>
    <row r="19" spans="1:20" x14ac:dyDescent="0.25">
      <c r="A19" t="s">
        <v>242</v>
      </c>
      <c r="B19">
        <v>-64.2</v>
      </c>
      <c r="C19">
        <v>-53.7</v>
      </c>
      <c r="D19">
        <v>-82</v>
      </c>
      <c r="E19">
        <v>-138.1</v>
      </c>
      <c r="F19">
        <v>-93.2</v>
      </c>
      <c r="G19">
        <v>-167.3</v>
      </c>
      <c r="H19">
        <v>-90</v>
      </c>
      <c r="I19">
        <v>-94.8</v>
      </c>
      <c r="J19">
        <v>-91.2</v>
      </c>
      <c r="K19">
        <v>-128.5</v>
      </c>
      <c r="L19">
        <v>-133</v>
      </c>
      <c r="M19">
        <v>-231</v>
      </c>
      <c r="N19">
        <v>-451.3</v>
      </c>
      <c r="O19">
        <v>-520.71</v>
      </c>
      <c r="P19">
        <v>-670.16</v>
      </c>
      <c r="Q19">
        <v>-946.8</v>
      </c>
      <c r="R19" s="2">
        <v>-1458</v>
      </c>
      <c r="S19">
        <v>-777</v>
      </c>
      <c r="T19">
        <v>-894</v>
      </c>
    </row>
    <row r="20" spans="1:20" x14ac:dyDescent="0.25">
      <c r="A20" t="s">
        <v>36</v>
      </c>
      <c r="B20">
        <v>-1.4</v>
      </c>
      <c r="C20">
        <v>-44.4</v>
      </c>
      <c r="D20">
        <v>4.5999999999999996</v>
      </c>
      <c r="E20">
        <v>-53.1</v>
      </c>
      <c r="F20">
        <v>154.30000000000001</v>
      </c>
      <c r="G20">
        <v>162.80000000000001</v>
      </c>
      <c r="H20">
        <v>434.3</v>
      </c>
      <c r="I20">
        <v>643.9</v>
      </c>
      <c r="J20">
        <v>368.1</v>
      </c>
      <c r="K20">
        <v>51.3</v>
      </c>
      <c r="L20">
        <v>-108.3</v>
      </c>
      <c r="M20">
        <v>-104.7</v>
      </c>
      <c r="N20">
        <v>300.10000000000002</v>
      </c>
      <c r="O20">
        <v>980.08</v>
      </c>
      <c r="P20" s="2">
        <v>2563.0500000000002</v>
      </c>
      <c r="Q20" s="2">
        <v>4002.32</v>
      </c>
      <c r="R20" s="2">
        <v>5603.17</v>
      </c>
      <c r="S20" s="2">
        <v>6921.95</v>
      </c>
      <c r="T20" s="2">
        <v>7902.29</v>
      </c>
    </row>
    <row r="21" spans="1:20" x14ac:dyDescent="0.25">
      <c r="A21" t="s">
        <v>17</v>
      </c>
    </row>
    <row r="22" spans="1:20" x14ac:dyDescent="0.25">
      <c r="A22" t="s">
        <v>37</v>
      </c>
    </row>
    <row r="23" spans="1:20" x14ac:dyDescent="0.25">
      <c r="A23" t="s">
        <v>17</v>
      </c>
    </row>
    <row r="24" spans="1:20" x14ac:dyDescent="0.25">
      <c r="A24" t="s">
        <v>252</v>
      </c>
    </row>
    <row r="25" spans="1:20" x14ac:dyDescent="0.25">
      <c r="A25" t="s">
        <v>620</v>
      </c>
      <c r="B25">
        <v>1.31</v>
      </c>
      <c r="C25">
        <v>-0.41</v>
      </c>
      <c r="D25">
        <v>1.03</v>
      </c>
      <c r="E25">
        <v>-10.23</v>
      </c>
      <c r="F25">
        <v>19.88</v>
      </c>
      <c r="G25">
        <v>-2.33</v>
      </c>
      <c r="H25">
        <v>8.07</v>
      </c>
      <c r="I25">
        <v>22.8</v>
      </c>
      <c r="J25">
        <v>11.61</v>
      </c>
      <c r="K25">
        <v>-7.45</v>
      </c>
      <c r="L25">
        <v>-40.21</v>
      </c>
      <c r="M25">
        <v>1.57</v>
      </c>
      <c r="N25">
        <v>-230.1</v>
      </c>
      <c r="O25">
        <v>29.62</v>
      </c>
      <c r="P25">
        <v>33.18</v>
      </c>
      <c r="Q25">
        <v>33.89</v>
      </c>
      <c r="R25">
        <v>33.81</v>
      </c>
      <c r="S25">
        <v>21.12</v>
      </c>
      <c r="T25">
        <v>21.08</v>
      </c>
    </row>
    <row r="26" spans="1:20" x14ac:dyDescent="0.25">
      <c r="A26" t="s">
        <v>423</v>
      </c>
      <c r="B26">
        <v>60.92</v>
      </c>
      <c r="C26">
        <v>65.44</v>
      </c>
      <c r="D26">
        <v>70.05</v>
      </c>
      <c r="E26">
        <v>60.44</v>
      </c>
      <c r="F26">
        <v>57.5</v>
      </c>
      <c r="G26">
        <v>55.35</v>
      </c>
      <c r="H26">
        <v>50.63</v>
      </c>
      <c r="I26">
        <v>45.3</v>
      </c>
      <c r="J26">
        <v>55.69</v>
      </c>
      <c r="K26">
        <v>50.7</v>
      </c>
      <c r="L26">
        <v>52.14</v>
      </c>
      <c r="M26">
        <v>55.32</v>
      </c>
      <c r="N26">
        <v>62.84</v>
      </c>
      <c r="O26">
        <v>94.19</v>
      </c>
      <c r="P26">
        <v>49.8</v>
      </c>
      <c r="Q26">
        <v>51.09</v>
      </c>
      <c r="R26">
        <v>47.18</v>
      </c>
    </row>
    <row r="27" spans="1:20" x14ac:dyDescent="0.25">
      <c r="A27" t="s">
        <v>621</v>
      </c>
      <c r="C27">
        <v>5.9</v>
      </c>
      <c r="D27">
        <v>6.25</v>
      </c>
      <c r="E27">
        <v>5.56</v>
      </c>
      <c r="F27">
        <v>5.46</v>
      </c>
      <c r="G27">
        <v>5.96</v>
      </c>
      <c r="H27">
        <v>4.92</v>
      </c>
      <c r="I27">
        <v>4.9800000000000004</v>
      </c>
      <c r="J27">
        <v>4.1399999999999997</v>
      </c>
      <c r="K27">
        <v>3.64</v>
      </c>
      <c r="L27">
        <v>2.75</v>
      </c>
      <c r="M27">
        <v>2.73</v>
      </c>
      <c r="N27">
        <v>3.03</v>
      </c>
      <c r="O27">
        <v>2.81</v>
      </c>
      <c r="P27">
        <v>2.82</v>
      </c>
      <c r="Q27">
        <v>3.62</v>
      </c>
      <c r="R27">
        <v>3.82</v>
      </c>
      <c r="S27">
        <v>3.99</v>
      </c>
      <c r="T27">
        <v>3.97</v>
      </c>
    </row>
    <row r="28" spans="1:20" x14ac:dyDescent="0.25">
      <c r="A28" t="s">
        <v>622</v>
      </c>
      <c r="C28">
        <v>61.65</v>
      </c>
      <c r="D28">
        <v>59.38</v>
      </c>
      <c r="E28">
        <v>65.45</v>
      </c>
      <c r="F28">
        <v>66.680000000000007</v>
      </c>
      <c r="G28">
        <v>61.08</v>
      </c>
      <c r="H28">
        <v>73.92</v>
      </c>
      <c r="I28">
        <v>74.47</v>
      </c>
      <c r="J28">
        <v>87.95</v>
      </c>
      <c r="K28">
        <v>100.07</v>
      </c>
      <c r="L28">
        <v>132.59</v>
      </c>
      <c r="M28">
        <v>133.38</v>
      </c>
      <c r="N28">
        <v>120.26</v>
      </c>
      <c r="O28">
        <v>114.81</v>
      </c>
      <c r="P28">
        <v>120.18</v>
      </c>
      <c r="Q28">
        <v>121.03</v>
      </c>
      <c r="R28">
        <v>115</v>
      </c>
      <c r="S28">
        <v>115</v>
      </c>
      <c r="T28">
        <v>115</v>
      </c>
    </row>
    <row r="29" spans="1:20" x14ac:dyDescent="0.25">
      <c r="A29" t="s">
        <v>623</v>
      </c>
      <c r="B29">
        <v>62.75</v>
      </c>
      <c r="C29">
        <v>62.66</v>
      </c>
      <c r="D29">
        <v>59.65</v>
      </c>
      <c r="E29">
        <v>77.33</v>
      </c>
      <c r="F29">
        <v>68.55</v>
      </c>
      <c r="G29">
        <v>73.09</v>
      </c>
      <c r="H29">
        <v>66.86</v>
      </c>
      <c r="I29">
        <v>75.92</v>
      </c>
      <c r="J29">
        <v>98.52</v>
      </c>
      <c r="K29">
        <v>124.15</v>
      </c>
      <c r="L29">
        <v>130.91999999999999</v>
      </c>
      <c r="M29">
        <v>144.38999999999999</v>
      </c>
      <c r="N29">
        <v>143.19</v>
      </c>
      <c r="O29">
        <v>133.33000000000001</v>
      </c>
      <c r="P29">
        <v>126.91</v>
      </c>
      <c r="Q29">
        <v>117.5</v>
      </c>
      <c r="R29">
        <v>100</v>
      </c>
      <c r="S29">
        <v>99.21</v>
      </c>
      <c r="T29">
        <v>99.22</v>
      </c>
    </row>
    <row r="30" spans="1:20" x14ac:dyDescent="0.25">
      <c r="A30" t="s">
        <v>17</v>
      </c>
    </row>
    <row r="31" spans="1:20" x14ac:dyDescent="0.25">
      <c r="A31" t="s">
        <v>58</v>
      </c>
    </row>
    <row r="32" spans="1:20" x14ac:dyDescent="0.25">
      <c r="A32" t="s">
        <v>17</v>
      </c>
    </row>
    <row r="33" spans="1:20" x14ac:dyDescent="0.25">
      <c r="A33" t="s">
        <v>624</v>
      </c>
      <c r="M33" s="2">
        <v>1116.3</v>
      </c>
      <c r="N33" s="2">
        <v>2005.6</v>
      </c>
      <c r="O33" s="2">
        <v>3683.73</v>
      </c>
      <c r="P33" s="2">
        <v>5572.64</v>
      </c>
      <c r="Q33" s="2">
        <v>8197.01</v>
      </c>
      <c r="R33" s="2">
        <v>10405.02</v>
      </c>
      <c r="S33" s="2">
        <v>11217.07</v>
      </c>
      <c r="T33" s="2">
        <v>12884.63</v>
      </c>
    </row>
    <row r="34" spans="1:20" x14ac:dyDescent="0.25">
      <c r="A34" t="s">
        <v>83</v>
      </c>
      <c r="N34">
        <v>66.540000000000006</v>
      </c>
      <c r="O34">
        <v>58.49</v>
      </c>
      <c r="P34">
        <v>56.57</v>
      </c>
      <c r="Q34">
        <v>59.79</v>
      </c>
      <c r="R34">
        <v>54.58</v>
      </c>
    </row>
    <row r="35" spans="1:20" x14ac:dyDescent="0.25">
      <c r="A35" t="s">
        <v>625</v>
      </c>
      <c r="M35">
        <v>528.70000000000005</v>
      </c>
      <c r="N35" s="2">
        <v>1008.4</v>
      </c>
      <c r="O35" s="2">
        <v>2622.94</v>
      </c>
      <c r="P35" s="2">
        <v>4287.41</v>
      </c>
      <c r="Q35" s="2">
        <v>6408.57</v>
      </c>
      <c r="R35" s="2">
        <v>9632.43</v>
      </c>
      <c r="S35" s="2">
        <v>10995.37</v>
      </c>
      <c r="T35" s="2">
        <v>12671.2</v>
      </c>
    </row>
    <row r="36" spans="1:20" x14ac:dyDescent="0.25">
      <c r="A36" t="s">
        <v>83</v>
      </c>
      <c r="N36">
        <v>33.450000000000003</v>
      </c>
      <c r="O36">
        <v>41.51</v>
      </c>
      <c r="P36">
        <v>43.43</v>
      </c>
      <c r="Q36">
        <v>40.21</v>
      </c>
      <c r="R36">
        <v>45.42</v>
      </c>
    </row>
    <row r="37" spans="1:20" x14ac:dyDescent="0.25">
      <c r="A37" t="s">
        <v>17</v>
      </c>
    </row>
    <row r="38" spans="1:20" x14ac:dyDescent="0.25">
      <c r="A38" t="s">
        <v>51</v>
      </c>
    </row>
    <row r="39" spans="1:20" x14ac:dyDescent="0.25">
      <c r="A39" t="s">
        <v>17</v>
      </c>
    </row>
    <row r="40" spans="1:20" x14ac:dyDescent="0.25">
      <c r="A40" t="s">
        <v>626</v>
      </c>
    </row>
    <row r="41" spans="1:20" x14ac:dyDescent="0.25">
      <c r="A41" t="s">
        <v>627</v>
      </c>
      <c r="G41">
        <v>952.9</v>
      </c>
      <c r="H41" s="2">
        <v>1021.8</v>
      </c>
      <c r="I41" s="2">
        <v>1059.7</v>
      </c>
      <c r="J41" s="2">
        <v>1008.7</v>
      </c>
      <c r="K41" s="2">
        <v>1322.5</v>
      </c>
      <c r="L41" s="2">
        <v>1084.9000000000001</v>
      </c>
      <c r="M41" s="2">
        <v>1410.8</v>
      </c>
      <c r="O41" s="2">
        <v>3371.21</v>
      </c>
      <c r="P41" s="2">
        <v>5244.71</v>
      </c>
      <c r="Q41" s="2">
        <v>12778.17</v>
      </c>
      <c r="R41" s="2">
        <v>18560.89</v>
      </c>
    </row>
    <row r="42" spans="1:20" x14ac:dyDescent="0.25">
      <c r="A42" t="s">
        <v>61</v>
      </c>
      <c r="G42">
        <v>60.8</v>
      </c>
      <c r="H42">
        <v>60.9</v>
      </c>
      <c r="I42">
        <v>60.8</v>
      </c>
      <c r="J42">
        <v>58.9</v>
      </c>
      <c r="K42">
        <v>74.8</v>
      </c>
      <c r="L42">
        <v>79.8</v>
      </c>
      <c r="M42">
        <v>85.8</v>
      </c>
    </row>
    <row r="43" spans="1:20" x14ac:dyDescent="0.25">
      <c r="A43" t="s">
        <v>628</v>
      </c>
      <c r="K43">
        <v>313.2</v>
      </c>
      <c r="L43">
        <v>124.5</v>
      </c>
      <c r="M43">
        <v>264.5</v>
      </c>
      <c r="O43" s="2">
        <v>1964.32</v>
      </c>
      <c r="P43" s="2">
        <v>2851.9</v>
      </c>
      <c r="Q43" s="2">
        <v>6193.69</v>
      </c>
    </row>
    <row r="44" spans="1:20" x14ac:dyDescent="0.25">
      <c r="A44" t="s">
        <v>629</v>
      </c>
      <c r="L44">
        <v>83.2</v>
      </c>
      <c r="M44">
        <v>85.8</v>
      </c>
    </row>
    <row r="45" spans="1:20" x14ac:dyDescent="0.25">
      <c r="A45" t="s">
        <v>17</v>
      </c>
    </row>
    <row r="46" spans="1:20" x14ac:dyDescent="0.25">
      <c r="A46" t="s">
        <v>630</v>
      </c>
    </row>
    <row r="47" spans="1:20" x14ac:dyDescent="0.25">
      <c r="A47" t="s">
        <v>627</v>
      </c>
      <c r="K47">
        <v>444.5</v>
      </c>
      <c r="L47">
        <v>274.3</v>
      </c>
      <c r="M47">
        <v>234.2</v>
      </c>
      <c r="O47">
        <v>204.9</v>
      </c>
      <c r="P47">
        <v>200.93</v>
      </c>
      <c r="Q47">
        <v>248</v>
      </c>
    </row>
    <row r="48" spans="1:20" x14ac:dyDescent="0.25">
      <c r="A48" t="s">
        <v>61</v>
      </c>
      <c r="K48">
        <v>25.2</v>
      </c>
      <c r="L48">
        <v>20.2</v>
      </c>
      <c r="M48">
        <v>14.2</v>
      </c>
    </row>
    <row r="49" spans="1:17" x14ac:dyDescent="0.25">
      <c r="A49" t="s">
        <v>628</v>
      </c>
      <c r="K49">
        <v>152.69999999999999</v>
      </c>
      <c r="L49">
        <v>25.1</v>
      </c>
      <c r="M49">
        <v>12.1</v>
      </c>
      <c r="O49">
        <v>4.74</v>
      </c>
      <c r="P49">
        <v>-16.309999999999999</v>
      </c>
      <c r="Q49">
        <v>18.32</v>
      </c>
    </row>
    <row r="50" spans="1:17" x14ac:dyDescent="0.25">
      <c r="A50" t="s">
        <v>629</v>
      </c>
      <c r="L50">
        <v>16.8</v>
      </c>
      <c r="M50">
        <v>14.2</v>
      </c>
    </row>
    <row r="51" spans="1:17" x14ac:dyDescent="0.25">
      <c r="A51" t="s">
        <v>17</v>
      </c>
    </row>
    <row r="52" spans="1:17" x14ac:dyDescent="0.25">
      <c r="A52" t="s">
        <v>631</v>
      </c>
    </row>
    <row r="53" spans="1:17" x14ac:dyDescent="0.25">
      <c r="A53" t="s">
        <v>60</v>
      </c>
      <c r="B53">
        <v>695.1</v>
      </c>
      <c r="C53">
        <v>694.1</v>
      </c>
      <c r="D53">
        <v>761.3</v>
      </c>
      <c r="E53">
        <v>857.8</v>
      </c>
      <c r="F53" s="2">
        <v>1059.2</v>
      </c>
      <c r="G53" s="2">
        <v>1370.2</v>
      </c>
      <c r="H53" s="2">
        <v>1515.1</v>
      </c>
      <c r="I53" s="2">
        <v>1620.7</v>
      </c>
      <c r="J53" s="2">
        <v>1518.5</v>
      </c>
      <c r="K53" s="2">
        <v>1557.8</v>
      </c>
      <c r="O53" s="2">
        <v>3034.69</v>
      </c>
      <c r="P53" s="2">
        <v>4155</v>
      </c>
      <c r="Q53" s="2">
        <v>6905.58</v>
      </c>
    </row>
    <row r="54" spans="1:17" x14ac:dyDescent="0.25">
      <c r="A54" t="s">
        <v>61</v>
      </c>
      <c r="B54">
        <v>85</v>
      </c>
      <c r="C54">
        <v>82.9</v>
      </c>
      <c r="D54">
        <v>84.3</v>
      </c>
      <c r="E54">
        <v>85.6</v>
      </c>
      <c r="F54">
        <v>84.9</v>
      </c>
      <c r="G54">
        <v>87.5</v>
      </c>
      <c r="H54">
        <v>90.3</v>
      </c>
      <c r="I54">
        <v>93</v>
      </c>
      <c r="J54">
        <v>88.7</v>
      </c>
      <c r="K54">
        <v>88.2</v>
      </c>
      <c r="O54">
        <v>87.01</v>
      </c>
      <c r="P54">
        <v>87.04</v>
      </c>
    </row>
    <row r="55" spans="1:17" x14ac:dyDescent="0.25">
      <c r="A55" t="s">
        <v>632</v>
      </c>
      <c r="G55">
        <v>417.3</v>
      </c>
      <c r="H55">
        <v>493.3</v>
      </c>
      <c r="I55">
        <v>561</v>
      </c>
      <c r="J55">
        <v>509.8</v>
      </c>
      <c r="K55">
        <v>233.3</v>
      </c>
      <c r="O55">
        <v>173.66</v>
      </c>
      <c r="P55">
        <v>182.23</v>
      </c>
    </row>
    <row r="56" spans="1:17" x14ac:dyDescent="0.25">
      <c r="A56" t="s">
        <v>76</v>
      </c>
      <c r="B56">
        <v>10.1</v>
      </c>
      <c r="C56">
        <v>4.9000000000000004</v>
      </c>
      <c r="D56">
        <v>4.7</v>
      </c>
      <c r="E56">
        <v>4.5</v>
      </c>
      <c r="F56">
        <v>34.700000000000003</v>
      </c>
      <c r="G56">
        <v>26.7</v>
      </c>
      <c r="H56">
        <v>29.4</v>
      </c>
      <c r="I56">
        <v>32.200000000000003</v>
      </c>
      <c r="J56">
        <v>29.8</v>
      </c>
      <c r="K56">
        <v>13.2</v>
      </c>
    </row>
    <row r="57" spans="1:17" x14ac:dyDescent="0.25">
      <c r="A57" t="s">
        <v>63</v>
      </c>
      <c r="B57">
        <v>212.3</v>
      </c>
      <c r="C57">
        <v>204.8</v>
      </c>
      <c r="D57">
        <v>236.3</v>
      </c>
      <c r="E57">
        <v>287.3</v>
      </c>
      <c r="F57">
        <v>402.3</v>
      </c>
      <c r="G57">
        <v>534.1</v>
      </c>
      <c r="H57">
        <v>704</v>
      </c>
      <c r="I57">
        <v>830.2</v>
      </c>
      <c r="J57">
        <v>780.9</v>
      </c>
      <c r="K57">
        <v>665.5</v>
      </c>
      <c r="O57">
        <v>595.57000000000005</v>
      </c>
      <c r="P57">
        <v>663.7</v>
      </c>
      <c r="Q57">
        <v>742.66</v>
      </c>
    </row>
    <row r="58" spans="1:17" x14ac:dyDescent="0.25">
      <c r="A58" t="s">
        <v>64</v>
      </c>
      <c r="B58">
        <v>30.5</v>
      </c>
      <c r="C58">
        <v>29.5</v>
      </c>
      <c r="D58">
        <v>31</v>
      </c>
      <c r="E58">
        <v>33.5</v>
      </c>
      <c r="F58">
        <v>38</v>
      </c>
      <c r="G58">
        <v>39</v>
      </c>
      <c r="H58">
        <v>46.5</v>
      </c>
      <c r="I58">
        <v>51.2</v>
      </c>
      <c r="J58">
        <v>51.4</v>
      </c>
      <c r="K58">
        <v>42.7</v>
      </c>
      <c r="O58">
        <v>41.39</v>
      </c>
      <c r="P58">
        <v>41.38</v>
      </c>
      <c r="Q58">
        <v>41.38</v>
      </c>
    </row>
    <row r="59" spans="1:17" x14ac:dyDescent="0.25">
      <c r="A59" t="s">
        <v>17</v>
      </c>
    </row>
    <row r="60" spans="1:17" x14ac:dyDescent="0.25">
      <c r="A60" t="s">
        <v>633</v>
      </c>
    </row>
    <row r="61" spans="1:17" x14ac:dyDescent="0.25">
      <c r="A61" t="s">
        <v>60</v>
      </c>
      <c r="B61">
        <v>122.8</v>
      </c>
      <c r="C61">
        <v>143</v>
      </c>
      <c r="D61">
        <v>141.69999999999999</v>
      </c>
      <c r="E61">
        <v>143.80000000000001</v>
      </c>
      <c r="F61">
        <v>188.5</v>
      </c>
      <c r="G61">
        <v>195.1</v>
      </c>
      <c r="H61">
        <v>163.5</v>
      </c>
      <c r="I61">
        <v>122.1</v>
      </c>
      <c r="J61">
        <v>194.1</v>
      </c>
      <c r="K61">
        <v>209.2</v>
      </c>
      <c r="O61">
        <v>207.42</v>
      </c>
      <c r="P61">
        <v>223.69</v>
      </c>
      <c r="Q61">
        <v>241.36</v>
      </c>
    </row>
    <row r="62" spans="1:17" x14ac:dyDescent="0.25">
      <c r="A62" t="s">
        <v>61</v>
      </c>
      <c r="B62">
        <v>15</v>
      </c>
      <c r="C62">
        <v>17.100000000000001</v>
      </c>
      <c r="D62">
        <v>15.7</v>
      </c>
      <c r="E62">
        <v>14.4</v>
      </c>
      <c r="F62">
        <v>15.1</v>
      </c>
      <c r="G62">
        <v>12.5</v>
      </c>
      <c r="H62">
        <v>9.6999999999999993</v>
      </c>
      <c r="I62">
        <v>7</v>
      </c>
      <c r="J62">
        <v>11.3</v>
      </c>
      <c r="K62">
        <v>11.8</v>
      </c>
      <c r="O62">
        <v>8.93</v>
      </c>
      <c r="P62">
        <v>9.2200000000000006</v>
      </c>
    </row>
    <row r="63" spans="1:17" x14ac:dyDescent="0.25">
      <c r="A63" t="s">
        <v>63</v>
      </c>
      <c r="B63">
        <v>59.8</v>
      </c>
      <c r="C63">
        <v>67.400000000000006</v>
      </c>
      <c r="D63">
        <v>61.4</v>
      </c>
      <c r="E63">
        <v>59.9</v>
      </c>
      <c r="F63">
        <v>82.8</v>
      </c>
      <c r="G63">
        <v>84.4</v>
      </c>
      <c r="H63">
        <v>76.2</v>
      </c>
      <c r="I63">
        <v>57.3</v>
      </c>
      <c r="J63">
        <v>102.1</v>
      </c>
      <c r="K63">
        <v>98</v>
      </c>
      <c r="O63">
        <v>93.75</v>
      </c>
      <c r="P63">
        <v>113.75</v>
      </c>
      <c r="Q63">
        <v>127.04</v>
      </c>
    </row>
    <row r="64" spans="1:17" x14ac:dyDescent="0.25">
      <c r="A64" t="s">
        <v>64</v>
      </c>
      <c r="B64">
        <v>48.7</v>
      </c>
      <c r="C64">
        <v>47.1</v>
      </c>
      <c r="D64">
        <v>43.3</v>
      </c>
      <c r="E64">
        <v>41.7</v>
      </c>
      <c r="F64">
        <v>43.9</v>
      </c>
      <c r="G64">
        <v>43.3</v>
      </c>
      <c r="H64">
        <v>46.6</v>
      </c>
      <c r="I64">
        <v>46.9</v>
      </c>
      <c r="J64">
        <v>52.6</v>
      </c>
      <c r="K64">
        <v>46.8</v>
      </c>
      <c r="O64">
        <v>43.68</v>
      </c>
      <c r="P64">
        <v>45.43</v>
      </c>
      <c r="Q64">
        <v>43</v>
      </c>
    </row>
    <row r="65" spans="1:17" x14ac:dyDescent="0.25">
      <c r="A65" t="s">
        <v>17</v>
      </c>
    </row>
    <row r="66" spans="1:17" x14ac:dyDescent="0.25">
      <c r="A66" t="s">
        <v>634</v>
      </c>
      <c r="G66">
        <v>786.5</v>
      </c>
      <c r="O66" s="2">
        <v>1823.6</v>
      </c>
      <c r="P66" s="2">
        <v>2284.5100000000002</v>
      </c>
      <c r="Q66" s="2">
        <v>2537.08</v>
      </c>
    </row>
    <row r="67" spans="1:17" x14ac:dyDescent="0.25">
      <c r="A67" t="s">
        <v>17</v>
      </c>
    </row>
    <row r="68" spans="1:17" x14ac:dyDescent="0.25">
      <c r="A68" t="s">
        <v>635</v>
      </c>
      <c r="G68">
        <v>166.4</v>
      </c>
      <c r="O68" s="2">
        <v>3539.19</v>
      </c>
      <c r="P68" s="2">
        <v>5797.72</v>
      </c>
      <c r="Q68" s="2">
        <v>9410.48</v>
      </c>
    </row>
    <row r="69" spans="1:17" x14ac:dyDescent="0.25">
      <c r="A69" t="s">
        <v>17</v>
      </c>
    </row>
    <row r="70" spans="1:17" x14ac:dyDescent="0.25">
      <c r="A70" t="s">
        <v>636</v>
      </c>
    </row>
    <row r="71" spans="1:17" x14ac:dyDescent="0.25">
      <c r="A71" t="s">
        <v>60</v>
      </c>
    </row>
    <row r="72" spans="1:17" x14ac:dyDescent="0.25">
      <c r="A72" t="s">
        <v>63</v>
      </c>
      <c r="B72">
        <v>-15.5</v>
      </c>
      <c r="C72">
        <v>-14.3</v>
      </c>
      <c r="D72">
        <v>-20.399999999999999</v>
      </c>
      <c r="E72">
        <v>-29.1</v>
      </c>
      <c r="F72">
        <v>-53</v>
      </c>
      <c r="G72">
        <v>-192.6</v>
      </c>
      <c r="H72">
        <v>-76.2</v>
      </c>
      <c r="I72">
        <v>-42.7</v>
      </c>
      <c r="J72">
        <v>-94.4</v>
      </c>
      <c r="K72">
        <v>-194.5</v>
      </c>
      <c r="O72">
        <v>-116.05</v>
      </c>
      <c r="P72">
        <v>-110.93</v>
      </c>
      <c r="Q72">
        <v>-88.11</v>
      </c>
    </row>
    <row r="73" spans="1:17" x14ac:dyDescent="0.25">
      <c r="A73" t="s">
        <v>17</v>
      </c>
    </row>
    <row r="74" spans="1:17" x14ac:dyDescent="0.25">
      <c r="A74" t="s">
        <v>72</v>
      </c>
    </row>
    <row r="75" spans="1:17" x14ac:dyDescent="0.25">
      <c r="A75" t="s">
        <v>16</v>
      </c>
    </row>
    <row r="76" spans="1:17" x14ac:dyDescent="0.25">
      <c r="A76" t="s">
        <v>472</v>
      </c>
      <c r="B76">
        <v>319.10000000000002</v>
      </c>
      <c r="C76">
        <v>306.2</v>
      </c>
      <c r="D76">
        <v>294.8</v>
      </c>
      <c r="E76">
        <v>342.2</v>
      </c>
      <c r="F76">
        <v>267.89999999999998</v>
      </c>
      <c r="G76">
        <v>320.10000000000002</v>
      </c>
      <c r="H76">
        <v>278.10000000000002</v>
      </c>
      <c r="I76">
        <v>280.3</v>
      </c>
      <c r="J76">
        <v>346.9</v>
      </c>
      <c r="K76">
        <v>430.6</v>
      </c>
      <c r="L76">
        <v>451.2</v>
      </c>
      <c r="M76">
        <v>480.9</v>
      </c>
      <c r="N76" s="2">
        <v>1084.8</v>
      </c>
    </row>
    <row r="77" spans="1:17" x14ac:dyDescent="0.25">
      <c r="A77" t="s">
        <v>473</v>
      </c>
      <c r="B77">
        <v>177.5</v>
      </c>
      <c r="C77">
        <v>162.4</v>
      </c>
      <c r="D77">
        <v>162.30000000000001</v>
      </c>
      <c r="E77">
        <v>147.9</v>
      </c>
      <c r="F77">
        <v>115.1</v>
      </c>
      <c r="G77">
        <v>100.9</v>
      </c>
      <c r="H77">
        <v>149.80000000000001</v>
      </c>
      <c r="I77">
        <v>133.4</v>
      </c>
      <c r="J77">
        <v>173.9</v>
      </c>
      <c r="K77">
        <v>241.3</v>
      </c>
      <c r="L77">
        <v>356.1</v>
      </c>
      <c r="M77">
        <v>312.3</v>
      </c>
      <c r="N77">
        <v>627.9</v>
      </c>
    </row>
    <row r="78" spans="1:17" x14ac:dyDescent="0.25">
      <c r="A78" t="s">
        <v>637</v>
      </c>
      <c r="B78">
        <v>111.3</v>
      </c>
      <c r="C78">
        <v>112.7</v>
      </c>
      <c r="D78">
        <v>112.9</v>
      </c>
      <c r="E78">
        <v>185.1</v>
      </c>
      <c r="F78">
        <v>145.80000000000001</v>
      </c>
      <c r="G78">
        <v>214.9</v>
      </c>
      <c r="H78">
        <v>122.8</v>
      </c>
      <c r="I78">
        <v>134.80000000000001</v>
      </c>
      <c r="J78">
        <v>160.9</v>
      </c>
      <c r="K78">
        <v>180</v>
      </c>
      <c r="L78">
        <v>91.7</v>
      </c>
      <c r="M78">
        <v>148.5</v>
      </c>
      <c r="N78">
        <v>443.7</v>
      </c>
    </row>
    <row r="79" spans="1:17" x14ac:dyDescent="0.25">
      <c r="A79" t="s">
        <v>474</v>
      </c>
      <c r="B79">
        <v>30.3</v>
      </c>
      <c r="C79">
        <v>31.1</v>
      </c>
      <c r="D79">
        <v>19.600000000000001</v>
      </c>
      <c r="E79">
        <v>9.1999999999999993</v>
      </c>
      <c r="F79">
        <v>7</v>
      </c>
      <c r="G79">
        <v>4.3</v>
      </c>
      <c r="H79">
        <v>5.5</v>
      </c>
      <c r="I79">
        <v>12.1</v>
      </c>
      <c r="J79">
        <v>12.1</v>
      </c>
      <c r="K79">
        <v>9.3000000000000007</v>
      </c>
      <c r="L79">
        <v>3.4</v>
      </c>
      <c r="M79">
        <v>20.100000000000001</v>
      </c>
      <c r="N79">
        <v>13.2</v>
      </c>
    </row>
    <row r="80" spans="1:17" x14ac:dyDescent="0.25">
      <c r="A80" t="s">
        <v>638</v>
      </c>
      <c r="B80">
        <v>364.9</v>
      </c>
      <c r="C80">
        <v>401.4</v>
      </c>
      <c r="D80">
        <v>484.7</v>
      </c>
      <c r="E80">
        <v>551.29999999999995</v>
      </c>
      <c r="F80">
        <v>878</v>
      </c>
      <c r="G80" s="2">
        <v>1082.4000000000001</v>
      </c>
      <c r="H80" s="2">
        <v>1276.8</v>
      </c>
      <c r="I80" s="2">
        <v>1322.3</v>
      </c>
      <c r="J80" s="2">
        <v>1249.3</v>
      </c>
      <c r="K80" s="2">
        <v>1141.7</v>
      </c>
      <c r="L80">
        <v>779.8</v>
      </c>
      <c r="M80" s="2">
        <v>1000.6</v>
      </c>
      <c r="N80" s="2">
        <v>1752.2</v>
      </c>
    </row>
    <row r="81" spans="1:20" x14ac:dyDescent="0.25">
      <c r="A81" t="s">
        <v>639</v>
      </c>
      <c r="B81">
        <v>128.69999999999999</v>
      </c>
      <c r="C81">
        <v>120.4</v>
      </c>
      <c r="D81">
        <v>214</v>
      </c>
      <c r="E81">
        <v>226.7</v>
      </c>
      <c r="F81">
        <v>183</v>
      </c>
      <c r="G81">
        <v>387.9</v>
      </c>
      <c r="H81">
        <v>532</v>
      </c>
      <c r="I81">
        <v>546.29999999999995</v>
      </c>
      <c r="J81">
        <v>458.2</v>
      </c>
      <c r="K81">
        <v>246.7</v>
      </c>
      <c r="L81">
        <v>261.89999999999998</v>
      </c>
      <c r="M81">
        <v>398.6</v>
      </c>
      <c r="N81">
        <v>519.29999999999995</v>
      </c>
    </row>
    <row r="82" spans="1:20" x14ac:dyDescent="0.25">
      <c r="A82" t="s">
        <v>640</v>
      </c>
      <c r="F82">
        <v>146.1</v>
      </c>
      <c r="G82">
        <v>162.4</v>
      </c>
      <c r="H82">
        <v>260.89999999999998</v>
      </c>
      <c r="I82">
        <v>240</v>
      </c>
      <c r="J82">
        <v>265.2</v>
      </c>
      <c r="K82">
        <v>170.2</v>
      </c>
      <c r="L82">
        <v>75.2</v>
      </c>
      <c r="M82">
        <v>32.4</v>
      </c>
      <c r="N82">
        <v>0</v>
      </c>
    </row>
    <row r="83" spans="1:20" x14ac:dyDescent="0.25">
      <c r="A83" t="s">
        <v>641</v>
      </c>
      <c r="B83">
        <v>138.6</v>
      </c>
      <c r="C83">
        <v>174.4</v>
      </c>
      <c r="D83">
        <v>177.8</v>
      </c>
      <c r="E83">
        <v>225.4</v>
      </c>
      <c r="F83">
        <v>354.2</v>
      </c>
      <c r="G83">
        <v>356.1</v>
      </c>
      <c r="H83">
        <v>346</v>
      </c>
      <c r="I83">
        <v>304.5</v>
      </c>
      <c r="J83">
        <v>242.4</v>
      </c>
      <c r="K83">
        <v>276.3</v>
      </c>
      <c r="L83">
        <v>174.3</v>
      </c>
      <c r="M83">
        <v>199.5</v>
      </c>
      <c r="N83">
        <v>216.9</v>
      </c>
    </row>
    <row r="84" spans="1:20" x14ac:dyDescent="0.25">
      <c r="A84" t="s">
        <v>642</v>
      </c>
      <c r="B84">
        <v>97.6</v>
      </c>
      <c r="C84">
        <v>106.6</v>
      </c>
      <c r="D84">
        <v>92.9</v>
      </c>
      <c r="E84">
        <v>99.2</v>
      </c>
      <c r="F84">
        <v>194.7</v>
      </c>
      <c r="G84">
        <v>176</v>
      </c>
      <c r="H84">
        <v>137.9</v>
      </c>
      <c r="I84">
        <v>114.7</v>
      </c>
      <c r="J84">
        <v>181.2</v>
      </c>
      <c r="K84">
        <v>179.5</v>
      </c>
      <c r="L84">
        <v>84.6</v>
      </c>
      <c r="M84">
        <v>78.3</v>
      </c>
      <c r="N84">
        <v>104.6</v>
      </c>
    </row>
    <row r="85" spans="1:20" x14ac:dyDescent="0.25">
      <c r="A85" t="s">
        <v>643</v>
      </c>
      <c r="I85">
        <v>116.8</v>
      </c>
      <c r="J85">
        <v>102.3</v>
      </c>
      <c r="K85">
        <v>269</v>
      </c>
      <c r="L85">
        <v>183.8</v>
      </c>
      <c r="M85">
        <v>291.8</v>
      </c>
      <c r="N85">
        <v>626.6</v>
      </c>
    </row>
    <row r="86" spans="1:20" x14ac:dyDescent="0.25">
      <c r="A86" t="s">
        <v>644</v>
      </c>
      <c r="B86">
        <v>133.9</v>
      </c>
      <c r="C86">
        <v>129.5</v>
      </c>
      <c r="D86">
        <v>123.5</v>
      </c>
      <c r="E86">
        <v>108.1</v>
      </c>
      <c r="F86">
        <v>101.8</v>
      </c>
      <c r="G86">
        <v>162.80000000000001</v>
      </c>
      <c r="H86">
        <v>123.7</v>
      </c>
      <c r="I86">
        <v>140.19999999999999</v>
      </c>
      <c r="J86">
        <v>116.4</v>
      </c>
      <c r="K86">
        <v>194.7</v>
      </c>
      <c r="L86">
        <v>128.19999999999999</v>
      </c>
      <c r="M86">
        <v>163.5</v>
      </c>
      <c r="N86">
        <v>177</v>
      </c>
    </row>
    <row r="87" spans="1:20" x14ac:dyDescent="0.25">
      <c r="A87" t="s">
        <v>17</v>
      </c>
    </row>
    <row r="88" spans="1:20" x14ac:dyDescent="0.25">
      <c r="A88" t="s">
        <v>274</v>
      </c>
    </row>
    <row r="89" spans="1:20" x14ac:dyDescent="0.25">
      <c r="A89" t="s">
        <v>80</v>
      </c>
      <c r="D89">
        <v>903</v>
      </c>
      <c r="E89" s="2">
        <v>1001.6</v>
      </c>
      <c r="F89" s="2">
        <v>1247.7</v>
      </c>
      <c r="G89" s="2">
        <v>1565.3</v>
      </c>
      <c r="H89" s="2">
        <v>1678.6</v>
      </c>
      <c r="I89" s="2">
        <v>1742.8</v>
      </c>
      <c r="J89" s="2">
        <v>1712.6</v>
      </c>
      <c r="K89" s="2">
        <v>1767</v>
      </c>
      <c r="L89" s="2">
        <v>1359.2</v>
      </c>
      <c r="M89" s="2">
        <v>1645</v>
      </c>
      <c r="N89" s="2">
        <v>3014</v>
      </c>
      <c r="O89" s="2">
        <v>6288.91</v>
      </c>
      <c r="P89" s="2">
        <v>9649.64</v>
      </c>
      <c r="Q89" s="2">
        <v>13602.25</v>
      </c>
      <c r="R89" s="2">
        <v>19931.25</v>
      </c>
      <c r="S89" s="2">
        <v>22212</v>
      </c>
      <c r="T89" s="2">
        <v>25556</v>
      </c>
    </row>
    <row r="90" spans="1:20" x14ac:dyDescent="0.25">
      <c r="A90" t="s">
        <v>17</v>
      </c>
    </row>
    <row r="91" spans="1:20" x14ac:dyDescent="0.25">
      <c r="A91" t="s">
        <v>82</v>
      </c>
      <c r="B91">
        <v>561.29999999999995</v>
      </c>
      <c r="C91">
        <v>579.20000000000005</v>
      </c>
      <c r="D91">
        <v>625.70000000000005</v>
      </c>
      <c r="E91">
        <v>683.5</v>
      </c>
      <c r="F91">
        <v>815.6</v>
      </c>
      <c r="G91" s="2">
        <v>1139.4000000000001</v>
      </c>
      <c r="H91" s="2">
        <v>1028.4000000000001</v>
      </c>
      <c r="I91">
        <v>959.7</v>
      </c>
      <c r="J91">
        <v>924</v>
      </c>
      <c r="K91" s="2">
        <v>1198</v>
      </c>
      <c r="L91" s="2">
        <v>1107.7</v>
      </c>
      <c r="M91" s="2">
        <v>1185.0999999999999</v>
      </c>
      <c r="N91" s="2">
        <v>1758.1</v>
      </c>
      <c r="O91" s="2">
        <v>3217.69</v>
      </c>
      <c r="P91" s="2">
        <v>4988.47</v>
      </c>
      <c r="Q91" s="2">
        <v>7184.66</v>
      </c>
      <c r="R91" s="2">
        <v>10025.49</v>
      </c>
      <c r="S91" s="2">
        <v>12926.24</v>
      </c>
      <c r="T91" s="2">
        <v>14880.83</v>
      </c>
    </row>
    <row r="92" spans="1:20" x14ac:dyDescent="0.25">
      <c r="A92" t="s">
        <v>67</v>
      </c>
      <c r="B92">
        <v>5.6</v>
      </c>
      <c r="C92">
        <v>5.0999999999999996</v>
      </c>
      <c r="D92">
        <v>6.1</v>
      </c>
      <c r="E92">
        <v>7.5</v>
      </c>
      <c r="F92">
        <v>12.6</v>
      </c>
      <c r="G92">
        <v>15.1</v>
      </c>
      <c r="H92">
        <v>16.100000000000001</v>
      </c>
      <c r="I92">
        <v>19.2</v>
      </c>
      <c r="J92">
        <v>20.8</v>
      </c>
      <c r="K92">
        <v>30.1</v>
      </c>
      <c r="L92">
        <v>31.7</v>
      </c>
      <c r="M92">
        <v>36.9</v>
      </c>
      <c r="N92">
        <v>39.5</v>
      </c>
      <c r="O92">
        <v>54.46</v>
      </c>
      <c r="P92">
        <v>77.7</v>
      </c>
      <c r="Q92">
        <v>127.6</v>
      </c>
      <c r="R92">
        <v>181.1</v>
      </c>
      <c r="S92">
        <v>333.19</v>
      </c>
      <c r="T92">
        <v>383.34</v>
      </c>
    </row>
    <row r="93" spans="1:20" x14ac:dyDescent="0.25">
      <c r="A93" t="s">
        <v>84</v>
      </c>
      <c r="D93">
        <v>297.7</v>
      </c>
      <c r="E93">
        <v>347.2</v>
      </c>
      <c r="F93">
        <v>485.1</v>
      </c>
      <c r="G93">
        <v>618.5</v>
      </c>
      <c r="H93">
        <v>780.2</v>
      </c>
      <c r="I93">
        <v>887.5</v>
      </c>
      <c r="J93">
        <v>883</v>
      </c>
      <c r="K93">
        <v>763.5</v>
      </c>
      <c r="L93">
        <v>448.9</v>
      </c>
      <c r="M93">
        <v>571.5</v>
      </c>
      <c r="N93" s="2">
        <v>1386.7</v>
      </c>
      <c r="O93" s="2">
        <v>3376.62</v>
      </c>
      <c r="P93" s="2">
        <v>5111.03</v>
      </c>
      <c r="Q93" s="2">
        <v>7767.69</v>
      </c>
      <c r="R93" s="2">
        <v>11009.76</v>
      </c>
      <c r="S93" s="2">
        <v>11060.93</v>
      </c>
      <c r="T93" s="2">
        <v>12716.39</v>
      </c>
    </row>
    <row r="94" spans="1:20" x14ac:dyDescent="0.25">
      <c r="A94" t="s">
        <v>85</v>
      </c>
      <c r="D94">
        <v>32.97</v>
      </c>
      <c r="E94">
        <v>34.659999999999997</v>
      </c>
      <c r="F94">
        <v>38.880000000000003</v>
      </c>
      <c r="G94">
        <v>39.5</v>
      </c>
      <c r="H94">
        <v>46.48</v>
      </c>
      <c r="I94">
        <v>50.92</v>
      </c>
      <c r="J94">
        <v>51.6</v>
      </c>
      <c r="K94">
        <v>43.2</v>
      </c>
      <c r="L94">
        <v>33</v>
      </c>
      <c r="M94">
        <v>34.700000000000003</v>
      </c>
      <c r="N94">
        <v>46</v>
      </c>
      <c r="O94">
        <v>51.89</v>
      </c>
      <c r="P94">
        <v>52.8</v>
      </c>
      <c r="Q94">
        <v>53.08</v>
      </c>
      <c r="R94">
        <v>54.76</v>
      </c>
      <c r="S94">
        <v>49.8</v>
      </c>
      <c r="T94">
        <v>49.76</v>
      </c>
    </row>
    <row r="95" spans="1:20" x14ac:dyDescent="0.25">
      <c r="A95" t="s">
        <v>17</v>
      </c>
    </row>
    <row r="96" spans="1:20" x14ac:dyDescent="0.25">
      <c r="A96" t="s">
        <v>275</v>
      </c>
      <c r="E96">
        <v>222.9</v>
      </c>
      <c r="F96">
        <v>238.9</v>
      </c>
      <c r="G96">
        <v>297.89999999999998</v>
      </c>
      <c r="H96">
        <v>333.4</v>
      </c>
      <c r="I96">
        <v>351.4</v>
      </c>
      <c r="J96">
        <v>356</v>
      </c>
      <c r="K96">
        <v>424.3</v>
      </c>
      <c r="L96">
        <v>411.1</v>
      </c>
      <c r="M96">
        <v>523.29999999999995</v>
      </c>
      <c r="O96">
        <v>667.58</v>
      </c>
      <c r="P96">
        <v>871.98</v>
      </c>
      <c r="Q96" s="2">
        <v>1349.84</v>
      </c>
      <c r="R96" s="2">
        <v>1635.36</v>
      </c>
      <c r="S96" s="2">
        <v>1999.12</v>
      </c>
      <c r="T96" s="2">
        <v>2300.02</v>
      </c>
    </row>
    <row r="97" spans="1:20" x14ac:dyDescent="0.25">
      <c r="A97" t="s">
        <v>276</v>
      </c>
      <c r="D97">
        <v>83.2</v>
      </c>
      <c r="E97">
        <v>87.2</v>
      </c>
      <c r="F97">
        <v>98.3</v>
      </c>
      <c r="G97">
        <v>127.8</v>
      </c>
      <c r="H97">
        <v>150.1</v>
      </c>
      <c r="I97">
        <v>157.30000000000001</v>
      </c>
      <c r="J97">
        <v>158.4</v>
      </c>
      <c r="K97">
        <v>175.3</v>
      </c>
      <c r="L97">
        <v>150.69999999999999</v>
      </c>
      <c r="M97">
        <v>155.4</v>
      </c>
      <c r="N97">
        <v>184.9</v>
      </c>
      <c r="O97">
        <v>241.85</v>
      </c>
      <c r="P97">
        <v>332.05</v>
      </c>
      <c r="Q97">
        <v>481.59</v>
      </c>
      <c r="R97">
        <v>504.58</v>
      </c>
      <c r="S97">
        <v>888.5</v>
      </c>
      <c r="T97" s="2">
        <v>1022.23</v>
      </c>
    </row>
    <row r="98" spans="1:20" x14ac:dyDescent="0.25">
      <c r="A98" t="s">
        <v>61</v>
      </c>
      <c r="D98">
        <v>9.2100000000000009</v>
      </c>
      <c r="E98">
        <v>8.7100000000000009</v>
      </c>
      <c r="F98">
        <v>7.88</v>
      </c>
      <c r="G98">
        <v>8.16</v>
      </c>
      <c r="H98">
        <v>8.94</v>
      </c>
      <c r="I98">
        <v>9.0299999999999994</v>
      </c>
      <c r="J98">
        <v>9.25</v>
      </c>
      <c r="K98">
        <v>9.92</v>
      </c>
      <c r="L98">
        <v>11.09</v>
      </c>
      <c r="M98">
        <v>9.4499999999999993</v>
      </c>
      <c r="N98">
        <v>6.13</v>
      </c>
      <c r="O98">
        <v>3.8</v>
      </c>
      <c r="P98">
        <v>3.28</v>
      </c>
      <c r="Q98">
        <v>2.79</v>
      </c>
      <c r="R98">
        <v>2.5099999999999998</v>
      </c>
      <c r="S98">
        <v>4</v>
      </c>
      <c r="T98">
        <v>4</v>
      </c>
    </row>
    <row r="99" spans="1:20" x14ac:dyDescent="0.25">
      <c r="A99" t="s">
        <v>89</v>
      </c>
      <c r="D99">
        <v>131.4</v>
      </c>
      <c r="E99">
        <v>135.69999999999999</v>
      </c>
      <c r="F99">
        <v>140.6</v>
      </c>
      <c r="G99">
        <v>170.1</v>
      </c>
      <c r="H99">
        <v>183.3</v>
      </c>
      <c r="I99">
        <v>194.1</v>
      </c>
      <c r="J99">
        <v>197.6</v>
      </c>
      <c r="K99">
        <v>249</v>
      </c>
      <c r="L99">
        <v>260.39999999999998</v>
      </c>
      <c r="M99">
        <v>256</v>
      </c>
      <c r="N99">
        <v>304.8</v>
      </c>
      <c r="O99">
        <v>416.54</v>
      </c>
      <c r="P99">
        <v>569.15</v>
      </c>
      <c r="Q99">
        <v>937.17</v>
      </c>
      <c r="R99" s="2">
        <v>1130.78</v>
      </c>
      <c r="S99" s="2">
        <v>1110.6199999999999</v>
      </c>
      <c r="T99" s="2">
        <v>1277.79</v>
      </c>
    </row>
    <row r="100" spans="1:20" x14ac:dyDescent="0.25">
      <c r="A100" t="s">
        <v>61</v>
      </c>
      <c r="D100">
        <v>14.55</v>
      </c>
      <c r="E100">
        <v>13.55</v>
      </c>
      <c r="F100">
        <v>11.27</v>
      </c>
      <c r="G100">
        <v>10.87</v>
      </c>
      <c r="H100">
        <v>10.92</v>
      </c>
      <c r="I100">
        <v>11.14</v>
      </c>
      <c r="J100">
        <v>11.54</v>
      </c>
      <c r="K100">
        <v>14.09</v>
      </c>
      <c r="L100">
        <v>19.16</v>
      </c>
      <c r="M100">
        <v>15.56</v>
      </c>
      <c r="N100">
        <v>10.11</v>
      </c>
      <c r="O100">
        <v>6.67</v>
      </c>
      <c r="P100">
        <v>5.83</v>
      </c>
      <c r="Q100">
        <v>6.38</v>
      </c>
      <c r="R100">
        <v>5.59</v>
      </c>
      <c r="S100">
        <v>5</v>
      </c>
      <c r="T100">
        <v>5</v>
      </c>
    </row>
    <row r="101" spans="1:20" x14ac:dyDescent="0.25">
      <c r="A101" t="s">
        <v>17</v>
      </c>
    </row>
    <row r="102" spans="1:20" x14ac:dyDescent="0.25">
      <c r="A102" t="s">
        <v>91</v>
      </c>
      <c r="D102">
        <v>83.1</v>
      </c>
      <c r="E102">
        <v>124.3</v>
      </c>
      <c r="F102">
        <v>246.2</v>
      </c>
      <c r="G102">
        <v>320.60000000000002</v>
      </c>
      <c r="H102">
        <v>446.8</v>
      </c>
      <c r="I102">
        <v>536.1</v>
      </c>
      <c r="J102">
        <v>527</v>
      </c>
      <c r="K102">
        <v>339.2</v>
      </c>
      <c r="L102">
        <v>37.799999999999997</v>
      </c>
      <c r="M102">
        <v>160.1</v>
      </c>
      <c r="N102">
        <v>897</v>
      </c>
      <c r="O102" s="2">
        <v>2590.6799999999998</v>
      </c>
      <c r="P102" s="2">
        <v>4224.07</v>
      </c>
      <c r="Q102" s="2">
        <v>5974.64</v>
      </c>
      <c r="R102" s="2">
        <v>8925.5</v>
      </c>
      <c r="S102" s="2">
        <v>9062</v>
      </c>
      <c r="T102" s="2">
        <v>10416</v>
      </c>
    </row>
    <row r="103" spans="1:20" x14ac:dyDescent="0.25">
      <c r="A103" t="s">
        <v>92</v>
      </c>
      <c r="D103">
        <v>9.1999999999999993</v>
      </c>
      <c r="E103">
        <v>12.41</v>
      </c>
      <c r="F103">
        <v>19.73</v>
      </c>
      <c r="G103">
        <v>20.48</v>
      </c>
      <c r="H103">
        <v>26.62</v>
      </c>
      <c r="I103">
        <v>30.76</v>
      </c>
      <c r="J103">
        <v>30.77</v>
      </c>
      <c r="K103">
        <v>19.2</v>
      </c>
      <c r="L103">
        <v>2.78</v>
      </c>
      <c r="M103">
        <v>9.73</v>
      </c>
      <c r="N103">
        <v>29.76</v>
      </c>
      <c r="O103">
        <v>41.82</v>
      </c>
      <c r="P103">
        <v>44.22</v>
      </c>
      <c r="Q103">
        <v>44.89</v>
      </c>
      <c r="R103">
        <v>45.92</v>
      </c>
      <c r="S103">
        <v>40.799999999999997</v>
      </c>
      <c r="T103">
        <v>40.76</v>
      </c>
    </row>
    <row r="104" spans="1:20" x14ac:dyDescent="0.25">
      <c r="A104" t="s">
        <v>17</v>
      </c>
    </row>
    <row r="105" spans="1:20" x14ac:dyDescent="0.25">
      <c r="A105" t="s">
        <v>277</v>
      </c>
      <c r="D105">
        <v>130.5</v>
      </c>
      <c r="E105">
        <v>178.5</v>
      </c>
      <c r="F105">
        <v>320.2</v>
      </c>
      <c r="G105">
        <v>423.5</v>
      </c>
      <c r="H105">
        <v>560.1</v>
      </c>
      <c r="I105">
        <v>621</v>
      </c>
      <c r="J105">
        <v>608.6</v>
      </c>
      <c r="K105">
        <v>431.7</v>
      </c>
      <c r="L105">
        <v>140.5</v>
      </c>
      <c r="M105">
        <v>264.2</v>
      </c>
      <c r="N105" s="2">
        <v>1025.8</v>
      </c>
      <c r="O105" s="2">
        <v>2816.4</v>
      </c>
      <c r="P105" s="2">
        <v>4607.8500000000004</v>
      </c>
      <c r="Q105" s="2">
        <v>6327.43</v>
      </c>
      <c r="R105" s="2">
        <v>8598</v>
      </c>
      <c r="S105" s="2">
        <v>9736</v>
      </c>
      <c r="T105" s="2">
        <v>11122</v>
      </c>
    </row>
    <row r="106" spans="1:20" x14ac:dyDescent="0.25">
      <c r="A106" t="s">
        <v>17</v>
      </c>
    </row>
    <row r="107" spans="1:20" x14ac:dyDescent="0.25">
      <c r="A107" t="s">
        <v>96</v>
      </c>
      <c r="B107">
        <v>0.2</v>
      </c>
      <c r="C107">
        <v>0.7</v>
      </c>
      <c r="G107">
        <v>36.299999999999997</v>
      </c>
      <c r="H107">
        <v>61.2</v>
      </c>
      <c r="I107">
        <v>66.7</v>
      </c>
      <c r="J107">
        <v>80.2</v>
      </c>
      <c r="K107">
        <v>35.5</v>
      </c>
      <c r="L107">
        <v>33.799999999999997</v>
      </c>
      <c r="M107">
        <v>22.2</v>
      </c>
      <c r="N107">
        <v>21.8</v>
      </c>
      <c r="O107">
        <v>11.6</v>
      </c>
      <c r="P107">
        <v>11.27</v>
      </c>
      <c r="Q107">
        <v>11.02</v>
      </c>
      <c r="R107">
        <v>13.1</v>
      </c>
    </row>
    <row r="108" spans="1:20" x14ac:dyDescent="0.25">
      <c r="A108" t="s">
        <v>100</v>
      </c>
      <c r="D108">
        <v>81.900000000000006</v>
      </c>
      <c r="E108">
        <v>124.5</v>
      </c>
      <c r="F108">
        <v>253.1</v>
      </c>
      <c r="G108">
        <v>318.10000000000002</v>
      </c>
      <c r="H108">
        <v>449.5</v>
      </c>
      <c r="I108">
        <v>536</v>
      </c>
      <c r="J108">
        <v>525.4</v>
      </c>
      <c r="K108">
        <v>368.8</v>
      </c>
      <c r="L108">
        <v>80.3</v>
      </c>
      <c r="M108">
        <v>175.3</v>
      </c>
      <c r="N108">
        <v>936.9</v>
      </c>
      <c r="O108" s="2">
        <v>2655.79</v>
      </c>
      <c r="P108" s="2">
        <v>4315.88</v>
      </c>
      <c r="Q108" s="2">
        <v>6137.4</v>
      </c>
      <c r="R108" s="2">
        <v>9270.67</v>
      </c>
      <c r="S108" s="2">
        <v>9082</v>
      </c>
      <c r="T108" s="2">
        <v>10436</v>
      </c>
    </row>
    <row r="109" spans="1:20" x14ac:dyDescent="0.25">
      <c r="A109" t="s">
        <v>645</v>
      </c>
      <c r="D109">
        <v>9.1999999999999993</v>
      </c>
      <c r="E109">
        <v>12.41</v>
      </c>
      <c r="F109">
        <v>20.29</v>
      </c>
      <c r="G109">
        <v>20.32</v>
      </c>
      <c r="H109">
        <v>26.78</v>
      </c>
      <c r="I109">
        <v>30.76</v>
      </c>
      <c r="J109">
        <v>30.68</v>
      </c>
      <c r="K109">
        <v>20.87</v>
      </c>
      <c r="L109">
        <v>5.91</v>
      </c>
      <c r="M109">
        <v>10.66</v>
      </c>
      <c r="N109">
        <v>31.08</v>
      </c>
      <c r="O109">
        <v>42.73</v>
      </c>
      <c r="P109">
        <v>45.29</v>
      </c>
      <c r="Q109">
        <v>48.45</v>
      </c>
      <c r="R109">
        <v>46.66</v>
      </c>
    </row>
    <row r="110" spans="1:20" x14ac:dyDescent="0.25">
      <c r="A110" t="s">
        <v>17</v>
      </c>
    </row>
    <row r="111" spans="1:20" x14ac:dyDescent="0.25">
      <c r="A111" t="s">
        <v>106</v>
      </c>
      <c r="D111">
        <v>78.900000000000006</v>
      </c>
      <c r="E111">
        <v>122.4</v>
      </c>
      <c r="F111">
        <v>247.8</v>
      </c>
      <c r="G111">
        <v>304.8</v>
      </c>
      <c r="H111">
        <v>420.5</v>
      </c>
      <c r="I111">
        <v>495</v>
      </c>
      <c r="J111">
        <v>449.2</v>
      </c>
      <c r="K111">
        <v>315.3</v>
      </c>
      <c r="L111">
        <v>68.7</v>
      </c>
      <c r="M111">
        <v>146.4</v>
      </c>
      <c r="N111">
        <v>782.3</v>
      </c>
      <c r="O111" s="2">
        <v>2204.9</v>
      </c>
      <c r="P111" s="2">
        <v>3600.6</v>
      </c>
      <c r="Q111" s="2">
        <v>5134.2</v>
      </c>
      <c r="R111" s="2">
        <v>7725.33</v>
      </c>
      <c r="S111" s="2">
        <v>7538</v>
      </c>
      <c r="T111" s="2">
        <v>8662</v>
      </c>
    </row>
    <row r="112" spans="1:20" x14ac:dyDescent="0.25">
      <c r="A112" t="s">
        <v>280</v>
      </c>
      <c r="D112">
        <v>8.74</v>
      </c>
      <c r="E112">
        <v>12.22</v>
      </c>
      <c r="F112">
        <v>19.86</v>
      </c>
      <c r="G112">
        <v>19.47</v>
      </c>
      <c r="H112">
        <v>22.89</v>
      </c>
      <c r="I112">
        <v>28.4</v>
      </c>
      <c r="J112">
        <v>26.23</v>
      </c>
      <c r="K112">
        <v>17.84</v>
      </c>
      <c r="L112">
        <v>5.05</v>
      </c>
      <c r="M112">
        <v>8.9</v>
      </c>
      <c r="N112">
        <v>25.96</v>
      </c>
      <c r="O112">
        <v>35.729999999999997</v>
      </c>
      <c r="P112">
        <v>37.520000000000003</v>
      </c>
      <c r="Q112">
        <v>38.93</v>
      </c>
      <c r="R112">
        <v>40.68</v>
      </c>
    </row>
    <row r="113" spans="1:20" x14ac:dyDescent="0.25">
      <c r="A113" t="s">
        <v>17</v>
      </c>
    </row>
    <row r="114" spans="1:20" x14ac:dyDescent="0.25">
      <c r="A114" t="s">
        <v>109</v>
      </c>
      <c r="D114">
        <v>61.2</v>
      </c>
      <c r="E114">
        <v>63.1</v>
      </c>
      <c r="F114">
        <v>64.8</v>
      </c>
      <c r="G114">
        <v>71.8</v>
      </c>
      <c r="H114">
        <v>77.599999999999994</v>
      </c>
      <c r="I114">
        <v>78.400000000000006</v>
      </c>
      <c r="J114">
        <v>74.2</v>
      </c>
      <c r="K114">
        <v>68.3</v>
      </c>
      <c r="L114">
        <v>67.3</v>
      </c>
      <c r="M114">
        <v>71.2</v>
      </c>
      <c r="N114">
        <v>90.2</v>
      </c>
      <c r="O114">
        <v>103.12</v>
      </c>
      <c r="P114">
        <v>106.42</v>
      </c>
      <c r="Q114">
        <v>108.82</v>
      </c>
      <c r="R114">
        <v>121.24</v>
      </c>
      <c r="S114">
        <v>106.26</v>
      </c>
      <c r="T114">
        <v>107.91</v>
      </c>
    </row>
    <row r="115" spans="1:20" x14ac:dyDescent="0.25">
      <c r="A115" t="s">
        <v>110</v>
      </c>
      <c r="D115">
        <v>1.29</v>
      </c>
      <c r="E115">
        <v>1.94</v>
      </c>
      <c r="F115">
        <v>3.82</v>
      </c>
      <c r="G115">
        <v>4.25</v>
      </c>
      <c r="H115">
        <v>5.42</v>
      </c>
      <c r="I115">
        <v>6.31</v>
      </c>
      <c r="J115">
        <v>6.05</v>
      </c>
      <c r="K115">
        <v>4.5599999999999996</v>
      </c>
      <c r="L115">
        <v>1.01</v>
      </c>
      <c r="M115">
        <v>2.06</v>
      </c>
      <c r="N115">
        <v>8.67</v>
      </c>
      <c r="O115">
        <v>21.6</v>
      </c>
      <c r="P115">
        <v>34.07</v>
      </c>
      <c r="Q115">
        <v>47.62</v>
      </c>
      <c r="R115">
        <v>63.65</v>
      </c>
      <c r="S115">
        <v>70.94</v>
      </c>
      <c r="T115">
        <v>80.27</v>
      </c>
    </row>
    <row r="116" spans="1:20" x14ac:dyDescent="0.25">
      <c r="A116" t="s">
        <v>17</v>
      </c>
    </row>
    <row r="117" spans="1:20" x14ac:dyDescent="0.25">
      <c r="A117" t="s">
        <v>282</v>
      </c>
    </row>
    <row r="118" spans="1:20" x14ac:dyDescent="0.25">
      <c r="A118" t="s">
        <v>62</v>
      </c>
      <c r="B118">
        <v>552.29999999999995</v>
      </c>
      <c r="C118">
        <v>571.6</v>
      </c>
      <c r="D118">
        <v>618.9</v>
      </c>
      <c r="E118">
        <v>677</v>
      </c>
      <c r="F118">
        <v>812.4</v>
      </c>
      <c r="G118" s="2">
        <v>1092.9000000000001</v>
      </c>
      <c r="H118">
        <v>974.6</v>
      </c>
      <c r="I118">
        <v>898</v>
      </c>
      <c r="J118">
        <v>861.1</v>
      </c>
      <c r="K118" s="2">
        <v>1113.5999999999999</v>
      </c>
      <c r="L118" s="2">
        <v>1023.8</v>
      </c>
      <c r="M118" s="2">
        <v>1102.9000000000001</v>
      </c>
      <c r="N118" s="2">
        <v>1680.5</v>
      </c>
      <c r="O118" s="2">
        <v>3203.49</v>
      </c>
      <c r="P118" s="2">
        <v>4755.6499999999996</v>
      </c>
      <c r="Q118" s="2">
        <v>6075.66</v>
      </c>
      <c r="R118" s="2">
        <v>9041.91</v>
      </c>
    </row>
    <row r="119" spans="1:20" x14ac:dyDescent="0.25">
      <c r="A119" t="s">
        <v>646</v>
      </c>
      <c r="B119">
        <v>9</v>
      </c>
      <c r="C119">
        <v>7.6</v>
      </c>
      <c r="D119">
        <v>6.8</v>
      </c>
      <c r="E119">
        <v>6.5</v>
      </c>
      <c r="F119">
        <v>3.2</v>
      </c>
      <c r="G119">
        <v>46.6</v>
      </c>
      <c r="H119">
        <v>53.8</v>
      </c>
      <c r="I119">
        <v>61.7</v>
      </c>
      <c r="J119">
        <v>62.9</v>
      </c>
      <c r="K119">
        <v>84.4</v>
      </c>
      <c r="L119">
        <v>83.9</v>
      </c>
      <c r="M119">
        <v>82.2</v>
      </c>
      <c r="N119">
        <v>77.599999999999994</v>
      </c>
      <c r="O119">
        <v>79.06</v>
      </c>
      <c r="P119">
        <v>102.15</v>
      </c>
      <c r="Q119">
        <v>178.01</v>
      </c>
      <c r="R119">
        <v>295.45</v>
      </c>
      <c r="S119">
        <v>888.5</v>
      </c>
      <c r="T119" s="2">
        <v>1022.23</v>
      </c>
    </row>
    <row r="120" spans="1:20" x14ac:dyDescent="0.25">
      <c r="A120" t="s">
        <v>63</v>
      </c>
      <c r="B120">
        <v>256.60000000000002</v>
      </c>
      <c r="C120">
        <v>257.89999999999998</v>
      </c>
      <c r="D120">
        <v>277.3</v>
      </c>
      <c r="E120">
        <v>318.10000000000002</v>
      </c>
      <c r="F120">
        <v>432.1</v>
      </c>
      <c r="G120">
        <v>425.9</v>
      </c>
      <c r="H120">
        <v>650.20000000000005</v>
      </c>
      <c r="I120">
        <v>783.1</v>
      </c>
      <c r="J120">
        <v>788.6</v>
      </c>
      <c r="K120">
        <v>569</v>
      </c>
      <c r="L120">
        <v>251.5</v>
      </c>
      <c r="M120">
        <v>459.9</v>
      </c>
      <c r="N120" s="2">
        <v>1255.9000000000001</v>
      </c>
      <c r="O120" s="2">
        <v>2986.59</v>
      </c>
      <c r="P120" s="2">
        <v>4917.3900000000003</v>
      </c>
      <c r="Q120" s="2">
        <v>6865.23</v>
      </c>
      <c r="R120" s="2">
        <v>9167.52</v>
      </c>
      <c r="S120" s="2">
        <v>9286.2000000000007</v>
      </c>
      <c r="T120" s="2">
        <v>10675</v>
      </c>
    </row>
    <row r="121" spans="1:20" x14ac:dyDescent="0.25">
      <c r="A121" t="s">
        <v>64</v>
      </c>
      <c r="D121">
        <v>30.7</v>
      </c>
      <c r="E121">
        <v>31.8</v>
      </c>
      <c r="F121">
        <v>34.6</v>
      </c>
      <c r="G121">
        <v>27.2</v>
      </c>
      <c r="H121">
        <v>38.700000000000003</v>
      </c>
      <c r="I121">
        <v>44.9</v>
      </c>
      <c r="J121">
        <v>46</v>
      </c>
      <c r="K121">
        <v>32.200000000000003</v>
      </c>
      <c r="L121">
        <v>18.5</v>
      </c>
      <c r="M121">
        <v>28</v>
      </c>
      <c r="N121">
        <v>41.7</v>
      </c>
      <c r="O121">
        <v>47.46</v>
      </c>
      <c r="P121">
        <v>49.01</v>
      </c>
      <c r="Q121">
        <v>49.03</v>
      </c>
      <c r="R121">
        <v>47.84</v>
      </c>
      <c r="S121">
        <v>41.81</v>
      </c>
      <c r="T121">
        <v>41.77</v>
      </c>
    </row>
    <row r="122" spans="1:20" x14ac:dyDescent="0.25">
      <c r="A122" t="s">
        <v>87</v>
      </c>
      <c r="B122">
        <v>247.9</v>
      </c>
      <c r="C122">
        <v>281.3</v>
      </c>
      <c r="D122">
        <v>265.8</v>
      </c>
      <c r="E122">
        <v>270.5</v>
      </c>
      <c r="F122">
        <v>292.2</v>
      </c>
      <c r="G122">
        <v>447.5</v>
      </c>
      <c r="H122">
        <v>446.1</v>
      </c>
      <c r="I122">
        <v>256.10000000000002</v>
      </c>
      <c r="J122">
        <v>485.3</v>
      </c>
      <c r="K122">
        <v>684.7</v>
      </c>
      <c r="L122">
        <v>685.5</v>
      </c>
      <c r="M122">
        <v>640</v>
      </c>
      <c r="N122">
        <v>731.1</v>
      </c>
      <c r="O122">
        <v>898.11</v>
      </c>
      <c r="P122" s="2">
        <v>1207.72</v>
      </c>
      <c r="Q122" s="2">
        <v>1866.83</v>
      </c>
      <c r="R122" s="2">
        <v>2243.7600000000002</v>
      </c>
      <c r="S122" s="2">
        <v>3642.84</v>
      </c>
      <c r="T122" s="2">
        <v>4191.16</v>
      </c>
    </row>
    <row r="123" spans="1:20" x14ac:dyDescent="0.25">
      <c r="A123" t="s">
        <v>647</v>
      </c>
      <c r="B123">
        <v>134.9</v>
      </c>
      <c r="C123">
        <v>140.80000000000001</v>
      </c>
      <c r="D123">
        <v>141.1</v>
      </c>
      <c r="E123">
        <v>148.30000000000001</v>
      </c>
      <c r="F123">
        <v>156.80000000000001</v>
      </c>
      <c r="G123">
        <v>184.6</v>
      </c>
      <c r="H123">
        <v>198.6</v>
      </c>
      <c r="I123">
        <v>214.5</v>
      </c>
      <c r="J123">
        <v>265.7</v>
      </c>
      <c r="K123">
        <v>307.8</v>
      </c>
      <c r="L123">
        <v>302.2</v>
      </c>
      <c r="M123">
        <v>303.89999999999998</v>
      </c>
      <c r="N123">
        <v>356.5</v>
      </c>
      <c r="O123">
        <v>462.07</v>
      </c>
      <c r="P123">
        <v>652.05999999999995</v>
      </c>
      <c r="Q123" s="2">
        <v>1001.08</v>
      </c>
      <c r="R123" s="2">
        <v>1134.1500000000001</v>
      </c>
      <c r="S123" s="2">
        <v>1443.81</v>
      </c>
      <c r="T123" s="2">
        <v>1661.13</v>
      </c>
    </row>
    <row r="124" spans="1:20" x14ac:dyDescent="0.25">
      <c r="A124" t="s">
        <v>76</v>
      </c>
      <c r="B124">
        <v>16.489999999999998</v>
      </c>
      <c r="C124">
        <v>16.82</v>
      </c>
      <c r="D124">
        <v>15.63</v>
      </c>
      <c r="E124">
        <v>14.81</v>
      </c>
      <c r="F124">
        <v>12.57</v>
      </c>
      <c r="G124">
        <v>11.79</v>
      </c>
      <c r="H124">
        <v>11.83</v>
      </c>
      <c r="I124">
        <v>12.31</v>
      </c>
      <c r="J124">
        <v>15.51</v>
      </c>
      <c r="K124">
        <v>17.420000000000002</v>
      </c>
      <c r="L124">
        <v>22.23</v>
      </c>
      <c r="M124">
        <v>18.47</v>
      </c>
      <c r="N124">
        <v>11.83</v>
      </c>
      <c r="O124">
        <v>7.34</v>
      </c>
      <c r="P124">
        <v>6.41</v>
      </c>
      <c r="Q124">
        <v>7.47</v>
      </c>
      <c r="R124">
        <v>5.9</v>
      </c>
      <c r="S124">
        <v>6.5</v>
      </c>
      <c r="T124">
        <v>6.5</v>
      </c>
    </row>
    <row r="125" spans="1:20" x14ac:dyDescent="0.25">
      <c r="A125" t="s">
        <v>648</v>
      </c>
      <c r="B125">
        <v>108.2</v>
      </c>
      <c r="C125">
        <v>128.9</v>
      </c>
      <c r="D125">
        <v>117.3</v>
      </c>
      <c r="E125">
        <v>110.2</v>
      </c>
      <c r="F125">
        <v>128.19999999999999</v>
      </c>
      <c r="G125">
        <v>200.3</v>
      </c>
      <c r="H125">
        <v>235.2</v>
      </c>
      <c r="I125">
        <v>241.4</v>
      </c>
      <c r="J125">
        <v>220.7</v>
      </c>
      <c r="K125">
        <v>348.8</v>
      </c>
      <c r="L125">
        <v>310.7</v>
      </c>
      <c r="M125">
        <v>348.2</v>
      </c>
      <c r="N125">
        <v>363.2</v>
      </c>
      <c r="O125">
        <v>428.42</v>
      </c>
      <c r="P125">
        <v>587.95000000000005</v>
      </c>
      <c r="Q125">
        <v>835.49</v>
      </c>
      <c r="R125" s="2">
        <v>1109.6099999999999</v>
      </c>
      <c r="S125" s="2">
        <v>2199.0300000000002</v>
      </c>
      <c r="T125" s="2">
        <v>2530.0300000000002</v>
      </c>
    </row>
    <row r="126" spans="1:20" x14ac:dyDescent="0.25">
      <c r="A126" t="s">
        <v>76</v>
      </c>
      <c r="B126">
        <v>13.23</v>
      </c>
      <c r="C126">
        <v>15.4</v>
      </c>
      <c r="D126">
        <v>12.99</v>
      </c>
      <c r="E126">
        <v>11</v>
      </c>
      <c r="F126">
        <v>10.27</v>
      </c>
      <c r="G126">
        <v>12.8</v>
      </c>
      <c r="H126">
        <v>14.01</v>
      </c>
      <c r="I126">
        <v>13.85</v>
      </c>
      <c r="J126">
        <v>12.89</v>
      </c>
      <c r="K126">
        <v>19.739999999999998</v>
      </c>
      <c r="L126">
        <v>22.86</v>
      </c>
      <c r="M126">
        <v>21.17</v>
      </c>
      <c r="N126">
        <v>12.05</v>
      </c>
      <c r="O126">
        <v>6.93</v>
      </c>
      <c r="P126">
        <v>6.05</v>
      </c>
      <c r="Q126">
        <v>6.27</v>
      </c>
      <c r="R126">
        <v>5.71</v>
      </c>
      <c r="S126">
        <v>9.9</v>
      </c>
      <c r="T126">
        <v>9.9</v>
      </c>
    </row>
    <row r="127" spans="1:20" x14ac:dyDescent="0.25">
      <c r="A127" t="s">
        <v>116</v>
      </c>
      <c r="B127">
        <v>8.6999999999999993</v>
      </c>
      <c r="C127">
        <v>-23.4</v>
      </c>
      <c r="D127">
        <v>11.5</v>
      </c>
      <c r="E127">
        <v>47.6</v>
      </c>
      <c r="F127">
        <v>139.9</v>
      </c>
      <c r="G127">
        <v>-21.6</v>
      </c>
      <c r="H127">
        <v>204.1</v>
      </c>
      <c r="I127">
        <v>527</v>
      </c>
      <c r="J127">
        <v>303.3</v>
      </c>
      <c r="K127">
        <v>-115.7</v>
      </c>
      <c r="L127">
        <v>-434</v>
      </c>
      <c r="M127">
        <v>-180.1</v>
      </c>
      <c r="N127">
        <v>524.79999999999995</v>
      </c>
      <c r="O127" s="2">
        <v>2179.2600000000002</v>
      </c>
      <c r="P127" s="2">
        <v>3911.46</v>
      </c>
      <c r="Q127" s="2">
        <v>5184.95</v>
      </c>
      <c r="R127" s="2">
        <v>6923.76</v>
      </c>
      <c r="S127" s="2">
        <v>5643.36</v>
      </c>
      <c r="T127" s="2">
        <v>6483.84</v>
      </c>
    </row>
    <row r="128" spans="1:20" x14ac:dyDescent="0.25">
      <c r="A128" t="s">
        <v>269</v>
      </c>
      <c r="B128">
        <v>1.06</v>
      </c>
      <c r="C128">
        <v>-2.8</v>
      </c>
      <c r="D128">
        <v>1.27</v>
      </c>
      <c r="E128">
        <v>4.75</v>
      </c>
      <c r="F128">
        <v>11.21</v>
      </c>
      <c r="G128">
        <v>-1.38</v>
      </c>
      <c r="H128">
        <v>12.16</v>
      </c>
      <c r="I128">
        <v>30.24</v>
      </c>
      <c r="J128">
        <v>17.71</v>
      </c>
      <c r="K128">
        <v>-6.55</v>
      </c>
      <c r="L128">
        <v>-31.93</v>
      </c>
      <c r="M128">
        <v>-10.95</v>
      </c>
      <c r="N128">
        <v>17.41</v>
      </c>
      <c r="O128">
        <v>33.6</v>
      </c>
      <c r="P128">
        <v>37.32</v>
      </c>
      <c r="Q128">
        <v>35</v>
      </c>
      <c r="R128">
        <v>36.24</v>
      </c>
      <c r="S128">
        <v>25.41</v>
      </c>
      <c r="T128">
        <v>25.37</v>
      </c>
    </row>
    <row r="129" spans="1:20" x14ac:dyDescent="0.25">
      <c r="A129" t="s">
        <v>649</v>
      </c>
      <c r="B129">
        <v>-1.1000000000000001</v>
      </c>
      <c r="C129">
        <v>1.1000000000000001</v>
      </c>
      <c r="D129">
        <v>1.8</v>
      </c>
      <c r="E129">
        <v>107.4</v>
      </c>
      <c r="F129">
        <v>10.5</v>
      </c>
      <c r="G129">
        <v>11.7</v>
      </c>
      <c r="H129">
        <v>29.8</v>
      </c>
      <c r="I129">
        <v>63.9</v>
      </c>
      <c r="J129">
        <v>68.2</v>
      </c>
      <c r="K129">
        <v>-13.3</v>
      </c>
      <c r="L129">
        <v>-28.3</v>
      </c>
      <c r="M129">
        <v>-8</v>
      </c>
      <c r="N129" s="2">
        <v>7697.6</v>
      </c>
      <c r="O129">
        <v>-48.25</v>
      </c>
      <c r="P129">
        <v>-70.83</v>
      </c>
      <c r="Q129">
        <v>-138.22999999999999</v>
      </c>
      <c r="R129">
        <v>-64.94</v>
      </c>
      <c r="S129">
        <v>-8</v>
      </c>
      <c r="T129">
        <v>-8</v>
      </c>
    </row>
    <row r="130" spans="1:20" x14ac:dyDescent="0.25">
      <c r="A130" t="s">
        <v>289</v>
      </c>
      <c r="B130">
        <v>0.2</v>
      </c>
      <c r="C130">
        <v>0.7</v>
      </c>
      <c r="G130">
        <v>36.299999999999997</v>
      </c>
      <c r="H130">
        <v>61.2</v>
      </c>
      <c r="I130">
        <v>66.7</v>
      </c>
      <c r="J130">
        <v>80.2</v>
      </c>
      <c r="K130">
        <v>35.5</v>
      </c>
      <c r="L130">
        <v>33.799999999999997</v>
      </c>
      <c r="M130">
        <v>22.2</v>
      </c>
      <c r="N130">
        <v>21.8</v>
      </c>
    </row>
    <row r="131" spans="1:20" x14ac:dyDescent="0.25">
      <c r="A131" t="s">
        <v>650</v>
      </c>
      <c r="B131">
        <v>-1.3</v>
      </c>
      <c r="C131">
        <v>0.4</v>
      </c>
      <c r="D131">
        <v>1.2</v>
      </c>
      <c r="E131">
        <v>3.2</v>
      </c>
      <c r="F131">
        <v>9.6999999999999993</v>
      </c>
      <c r="G131">
        <v>-15.8</v>
      </c>
      <c r="H131">
        <v>-31.4</v>
      </c>
      <c r="I131">
        <v>-2.8</v>
      </c>
      <c r="J131">
        <v>-12</v>
      </c>
      <c r="K131">
        <v>-48.8</v>
      </c>
      <c r="L131">
        <v>-62.1</v>
      </c>
      <c r="M131">
        <v>-30.2</v>
      </c>
      <c r="N131">
        <v>-53.3</v>
      </c>
    </row>
    <row r="132" spans="1:20" x14ac:dyDescent="0.25">
      <c r="A132" t="s">
        <v>119</v>
      </c>
      <c r="B132">
        <v>9.8000000000000007</v>
      </c>
      <c r="C132">
        <v>-24.5</v>
      </c>
      <c r="D132">
        <v>9.6999999999999993</v>
      </c>
      <c r="E132">
        <v>-59.8</v>
      </c>
      <c r="F132">
        <v>129.4</v>
      </c>
      <c r="G132">
        <v>-33.299999999999997</v>
      </c>
      <c r="H132">
        <v>174.3</v>
      </c>
      <c r="I132">
        <v>463.1</v>
      </c>
      <c r="J132">
        <v>235.1</v>
      </c>
      <c r="K132">
        <v>-102.4</v>
      </c>
      <c r="L132">
        <v>-405.7</v>
      </c>
      <c r="M132">
        <v>-172.1</v>
      </c>
      <c r="N132" s="2">
        <v>-7172.8</v>
      </c>
      <c r="O132" s="2">
        <v>2159.08</v>
      </c>
      <c r="P132" s="2">
        <v>3820.57</v>
      </c>
      <c r="Q132" s="2">
        <v>4931.88</v>
      </c>
      <c r="R132" s="2">
        <v>6988.7</v>
      </c>
      <c r="S132" s="2">
        <v>5651.36</v>
      </c>
      <c r="T132" s="2">
        <v>6491.84</v>
      </c>
    </row>
    <row r="133" spans="1:20" x14ac:dyDescent="0.25">
      <c r="A133" t="s">
        <v>120</v>
      </c>
      <c r="B133">
        <v>-0.9</v>
      </c>
      <c r="C133">
        <v>-21.1</v>
      </c>
      <c r="D133">
        <v>0.4</v>
      </c>
      <c r="E133">
        <v>42.7</v>
      </c>
      <c r="F133">
        <v>-118.7</v>
      </c>
      <c r="G133">
        <v>3.1</v>
      </c>
      <c r="H133">
        <v>38.799999999999997</v>
      </c>
      <c r="I133">
        <v>65.8</v>
      </c>
      <c r="J133">
        <v>36.200000000000003</v>
      </c>
      <c r="K133">
        <v>29.2</v>
      </c>
      <c r="L133">
        <v>140.80000000000001</v>
      </c>
      <c r="M133">
        <v>-198</v>
      </c>
      <c r="N133">
        <v>-237.7</v>
      </c>
      <c r="O133">
        <v>403.67</v>
      </c>
      <c r="P133">
        <v>714.77</v>
      </c>
      <c r="Q133">
        <v>873.86</v>
      </c>
      <c r="R133" s="2">
        <v>1186.81</v>
      </c>
      <c r="S133">
        <v>960.73</v>
      </c>
      <c r="T133" s="2">
        <v>1103.6099999999999</v>
      </c>
    </row>
    <row r="134" spans="1:20" x14ac:dyDescent="0.25">
      <c r="A134" t="s">
        <v>489</v>
      </c>
      <c r="D134">
        <v>4.12</v>
      </c>
      <c r="H134">
        <v>22.26</v>
      </c>
      <c r="I134">
        <v>14.21</v>
      </c>
      <c r="J134">
        <v>15.4</v>
      </c>
      <c r="M134">
        <v>115.04</v>
      </c>
      <c r="N134">
        <v>3.2</v>
      </c>
      <c r="O134">
        <v>20.25</v>
      </c>
      <c r="P134">
        <v>20.25</v>
      </c>
      <c r="Q134">
        <v>17.72</v>
      </c>
      <c r="R134">
        <v>16.98</v>
      </c>
      <c r="S134">
        <v>17</v>
      </c>
      <c r="T134">
        <v>17</v>
      </c>
    </row>
    <row r="135" spans="1:20" x14ac:dyDescent="0.25">
      <c r="A135" t="s">
        <v>121</v>
      </c>
      <c r="D135">
        <v>-3.2</v>
      </c>
      <c r="E135">
        <v>-103.4</v>
      </c>
      <c r="F135">
        <v>241.5</v>
      </c>
      <c r="G135">
        <v>-37.9</v>
      </c>
      <c r="H135">
        <v>135.5</v>
      </c>
      <c r="I135">
        <v>397.3</v>
      </c>
      <c r="J135">
        <v>198.9</v>
      </c>
      <c r="K135">
        <v>-131.6</v>
      </c>
      <c r="L135">
        <v>-546.5</v>
      </c>
      <c r="M135">
        <v>25.9</v>
      </c>
      <c r="N135" s="2">
        <v>-6935.1</v>
      </c>
      <c r="O135" s="2">
        <v>1854.14</v>
      </c>
      <c r="P135" s="2">
        <v>3130.8</v>
      </c>
      <c r="Q135" s="2">
        <v>4610.4399999999996</v>
      </c>
      <c r="R135" s="2">
        <v>6738.33</v>
      </c>
      <c r="S135" s="2">
        <v>4691</v>
      </c>
      <c r="T135" s="2">
        <v>5388</v>
      </c>
    </row>
    <row r="136" spans="1:20" x14ac:dyDescent="0.25">
      <c r="A136" t="s">
        <v>296</v>
      </c>
      <c r="B136">
        <v>58.8</v>
      </c>
      <c r="C136">
        <v>58.8</v>
      </c>
      <c r="D136">
        <v>59.1</v>
      </c>
      <c r="E136">
        <v>60.6</v>
      </c>
      <c r="F136">
        <v>62.3</v>
      </c>
      <c r="G136">
        <v>70.7</v>
      </c>
      <c r="H136">
        <v>75.900000000000006</v>
      </c>
      <c r="I136">
        <v>75.400000000000006</v>
      </c>
      <c r="J136">
        <v>71.2</v>
      </c>
      <c r="K136">
        <v>68.3</v>
      </c>
      <c r="L136">
        <v>67.3</v>
      </c>
      <c r="M136">
        <v>69</v>
      </c>
      <c r="N136">
        <v>74.599999999999994</v>
      </c>
      <c r="O136">
        <v>85.89</v>
      </c>
      <c r="P136">
        <v>87.49</v>
      </c>
      <c r="Q136">
        <v>86.64</v>
      </c>
      <c r="R136">
        <v>87.67</v>
      </c>
      <c r="S136">
        <v>89.26</v>
      </c>
      <c r="T136">
        <v>90.91</v>
      </c>
    </row>
    <row r="137" spans="1:20" x14ac:dyDescent="0.25">
      <c r="A137" t="s">
        <v>123</v>
      </c>
      <c r="B137">
        <v>58.8</v>
      </c>
      <c r="C137">
        <v>58.8</v>
      </c>
      <c r="D137">
        <v>59.1</v>
      </c>
      <c r="E137">
        <v>60.6</v>
      </c>
      <c r="F137">
        <v>63.3</v>
      </c>
      <c r="G137">
        <v>70.7</v>
      </c>
      <c r="H137">
        <v>77.599999999999994</v>
      </c>
      <c r="I137">
        <v>78.400000000000006</v>
      </c>
      <c r="J137">
        <v>74.2</v>
      </c>
      <c r="K137">
        <v>68.3</v>
      </c>
      <c r="L137">
        <v>67.3</v>
      </c>
      <c r="M137">
        <v>69.599999999999994</v>
      </c>
      <c r="N137">
        <v>74.599999999999994</v>
      </c>
      <c r="O137">
        <v>91.13</v>
      </c>
      <c r="P137">
        <v>90.39</v>
      </c>
      <c r="Q137">
        <v>87.09</v>
      </c>
      <c r="R137">
        <v>92.67</v>
      </c>
      <c r="S137">
        <v>89.26</v>
      </c>
      <c r="T137">
        <v>90.91</v>
      </c>
    </row>
    <row r="138" spans="1:20" x14ac:dyDescent="0.25">
      <c r="A138" t="s">
        <v>124</v>
      </c>
      <c r="D138">
        <v>-0.05</v>
      </c>
      <c r="E138">
        <v>-1.71</v>
      </c>
      <c r="F138">
        <v>3.82</v>
      </c>
      <c r="G138">
        <v>-0.54</v>
      </c>
      <c r="H138">
        <v>1.75</v>
      </c>
      <c r="I138">
        <v>5.07</v>
      </c>
      <c r="J138">
        <v>2.68</v>
      </c>
      <c r="K138">
        <v>-1.93</v>
      </c>
      <c r="L138">
        <v>-8.1199999999999992</v>
      </c>
      <c r="M138">
        <v>0.37</v>
      </c>
      <c r="N138">
        <v>-92.96</v>
      </c>
      <c r="O138">
        <v>21.02</v>
      </c>
      <c r="P138">
        <v>34.090000000000003</v>
      </c>
      <c r="Q138">
        <v>45.91</v>
      </c>
      <c r="R138">
        <v>66.2</v>
      </c>
      <c r="S138">
        <v>52.55</v>
      </c>
      <c r="T138">
        <v>59.27</v>
      </c>
    </row>
    <row r="139" spans="1:20" x14ac:dyDescent="0.25">
      <c r="A139" t="s">
        <v>17</v>
      </c>
    </row>
    <row r="140" spans="1:20" x14ac:dyDescent="0.25">
      <c r="A140" t="s">
        <v>651</v>
      </c>
    </row>
    <row r="141" spans="1:20" x14ac:dyDescent="0.25">
      <c r="A141" t="s">
        <v>652</v>
      </c>
      <c r="B141">
        <v>25.8</v>
      </c>
      <c r="C141">
        <v>27.1</v>
      </c>
      <c r="D141">
        <v>26.9</v>
      </c>
      <c r="E141">
        <v>32.700000000000003</v>
      </c>
      <c r="F141">
        <v>46.8</v>
      </c>
      <c r="G141">
        <v>70.7</v>
      </c>
      <c r="H141">
        <v>73.2</v>
      </c>
      <c r="I141">
        <v>92.9</v>
      </c>
      <c r="J141">
        <v>103.1</v>
      </c>
      <c r="K141">
        <v>148.4</v>
      </c>
      <c r="L141">
        <v>128.80000000000001</v>
      </c>
      <c r="M141">
        <v>177.2</v>
      </c>
      <c r="N141">
        <v>170.2</v>
      </c>
      <c r="O141">
        <v>225.67</v>
      </c>
      <c r="P141">
        <v>289.42</v>
      </c>
      <c r="Q141">
        <v>467.73</v>
      </c>
      <c r="R141">
        <v>691.53</v>
      </c>
      <c r="S141" s="2">
        <v>1332.75</v>
      </c>
      <c r="T141" s="2">
        <v>1533.35</v>
      </c>
    </row>
    <row r="142" spans="1:20" x14ac:dyDescent="0.25">
      <c r="A142" t="s">
        <v>653</v>
      </c>
      <c r="B142">
        <v>5.6</v>
      </c>
      <c r="C142">
        <v>5.0999999999999996</v>
      </c>
      <c r="D142">
        <v>6.1</v>
      </c>
      <c r="E142">
        <v>7.5</v>
      </c>
      <c r="F142">
        <v>12.6</v>
      </c>
      <c r="G142">
        <v>15.1</v>
      </c>
      <c r="H142">
        <v>16.100000000000001</v>
      </c>
      <c r="I142">
        <v>19.2</v>
      </c>
      <c r="J142">
        <v>20.8</v>
      </c>
      <c r="K142">
        <v>30.1</v>
      </c>
      <c r="L142">
        <v>31.7</v>
      </c>
      <c r="M142">
        <v>36.9</v>
      </c>
      <c r="N142">
        <v>39.5</v>
      </c>
      <c r="O142">
        <v>54.46</v>
      </c>
      <c r="P142">
        <v>77.7</v>
      </c>
      <c r="Q142">
        <v>127.6</v>
      </c>
      <c r="R142">
        <v>181.1</v>
      </c>
      <c r="S142">
        <v>333.19</v>
      </c>
      <c r="T142">
        <v>383.34</v>
      </c>
    </row>
    <row r="143" spans="1:20" x14ac:dyDescent="0.25">
      <c r="A143" t="s">
        <v>114</v>
      </c>
      <c r="B143">
        <v>7.3</v>
      </c>
      <c r="C143">
        <v>7.3</v>
      </c>
      <c r="D143">
        <v>9</v>
      </c>
      <c r="E143">
        <v>11.6</v>
      </c>
      <c r="F143">
        <v>14.2</v>
      </c>
      <c r="G143">
        <v>13.8</v>
      </c>
      <c r="H143">
        <v>15.9</v>
      </c>
      <c r="I143">
        <v>19.5</v>
      </c>
      <c r="J143">
        <v>22.1</v>
      </c>
      <c r="K143">
        <v>41.4</v>
      </c>
      <c r="L143">
        <v>38.1</v>
      </c>
      <c r="M143">
        <v>43.3</v>
      </c>
      <c r="N143">
        <v>38.799999999999997</v>
      </c>
    </row>
    <row r="144" spans="1:20" x14ac:dyDescent="0.25">
      <c r="A144" t="s">
        <v>654</v>
      </c>
      <c r="B144">
        <v>12.9</v>
      </c>
      <c r="C144">
        <v>14.7</v>
      </c>
      <c r="D144">
        <v>11.8</v>
      </c>
      <c r="E144">
        <v>13.6</v>
      </c>
      <c r="F144">
        <v>20</v>
      </c>
      <c r="G144">
        <v>41.8</v>
      </c>
      <c r="H144">
        <v>41.2</v>
      </c>
      <c r="I144">
        <v>54.2</v>
      </c>
      <c r="J144">
        <v>60.2</v>
      </c>
      <c r="K144">
        <v>76.900000000000006</v>
      </c>
      <c r="L144">
        <v>59</v>
      </c>
      <c r="M144">
        <v>97</v>
      </c>
      <c r="N144">
        <v>91.9</v>
      </c>
    </row>
    <row r="145" spans="1:20" x14ac:dyDescent="0.25">
      <c r="A145" t="s">
        <v>655</v>
      </c>
      <c r="B145">
        <v>4.8</v>
      </c>
      <c r="C145">
        <v>11.6</v>
      </c>
      <c r="D145">
        <v>7.7</v>
      </c>
      <c r="E145">
        <v>12</v>
      </c>
      <c r="F145">
        <v>7.2</v>
      </c>
      <c r="G145">
        <v>31.9</v>
      </c>
      <c r="H145">
        <v>8</v>
      </c>
      <c r="I145">
        <v>7.7</v>
      </c>
      <c r="J145">
        <v>-1.1000000000000001</v>
      </c>
      <c r="K145">
        <v>28.1</v>
      </c>
      <c r="L145">
        <v>72.599999999999994</v>
      </c>
      <c r="M145">
        <v>22.8</v>
      </c>
      <c r="N145">
        <v>11.4</v>
      </c>
      <c r="O145">
        <v>8</v>
      </c>
      <c r="P145">
        <v>8</v>
      </c>
      <c r="Q145">
        <v>4</v>
      </c>
    </row>
    <row r="146" spans="1:20" x14ac:dyDescent="0.25">
      <c r="A146" t="s">
        <v>130</v>
      </c>
      <c r="D146">
        <v>-2.6</v>
      </c>
      <c r="E146">
        <v>40.6</v>
      </c>
      <c r="G146">
        <v>-10.199999999999999</v>
      </c>
      <c r="H146">
        <v>9.8000000000000007</v>
      </c>
      <c r="I146">
        <v>24.8</v>
      </c>
      <c r="J146">
        <v>-40</v>
      </c>
      <c r="K146">
        <v>-24.3</v>
      </c>
      <c r="L146">
        <v>-129.19999999999999</v>
      </c>
      <c r="M146">
        <v>-226.9</v>
      </c>
      <c r="N146">
        <v>-392.3</v>
      </c>
      <c r="O146">
        <v>-75.11</v>
      </c>
      <c r="P146">
        <v>-306.10000000000002</v>
      </c>
      <c r="Q146">
        <v>-127.95</v>
      </c>
      <c r="R146">
        <v>-186.62</v>
      </c>
      <c r="S146">
        <v>-583.17999999999995</v>
      </c>
      <c r="T146">
        <v>-670.57</v>
      </c>
    </row>
    <row r="147" spans="1:20" x14ac:dyDescent="0.25">
      <c r="A147" t="s">
        <v>17</v>
      </c>
    </row>
    <row r="148" spans="1:20" x14ac:dyDescent="0.25">
      <c r="A148" t="s">
        <v>134</v>
      </c>
    </row>
    <row r="149" spans="1:20" x14ac:dyDescent="0.25">
      <c r="A149" t="s">
        <v>135</v>
      </c>
    </row>
    <row r="150" spans="1:20" x14ac:dyDescent="0.25">
      <c r="A150" t="s">
        <v>136</v>
      </c>
      <c r="B150">
        <v>286</v>
      </c>
      <c r="C150">
        <v>310.8</v>
      </c>
      <c r="D150">
        <v>489.5</v>
      </c>
      <c r="E150">
        <v>930.3</v>
      </c>
      <c r="F150" s="2">
        <v>1127.2</v>
      </c>
      <c r="G150" s="2">
        <v>1332.8</v>
      </c>
      <c r="H150" s="2">
        <v>2050</v>
      </c>
      <c r="I150" s="2">
        <v>2436.8000000000002</v>
      </c>
      <c r="J150" s="2">
        <v>3139.2</v>
      </c>
      <c r="K150" s="2">
        <v>2777.9</v>
      </c>
      <c r="L150" s="2">
        <v>1590.1</v>
      </c>
      <c r="M150" s="2">
        <v>1717.3</v>
      </c>
      <c r="N150" s="2">
        <v>4161.8999999999996</v>
      </c>
      <c r="O150" s="2">
        <v>4935.6499999999996</v>
      </c>
      <c r="P150" s="2">
        <v>8673.7999999999993</v>
      </c>
      <c r="Q150" s="2">
        <v>15331.66</v>
      </c>
      <c r="R150" s="2">
        <v>23127.75</v>
      </c>
      <c r="S150" s="2">
        <v>29285</v>
      </c>
      <c r="T150" s="2">
        <v>37913.08</v>
      </c>
    </row>
    <row r="151" spans="1:20" x14ac:dyDescent="0.25">
      <c r="A151" t="s">
        <v>405</v>
      </c>
      <c r="B151">
        <v>19.899999999999999</v>
      </c>
      <c r="C151">
        <v>14.5</v>
      </c>
      <c r="D151">
        <v>157.1</v>
      </c>
      <c r="E151">
        <v>555.29999999999995</v>
      </c>
      <c r="F151">
        <v>711.5</v>
      </c>
      <c r="G151">
        <v>768.5</v>
      </c>
      <c r="H151" s="2">
        <v>1553.8</v>
      </c>
      <c r="I151" s="2">
        <v>1946</v>
      </c>
      <c r="J151" s="2">
        <v>2549</v>
      </c>
      <c r="K151" s="2">
        <v>2013.6</v>
      </c>
      <c r="L151">
        <v>887</v>
      </c>
      <c r="M151">
        <v>877.1</v>
      </c>
      <c r="N151" s="2">
        <v>2738.4</v>
      </c>
      <c r="O151" s="2">
        <v>1799.91</v>
      </c>
      <c r="P151" s="2">
        <v>5005.3599999999997</v>
      </c>
      <c r="Q151" s="2">
        <v>11167.66</v>
      </c>
      <c r="R151" s="2">
        <v>16571.97</v>
      </c>
    </row>
    <row r="152" spans="1:20" x14ac:dyDescent="0.25">
      <c r="A152" t="s">
        <v>139</v>
      </c>
      <c r="B152">
        <v>19.899999999999999</v>
      </c>
      <c r="C152">
        <v>14.5</v>
      </c>
      <c r="D152">
        <v>157.1</v>
      </c>
      <c r="E152">
        <v>272.89999999999998</v>
      </c>
      <c r="F152">
        <v>397.3</v>
      </c>
      <c r="G152">
        <v>432.6</v>
      </c>
      <c r="H152">
        <v>298</v>
      </c>
      <c r="I152">
        <v>774.3</v>
      </c>
      <c r="J152" s="2">
        <v>1290.2</v>
      </c>
      <c r="K152">
        <v>859</v>
      </c>
      <c r="L152">
        <v>436.7</v>
      </c>
      <c r="M152">
        <v>520.70000000000005</v>
      </c>
      <c r="N152" s="2">
        <v>2043.5</v>
      </c>
      <c r="O152" s="2">
        <v>2764.09</v>
      </c>
      <c r="P152" s="2">
        <v>5111.0600000000004</v>
      </c>
      <c r="Q152" s="2">
        <v>8783.08</v>
      </c>
      <c r="R152" s="2">
        <v>14943.49</v>
      </c>
      <c r="S152" s="2">
        <v>21637.45</v>
      </c>
      <c r="T152" s="2">
        <v>29342.93</v>
      </c>
    </row>
    <row r="153" spans="1:20" x14ac:dyDescent="0.25">
      <c r="A153" t="s">
        <v>140</v>
      </c>
      <c r="B153">
        <v>0</v>
      </c>
      <c r="C153">
        <v>0</v>
      </c>
      <c r="D153">
        <v>0</v>
      </c>
      <c r="E153">
        <v>282.39999999999998</v>
      </c>
      <c r="F153">
        <v>314.2</v>
      </c>
      <c r="G153">
        <v>335.9</v>
      </c>
      <c r="H153" s="2">
        <v>1255.8</v>
      </c>
      <c r="I153" s="2">
        <v>1171.7</v>
      </c>
      <c r="J153" s="2">
        <v>1258.8</v>
      </c>
      <c r="K153" s="2">
        <v>1154.5999999999999</v>
      </c>
      <c r="L153">
        <v>450.3</v>
      </c>
      <c r="M153">
        <v>356.4</v>
      </c>
      <c r="N153">
        <v>694.9</v>
      </c>
      <c r="O153">
        <v>694.9</v>
      </c>
      <c r="P153">
        <v>694.9</v>
      </c>
      <c r="Q153">
        <v>694.9</v>
      </c>
      <c r="R153">
        <v>694.9</v>
      </c>
      <c r="S153">
        <v>694.9</v>
      </c>
      <c r="T153">
        <v>694.9</v>
      </c>
    </row>
    <row r="154" spans="1:20" x14ac:dyDescent="0.25">
      <c r="A154" t="s">
        <v>656</v>
      </c>
      <c r="B154">
        <v>136.5</v>
      </c>
      <c r="C154">
        <v>150.5</v>
      </c>
      <c r="D154">
        <v>170.5</v>
      </c>
      <c r="E154">
        <v>166.3</v>
      </c>
      <c r="F154">
        <v>197.1</v>
      </c>
      <c r="G154">
        <v>238</v>
      </c>
      <c r="H154">
        <v>233.5</v>
      </c>
      <c r="I154">
        <v>212.8</v>
      </c>
      <c r="J154">
        <v>262</v>
      </c>
      <c r="K154">
        <v>246.1</v>
      </c>
      <c r="L154">
        <v>194.7</v>
      </c>
      <c r="M154">
        <v>250</v>
      </c>
      <c r="N154">
        <v>520.29999999999995</v>
      </c>
      <c r="O154" s="2">
        <v>1053.76</v>
      </c>
      <c r="P154" s="2">
        <v>1502.58</v>
      </c>
      <c r="Q154" s="2">
        <v>2099.6</v>
      </c>
      <c r="R154" s="2">
        <v>2907.47</v>
      </c>
      <c r="S154" s="2">
        <v>2318.88</v>
      </c>
      <c r="T154" s="2">
        <v>2617.58</v>
      </c>
    </row>
    <row r="155" spans="1:20" x14ac:dyDescent="0.25">
      <c r="A155" t="s">
        <v>340</v>
      </c>
      <c r="B155">
        <v>96.5</v>
      </c>
      <c r="C155">
        <v>99.7</v>
      </c>
      <c r="D155">
        <v>100.6</v>
      </c>
      <c r="E155">
        <v>145.19999999999999</v>
      </c>
      <c r="F155">
        <v>153.6</v>
      </c>
      <c r="G155">
        <v>228.8</v>
      </c>
      <c r="H155">
        <v>188.9</v>
      </c>
      <c r="I155">
        <v>196.4</v>
      </c>
      <c r="J155">
        <v>250.1</v>
      </c>
      <c r="K155">
        <v>408.6</v>
      </c>
      <c r="L155">
        <v>398.4</v>
      </c>
      <c r="M155">
        <v>470.1</v>
      </c>
      <c r="N155">
        <v>691.6</v>
      </c>
      <c r="O155" s="2">
        <v>1225.1300000000001</v>
      </c>
      <c r="P155" s="2">
        <v>1666.22</v>
      </c>
      <c r="Q155" s="2">
        <v>2300.4</v>
      </c>
      <c r="R155" s="2">
        <v>2950.24</v>
      </c>
      <c r="S155" s="2">
        <v>3523.14</v>
      </c>
      <c r="T155" s="2">
        <v>3979.88</v>
      </c>
    </row>
    <row r="156" spans="1:20" x14ac:dyDescent="0.25">
      <c r="A156" t="s">
        <v>428</v>
      </c>
      <c r="B156">
        <v>33.1</v>
      </c>
      <c r="C156">
        <v>46.1</v>
      </c>
      <c r="D156">
        <v>61.3</v>
      </c>
      <c r="E156">
        <v>63.5</v>
      </c>
      <c r="F156">
        <v>65</v>
      </c>
      <c r="G156">
        <v>97.5</v>
      </c>
      <c r="H156">
        <v>73.8</v>
      </c>
      <c r="I156">
        <v>81.599999999999994</v>
      </c>
      <c r="J156">
        <v>78.099999999999994</v>
      </c>
      <c r="K156">
        <v>109.6</v>
      </c>
      <c r="L156">
        <v>110</v>
      </c>
      <c r="M156">
        <v>120.1</v>
      </c>
      <c r="N156">
        <v>211.6</v>
      </c>
      <c r="O156">
        <v>250.98</v>
      </c>
      <c r="P156">
        <v>303.55</v>
      </c>
      <c r="Q156">
        <v>466.78</v>
      </c>
      <c r="R156">
        <v>797.4</v>
      </c>
      <c r="S156" s="2">
        <v>1110.6199999999999</v>
      </c>
      <c r="T156" s="2">
        <v>1277.79</v>
      </c>
    </row>
    <row r="157" spans="1:20" x14ac:dyDescent="0.25">
      <c r="A157" t="s">
        <v>146</v>
      </c>
    </row>
    <row r="158" spans="1:20" x14ac:dyDescent="0.25">
      <c r="A158" t="s">
        <v>409</v>
      </c>
      <c r="B158">
        <v>136.5</v>
      </c>
      <c r="C158">
        <v>143.19999999999999</v>
      </c>
      <c r="D158">
        <v>183.4</v>
      </c>
      <c r="E158">
        <v>273.5</v>
      </c>
      <c r="F158">
        <v>306.89999999999998</v>
      </c>
      <c r="G158">
        <v>433.3</v>
      </c>
      <c r="H158">
        <v>393</v>
      </c>
      <c r="I158">
        <v>361.1</v>
      </c>
      <c r="J158">
        <v>360.5</v>
      </c>
      <c r="K158">
        <v>489.5</v>
      </c>
      <c r="L158">
        <v>572.5</v>
      </c>
      <c r="M158">
        <v>726.4</v>
      </c>
      <c r="N158" s="2">
        <v>1159.0999999999999</v>
      </c>
      <c r="O158" s="2">
        <v>1606.53</v>
      </c>
      <c r="P158" s="2">
        <v>2245.0100000000002</v>
      </c>
      <c r="Q158" s="2">
        <v>3002.23</v>
      </c>
      <c r="R158" s="2">
        <v>4764.16</v>
      </c>
      <c r="S158" s="2">
        <v>2350.91</v>
      </c>
      <c r="T158" s="2">
        <v>2540.09</v>
      </c>
    </row>
    <row r="159" spans="1:20" x14ac:dyDescent="0.25">
      <c r="A159" t="s">
        <v>312</v>
      </c>
      <c r="B159">
        <v>35.799999999999997</v>
      </c>
      <c r="C159">
        <v>27.4</v>
      </c>
      <c r="D159">
        <v>19.899999999999999</v>
      </c>
      <c r="E159">
        <v>21.5</v>
      </c>
      <c r="F159">
        <v>18.3</v>
      </c>
      <c r="G159">
        <v>764.3</v>
      </c>
      <c r="H159">
        <v>685.7</v>
      </c>
      <c r="I159">
        <v>610.1</v>
      </c>
      <c r="J159">
        <v>524.6</v>
      </c>
      <c r="K159" s="2">
        <v>1154.3</v>
      </c>
      <c r="L159" s="2">
        <v>1673.3</v>
      </c>
      <c r="M159" s="2">
        <v>1526</v>
      </c>
      <c r="N159" s="2">
        <v>1396.2</v>
      </c>
      <c r="O159" s="2">
        <v>1330.7</v>
      </c>
      <c r="P159" s="2">
        <v>1139</v>
      </c>
    </row>
    <row r="160" spans="1:20" x14ac:dyDescent="0.25">
      <c r="A160" t="s">
        <v>152</v>
      </c>
      <c r="B160">
        <v>5.9</v>
      </c>
      <c r="C160">
        <v>5.6</v>
      </c>
      <c r="D160">
        <v>5.4</v>
      </c>
      <c r="E160">
        <v>11.4</v>
      </c>
      <c r="F160">
        <v>11.3</v>
      </c>
      <c r="G160">
        <v>368.9</v>
      </c>
      <c r="H160">
        <v>368.9</v>
      </c>
      <c r="I160">
        <v>368.9</v>
      </c>
      <c r="J160">
        <v>368.9</v>
      </c>
      <c r="K160">
        <v>695.1</v>
      </c>
      <c r="L160" s="2">
        <v>1055.8</v>
      </c>
      <c r="M160" s="2">
        <v>1060.9000000000001</v>
      </c>
      <c r="N160" s="2">
        <v>1069.3</v>
      </c>
      <c r="O160">
        <v>983.28</v>
      </c>
      <c r="P160">
        <v>974.41</v>
      </c>
      <c r="Q160">
        <v>902.7</v>
      </c>
      <c r="R160">
        <v>726.27</v>
      </c>
      <c r="S160" s="2">
        <v>1069.3</v>
      </c>
      <c r="T160" s="2">
        <v>1069.3</v>
      </c>
    </row>
    <row r="161" spans="1:20" x14ac:dyDescent="0.25">
      <c r="A161" t="s">
        <v>657</v>
      </c>
      <c r="B161">
        <v>29.9</v>
      </c>
      <c r="C161">
        <v>21.8</v>
      </c>
      <c r="D161">
        <v>14.5</v>
      </c>
      <c r="E161">
        <v>10.1</v>
      </c>
      <c r="F161">
        <v>7</v>
      </c>
      <c r="G161">
        <v>395.4</v>
      </c>
      <c r="H161">
        <v>316.8</v>
      </c>
      <c r="I161">
        <v>241.2</v>
      </c>
      <c r="J161">
        <v>155.69999999999999</v>
      </c>
      <c r="K161">
        <v>459.2</v>
      </c>
      <c r="L161">
        <v>617.5</v>
      </c>
      <c r="M161">
        <v>465.1</v>
      </c>
      <c r="N161">
        <v>326.89999999999998</v>
      </c>
      <c r="O161">
        <v>357.52</v>
      </c>
      <c r="P161">
        <v>332.73</v>
      </c>
      <c r="Q161">
        <v>434.62</v>
      </c>
      <c r="R161">
        <v>813.2</v>
      </c>
      <c r="S161" s="2">
        <v>-1533.79</v>
      </c>
      <c r="T161" s="2">
        <v>-2794.92</v>
      </c>
    </row>
    <row r="162" spans="1:20" x14ac:dyDescent="0.25">
      <c r="A162" t="s">
        <v>604</v>
      </c>
      <c r="B162">
        <v>33.299999999999997</v>
      </c>
      <c r="C162">
        <v>30.3</v>
      </c>
      <c r="D162">
        <v>31.9</v>
      </c>
      <c r="E162">
        <v>3.9</v>
      </c>
      <c r="F162">
        <v>125.6</v>
      </c>
      <c r="G162">
        <v>169.6</v>
      </c>
      <c r="H162">
        <v>81.2</v>
      </c>
      <c r="I162">
        <v>72.900000000000006</v>
      </c>
      <c r="J162">
        <v>27</v>
      </c>
      <c r="K162">
        <v>116.3</v>
      </c>
      <c r="L162">
        <v>10.7</v>
      </c>
      <c r="M162">
        <v>210.3</v>
      </c>
      <c r="N162">
        <v>530.9</v>
      </c>
      <c r="O162">
        <v>530.9</v>
      </c>
      <c r="P162">
        <v>530.91</v>
      </c>
      <c r="Q162">
        <v>530.9</v>
      </c>
      <c r="R162">
        <v>530.9</v>
      </c>
      <c r="S162">
        <v>530.9</v>
      </c>
      <c r="T162">
        <v>530.9</v>
      </c>
    </row>
    <row r="163" spans="1:20" x14ac:dyDescent="0.25">
      <c r="A163" t="s">
        <v>154</v>
      </c>
      <c r="B163">
        <v>0.5</v>
      </c>
      <c r="C163">
        <v>0.9</v>
      </c>
      <c r="D163">
        <v>1.6</v>
      </c>
      <c r="E163">
        <v>3.7</v>
      </c>
      <c r="F163">
        <v>3.5</v>
      </c>
      <c r="G163">
        <v>16.600000000000001</v>
      </c>
      <c r="H163">
        <v>4</v>
      </c>
      <c r="I163">
        <v>3.3</v>
      </c>
      <c r="J163">
        <v>37.299999999999997</v>
      </c>
      <c r="K163">
        <v>16.8</v>
      </c>
      <c r="L163">
        <v>12.5</v>
      </c>
      <c r="M163">
        <v>10.8</v>
      </c>
      <c r="N163">
        <v>30.2</v>
      </c>
      <c r="O163">
        <v>35.229999999999997</v>
      </c>
      <c r="P163">
        <v>38.58</v>
      </c>
      <c r="Q163">
        <v>52.84</v>
      </c>
      <c r="R163">
        <v>74.47</v>
      </c>
      <c r="S163">
        <v>30.2</v>
      </c>
      <c r="T163">
        <v>30.2</v>
      </c>
    </row>
    <row r="164" spans="1:20" x14ac:dyDescent="0.25">
      <c r="A164" t="s">
        <v>155</v>
      </c>
      <c r="B164">
        <v>492.1</v>
      </c>
      <c r="C164">
        <v>512.6</v>
      </c>
      <c r="D164">
        <v>726.3</v>
      </c>
      <c r="E164" s="2">
        <v>1232.9000000000001</v>
      </c>
      <c r="F164" s="2">
        <v>1581.5</v>
      </c>
      <c r="G164" s="2">
        <v>2716.6</v>
      </c>
      <c r="H164" s="2">
        <v>3292.6</v>
      </c>
      <c r="I164" s="2">
        <v>3551.6</v>
      </c>
      <c r="J164" s="2">
        <v>4162.2</v>
      </c>
      <c r="K164" s="2">
        <v>4632.1000000000004</v>
      </c>
      <c r="L164" s="2">
        <v>3931.9</v>
      </c>
      <c r="M164" s="2">
        <v>4218.7</v>
      </c>
      <c r="N164" s="2">
        <v>7307.5</v>
      </c>
      <c r="O164" s="2">
        <v>8519.4599999999991</v>
      </c>
      <c r="P164" s="2">
        <v>12726.65</v>
      </c>
      <c r="Q164" s="2">
        <v>19399.38</v>
      </c>
      <c r="R164" s="2">
        <v>29453.99</v>
      </c>
      <c r="S164" s="2">
        <v>31761.72</v>
      </c>
      <c r="T164" s="2">
        <v>39317.85</v>
      </c>
    </row>
    <row r="165" spans="1:20" x14ac:dyDescent="0.25">
      <c r="A165" t="s">
        <v>17</v>
      </c>
    </row>
    <row r="166" spans="1:20" x14ac:dyDescent="0.25">
      <c r="A166" t="s">
        <v>156</v>
      </c>
    </row>
    <row r="167" spans="1:20" x14ac:dyDescent="0.25">
      <c r="A167" t="s">
        <v>157</v>
      </c>
      <c r="B167">
        <v>136.9</v>
      </c>
      <c r="C167">
        <v>122.2</v>
      </c>
      <c r="D167">
        <v>173.7</v>
      </c>
      <c r="E167">
        <v>184.2</v>
      </c>
      <c r="F167">
        <v>214</v>
      </c>
      <c r="G167">
        <v>294</v>
      </c>
      <c r="H167">
        <v>283</v>
      </c>
      <c r="I167">
        <v>664.6</v>
      </c>
      <c r="J167">
        <v>716.5</v>
      </c>
      <c r="K167">
        <v>633.79999999999995</v>
      </c>
      <c r="L167">
        <v>269.3</v>
      </c>
      <c r="M167">
        <v>392.8</v>
      </c>
      <c r="N167" s="2">
        <v>2480.5</v>
      </c>
      <c r="O167" s="2">
        <v>2793.71</v>
      </c>
      <c r="P167" s="2">
        <v>3112.79</v>
      </c>
      <c r="Q167" s="2">
        <v>3901.32</v>
      </c>
      <c r="R167" s="2">
        <v>6148.88</v>
      </c>
      <c r="S167" s="2">
        <v>4854.3</v>
      </c>
      <c r="T167" s="2">
        <v>5506.82</v>
      </c>
    </row>
    <row r="168" spans="1:20" x14ac:dyDescent="0.25">
      <c r="A168" t="s">
        <v>658</v>
      </c>
      <c r="B168">
        <v>82.1</v>
      </c>
      <c r="C168">
        <v>77.900000000000006</v>
      </c>
      <c r="D168">
        <v>118.3</v>
      </c>
      <c r="E168">
        <v>114.8</v>
      </c>
      <c r="F168">
        <v>126.5</v>
      </c>
      <c r="G168">
        <v>160.80000000000001</v>
      </c>
      <c r="H168">
        <v>150.80000000000001</v>
      </c>
      <c r="I168">
        <v>116.9</v>
      </c>
      <c r="J168">
        <v>156.69999999999999</v>
      </c>
      <c r="K168">
        <v>169.4</v>
      </c>
      <c r="L168">
        <v>126.3</v>
      </c>
      <c r="M168">
        <v>225.2</v>
      </c>
      <c r="N168">
        <v>567.4</v>
      </c>
      <c r="O168">
        <v>890.61</v>
      </c>
      <c r="P168" s="2">
        <v>1195.9000000000001</v>
      </c>
      <c r="Q168" s="2">
        <v>1641.13</v>
      </c>
      <c r="R168" s="2">
        <v>2684.93</v>
      </c>
      <c r="S168" s="2">
        <v>2450.88</v>
      </c>
      <c r="T168" s="2">
        <v>2768.61</v>
      </c>
    </row>
    <row r="169" spans="1:20" x14ac:dyDescent="0.25">
      <c r="A169" t="s">
        <v>659</v>
      </c>
      <c r="B169">
        <v>19.2</v>
      </c>
      <c r="C169">
        <v>17.7</v>
      </c>
      <c r="D169">
        <v>26.5</v>
      </c>
      <c r="E169">
        <v>27.5</v>
      </c>
      <c r="F169">
        <v>31.5</v>
      </c>
      <c r="G169">
        <v>42.3</v>
      </c>
      <c r="H169">
        <v>53.4</v>
      </c>
      <c r="I169">
        <v>54.3</v>
      </c>
      <c r="J169">
        <v>54.6</v>
      </c>
      <c r="K169">
        <v>39.4</v>
      </c>
      <c r="L169">
        <v>36.1</v>
      </c>
      <c r="M169">
        <v>57.9</v>
      </c>
      <c r="N169">
        <v>146.30000000000001</v>
      </c>
      <c r="O169">
        <v>218.44</v>
      </c>
      <c r="P169">
        <v>295.02999999999997</v>
      </c>
      <c r="Q169">
        <v>553.96</v>
      </c>
      <c r="R169">
        <v>837.29</v>
      </c>
      <c r="S169">
        <v>887.84</v>
      </c>
      <c r="T169" s="2">
        <v>1021.47</v>
      </c>
    </row>
    <row r="170" spans="1:20" x14ac:dyDescent="0.25">
      <c r="A170" t="s">
        <v>201</v>
      </c>
      <c r="B170">
        <v>9.4</v>
      </c>
      <c r="C170">
        <v>11.5</v>
      </c>
      <c r="D170">
        <v>14.9</v>
      </c>
      <c r="E170">
        <v>19.3</v>
      </c>
      <c r="F170">
        <v>33.9</v>
      </c>
      <c r="G170">
        <v>46.7</v>
      </c>
      <c r="H170">
        <v>23.7</v>
      </c>
      <c r="I170">
        <v>33.1</v>
      </c>
      <c r="J170">
        <v>44.7</v>
      </c>
      <c r="K170">
        <v>51.2</v>
      </c>
      <c r="L170">
        <v>52.4</v>
      </c>
      <c r="M170">
        <v>34.6</v>
      </c>
      <c r="N170">
        <v>64.900000000000006</v>
      </c>
      <c r="O170">
        <v>93.53</v>
      </c>
      <c r="P170">
        <v>123.06</v>
      </c>
      <c r="Q170">
        <v>190.96</v>
      </c>
      <c r="R170">
        <v>280.56</v>
      </c>
      <c r="S170">
        <v>64.900000000000006</v>
      </c>
      <c r="T170">
        <v>64.900000000000006</v>
      </c>
    </row>
    <row r="171" spans="1:20" x14ac:dyDescent="0.25">
      <c r="A171" t="s">
        <v>313</v>
      </c>
      <c r="D171">
        <v>0</v>
      </c>
      <c r="E171">
        <v>0</v>
      </c>
      <c r="F171">
        <v>0</v>
      </c>
      <c r="G171">
        <v>5</v>
      </c>
      <c r="H171">
        <v>0</v>
      </c>
      <c r="I171">
        <v>390.7</v>
      </c>
      <c r="J171">
        <v>409.9</v>
      </c>
      <c r="K171">
        <v>311.60000000000002</v>
      </c>
      <c r="L171">
        <v>0</v>
      </c>
      <c r="O171" s="2">
        <v>1435.56</v>
      </c>
      <c r="P171" s="2">
        <v>1298.17</v>
      </c>
      <c r="Q171" s="2">
        <v>1341.41</v>
      </c>
      <c r="R171" s="2">
        <v>1589.71</v>
      </c>
      <c r="S171" s="2">
        <v>1345.68</v>
      </c>
      <c r="T171" s="2">
        <v>1546.83</v>
      </c>
    </row>
    <row r="172" spans="1:20" x14ac:dyDescent="0.25">
      <c r="A172" t="s">
        <v>660</v>
      </c>
      <c r="H172">
        <v>10.8</v>
      </c>
      <c r="I172">
        <v>11.8</v>
      </c>
      <c r="J172">
        <v>11.2</v>
      </c>
      <c r="K172">
        <v>14.4</v>
      </c>
      <c r="L172">
        <v>13.4</v>
      </c>
      <c r="M172">
        <v>11.4</v>
      </c>
      <c r="N172">
        <v>13.5</v>
      </c>
    </row>
    <row r="173" spans="1:20" x14ac:dyDescent="0.25">
      <c r="A173" t="s">
        <v>314</v>
      </c>
      <c r="B173">
        <v>11.5</v>
      </c>
      <c r="C173">
        <v>11.4</v>
      </c>
      <c r="D173">
        <v>12.1</v>
      </c>
      <c r="E173">
        <v>21.9</v>
      </c>
      <c r="F173">
        <v>22.1</v>
      </c>
      <c r="G173">
        <v>39.200000000000003</v>
      </c>
      <c r="H173">
        <v>44.3</v>
      </c>
      <c r="I173">
        <v>57.8</v>
      </c>
      <c r="J173">
        <v>39.4</v>
      </c>
      <c r="K173">
        <v>47.8</v>
      </c>
      <c r="L173">
        <v>41.1</v>
      </c>
      <c r="M173">
        <v>53.1</v>
      </c>
      <c r="N173">
        <v>91.5</v>
      </c>
      <c r="O173">
        <v>106.75</v>
      </c>
      <c r="P173">
        <v>244.55</v>
      </c>
      <c r="Q173">
        <v>333.03</v>
      </c>
      <c r="R173">
        <v>645.30999999999995</v>
      </c>
      <c r="S173">
        <v>91.5</v>
      </c>
      <c r="T173">
        <v>91.5</v>
      </c>
    </row>
    <row r="174" spans="1:20" x14ac:dyDescent="0.25">
      <c r="A174" t="s">
        <v>164</v>
      </c>
    </row>
    <row r="175" spans="1:20" x14ac:dyDescent="0.25">
      <c r="A175" t="s">
        <v>315</v>
      </c>
      <c r="B175">
        <v>0</v>
      </c>
      <c r="C175">
        <v>0</v>
      </c>
      <c r="D175">
        <v>0</v>
      </c>
      <c r="E175">
        <v>317.5</v>
      </c>
      <c r="F175">
        <v>334.2</v>
      </c>
      <c r="G175">
        <v>835.9</v>
      </c>
      <c r="H175" s="2">
        <v>1120.3</v>
      </c>
      <c r="I175">
        <v>789.8</v>
      </c>
      <c r="J175" s="2">
        <v>1466.1</v>
      </c>
      <c r="K175" s="2">
        <v>2500</v>
      </c>
      <c r="L175" s="2">
        <v>2503.1999999999998</v>
      </c>
      <c r="M175" s="2">
        <v>2562.6</v>
      </c>
      <c r="N175">
        <v>40.5</v>
      </c>
      <c r="O175">
        <v>360.13</v>
      </c>
      <c r="P175">
        <v>463.67</v>
      </c>
      <c r="Q175">
        <v>460.67</v>
      </c>
    </row>
    <row r="176" spans="1:20" x14ac:dyDescent="0.25">
      <c r="A176" t="s">
        <v>661</v>
      </c>
      <c r="H176">
        <v>57.6</v>
      </c>
      <c r="I176">
        <v>47.6</v>
      </c>
      <c r="J176">
        <v>48.8</v>
      </c>
      <c r="K176">
        <v>47.7</v>
      </c>
      <c r="L176">
        <v>43</v>
      </c>
      <c r="M176">
        <v>23.6</v>
      </c>
      <c r="N176">
        <v>20.3</v>
      </c>
    </row>
    <row r="177" spans="1:20" x14ac:dyDescent="0.25">
      <c r="A177" t="s">
        <v>501</v>
      </c>
      <c r="G177">
        <v>55.9</v>
      </c>
      <c r="H177">
        <v>46.5</v>
      </c>
      <c r="I177">
        <v>35.9</v>
      </c>
      <c r="J177">
        <v>12.9</v>
      </c>
      <c r="K177">
        <v>3.4</v>
      </c>
      <c r="L177">
        <v>55.7</v>
      </c>
      <c r="M177">
        <v>7.2</v>
      </c>
      <c r="N177">
        <v>7.1</v>
      </c>
      <c r="O177">
        <v>7.08</v>
      </c>
      <c r="P177">
        <v>7.08</v>
      </c>
      <c r="Q177">
        <v>7.08</v>
      </c>
      <c r="R177">
        <v>7.07</v>
      </c>
      <c r="S177">
        <v>7.1</v>
      </c>
      <c r="T177">
        <v>7.1</v>
      </c>
    </row>
    <row r="178" spans="1:20" x14ac:dyDescent="0.25">
      <c r="A178" t="s">
        <v>662</v>
      </c>
      <c r="B178">
        <v>19.600000000000001</v>
      </c>
      <c r="C178">
        <v>9.8000000000000007</v>
      </c>
      <c r="D178">
        <v>9.1</v>
      </c>
      <c r="E178">
        <v>25</v>
      </c>
      <c r="F178">
        <v>19</v>
      </c>
      <c r="G178">
        <v>33.700000000000003</v>
      </c>
      <c r="H178">
        <v>36</v>
      </c>
      <c r="I178">
        <v>40.9</v>
      </c>
      <c r="J178">
        <v>42.9</v>
      </c>
      <c r="K178">
        <v>91.4</v>
      </c>
      <c r="L178">
        <v>103.4</v>
      </c>
      <c r="M178">
        <v>97.8</v>
      </c>
      <c r="N178">
        <v>115.2</v>
      </c>
      <c r="O178">
        <v>115.2</v>
      </c>
      <c r="P178">
        <v>115.2</v>
      </c>
      <c r="Q178">
        <v>115.2</v>
      </c>
      <c r="R178">
        <v>115.2</v>
      </c>
      <c r="S178">
        <v>115.2</v>
      </c>
      <c r="T178">
        <v>115.2</v>
      </c>
    </row>
    <row r="179" spans="1:20" x14ac:dyDescent="0.25">
      <c r="A179" t="s">
        <v>167</v>
      </c>
      <c r="B179">
        <v>156.5</v>
      </c>
      <c r="C179">
        <v>132</v>
      </c>
      <c r="D179">
        <v>193.1</v>
      </c>
      <c r="E179">
        <v>578.29999999999995</v>
      </c>
      <c r="F179">
        <v>619.6</v>
      </c>
      <c r="G179" s="2">
        <v>1219.5</v>
      </c>
      <c r="H179" s="2">
        <v>1543.4</v>
      </c>
      <c r="I179" s="2">
        <v>1578.8</v>
      </c>
      <c r="J179" s="2">
        <v>2287.1999999999998</v>
      </c>
      <c r="K179" s="2">
        <v>3276.3</v>
      </c>
      <c r="L179" s="2">
        <v>2974.6</v>
      </c>
      <c r="M179" s="2">
        <v>3084</v>
      </c>
      <c r="N179" s="2">
        <v>2663.6</v>
      </c>
      <c r="O179" s="2">
        <v>3198.24</v>
      </c>
      <c r="P179" s="2">
        <v>3440.44</v>
      </c>
      <c r="Q179" s="2">
        <v>4354.8500000000004</v>
      </c>
      <c r="R179" s="2">
        <v>6278.13</v>
      </c>
      <c r="S179" s="2">
        <v>5010.49</v>
      </c>
      <c r="T179" s="2">
        <v>5665.04</v>
      </c>
    </row>
    <row r="180" spans="1:20" x14ac:dyDescent="0.25">
      <c r="A180" t="s">
        <v>170</v>
      </c>
      <c r="B180">
        <v>335.6</v>
      </c>
      <c r="C180">
        <v>380.6</v>
      </c>
      <c r="D180">
        <v>497.4</v>
      </c>
      <c r="E180">
        <v>618.79999999999995</v>
      </c>
      <c r="F180">
        <v>926.1</v>
      </c>
      <c r="G180" s="2">
        <v>1497.1</v>
      </c>
      <c r="H180" s="2">
        <v>1749.2</v>
      </c>
      <c r="I180" s="2">
        <v>1972.8</v>
      </c>
      <c r="J180" s="2">
        <v>1875</v>
      </c>
      <c r="K180" s="2">
        <v>1355.8</v>
      </c>
      <c r="L180">
        <v>957.3</v>
      </c>
      <c r="M180" s="2">
        <v>1134.7</v>
      </c>
      <c r="N180" s="2">
        <v>4643.8999999999996</v>
      </c>
      <c r="O180" s="2">
        <v>5776.14</v>
      </c>
      <c r="P180" s="2">
        <v>9088.9</v>
      </c>
      <c r="Q180" s="2">
        <v>15044.67</v>
      </c>
      <c r="R180" s="2">
        <v>23175.86</v>
      </c>
      <c r="S180" s="2">
        <v>26751.23</v>
      </c>
      <c r="T180" s="2">
        <v>33652.81</v>
      </c>
    </row>
    <row r="181" spans="1:20" x14ac:dyDescent="0.25">
      <c r="A181" t="s">
        <v>171</v>
      </c>
      <c r="D181">
        <v>0.1</v>
      </c>
      <c r="E181">
        <v>0.1</v>
      </c>
      <c r="F181">
        <v>0.1</v>
      </c>
      <c r="G181">
        <v>0.1</v>
      </c>
      <c r="H181">
        <v>0.1</v>
      </c>
      <c r="I181">
        <v>0.1</v>
      </c>
      <c r="J181">
        <v>0.1</v>
      </c>
      <c r="K181">
        <v>0.1</v>
      </c>
      <c r="L181">
        <v>0.1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</row>
    <row r="182" spans="1:20" x14ac:dyDescent="0.25">
      <c r="A182" t="s">
        <v>172</v>
      </c>
      <c r="D182">
        <v>467.7</v>
      </c>
      <c r="E182">
        <v>694.5</v>
      </c>
      <c r="F182">
        <v>753.2</v>
      </c>
      <c r="G182" s="2">
        <v>1360.8</v>
      </c>
      <c r="H182" s="2">
        <v>1676.6</v>
      </c>
      <c r="I182" s="2">
        <v>1743.6</v>
      </c>
      <c r="J182" s="2">
        <v>2003.6</v>
      </c>
      <c r="K182" s="2">
        <v>1692.2</v>
      </c>
      <c r="L182" s="2">
        <v>1835</v>
      </c>
      <c r="M182" s="2">
        <v>1986.8</v>
      </c>
      <c r="N182" s="2">
        <v>12430.1</v>
      </c>
      <c r="O182" s="2">
        <v>11167.07</v>
      </c>
      <c r="P182" s="2">
        <v>13007.54</v>
      </c>
      <c r="Q182" s="2">
        <v>12912.48</v>
      </c>
      <c r="R182" s="2">
        <v>13370.81</v>
      </c>
    </row>
    <row r="183" spans="1:20" x14ac:dyDescent="0.25">
      <c r="A183" t="s">
        <v>174</v>
      </c>
      <c r="B183">
        <v>22.7</v>
      </c>
      <c r="C183">
        <v>12.5</v>
      </c>
      <c r="D183">
        <v>9.4</v>
      </c>
      <c r="E183">
        <v>7.4</v>
      </c>
      <c r="F183">
        <v>6.4</v>
      </c>
      <c r="G183">
        <v>7.1</v>
      </c>
      <c r="H183">
        <v>7.9</v>
      </c>
      <c r="I183">
        <v>8.1999999999999993</v>
      </c>
      <c r="J183">
        <v>0.4</v>
      </c>
      <c r="K183">
        <v>4.0999999999999996</v>
      </c>
      <c r="L183">
        <v>9.3000000000000007</v>
      </c>
      <c r="M183">
        <v>9</v>
      </c>
      <c r="N183">
        <v>10</v>
      </c>
      <c r="O183">
        <v>10.02</v>
      </c>
      <c r="P183">
        <v>10.029999999999999</v>
      </c>
      <c r="Q183">
        <v>10.029999999999999</v>
      </c>
      <c r="R183">
        <v>10.050000000000001</v>
      </c>
    </row>
    <row r="184" spans="1:20" x14ac:dyDescent="0.25">
      <c r="A184" t="s">
        <v>173</v>
      </c>
      <c r="B184">
        <v>0</v>
      </c>
      <c r="C184">
        <v>0</v>
      </c>
      <c r="D184">
        <v>20.2</v>
      </c>
      <c r="E184">
        <v>-83.2</v>
      </c>
      <c r="F184">
        <v>166.4</v>
      </c>
      <c r="G184">
        <v>129.1</v>
      </c>
      <c r="H184">
        <v>64.599999999999994</v>
      </c>
      <c r="I184">
        <v>220.9</v>
      </c>
      <c r="J184">
        <v>-129.1</v>
      </c>
      <c r="K184">
        <v>-340.6</v>
      </c>
      <c r="L184">
        <v>-887.1</v>
      </c>
      <c r="M184">
        <v>-861.2</v>
      </c>
      <c r="N184" s="2">
        <v>-7796.3</v>
      </c>
      <c r="O184" s="2">
        <v>-6162.25</v>
      </c>
      <c r="P184" s="2">
        <v>-3139.8</v>
      </c>
      <c r="Q184" s="2">
        <v>2809.29</v>
      </c>
      <c r="R184" s="2">
        <v>11008.9</v>
      </c>
    </row>
    <row r="185" spans="1:20" x14ac:dyDescent="0.25">
      <c r="A185" t="s">
        <v>326</v>
      </c>
      <c r="B185">
        <v>492.1</v>
      </c>
      <c r="C185">
        <v>512.6</v>
      </c>
      <c r="D185">
        <v>726.3</v>
      </c>
      <c r="E185" s="2">
        <v>1232.9000000000001</v>
      </c>
      <c r="F185" s="2">
        <v>1581.5</v>
      </c>
      <c r="G185" s="2">
        <v>2716.6</v>
      </c>
      <c r="H185" s="2">
        <v>3292.6</v>
      </c>
      <c r="I185" s="2">
        <v>3551.6</v>
      </c>
      <c r="J185" s="2">
        <v>4162.2</v>
      </c>
      <c r="K185" s="2">
        <v>4632.1000000000004</v>
      </c>
      <c r="L185" s="2">
        <v>3931.9</v>
      </c>
      <c r="M185" s="2">
        <v>4218.7</v>
      </c>
      <c r="N185" s="2">
        <v>7307.5</v>
      </c>
      <c r="O185" s="2">
        <v>8519.4599999999991</v>
      </c>
      <c r="P185" s="2">
        <v>12726.65</v>
      </c>
      <c r="Q185" s="2">
        <v>19399.38</v>
      </c>
      <c r="R185" s="2">
        <v>29453.99</v>
      </c>
      <c r="S185" s="2">
        <v>31761.72</v>
      </c>
      <c r="T185" s="2">
        <v>39317.85</v>
      </c>
    </row>
    <row r="186" spans="1:20" x14ac:dyDescent="0.25">
      <c r="A186" t="s">
        <v>17</v>
      </c>
    </row>
    <row r="187" spans="1:20" x14ac:dyDescent="0.25">
      <c r="A187" t="s">
        <v>176</v>
      </c>
    </row>
    <row r="188" spans="1:20" x14ac:dyDescent="0.25">
      <c r="A188" t="s">
        <v>179</v>
      </c>
      <c r="C188">
        <v>-0.68</v>
      </c>
      <c r="D188">
        <v>1.5</v>
      </c>
      <c r="E188">
        <v>-10.46</v>
      </c>
      <c r="F188">
        <v>17.63</v>
      </c>
      <c r="G188">
        <v>-1.69</v>
      </c>
      <c r="H188">
        <v>4.51</v>
      </c>
      <c r="I188">
        <v>11.61</v>
      </c>
      <c r="J188">
        <v>5.16</v>
      </c>
      <c r="K188">
        <v>-2.99</v>
      </c>
      <c r="L188">
        <v>-12.76</v>
      </c>
      <c r="M188">
        <v>0.64</v>
      </c>
      <c r="N188">
        <v>-120.34</v>
      </c>
      <c r="O188">
        <v>23.32</v>
      </c>
      <c r="P188">
        <v>28.72</v>
      </c>
      <c r="Q188">
        <v>27.33</v>
      </c>
    </row>
    <row r="189" spans="1:20" x14ac:dyDescent="0.25">
      <c r="A189" t="s">
        <v>663</v>
      </c>
      <c r="D189">
        <v>0</v>
      </c>
      <c r="E189">
        <v>317.5</v>
      </c>
      <c r="F189">
        <v>334.2</v>
      </c>
      <c r="G189">
        <v>351.9</v>
      </c>
      <c r="H189" s="2">
        <v>1120.3</v>
      </c>
      <c r="I189">
        <v>789.8</v>
      </c>
      <c r="J189" s="2">
        <v>1466.1</v>
      </c>
      <c r="K189" s="2">
        <v>2500</v>
      </c>
      <c r="L189" s="2">
        <v>2503.1999999999998</v>
      </c>
      <c r="M189" s="2">
        <v>2562.6</v>
      </c>
      <c r="N189">
        <v>40.5</v>
      </c>
      <c r="O189">
        <v>424.29</v>
      </c>
      <c r="P189">
        <v>328.16</v>
      </c>
      <c r="Q189">
        <v>350.32</v>
      </c>
      <c r="R189">
        <v>28.24</v>
      </c>
      <c r="S189">
        <v>13.59</v>
      </c>
      <c r="T189">
        <v>15.62</v>
      </c>
    </row>
    <row r="190" spans="1:20" x14ac:dyDescent="0.25">
      <c r="A190" t="s">
        <v>186</v>
      </c>
      <c r="B190">
        <v>2.09</v>
      </c>
      <c r="C190">
        <v>2.54</v>
      </c>
      <c r="D190">
        <v>2.82</v>
      </c>
      <c r="E190">
        <v>5.05</v>
      </c>
      <c r="F190">
        <v>5.27</v>
      </c>
      <c r="G190">
        <v>4.53</v>
      </c>
      <c r="H190">
        <v>7.24</v>
      </c>
      <c r="I190">
        <v>3.67</v>
      </c>
      <c r="J190">
        <v>4.38</v>
      </c>
      <c r="K190">
        <v>4.38</v>
      </c>
      <c r="L190">
        <v>5.9</v>
      </c>
      <c r="M190">
        <v>4.37</v>
      </c>
      <c r="N190">
        <v>1.68</v>
      </c>
      <c r="O190">
        <v>2.2000000000000002</v>
      </c>
      <c r="P190">
        <v>2.8</v>
      </c>
      <c r="Q190">
        <v>3.1</v>
      </c>
      <c r="R190">
        <v>3.76</v>
      </c>
      <c r="S190">
        <v>6.03</v>
      </c>
      <c r="T190">
        <v>6.88</v>
      </c>
    </row>
    <row r="191" spans="1:20" x14ac:dyDescent="0.25">
      <c r="A191" t="s">
        <v>17</v>
      </c>
    </row>
    <row r="192" spans="1:20" x14ac:dyDescent="0.25">
      <c r="A192" t="s">
        <v>188</v>
      </c>
    </row>
    <row r="193" spans="1:20" x14ac:dyDescent="0.25">
      <c r="A193" t="s">
        <v>189</v>
      </c>
    </row>
    <row r="194" spans="1:20" x14ac:dyDescent="0.25">
      <c r="A194" t="s">
        <v>121</v>
      </c>
      <c r="D194">
        <v>-3.2</v>
      </c>
      <c r="E194">
        <v>-103.4</v>
      </c>
      <c r="F194">
        <v>241.5</v>
      </c>
      <c r="G194">
        <v>-37.9</v>
      </c>
      <c r="H194">
        <v>135.5</v>
      </c>
      <c r="I194">
        <v>397.3</v>
      </c>
      <c r="J194">
        <v>198.9</v>
      </c>
      <c r="K194">
        <v>-131.6</v>
      </c>
      <c r="L194">
        <v>-546.5</v>
      </c>
      <c r="M194">
        <v>25.9</v>
      </c>
      <c r="N194" s="2">
        <v>-6935.1</v>
      </c>
      <c r="O194" s="2">
        <v>1854.14</v>
      </c>
      <c r="P194" s="2">
        <v>3130.8</v>
      </c>
      <c r="Q194" s="2">
        <v>4610.4399999999996</v>
      </c>
      <c r="R194" s="2">
        <v>6738.33</v>
      </c>
      <c r="S194" s="2">
        <v>4691</v>
      </c>
      <c r="T194" s="2">
        <v>5388</v>
      </c>
    </row>
    <row r="195" spans="1:20" x14ac:dyDescent="0.25">
      <c r="A195" t="s">
        <v>94</v>
      </c>
      <c r="B195">
        <v>35.5</v>
      </c>
      <c r="C195">
        <v>43</v>
      </c>
      <c r="D195">
        <v>47.4</v>
      </c>
      <c r="E195">
        <v>54.2</v>
      </c>
      <c r="F195">
        <v>74</v>
      </c>
      <c r="G195">
        <v>102.9</v>
      </c>
      <c r="H195">
        <v>113.3</v>
      </c>
      <c r="I195">
        <v>91.4</v>
      </c>
      <c r="J195">
        <v>81.599999999999994</v>
      </c>
      <c r="K195">
        <v>106.6</v>
      </c>
      <c r="L195">
        <v>110.6</v>
      </c>
      <c r="M195">
        <v>104.3</v>
      </c>
      <c r="N195">
        <v>128.80000000000001</v>
      </c>
      <c r="O195">
        <v>179.84</v>
      </c>
      <c r="P195">
        <v>240.01</v>
      </c>
      <c r="Q195">
        <v>411.06</v>
      </c>
      <c r="R195">
        <v>441.74</v>
      </c>
      <c r="S195">
        <v>674.35</v>
      </c>
      <c r="T195">
        <v>705.27</v>
      </c>
    </row>
    <row r="196" spans="1:20" x14ac:dyDescent="0.25">
      <c r="A196" t="s">
        <v>61</v>
      </c>
      <c r="B196">
        <v>4.34</v>
      </c>
      <c r="C196">
        <v>5.14</v>
      </c>
      <c r="D196">
        <v>5.25</v>
      </c>
      <c r="E196">
        <v>5.41</v>
      </c>
      <c r="F196">
        <v>5.93</v>
      </c>
      <c r="G196">
        <v>6.57</v>
      </c>
      <c r="H196">
        <v>6.75</v>
      </c>
      <c r="I196">
        <v>5.24</v>
      </c>
      <c r="J196">
        <v>4.76</v>
      </c>
      <c r="K196">
        <v>6.03</v>
      </c>
      <c r="L196">
        <v>8.14</v>
      </c>
      <c r="M196">
        <v>6.34</v>
      </c>
      <c r="N196">
        <v>4.2699999999999996</v>
      </c>
      <c r="O196">
        <v>3.58</v>
      </c>
      <c r="P196">
        <v>3.17</v>
      </c>
      <c r="Q196">
        <v>3.94</v>
      </c>
    </row>
    <row r="197" spans="1:20" x14ac:dyDescent="0.25">
      <c r="A197" t="s">
        <v>67</v>
      </c>
      <c r="B197">
        <v>18.5</v>
      </c>
      <c r="C197">
        <v>18.2</v>
      </c>
      <c r="D197">
        <v>24.9</v>
      </c>
      <c r="E197">
        <v>28.9</v>
      </c>
      <c r="F197">
        <v>46.8</v>
      </c>
      <c r="G197">
        <v>60.7</v>
      </c>
      <c r="H197">
        <v>73.2</v>
      </c>
      <c r="I197">
        <v>92.9</v>
      </c>
      <c r="J197">
        <v>103.1</v>
      </c>
      <c r="K197">
        <v>148.4</v>
      </c>
      <c r="L197">
        <v>128.80000000000001</v>
      </c>
      <c r="M197">
        <v>177.2</v>
      </c>
      <c r="N197">
        <v>170.2</v>
      </c>
    </row>
    <row r="198" spans="1:20" x14ac:dyDescent="0.25">
      <c r="A198" t="s">
        <v>190</v>
      </c>
      <c r="B198">
        <v>44.8</v>
      </c>
      <c r="C198">
        <v>51</v>
      </c>
      <c r="D198">
        <v>54.6</v>
      </c>
      <c r="E198">
        <v>61</v>
      </c>
      <c r="F198">
        <v>77.2</v>
      </c>
      <c r="G198">
        <v>157.5</v>
      </c>
      <c r="H198">
        <v>191.9</v>
      </c>
      <c r="I198">
        <v>177.1</v>
      </c>
      <c r="J198">
        <v>167.1</v>
      </c>
      <c r="K198">
        <v>255.6</v>
      </c>
      <c r="L198">
        <v>290.3</v>
      </c>
      <c r="M198">
        <v>256.7</v>
      </c>
      <c r="N198">
        <v>267</v>
      </c>
      <c r="O198">
        <v>294.36</v>
      </c>
      <c r="P198">
        <v>318.14</v>
      </c>
      <c r="Q198">
        <v>333.93</v>
      </c>
      <c r="R198">
        <v>180.73</v>
      </c>
      <c r="S198" s="2">
        <v>2118.15</v>
      </c>
      <c r="T198" s="2">
        <v>2366.4</v>
      </c>
    </row>
    <row r="199" spans="1:20" x14ac:dyDescent="0.25">
      <c r="A199" t="s">
        <v>664</v>
      </c>
      <c r="B199">
        <v>9.3000000000000007</v>
      </c>
      <c r="C199">
        <v>8</v>
      </c>
      <c r="D199">
        <v>7.2</v>
      </c>
      <c r="E199">
        <v>6.8</v>
      </c>
      <c r="F199">
        <v>3.2</v>
      </c>
      <c r="G199">
        <v>54.6</v>
      </c>
      <c r="H199">
        <v>78.599999999999994</v>
      </c>
      <c r="I199">
        <v>85.7</v>
      </c>
      <c r="J199">
        <v>85.5</v>
      </c>
      <c r="K199">
        <v>127.7</v>
      </c>
      <c r="L199">
        <v>150.6</v>
      </c>
      <c r="M199">
        <v>149.69999999999999</v>
      </c>
      <c r="N199">
        <v>135.69999999999999</v>
      </c>
      <c r="O199">
        <v>139.19</v>
      </c>
      <c r="P199">
        <v>143.88</v>
      </c>
      <c r="Q199">
        <v>177.38</v>
      </c>
      <c r="R199">
        <v>282.87</v>
      </c>
      <c r="S199" s="2">
        <v>1443.81</v>
      </c>
      <c r="T199" s="2">
        <v>1661.13</v>
      </c>
    </row>
    <row r="200" spans="1:20" x14ac:dyDescent="0.25">
      <c r="A200" t="s">
        <v>665</v>
      </c>
      <c r="D200">
        <v>0</v>
      </c>
      <c r="E200">
        <v>5.0999999999999996</v>
      </c>
      <c r="F200">
        <v>16.7</v>
      </c>
      <c r="G200">
        <v>18.5</v>
      </c>
      <c r="H200">
        <v>39.6</v>
      </c>
      <c r="I200">
        <v>60.2</v>
      </c>
      <c r="J200">
        <v>72.400000000000006</v>
      </c>
      <c r="K200">
        <v>24.3</v>
      </c>
      <c r="L200">
        <v>14.6</v>
      </c>
      <c r="M200">
        <v>3</v>
      </c>
      <c r="N200">
        <v>3.8</v>
      </c>
      <c r="O200">
        <v>-0.4</v>
      </c>
      <c r="P200">
        <v>-0.4</v>
      </c>
    </row>
    <row r="201" spans="1:20" x14ac:dyDescent="0.25">
      <c r="A201" t="s">
        <v>666</v>
      </c>
      <c r="D201">
        <v>0.6</v>
      </c>
      <c r="E201">
        <v>0.2</v>
      </c>
      <c r="F201">
        <v>0.6</v>
      </c>
      <c r="G201">
        <v>2.2000000000000002</v>
      </c>
      <c r="H201">
        <v>21.8</v>
      </c>
      <c r="I201">
        <v>0.3</v>
      </c>
      <c r="J201">
        <v>-3</v>
      </c>
      <c r="K201">
        <v>8.6</v>
      </c>
      <c r="L201">
        <v>2.6</v>
      </c>
      <c r="M201">
        <v>5.2</v>
      </c>
      <c r="N201">
        <v>21.7</v>
      </c>
      <c r="O201">
        <v>-92</v>
      </c>
      <c r="P201">
        <v>-92</v>
      </c>
    </row>
    <row r="202" spans="1:20" x14ac:dyDescent="0.25">
      <c r="A202" t="s">
        <v>667</v>
      </c>
      <c r="B202">
        <v>-1.4</v>
      </c>
      <c r="C202">
        <v>-2.1</v>
      </c>
      <c r="D202">
        <v>0.6</v>
      </c>
      <c r="E202">
        <v>104.2</v>
      </c>
      <c r="F202">
        <v>-122.8</v>
      </c>
      <c r="G202">
        <v>53.6</v>
      </c>
      <c r="H202">
        <v>-16.899999999999999</v>
      </c>
      <c r="I202">
        <v>9.4</v>
      </c>
      <c r="J202">
        <v>11.4</v>
      </c>
      <c r="K202">
        <v>-6.7</v>
      </c>
      <c r="L202">
        <v>-12.2</v>
      </c>
      <c r="M202">
        <v>-38.4</v>
      </c>
      <c r="N202">
        <v>-240.9</v>
      </c>
      <c r="O202">
        <v>29.2</v>
      </c>
      <c r="P202">
        <v>29.2</v>
      </c>
    </row>
    <row r="203" spans="1:20" x14ac:dyDescent="0.25">
      <c r="A203" t="s">
        <v>513</v>
      </c>
    </row>
    <row r="204" spans="1:20" x14ac:dyDescent="0.25">
      <c r="A204" t="s">
        <v>141</v>
      </c>
      <c r="B204">
        <v>-15.1</v>
      </c>
      <c r="C204">
        <v>-17.8</v>
      </c>
      <c r="D204">
        <v>-21.8</v>
      </c>
      <c r="E204">
        <v>4.2</v>
      </c>
      <c r="F204">
        <v>-30.8</v>
      </c>
      <c r="G204">
        <v>27.7</v>
      </c>
      <c r="H204">
        <v>5</v>
      </c>
      <c r="I204">
        <v>20.2</v>
      </c>
      <c r="J204">
        <v>-49.2</v>
      </c>
      <c r="K204">
        <v>83.2</v>
      </c>
      <c r="L204">
        <v>72.3</v>
      </c>
      <c r="M204">
        <v>-58.7</v>
      </c>
      <c r="N204">
        <v>-270.39999999999998</v>
      </c>
      <c r="O204">
        <v>-516.64</v>
      </c>
      <c r="P204">
        <v>-421.7</v>
      </c>
      <c r="Q204">
        <v>-567.85</v>
      </c>
      <c r="R204">
        <v>-725.57</v>
      </c>
      <c r="S204">
        <v>-271.41000000000003</v>
      </c>
      <c r="T204">
        <v>-298.7</v>
      </c>
    </row>
    <row r="205" spans="1:20" x14ac:dyDescent="0.25">
      <c r="A205" t="s">
        <v>340</v>
      </c>
      <c r="B205">
        <v>-13.5</v>
      </c>
      <c r="C205">
        <v>-6.2</v>
      </c>
      <c r="D205">
        <v>-3.1</v>
      </c>
      <c r="E205">
        <v>-41.7</v>
      </c>
      <c r="F205">
        <v>-7.7</v>
      </c>
      <c r="G205">
        <v>40.6</v>
      </c>
      <c r="H205">
        <v>32.700000000000003</v>
      </c>
      <c r="I205">
        <v>-6.6</v>
      </c>
      <c r="J205">
        <v>-51.8</v>
      </c>
      <c r="K205">
        <v>-81.5</v>
      </c>
      <c r="L205">
        <v>73.8</v>
      </c>
      <c r="M205">
        <v>-71.3</v>
      </c>
      <c r="N205">
        <v>-228.4</v>
      </c>
      <c r="O205">
        <v>-627.17999999999995</v>
      </c>
      <c r="P205">
        <v>-501.31</v>
      </c>
      <c r="Q205">
        <v>-600.48</v>
      </c>
      <c r="R205">
        <v>-657.82</v>
      </c>
      <c r="S205">
        <v>-409.6</v>
      </c>
      <c r="T205">
        <v>-456.74</v>
      </c>
    </row>
    <row r="206" spans="1:20" x14ac:dyDescent="0.25">
      <c r="A206" t="s">
        <v>668</v>
      </c>
      <c r="D206">
        <v>-12.7</v>
      </c>
      <c r="E206">
        <v>-7.4</v>
      </c>
      <c r="F206">
        <v>6.1</v>
      </c>
      <c r="G206">
        <v>-10.8</v>
      </c>
      <c r="H206">
        <v>17.3</v>
      </c>
      <c r="I206">
        <v>-4.8</v>
      </c>
      <c r="J206">
        <v>-14.3</v>
      </c>
      <c r="K206">
        <v>-4.2</v>
      </c>
      <c r="L206">
        <v>30.6</v>
      </c>
      <c r="M206">
        <v>-35.1</v>
      </c>
      <c r="N206">
        <v>-96.2</v>
      </c>
    </row>
    <row r="207" spans="1:20" x14ac:dyDescent="0.25">
      <c r="A207" t="s">
        <v>669</v>
      </c>
      <c r="B207">
        <v>0.6</v>
      </c>
      <c r="C207">
        <v>-1</v>
      </c>
      <c r="D207">
        <v>9.1999999999999993</v>
      </c>
      <c r="E207">
        <v>1</v>
      </c>
      <c r="F207">
        <v>3.9</v>
      </c>
      <c r="G207">
        <v>-0.1</v>
      </c>
      <c r="H207">
        <v>11.1</v>
      </c>
      <c r="I207">
        <v>0.9</v>
      </c>
      <c r="J207">
        <v>0.3</v>
      </c>
      <c r="K207">
        <v>-36.299999999999997</v>
      </c>
      <c r="L207">
        <v>-8.9</v>
      </c>
      <c r="M207">
        <v>22</v>
      </c>
      <c r="N207">
        <v>88.4</v>
      </c>
      <c r="O207">
        <v>108.79</v>
      </c>
      <c r="P207">
        <v>108.4</v>
      </c>
      <c r="Q207">
        <v>77.56</v>
      </c>
      <c r="R207">
        <v>36.22</v>
      </c>
      <c r="S207">
        <v>103.91</v>
      </c>
      <c r="T207">
        <v>133.63999999999999</v>
      </c>
    </row>
    <row r="208" spans="1:20" x14ac:dyDescent="0.25">
      <c r="A208" t="s">
        <v>670</v>
      </c>
      <c r="B208">
        <v>-0.5</v>
      </c>
      <c r="C208">
        <v>-10.8</v>
      </c>
      <c r="D208">
        <v>-1.7</v>
      </c>
      <c r="E208">
        <v>15.9</v>
      </c>
      <c r="F208">
        <v>-7.3</v>
      </c>
      <c r="G208">
        <v>-5.6</v>
      </c>
      <c r="H208">
        <v>31.3</v>
      </c>
      <c r="I208">
        <v>16</v>
      </c>
      <c r="J208">
        <v>-21.1</v>
      </c>
      <c r="K208">
        <v>-37.9</v>
      </c>
      <c r="L208">
        <v>77.7</v>
      </c>
      <c r="M208">
        <v>-218.2</v>
      </c>
      <c r="N208">
        <v>-47.9</v>
      </c>
      <c r="O208">
        <v>20</v>
      </c>
      <c r="P208">
        <v>20</v>
      </c>
      <c r="Q208">
        <v>0</v>
      </c>
    </row>
    <row r="209" spans="1:20" x14ac:dyDescent="0.25">
      <c r="A209" t="s">
        <v>158</v>
      </c>
      <c r="B209">
        <v>18.7</v>
      </c>
      <c r="C209">
        <v>0.9</v>
      </c>
      <c r="D209">
        <v>28.9</v>
      </c>
      <c r="E209">
        <v>-16.899999999999999</v>
      </c>
      <c r="F209">
        <v>4.8</v>
      </c>
      <c r="G209">
        <v>-10.6</v>
      </c>
      <c r="H209">
        <v>-11.7</v>
      </c>
      <c r="I209">
        <v>-34</v>
      </c>
      <c r="J209">
        <v>47</v>
      </c>
      <c r="K209">
        <v>-74</v>
      </c>
      <c r="L209">
        <v>-89.7</v>
      </c>
      <c r="M209">
        <v>69.2</v>
      </c>
      <c r="N209">
        <v>221.6</v>
      </c>
      <c r="O209">
        <v>346.66</v>
      </c>
      <c r="P209">
        <v>348.93</v>
      </c>
      <c r="Q209">
        <v>434.32</v>
      </c>
      <c r="R209">
        <v>622.28</v>
      </c>
      <c r="S209">
        <v>284.94</v>
      </c>
      <c r="T209">
        <v>317.73</v>
      </c>
    </row>
    <row r="210" spans="1:20" x14ac:dyDescent="0.25">
      <c r="A210" t="s">
        <v>204</v>
      </c>
      <c r="B210">
        <v>62.8</v>
      </c>
      <c r="C210">
        <v>9.3000000000000007</v>
      </c>
      <c r="D210">
        <v>86.6</v>
      </c>
      <c r="E210">
        <v>85</v>
      </c>
      <c r="F210">
        <v>247.5</v>
      </c>
      <c r="G210">
        <v>330.1</v>
      </c>
      <c r="H210">
        <v>524.29999999999995</v>
      </c>
      <c r="I210">
        <v>738.7</v>
      </c>
      <c r="J210">
        <v>459.3</v>
      </c>
      <c r="K210">
        <v>179.8</v>
      </c>
      <c r="L210">
        <v>24.7</v>
      </c>
      <c r="M210">
        <v>126.3</v>
      </c>
      <c r="N210">
        <v>751.4</v>
      </c>
      <c r="O210" s="2">
        <v>1568.82</v>
      </c>
      <c r="P210" s="2">
        <v>3293.02</v>
      </c>
      <c r="Q210" s="2">
        <v>5036.91</v>
      </c>
      <c r="R210" s="2">
        <v>7285.23</v>
      </c>
      <c r="S210" s="2">
        <v>7699.39</v>
      </c>
      <c r="T210" s="2">
        <v>8796.74</v>
      </c>
    </row>
    <row r="211" spans="1:20" x14ac:dyDescent="0.25">
      <c r="A211" t="s">
        <v>17</v>
      </c>
    </row>
    <row r="212" spans="1:20" x14ac:dyDescent="0.25">
      <c r="A212" t="s">
        <v>205</v>
      </c>
    </row>
    <row r="213" spans="1:20" x14ac:dyDescent="0.25">
      <c r="A213" t="s">
        <v>206</v>
      </c>
      <c r="B213">
        <v>-64.2</v>
      </c>
      <c r="C213">
        <v>-53.7</v>
      </c>
      <c r="D213">
        <v>-82</v>
      </c>
      <c r="E213">
        <v>-138.1</v>
      </c>
      <c r="F213">
        <v>-93.2</v>
      </c>
      <c r="G213">
        <v>-167.3</v>
      </c>
      <c r="H213">
        <v>-90</v>
      </c>
      <c r="I213">
        <v>-94.8</v>
      </c>
      <c r="J213">
        <v>-91.2</v>
      </c>
      <c r="K213">
        <v>-128.5</v>
      </c>
      <c r="L213">
        <v>-133</v>
      </c>
      <c r="M213">
        <v>-231</v>
      </c>
      <c r="N213">
        <v>-451.3</v>
      </c>
      <c r="O213">
        <v>-520.71</v>
      </c>
      <c r="P213">
        <v>-670.16</v>
      </c>
      <c r="Q213">
        <v>-946.8</v>
      </c>
      <c r="R213" s="2">
        <v>-1458</v>
      </c>
      <c r="S213">
        <v>-777</v>
      </c>
      <c r="T213">
        <v>-894</v>
      </c>
    </row>
    <row r="214" spans="1:20" x14ac:dyDescent="0.25">
      <c r="A214" t="s">
        <v>671</v>
      </c>
      <c r="F214">
        <v>600.5</v>
      </c>
      <c r="G214">
        <v>251.6</v>
      </c>
      <c r="H214">
        <v>423.5</v>
      </c>
      <c r="I214" s="2">
        <v>2062.1999999999998</v>
      </c>
      <c r="J214">
        <v>973.6</v>
      </c>
      <c r="K214" s="2">
        <v>1146.0999999999999</v>
      </c>
      <c r="L214" s="2">
        <v>1001.5</v>
      </c>
      <c r="M214">
        <v>464.7</v>
      </c>
      <c r="N214">
        <v>264.8</v>
      </c>
    </row>
    <row r="215" spans="1:20" x14ac:dyDescent="0.25">
      <c r="A215" t="s">
        <v>672</v>
      </c>
      <c r="D215">
        <v>0</v>
      </c>
      <c r="E215">
        <v>-290.7</v>
      </c>
      <c r="F215">
        <v>-634.29999999999995</v>
      </c>
      <c r="G215">
        <v>-269.7</v>
      </c>
      <c r="H215" s="2">
        <v>-1341.3</v>
      </c>
      <c r="I215" s="2">
        <v>-1991</v>
      </c>
      <c r="J215" s="2">
        <v>-1085.0999999999999</v>
      </c>
      <c r="K215" s="2">
        <v>-1030.3</v>
      </c>
      <c r="L215">
        <v>-278.7</v>
      </c>
      <c r="M215">
        <v>-365.9</v>
      </c>
      <c r="N215">
        <v>-603.4</v>
      </c>
      <c r="O215">
        <v>-173.07</v>
      </c>
      <c r="P215">
        <v>31</v>
      </c>
    </row>
    <row r="216" spans="1:20" x14ac:dyDescent="0.25">
      <c r="A216" t="s">
        <v>673</v>
      </c>
      <c r="B216">
        <v>12.8</v>
      </c>
      <c r="C216">
        <v>0</v>
      </c>
      <c r="D216">
        <v>0</v>
      </c>
      <c r="E216">
        <v>5.0999999999999996</v>
      </c>
      <c r="F216">
        <v>0</v>
      </c>
      <c r="G216">
        <v>619.79999999999995</v>
      </c>
      <c r="H216">
        <v>0</v>
      </c>
      <c r="I216">
        <v>0</v>
      </c>
      <c r="K216">
        <v>861.6</v>
      </c>
      <c r="L216">
        <v>704.9</v>
      </c>
      <c r="M216">
        <v>0</v>
      </c>
      <c r="N216">
        <v>38</v>
      </c>
    </row>
    <row r="217" spans="1:20" x14ac:dyDescent="0.25">
      <c r="A217" t="s">
        <v>213</v>
      </c>
      <c r="B217">
        <v>-76.900000000000006</v>
      </c>
      <c r="C217">
        <v>-53.5</v>
      </c>
      <c r="D217">
        <v>-82</v>
      </c>
      <c r="E217">
        <v>-425.7</v>
      </c>
      <c r="F217">
        <v>-127</v>
      </c>
      <c r="G217">
        <v>-779.7</v>
      </c>
      <c r="H217">
        <v>-987.7</v>
      </c>
      <c r="I217">
        <v>1</v>
      </c>
      <c r="J217">
        <v>-226.3</v>
      </c>
      <c r="K217">
        <v>-874</v>
      </c>
      <c r="L217">
        <v>-114.3</v>
      </c>
      <c r="M217">
        <v>-84.1</v>
      </c>
      <c r="N217">
        <v>-785.5</v>
      </c>
      <c r="O217">
        <v>-606.39</v>
      </c>
      <c r="P217">
        <v>-791.48</v>
      </c>
      <c r="Q217" s="2">
        <v>-1109.7</v>
      </c>
      <c r="R217" s="2">
        <v>-1815.4</v>
      </c>
      <c r="S217" s="2">
        <v>-1177.44</v>
      </c>
      <c r="T217" s="2">
        <v>-1294.45</v>
      </c>
    </row>
    <row r="218" spans="1:20" x14ac:dyDescent="0.25">
      <c r="A218" t="s">
        <v>17</v>
      </c>
    </row>
    <row r="219" spans="1:20" x14ac:dyDescent="0.25">
      <c r="A219" t="s">
        <v>214</v>
      </c>
    </row>
    <row r="220" spans="1:20" x14ac:dyDescent="0.25">
      <c r="A220" t="s">
        <v>674</v>
      </c>
      <c r="B220">
        <v>0</v>
      </c>
      <c r="C220">
        <v>0</v>
      </c>
      <c r="D220">
        <v>5</v>
      </c>
      <c r="E220">
        <v>449.5</v>
      </c>
      <c r="F220">
        <v>1.7</v>
      </c>
      <c r="G220">
        <v>9.6999999999999993</v>
      </c>
      <c r="H220" s="2">
        <v>1038.8</v>
      </c>
      <c r="I220">
        <v>12.8</v>
      </c>
      <c r="J220">
        <v>13.5</v>
      </c>
      <c r="K220">
        <v>15.1</v>
      </c>
      <c r="L220">
        <v>14.4</v>
      </c>
      <c r="M220">
        <v>16.100000000000001</v>
      </c>
      <c r="N220" s="2">
        <v>3271.5</v>
      </c>
      <c r="O220">
        <v>20</v>
      </c>
      <c r="P220">
        <v>20</v>
      </c>
      <c r="Q220">
        <v>20</v>
      </c>
    </row>
    <row r="221" spans="1:20" x14ac:dyDescent="0.25">
      <c r="A221" t="s">
        <v>675</v>
      </c>
      <c r="H221">
        <v>-200</v>
      </c>
      <c r="I221">
        <v>-236</v>
      </c>
      <c r="J221">
        <v>-543.9</v>
      </c>
      <c r="K221">
        <v>-175.6</v>
      </c>
      <c r="L221">
        <v>0</v>
      </c>
      <c r="M221">
        <v>0</v>
      </c>
      <c r="N221">
        <v>0</v>
      </c>
      <c r="O221">
        <v>-50</v>
      </c>
      <c r="P221">
        <v>-200</v>
      </c>
      <c r="Q221">
        <v>-200</v>
      </c>
    </row>
    <row r="222" spans="1:20" x14ac:dyDescent="0.25">
      <c r="A222" t="s">
        <v>218</v>
      </c>
      <c r="B222">
        <v>26.2</v>
      </c>
      <c r="C222">
        <v>40.700000000000003</v>
      </c>
      <c r="D222">
        <v>136.4</v>
      </c>
      <c r="E222">
        <v>456.7</v>
      </c>
      <c r="F222">
        <v>3.8</v>
      </c>
      <c r="G222">
        <v>485.1</v>
      </c>
      <c r="H222">
        <v>328.8</v>
      </c>
      <c r="I222">
        <v>-263.39999999999998</v>
      </c>
      <c r="J222">
        <v>282.89999999999998</v>
      </c>
      <c r="K222">
        <v>263</v>
      </c>
      <c r="L222">
        <v>-332.7</v>
      </c>
      <c r="M222">
        <v>41.8</v>
      </c>
      <c r="N222" s="2">
        <v>1556.9</v>
      </c>
      <c r="O222">
        <v>-33.090000000000003</v>
      </c>
      <c r="P222">
        <v>-3.64</v>
      </c>
      <c r="Q222">
        <v>230.49</v>
      </c>
      <c r="R222">
        <v>-325.25</v>
      </c>
      <c r="S222">
        <v>-239.23</v>
      </c>
      <c r="T222">
        <v>203.18</v>
      </c>
    </row>
    <row r="223" spans="1:20" x14ac:dyDescent="0.25">
      <c r="A223" t="s">
        <v>17</v>
      </c>
    </row>
    <row r="224" spans="1:20" x14ac:dyDescent="0.25">
      <c r="A224" t="s">
        <v>176</v>
      </c>
    </row>
    <row r="225" spans="1:20" x14ac:dyDescent="0.25">
      <c r="A225" t="s">
        <v>220</v>
      </c>
      <c r="B225">
        <v>12.1</v>
      </c>
      <c r="C225">
        <v>-5.4</v>
      </c>
      <c r="D225">
        <v>142.6</v>
      </c>
      <c r="E225">
        <v>115.8</v>
      </c>
      <c r="F225">
        <v>124.4</v>
      </c>
      <c r="G225">
        <v>35.299999999999997</v>
      </c>
      <c r="H225">
        <v>-134.6</v>
      </c>
      <c r="I225">
        <v>476.3</v>
      </c>
      <c r="J225">
        <v>515.9</v>
      </c>
      <c r="K225">
        <v>-431.2</v>
      </c>
      <c r="L225">
        <v>-422.3</v>
      </c>
      <c r="M225">
        <v>84</v>
      </c>
      <c r="N225" s="2">
        <v>1522.8</v>
      </c>
      <c r="O225">
        <v>820.9</v>
      </c>
      <c r="P225" s="2">
        <v>2331.5100000000002</v>
      </c>
      <c r="Q225" s="2">
        <v>3804.76</v>
      </c>
      <c r="R225" s="2">
        <v>5464.07</v>
      </c>
      <c r="S225" s="2">
        <v>6282.73</v>
      </c>
      <c r="T225" s="2">
        <v>7705.47</v>
      </c>
    </row>
    <row r="226" spans="1:20" x14ac:dyDescent="0.25">
      <c r="A226" t="s">
        <v>221</v>
      </c>
      <c r="B226">
        <v>7.8</v>
      </c>
      <c r="C226">
        <v>19.899999999999999</v>
      </c>
      <c r="D226">
        <v>14.5</v>
      </c>
      <c r="E226">
        <v>157.1</v>
      </c>
      <c r="F226">
        <v>272.89999999999998</v>
      </c>
      <c r="G226">
        <v>397.3</v>
      </c>
      <c r="H226">
        <v>432.6</v>
      </c>
      <c r="I226">
        <v>298</v>
      </c>
      <c r="J226">
        <v>774.3</v>
      </c>
      <c r="K226" s="2">
        <v>1290.2</v>
      </c>
      <c r="L226">
        <v>859</v>
      </c>
      <c r="M226">
        <v>436.7</v>
      </c>
      <c r="N226">
        <v>520.70000000000005</v>
      </c>
      <c r="O226" s="2">
        <v>1390.29</v>
      </c>
      <c r="P226" s="2">
        <v>2823.61</v>
      </c>
      <c r="Q226" s="2">
        <v>5290.37</v>
      </c>
      <c r="R226" s="2">
        <v>9479.43</v>
      </c>
      <c r="S226" s="2">
        <v>15354.73</v>
      </c>
      <c r="T226" s="2">
        <v>21637.45</v>
      </c>
    </row>
    <row r="227" spans="1:20" x14ac:dyDescent="0.25">
      <c r="A227" t="s">
        <v>222</v>
      </c>
      <c r="B227">
        <v>19.899999999999999</v>
      </c>
      <c r="C227">
        <v>14.5</v>
      </c>
      <c r="D227">
        <v>157.1</v>
      </c>
      <c r="E227">
        <v>272.89999999999998</v>
      </c>
      <c r="F227">
        <v>397.3</v>
      </c>
      <c r="G227">
        <v>432.6</v>
      </c>
      <c r="H227">
        <v>298</v>
      </c>
      <c r="I227">
        <v>774.3</v>
      </c>
      <c r="J227" s="2">
        <v>1290.2</v>
      </c>
      <c r="K227">
        <v>859</v>
      </c>
      <c r="L227">
        <v>436.7</v>
      </c>
      <c r="M227">
        <v>520.70000000000005</v>
      </c>
      <c r="N227" s="2">
        <v>2043.5</v>
      </c>
      <c r="O227" s="2">
        <v>2764.09</v>
      </c>
      <c r="P227" s="2">
        <v>5111.0600000000004</v>
      </c>
      <c r="Q227" s="2">
        <v>8783.08</v>
      </c>
      <c r="R227" s="2">
        <v>14943.49</v>
      </c>
      <c r="S227" s="2">
        <v>21637.45</v>
      </c>
      <c r="T227" s="2">
        <v>29342.93</v>
      </c>
    </row>
    <row r="228" spans="1:20" x14ac:dyDescent="0.25">
      <c r="A228" t="s">
        <v>178</v>
      </c>
    </row>
    <row r="229" spans="1:20" x14ac:dyDescent="0.25">
      <c r="A229" t="s">
        <v>225</v>
      </c>
      <c r="B229">
        <v>-1.4</v>
      </c>
      <c r="C229">
        <v>-44.4</v>
      </c>
      <c r="D229">
        <v>4.5999999999999996</v>
      </c>
      <c r="E229">
        <v>-53.1</v>
      </c>
      <c r="F229">
        <v>154.30000000000001</v>
      </c>
      <c r="G229">
        <v>162.80000000000001</v>
      </c>
      <c r="H229">
        <v>434.3</v>
      </c>
      <c r="I229">
        <v>643.9</v>
      </c>
      <c r="J229">
        <v>368.1</v>
      </c>
      <c r="K229">
        <v>51.3</v>
      </c>
      <c r="L229">
        <v>-108.3</v>
      </c>
      <c r="M229">
        <v>-104.7</v>
      </c>
      <c r="N229">
        <v>300.10000000000002</v>
      </c>
      <c r="O229">
        <v>980.08</v>
      </c>
      <c r="P229" s="2">
        <v>2563.0500000000002</v>
      </c>
      <c r="Q229" s="2">
        <v>4002.32</v>
      </c>
      <c r="R229" s="2">
        <v>5603.17</v>
      </c>
      <c r="S229" s="2">
        <v>6921.95</v>
      </c>
      <c r="T229" s="2">
        <v>7902.29</v>
      </c>
    </row>
    <row r="230" spans="1:20" x14ac:dyDescent="0.25">
      <c r="A230" t="s">
        <v>230</v>
      </c>
      <c r="B230">
        <v>7.85</v>
      </c>
      <c r="C230">
        <v>6.42</v>
      </c>
      <c r="D230">
        <v>9.08</v>
      </c>
      <c r="E230">
        <v>13.79</v>
      </c>
      <c r="F230">
        <v>7.47</v>
      </c>
      <c r="G230">
        <v>10.69</v>
      </c>
      <c r="H230">
        <v>5.36</v>
      </c>
      <c r="I230">
        <v>5.44</v>
      </c>
      <c r="J230">
        <v>5.33</v>
      </c>
      <c r="K230">
        <v>7.27</v>
      </c>
      <c r="L230">
        <v>9.7899999999999991</v>
      </c>
      <c r="M230">
        <v>14.04</v>
      </c>
      <c r="N230">
        <v>14.97</v>
      </c>
      <c r="O230">
        <v>6.44</v>
      </c>
      <c r="P230">
        <v>5.52</v>
      </c>
      <c r="Q230">
        <v>5.77</v>
      </c>
      <c r="R230">
        <v>3.25</v>
      </c>
      <c r="S230">
        <v>3.5</v>
      </c>
      <c r="T230">
        <v>3.5</v>
      </c>
    </row>
    <row r="231" spans="1:20" x14ac:dyDescent="0.25">
      <c r="A231" t="s">
        <v>17</v>
      </c>
    </row>
    <row r="232" spans="1:20" x14ac:dyDescent="0.25">
      <c r="A232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89C1-84C7-4120-8BEA-21225EFE342E}">
  <dimension ref="A1:U209"/>
  <sheetViews>
    <sheetView workbookViewId="0">
      <selection sqref="A1:U209"/>
    </sheetView>
  </sheetViews>
  <sheetFormatPr defaultRowHeight="15" x14ac:dyDescent="0.25"/>
  <sheetData>
    <row r="1" spans="1:21" x14ac:dyDescent="0.25">
      <c r="A1" t="s">
        <v>676</v>
      </c>
    </row>
    <row r="2" spans="1:21" x14ac:dyDescent="0.25">
      <c r="A2" t="s">
        <v>677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G6">
        <v>-0.63</v>
      </c>
      <c r="H6">
        <v>-0.3</v>
      </c>
      <c r="I6">
        <v>-0.67</v>
      </c>
      <c r="J6">
        <v>-0.55000000000000004</v>
      </c>
      <c r="K6">
        <v>-0.41</v>
      </c>
      <c r="L6">
        <v>-0.1</v>
      </c>
      <c r="M6">
        <v>0.28000000000000003</v>
      </c>
      <c r="N6">
        <v>0.76</v>
      </c>
      <c r="O6">
        <v>2.66</v>
      </c>
      <c r="P6">
        <v>4.9000000000000004</v>
      </c>
      <c r="Q6">
        <v>7.77</v>
      </c>
      <c r="R6">
        <v>10.029999999999999</v>
      </c>
      <c r="S6">
        <v>12.63</v>
      </c>
      <c r="T6">
        <v>14.7</v>
      </c>
      <c r="U6">
        <v>16.350000000000001</v>
      </c>
    </row>
    <row r="7" spans="1:21" x14ac:dyDescent="0.25">
      <c r="A7" t="s">
        <v>16</v>
      </c>
      <c r="G7">
        <v>742</v>
      </c>
      <c r="H7">
        <v>786.19</v>
      </c>
      <c r="I7">
        <v>794.25</v>
      </c>
      <c r="J7">
        <v>972.18</v>
      </c>
      <c r="K7" s="2">
        <v>1199.1300000000001</v>
      </c>
      <c r="L7" s="2">
        <v>1333.47</v>
      </c>
      <c r="M7" s="2">
        <v>1473.86</v>
      </c>
      <c r="N7" s="2">
        <v>2023.99</v>
      </c>
      <c r="O7" s="2">
        <v>4108.8100000000004</v>
      </c>
      <c r="P7" s="2">
        <v>6850.78</v>
      </c>
      <c r="Q7" s="2">
        <v>9979.24</v>
      </c>
      <c r="R7" s="2">
        <v>12206.32</v>
      </c>
      <c r="S7" s="2">
        <v>14968.5</v>
      </c>
      <c r="T7" s="2">
        <v>17828.71</v>
      </c>
      <c r="U7" s="2">
        <v>17429.669999999998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443</v>
      </c>
      <c r="F10">
        <v>179.77</v>
      </c>
      <c r="G10">
        <v>400.64</v>
      </c>
      <c r="H10">
        <v>557.34</v>
      </c>
      <c r="I10">
        <v>518.63</v>
      </c>
      <c r="J10">
        <v>663.51</v>
      </c>
      <c r="K10">
        <v>880.66</v>
      </c>
      <c r="L10">
        <v>975.25</v>
      </c>
      <c r="M10" s="2">
        <v>1085.1500000000001</v>
      </c>
      <c r="N10" s="2">
        <v>1531.28</v>
      </c>
      <c r="O10" s="2">
        <v>3549.72</v>
      </c>
      <c r="P10" s="2">
        <v>5969.04</v>
      </c>
      <c r="Q10" s="2">
        <v>8569.2800000000007</v>
      </c>
      <c r="R10" s="2">
        <v>10846.21</v>
      </c>
      <c r="S10" s="2">
        <v>13182.75</v>
      </c>
      <c r="T10" s="2">
        <v>16090.67</v>
      </c>
      <c r="U10" s="2">
        <v>15034.41</v>
      </c>
    </row>
    <row r="11" spans="1:21" x14ac:dyDescent="0.25">
      <c r="A11" t="s">
        <v>678</v>
      </c>
      <c r="F11">
        <v>63.23</v>
      </c>
      <c r="G11">
        <v>68.2</v>
      </c>
      <c r="H11">
        <v>60.83</v>
      </c>
      <c r="I11">
        <v>101.89</v>
      </c>
      <c r="J11">
        <v>96.06</v>
      </c>
      <c r="K11">
        <v>92.12</v>
      </c>
      <c r="L11">
        <v>92.8</v>
      </c>
      <c r="M11">
        <v>122.32</v>
      </c>
      <c r="N11">
        <v>204.07</v>
      </c>
      <c r="O11">
        <v>226.01</v>
      </c>
      <c r="P11">
        <v>383.43</v>
      </c>
      <c r="Q11">
        <v>514.41999999999996</v>
      </c>
      <c r="R11">
        <v>610.74</v>
      </c>
      <c r="S11">
        <v>765.67</v>
      </c>
      <c r="T11">
        <v>634.29</v>
      </c>
      <c r="U11">
        <v>712.16</v>
      </c>
    </row>
    <row r="12" spans="1:21" x14ac:dyDescent="0.25">
      <c r="A12" t="s">
        <v>444</v>
      </c>
      <c r="F12">
        <v>76.900000000000006</v>
      </c>
      <c r="G12">
        <v>83.27</v>
      </c>
      <c r="H12">
        <v>95.79</v>
      </c>
      <c r="I12">
        <v>109.63</v>
      </c>
      <c r="J12">
        <v>144.18</v>
      </c>
      <c r="K12">
        <v>150.94999999999999</v>
      </c>
      <c r="L12">
        <v>183.07</v>
      </c>
      <c r="M12">
        <v>213.54</v>
      </c>
      <c r="N12">
        <v>228.3</v>
      </c>
      <c r="O12">
        <v>298.37</v>
      </c>
      <c r="P12">
        <v>436.42</v>
      </c>
      <c r="Q12">
        <v>631.12</v>
      </c>
      <c r="R12">
        <v>887.73</v>
      </c>
      <c r="S12" s="2">
        <v>1200.2</v>
      </c>
      <c r="T12" s="2">
        <v>1741.01</v>
      </c>
      <c r="U12" s="2">
        <v>2104.5500000000002</v>
      </c>
    </row>
    <row r="13" spans="1:21" x14ac:dyDescent="0.25">
      <c r="A13" t="s">
        <v>679</v>
      </c>
      <c r="F13">
        <v>56.1</v>
      </c>
      <c r="G13">
        <v>80.55</v>
      </c>
      <c r="H13">
        <v>71.23</v>
      </c>
      <c r="I13">
        <v>64.09</v>
      </c>
      <c r="J13">
        <v>68.42</v>
      </c>
      <c r="K13">
        <v>75.39</v>
      </c>
      <c r="L13">
        <v>82.36</v>
      </c>
      <c r="M13">
        <v>52.84</v>
      </c>
      <c r="N13">
        <v>60.35</v>
      </c>
      <c r="O13">
        <v>41.33</v>
      </c>
      <c r="P13">
        <v>44.56</v>
      </c>
      <c r="Q13">
        <v>44.09</v>
      </c>
      <c r="R13">
        <v>42.82</v>
      </c>
      <c r="S13">
        <v>42.67</v>
      </c>
      <c r="T13">
        <v>50.68</v>
      </c>
      <c r="U13">
        <v>50.81</v>
      </c>
    </row>
    <row r="14" spans="1:21" x14ac:dyDescent="0.25">
      <c r="A14" t="s">
        <v>17</v>
      </c>
    </row>
    <row r="15" spans="1:21" x14ac:dyDescent="0.25">
      <c r="A15" t="s">
        <v>680</v>
      </c>
      <c r="G15">
        <v>66.86</v>
      </c>
      <c r="H15">
        <v>97.3</v>
      </c>
      <c r="I15">
        <v>45.5</v>
      </c>
      <c r="J15">
        <v>14.03</v>
      </c>
      <c r="K15">
        <v>30.13</v>
      </c>
      <c r="L15">
        <v>81.790000000000006</v>
      </c>
      <c r="M15">
        <v>161</v>
      </c>
      <c r="N15">
        <v>271.58999999999997</v>
      </c>
      <c r="O15">
        <v>917.44</v>
      </c>
      <c r="P15" s="2">
        <v>1778.44</v>
      </c>
      <c r="Q15" s="2">
        <v>2860.13</v>
      </c>
      <c r="R15" s="2">
        <v>3845.94</v>
      </c>
      <c r="S15" s="2">
        <v>4805.9399999999996</v>
      </c>
      <c r="T15" s="2">
        <v>6409.29</v>
      </c>
      <c r="U15" s="2">
        <v>5840</v>
      </c>
    </row>
    <row r="16" spans="1:21" x14ac:dyDescent="0.25">
      <c r="A16" t="s">
        <v>528</v>
      </c>
      <c r="G16">
        <v>-59.84</v>
      </c>
      <c r="H16">
        <v>-301.64</v>
      </c>
      <c r="I16">
        <v>-145.03</v>
      </c>
      <c r="J16">
        <v>-96.03</v>
      </c>
      <c r="K16">
        <v>-75.73</v>
      </c>
      <c r="L16">
        <v>-20.72</v>
      </c>
      <c r="M16">
        <v>64.599999999999994</v>
      </c>
      <c r="N16">
        <v>198.05</v>
      </c>
      <c r="O16">
        <v>795.66</v>
      </c>
      <c r="P16" s="2">
        <v>1533.06</v>
      </c>
      <c r="Q16" s="2">
        <v>2452.14</v>
      </c>
      <c r="R16" s="2">
        <v>3350.89</v>
      </c>
      <c r="S16" s="2">
        <v>4248.1099999999997</v>
      </c>
      <c r="T16" s="2">
        <v>6233.83</v>
      </c>
      <c r="U16" s="2">
        <v>5464</v>
      </c>
    </row>
    <row r="17" spans="1:21" x14ac:dyDescent="0.25">
      <c r="A17" t="s">
        <v>17</v>
      </c>
    </row>
    <row r="18" spans="1:21" x14ac:dyDescent="0.25">
      <c r="A18" t="s">
        <v>58</v>
      </c>
    </row>
    <row r="19" spans="1:21" x14ac:dyDescent="0.25">
      <c r="A19" t="s">
        <v>465</v>
      </c>
    </row>
    <row r="20" spans="1:21" x14ac:dyDescent="0.25">
      <c r="A20" t="s">
        <v>60</v>
      </c>
      <c r="F20">
        <v>179.77</v>
      </c>
      <c r="G20">
        <v>400.64</v>
      </c>
      <c r="H20">
        <v>557.34</v>
      </c>
      <c r="I20">
        <v>518.63</v>
      </c>
      <c r="J20">
        <v>663.51</v>
      </c>
      <c r="K20">
        <v>880.66</v>
      </c>
      <c r="L20">
        <v>975.25</v>
      </c>
      <c r="M20" s="2">
        <v>1085.1500000000001</v>
      </c>
      <c r="N20" s="2">
        <v>1531.28</v>
      </c>
      <c r="O20" s="2">
        <v>3549.72</v>
      </c>
      <c r="P20" s="2">
        <v>5969.04</v>
      </c>
      <c r="Q20" s="2">
        <v>8569.2800000000007</v>
      </c>
      <c r="R20" s="2">
        <v>10846.21</v>
      </c>
      <c r="S20" s="2">
        <v>13182.75</v>
      </c>
      <c r="T20" s="2">
        <v>16090.67</v>
      </c>
      <c r="U20" s="2">
        <v>15034.41</v>
      </c>
    </row>
    <row r="21" spans="1:21" x14ac:dyDescent="0.25">
      <c r="A21" t="s">
        <v>62</v>
      </c>
      <c r="F21">
        <v>210.77</v>
      </c>
      <c r="G21">
        <v>281.27999999999997</v>
      </c>
      <c r="H21">
        <v>435.48</v>
      </c>
      <c r="I21">
        <v>332.72</v>
      </c>
      <c r="J21">
        <v>471.65</v>
      </c>
      <c r="K21">
        <v>616.17999999999995</v>
      </c>
      <c r="L21">
        <v>630.11</v>
      </c>
      <c r="M21">
        <v>685.85</v>
      </c>
      <c r="N21">
        <v>992.84</v>
      </c>
      <c r="O21" s="2">
        <v>2250.9</v>
      </c>
      <c r="P21" s="2">
        <v>3722.18</v>
      </c>
      <c r="Q21" s="2">
        <v>5241.92</v>
      </c>
      <c r="R21" s="2">
        <v>6395.85</v>
      </c>
      <c r="S21" s="2">
        <v>7609.77</v>
      </c>
      <c r="T21" s="2">
        <v>8672.6200000000008</v>
      </c>
      <c r="U21" s="2">
        <v>8500.2900000000009</v>
      </c>
    </row>
    <row r="22" spans="1:21" x14ac:dyDescent="0.25">
      <c r="A22" t="s">
        <v>63</v>
      </c>
      <c r="F22">
        <v>-31.01</v>
      </c>
      <c r="G22">
        <v>119.36</v>
      </c>
      <c r="H22">
        <v>121.86</v>
      </c>
      <c r="I22">
        <v>185.91</v>
      </c>
      <c r="J22">
        <v>191.86</v>
      </c>
      <c r="K22">
        <v>264.49</v>
      </c>
      <c r="L22">
        <v>345.14</v>
      </c>
      <c r="M22">
        <v>399.31</v>
      </c>
      <c r="N22">
        <v>538.44000000000005</v>
      </c>
      <c r="O22" s="2">
        <v>1241.6500000000001</v>
      </c>
      <c r="P22" s="2">
        <v>2237.25</v>
      </c>
      <c r="Q22" s="2">
        <v>3355.87</v>
      </c>
      <c r="R22" s="2">
        <v>4303.8500000000004</v>
      </c>
      <c r="S22" s="2">
        <v>5486.62</v>
      </c>
      <c r="T22" s="2">
        <v>7377.74</v>
      </c>
      <c r="U22" s="2">
        <v>6483.95</v>
      </c>
    </row>
    <row r="23" spans="1:21" x14ac:dyDescent="0.25">
      <c r="A23" t="s">
        <v>64</v>
      </c>
      <c r="F23">
        <v>-17</v>
      </c>
      <c r="G23">
        <v>30</v>
      </c>
      <c r="H23">
        <v>22</v>
      </c>
      <c r="I23">
        <v>36</v>
      </c>
      <c r="J23">
        <v>29</v>
      </c>
      <c r="K23">
        <v>30</v>
      </c>
      <c r="L23">
        <v>35</v>
      </c>
      <c r="M23">
        <v>37</v>
      </c>
      <c r="N23">
        <v>35</v>
      </c>
      <c r="O23">
        <v>35.46</v>
      </c>
      <c r="P23">
        <v>37.78</v>
      </c>
      <c r="Q23">
        <v>39.35</v>
      </c>
      <c r="R23">
        <v>39.65</v>
      </c>
      <c r="S23">
        <v>40.18</v>
      </c>
      <c r="T23">
        <v>42.72</v>
      </c>
      <c r="U23">
        <v>39.6</v>
      </c>
    </row>
    <row r="24" spans="1:21" x14ac:dyDescent="0.25">
      <c r="A24" t="s">
        <v>17</v>
      </c>
    </row>
    <row r="25" spans="1:21" x14ac:dyDescent="0.25">
      <c r="A25" t="s">
        <v>681</v>
      </c>
    </row>
    <row r="26" spans="1:21" x14ac:dyDescent="0.25">
      <c r="A26" t="s">
        <v>60</v>
      </c>
      <c r="F26">
        <v>63.23</v>
      </c>
      <c r="G26">
        <v>68.2</v>
      </c>
      <c r="H26">
        <v>60.83</v>
      </c>
      <c r="I26">
        <v>101.89</v>
      </c>
      <c r="J26">
        <v>96.06</v>
      </c>
      <c r="K26">
        <v>92.12</v>
      </c>
      <c r="L26">
        <v>92.8</v>
      </c>
      <c r="M26">
        <v>122.32</v>
      </c>
      <c r="N26">
        <v>204.07</v>
      </c>
      <c r="O26">
        <v>226.01</v>
      </c>
      <c r="P26">
        <v>383.43</v>
      </c>
      <c r="Q26">
        <v>514.41999999999996</v>
      </c>
      <c r="R26">
        <v>610.74</v>
      </c>
      <c r="S26">
        <v>765.67</v>
      </c>
      <c r="T26">
        <v>634.29</v>
      </c>
      <c r="U26">
        <v>712.16</v>
      </c>
    </row>
    <row r="27" spans="1:21" x14ac:dyDescent="0.25">
      <c r="A27" t="s">
        <v>62</v>
      </c>
      <c r="F27">
        <v>59.93</v>
      </c>
      <c r="G27">
        <v>95.31</v>
      </c>
      <c r="H27">
        <v>76.489999999999995</v>
      </c>
      <c r="I27">
        <v>116.54</v>
      </c>
      <c r="J27">
        <v>110.21</v>
      </c>
      <c r="K27">
        <v>104.11</v>
      </c>
      <c r="L27">
        <v>105.74</v>
      </c>
      <c r="M27">
        <v>129.44999999999999</v>
      </c>
      <c r="N27">
        <v>205.95</v>
      </c>
      <c r="O27">
        <v>235.34</v>
      </c>
      <c r="P27">
        <v>382.63</v>
      </c>
      <c r="Q27">
        <v>513.82000000000005</v>
      </c>
      <c r="R27">
        <v>584.46</v>
      </c>
      <c r="S27">
        <v>738.58</v>
      </c>
      <c r="T27">
        <v>609.66</v>
      </c>
      <c r="U27">
        <v>700.92</v>
      </c>
    </row>
    <row r="28" spans="1:21" x14ac:dyDescent="0.25">
      <c r="A28" t="s">
        <v>63</v>
      </c>
      <c r="F28">
        <v>3.3</v>
      </c>
      <c r="G28">
        <v>-27.11</v>
      </c>
      <c r="H28">
        <v>-15.66</v>
      </c>
      <c r="I28">
        <v>-14.66</v>
      </c>
      <c r="J28">
        <v>-14.16</v>
      </c>
      <c r="K28">
        <v>-11.99</v>
      </c>
      <c r="L28">
        <v>-12.94</v>
      </c>
      <c r="M28">
        <v>-7.13</v>
      </c>
      <c r="N28">
        <v>-1.88</v>
      </c>
      <c r="O28">
        <v>-12.11</v>
      </c>
      <c r="P28">
        <v>-1.33</v>
      </c>
      <c r="Q28">
        <v>5.0599999999999996</v>
      </c>
      <c r="R28">
        <v>8.8800000000000008</v>
      </c>
      <c r="S28">
        <v>12.7</v>
      </c>
    </row>
    <row r="29" spans="1:21" x14ac:dyDescent="0.25">
      <c r="A29" t="s">
        <v>64</v>
      </c>
      <c r="F29">
        <v>5</v>
      </c>
      <c r="G29">
        <v>-40</v>
      </c>
      <c r="H29">
        <v>-26</v>
      </c>
      <c r="I29">
        <v>-14</v>
      </c>
      <c r="J29">
        <v>-15</v>
      </c>
      <c r="K29">
        <v>-13</v>
      </c>
      <c r="L29">
        <v>-14</v>
      </c>
      <c r="M29">
        <v>-6</v>
      </c>
      <c r="N29">
        <v>-1</v>
      </c>
      <c r="O29">
        <v>-5.36</v>
      </c>
      <c r="P29">
        <v>0.69</v>
      </c>
      <c r="Q29">
        <v>5.69</v>
      </c>
      <c r="R29">
        <v>6.24</v>
      </c>
      <c r="S29">
        <v>6.1</v>
      </c>
      <c r="T29">
        <v>14.33</v>
      </c>
      <c r="U29">
        <v>1.22</v>
      </c>
    </row>
    <row r="30" spans="1:21" x14ac:dyDescent="0.25">
      <c r="A30" t="s">
        <v>17</v>
      </c>
    </row>
    <row r="31" spans="1:21" x14ac:dyDescent="0.25">
      <c r="A31" t="s">
        <v>468</v>
      </c>
    </row>
    <row r="32" spans="1:21" x14ac:dyDescent="0.25">
      <c r="A32" t="s">
        <v>60</v>
      </c>
      <c r="F32">
        <v>76.900000000000006</v>
      </c>
      <c r="G32">
        <v>83.27</v>
      </c>
      <c r="H32">
        <v>95.79</v>
      </c>
      <c r="I32">
        <v>109.63</v>
      </c>
      <c r="J32">
        <v>144.18</v>
      </c>
      <c r="K32">
        <v>150.94999999999999</v>
      </c>
      <c r="L32">
        <v>183.07</v>
      </c>
      <c r="M32">
        <v>213.54</v>
      </c>
      <c r="N32">
        <v>228.3</v>
      </c>
      <c r="O32">
        <v>298.37</v>
      </c>
      <c r="P32">
        <v>436.42</v>
      </c>
      <c r="Q32">
        <v>631.12</v>
      </c>
      <c r="R32">
        <v>887.73</v>
      </c>
      <c r="S32" s="2">
        <v>1200.2</v>
      </c>
      <c r="T32" s="2">
        <v>1741.01</v>
      </c>
      <c r="U32" s="2">
        <v>2104.5500000000002</v>
      </c>
    </row>
    <row r="33" spans="1:21" x14ac:dyDescent="0.25">
      <c r="A33" t="s">
        <v>62</v>
      </c>
      <c r="F33">
        <v>83.6</v>
      </c>
      <c r="G33">
        <v>100.69</v>
      </c>
      <c r="H33">
        <v>100.24</v>
      </c>
      <c r="I33">
        <v>132.33000000000001</v>
      </c>
      <c r="J33">
        <v>148.29</v>
      </c>
      <c r="K33">
        <v>168.49</v>
      </c>
      <c r="L33">
        <v>220.93</v>
      </c>
      <c r="M33">
        <v>214.96</v>
      </c>
      <c r="N33">
        <v>205.39</v>
      </c>
      <c r="O33">
        <v>249.52</v>
      </c>
      <c r="P33">
        <v>362.07</v>
      </c>
      <c r="Q33">
        <v>518.82000000000005</v>
      </c>
      <c r="R33">
        <v>716.54</v>
      </c>
      <c r="S33">
        <v>958.1</v>
      </c>
      <c r="T33" s="2">
        <v>1350.46</v>
      </c>
      <c r="U33" s="2">
        <v>1643.15</v>
      </c>
    </row>
    <row r="34" spans="1:21" x14ac:dyDescent="0.25">
      <c r="A34" t="s">
        <v>63</v>
      </c>
      <c r="F34">
        <v>-6.69</v>
      </c>
      <c r="G34">
        <v>-17.420000000000002</v>
      </c>
      <c r="H34">
        <v>-4.45</v>
      </c>
      <c r="I34">
        <v>-22.7</v>
      </c>
      <c r="J34">
        <v>-4.0999999999999996</v>
      </c>
      <c r="K34">
        <v>-17.54</v>
      </c>
      <c r="L34">
        <v>-37.86</v>
      </c>
      <c r="M34">
        <v>-1.42</v>
      </c>
      <c r="N34">
        <v>22.91</v>
      </c>
      <c r="O34">
        <v>52.02</v>
      </c>
      <c r="P34">
        <v>85.96</v>
      </c>
      <c r="Q34">
        <v>132.66</v>
      </c>
      <c r="R34">
        <v>192.89</v>
      </c>
      <c r="S34">
        <v>281.36</v>
      </c>
      <c r="T34">
        <v>390.55</v>
      </c>
      <c r="U34">
        <v>461.4</v>
      </c>
    </row>
    <row r="35" spans="1:21" x14ac:dyDescent="0.25">
      <c r="A35" t="s">
        <v>64</v>
      </c>
      <c r="F35">
        <v>-9</v>
      </c>
      <c r="G35">
        <v>-21</v>
      </c>
      <c r="H35">
        <v>-5</v>
      </c>
      <c r="I35">
        <v>-21</v>
      </c>
      <c r="J35">
        <v>-3</v>
      </c>
      <c r="K35">
        <v>-12</v>
      </c>
      <c r="L35">
        <v>-21</v>
      </c>
      <c r="M35">
        <v>-1</v>
      </c>
      <c r="N35">
        <v>10</v>
      </c>
      <c r="O35">
        <v>17.04</v>
      </c>
      <c r="P35">
        <v>18.38</v>
      </c>
      <c r="Q35">
        <v>19.3</v>
      </c>
      <c r="R35">
        <v>19.239999999999998</v>
      </c>
      <c r="S35">
        <v>19.71</v>
      </c>
      <c r="T35">
        <v>22.17</v>
      </c>
      <c r="U35">
        <v>21.28</v>
      </c>
    </row>
    <row r="36" spans="1:21" x14ac:dyDescent="0.25">
      <c r="A36" t="s">
        <v>17</v>
      </c>
    </row>
    <row r="37" spans="1:21" x14ac:dyDescent="0.25">
      <c r="A37" t="s">
        <v>682</v>
      </c>
    </row>
    <row r="38" spans="1:21" x14ac:dyDescent="0.25">
      <c r="A38" t="s">
        <v>60</v>
      </c>
      <c r="F38">
        <v>56.1</v>
      </c>
      <c r="G38">
        <v>80.55</v>
      </c>
      <c r="H38">
        <v>71.23</v>
      </c>
      <c r="I38">
        <v>64.09</v>
      </c>
      <c r="J38">
        <v>68.42</v>
      </c>
      <c r="K38">
        <v>75.39</v>
      </c>
      <c r="L38">
        <v>82.36</v>
      </c>
      <c r="M38">
        <v>52.84</v>
      </c>
      <c r="N38">
        <v>60.35</v>
      </c>
      <c r="O38">
        <v>41.33</v>
      </c>
      <c r="P38">
        <v>44.56</v>
      </c>
      <c r="Q38">
        <v>44.09</v>
      </c>
      <c r="R38">
        <v>42.82</v>
      </c>
      <c r="S38">
        <v>42.67</v>
      </c>
      <c r="T38">
        <v>50.68</v>
      </c>
      <c r="U38">
        <v>50.81</v>
      </c>
    </row>
    <row r="39" spans="1:21" x14ac:dyDescent="0.25">
      <c r="A39" t="s">
        <v>62</v>
      </c>
      <c r="F39">
        <v>39.74</v>
      </c>
      <c r="G39">
        <v>49.63</v>
      </c>
      <c r="H39">
        <v>75.39</v>
      </c>
      <c r="I39">
        <v>46.86</v>
      </c>
      <c r="J39">
        <v>44.44</v>
      </c>
      <c r="K39">
        <v>162.06</v>
      </c>
      <c r="L39">
        <v>178.91</v>
      </c>
      <c r="M39">
        <v>38.950000000000003</v>
      </c>
      <c r="N39">
        <v>32.42</v>
      </c>
      <c r="O39">
        <v>29.6</v>
      </c>
      <c r="P39">
        <v>30.72</v>
      </c>
      <c r="Q39">
        <v>30.59</v>
      </c>
      <c r="R39">
        <v>28.81</v>
      </c>
      <c r="S39">
        <v>28.71</v>
      </c>
      <c r="T39">
        <v>33.1</v>
      </c>
      <c r="U39">
        <v>34.840000000000003</v>
      </c>
    </row>
    <row r="40" spans="1:21" x14ac:dyDescent="0.25">
      <c r="A40" t="s">
        <v>63</v>
      </c>
      <c r="F40">
        <v>16.36</v>
      </c>
      <c r="G40">
        <v>30.92</v>
      </c>
      <c r="H40">
        <v>-4.16</v>
      </c>
      <c r="I40">
        <v>17.239999999999998</v>
      </c>
      <c r="J40">
        <v>23.98</v>
      </c>
      <c r="K40">
        <v>-86.67</v>
      </c>
      <c r="L40">
        <v>-96.55</v>
      </c>
      <c r="M40">
        <v>13.89</v>
      </c>
      <c r="N40">
        <v>27.93</v>
      </c>
      <c r="O40">
        <v>11.5</v>
      </c>
      <c r="P40">
        <v>14.39</v>
      </c>
      <c r="Q40">
        <v>14.34</v>
      </c>
      <c r="R40">
        <v>13.95</v>
      </c>
      <c r="S40">
        <v>13.83</v>
      </c>
      <c r="T40">
        <v>17.71</v>
      </c>
      <c r="U40">
        <v>17.59</v>
      </c>
    </row>
    <row r="41" spans="1:21" x14ac:dyDescent="0.25">
      <c r="A41" t="s">
        <v>64</v>
      </c>
      <c r="F41">
        <v>29</v>
      </c>
      <c r="G41">
        <v>38</v>
      </c>
      <c r="H41">
        <v>-6</v>
      </c>
      <c r="I41">
        <v>27</v>
      </c>
      <c r="J41">
        <v>35</v>
      </c>
      <c r="K41">
        <v>-115</v>
      </c>
      <c r="L41">
        <v>-117</v>
      </c>
      <c r="M41">
        <v>26</v>
      </c>
      <c r="N41">
        <v>46</v>
      </c>
      <c r="O41">
        <v>26.82</v>
      </c>
      <c r="P41">
        <v>27.9</v>
      </c>
      <c r="Q41">
        <v>27.83</v>
      </c>
      <c r="R41">
        <v>28.39</v>
      </c>
      <c r="S41">
        <v>28.39</v>
      </c>
      <c r="T41">
        <v>33.69</v>
      </c>
      <c r="U41">
        <v>33.69</v>
      </c>
    </row>
    <row r="42" spans="1:21" x14ac:dyDescent="0.25">
      <c r="A42" t="s">
        <v>17</v>
      </c>
    </row>
    <row r="43" spans="1:21" x14ac:dyDescent="0.25">
      <c r="A43" t="s">
        <v>79</v>
      </c>
    </row>
    <row r="44" spans="1:21" x14ac:dyDescent="0.25">
      <c r="A44" t="s">
        <v>80</v>
      </c>
      <c r="G44">
        <v>742</v>
      </c>
      <c r="H44">
        <v>786.19</v>
      </c>
      <c r="I44">
        <v>794.25</v>
      </c>
      <c r="J44">
        <v>972.18</v>
      </c>
      <c r="K44" s="2">
        <v>1199.1300000000001</v>
      </c>
      <c r="L44" s="2">
        <v>1333.47</v>
      </c>
      <c r="M44" s="2">
        <v>1473.86</v>
      </c>
      <c r="N44" s="2">
        <v>2023.99</v>
      </c>
      <c r="O44" s="2">
        <v>4108.8100000000004</v>
      </c>
      <c r="P44" s="2">
        <v>6850.78</v>
      </c>
      <c r="Q44" s="2">
        <v>9979.24</v>
      </c>
      <c r="R44" s="2">
        <v>12206.32</v>
      </c>
      <c r="S44" s="2">
        <v>14968.5</v>
      </c>
      <c r="T44" s="2">
        <v>17828.71</v>
      </c>
      <c r="U44" s="2">
        <v>17429.669999999998</v>
      </c>
    </row>
    <row r="45" spans="1:21" x14ac:dyDescent="0.25">
      <c r="A45" t="s">
        <v>81</v>
      </c>
      <c r="C45">
        <v>200.89</v>
      </c>
      <c r="D45">
        <v>98.8</v>
      </c>
      <c r="E45">
        <v>144.1</v>
      </c>
      <c r="F45">
        <v>256.67</v>
      </c>
      <c r="G45">
        <v>483.91</v>
      </c>
      <c r="H45">
        <v>653.12</v>
      </c>
      <c r="I45">
        <v>628.27</v>
      </c>
      <c r="J45">
        <v>807.7</v>
      </c>
      <c r="K45" s="2">
        <v>1031.6199999999999</v>
      </c>
      <c r="L45" s="2">
        <v>1158.31</v>
      </c>
      <c r="M45" s="2">
        <v>1298.7</v>
      </c>
      <c r="N45" s="2">
        <v>1759.58</v>
      </c>
      <c r="O45" s="2">
        <v>3906.14</v>
      </c>
      <c r="P45" s="2">
        <v>6269.53</v>
      </c>
      <c r="Q45" s="2">
        <v>9060.4699999999993</v>
      </c>
      <c r="R45" s="2">
        <v>12492.16</v>
      </c>
      <c r="S45" s="2">
        <v>15942.03</v>
      </c>
    </row>
    <row r="46" spans="1:21" x14ac:dyDescent="0.25">
      <c r="A46" t="s">
        <v>17</v>
      </c>
    </row>
    <row r="47" spans="1:21" x14ac:dyDescent="0.25">
      <c r="A47" t="s">
        <v>82</v>
      </c>
      <c r="C47">
        <v>361.76</v>
      </c>
      <c r="D47">
        <v>354.57</v>
      </c>
      <c r="E47">
        <v>312.02999999999997</v>
      </c>
      <c r="F47">
        <v>394.04</v>
      </c>
      <c r="G47">
        <v>526.9</v>
      </c>
      <c r="H47">
        <v>687.59</v>
      </c>
      <c r="I47">
        <v>628.45000000000005</v>
      </c>
      <c r="J47">
        <v>774.6</v>
      </c>
      <c r="K47" s="2">
        <v>1050.8399999999999</v>
      </c>
      <c r="L47" s="2">
        <v>1135.68</v>
      </c>
      <c r="M47" s="2">
        <v>1069.21</v>
      </c>
      <c r="N47" s="2">
        <v>1436.59</v>
      </c>
      <c r="O47" s="2">
        <v>2748.42</v>
      </c>
      <c r="P47" s="2">
        <v>4476.3599999999997</v>
      </c>
      <c r="Q47" s="2">
        <v>6270.98</v>
      </c>
      <c r="R47" s="2">
        <v>7605.64</v>
      </c>
      <c r="S47" s="2">
        <v>9183.39</v>
      </c>
      <c r="T47" s="2">
        <v>10708.18</v>
      </c>
      <c r="U47" s="2">
        <v>10931.44</v>
      </c>
    </row>
    <row r="48" spans="1:21" x14ac:dyDescent="0.25">
      <c r="A48" t="s">
        <v>84</v>
      </c>
      <c r="C48">
        <v>-113.62</v>
      </c>
      <c r="D48">
        <v>-181.68</v>
      </c>
      <c r="E48">
        <v>-103.49</v>
      </c>
      <c r="F48">
        <v>-18.04</v>
      </c>
      <c r="G48">
        <v>105.75</v>
      </c>
      <c r="H48">
        <v>97.59</v>
      </c>
      <c r="I48">
        <v>165.79</v>
      </c>
      <c r="J48">
        <v>197.58</v>
      </c>
      <c r="K48">
        <v>148.29</v>
      </c>
      <c r="L48">
        <v>197.79</v>
      </c>
      <c r="M48">
        <v>404.65</v>
      </c>
      <c r="N48">
        <v>587.4</v>
      </c>
      <c r="O48" s="2">
        <v>1362.72</v>
      </c>
      <c r="P48" s="2">
        <v>2435.3000000000002</v>
      </c>
      <c r="Q48" s="2">
        <v>3650</v>
      </c>
      <c r="R48" s="2">
        <v>4817.04</v>
      </c>
      <c r="S48" s="2">
        <v>6186.87</v>
      </c>
      <c r="T48" s="2">
        <v>7800.43</v>
      </c>
      <c r="U48" s="2">
        <v>7315.79</v>
      </c>
    </row>
    <row r="49" spans="1:21" x14ac:dyDescent="0.25">
      <c r="A49" t="s">
        <v>85</v>
      </c>
      <c r="H49">
        <v>12.9</v>
      </c>
      <c r="I49">
        <v>21</v>
      </c>
      <c r="J49">
        <v>20.3</v>
      </c>
      <c r="K49">
        <v>12.4</v>
      </c>
      <c r="L49">
        <v>15</v>
      </c>
      <c r="M49">
        <v>27.5</v>
      </c>
      <c r="N49">
        <v>29</v>
      </c>
      <c r="O49">
        <v>33.11</v>
      </c>
      <c r="P49">
        <v>34.6</v>
      </c>
      <c r="Q49">
        <v>36.36</v>
      </c>
      <c r="R49">
        <v>37.729999999999997</v>
      </c>
      <c r="S49">
        <v>38.47</v>
      </c>
      <c r="T49">
        <v>40.35</v>
      </c>
      <c r="U49">
        <v>37.799999999999997</v>
      </c>
    </row>
    <row r="50" spans="1:21" x14ac:dyDescent="0.25">
      <c r="A50" t="s">
        <v>17</v>
      </c>
    </row>
    <row r="51" spans="1:21" x14ac:dyDescent="0.25">
      <c r="A51" t="s">
        <v>275</v>
      </c>
      <c r="C51">
        <v>120.01</v>
      </c>
      <c r="D51">
        <v>122.45</v>
      </c>
      <c r="E51">
        <v>137.49</v>
      </c>
      <c r="F51">
        <v>139.24</v>
      </c>
      <c r="G51">
        <v>270.76</v>
      </c>
      <c r="H51">
        <v>330.39</v>
      </c>
      <c r="I51">
        <v>246.58</v>
      </c>
      <c r="J51">
        <v>312.08</v>
      </c>
      <c r="K51">
        <v>409.28</v>
      </c>
      <c r="L51">
        <v>406.7</v>
      </c>
      <c r="M51">
        <v>381.74</v>
      </c>
      <c r="N51">
        <v>514.6</v>
      </c>
      <c r="O51">
        <v>711.11</v>
      </c>
      <c r="P51">
        <v>968.52</v>
      </c>
      <c r="Q51" s="2">
        <v>1232.47</v>
      </c>
      <c r="R51" s="2">
        <v>1332.72</v>
      </c>
      <c r="S51" s="2">
        <v>1526.8</v>
      </c>
      <c r="T51" s="2">
        <v>1986.16</v>
      </c>
      <c r="U51" s="2">
        <v>1864.42</v>
      </c>
    </row>
    <row r="52" spans="1:21" x14ac:dyDescent="0.25">
      <c r="A52" t="s">
        <v>83</v>
      </c>
      <c r="C52">
        <v>48.36</v>
      </c>
      <c r="D52">
        <v>70.83</v>
      </c>
      <c r="E52">
        <v>65.930000000000007</v>
      </c>
      <c r="F52">
        <v>37.03</v>
      </c>
      <c r="G52">
        <v>42.8</v>
      </c>
      <c r="H52">
        <v>42.08</v>
      </c>
      <c r="I52">
        <v>31.05</v>
      </c>
      <c r="J52">
        <v>32.1</v>
      </c>
      <c r="K52">
        <v>34.130000000000003</v>
      </c>
      <c r="L52">
        <v>30.5</v>
      </c>
      <c r="M52">
        <v>25.9</v>
      </c>
      <c r="N52">
        <v>25.42</v>
      </c>
      <c r="O52">
        <v>17.71</v>
      </c>
      <c r="P52">
        <v>14.39</v>
      </c>
      <c r="Q52">
        <v>13.35</v>
      </c>
      <c r="R52">
        <v>12.24</v>
      </c>
      <c r="S52">
        <v>11.3</v>
      </c>
      <c r="T52">
        <v>9.8800000000000008</v>
      </c>
      <c r="U52">
        <v>7.41</v>
      </c>
    </row>
    <row r="53" spans="1:21" x14ac:dyDescent="0.25">
      <c r="A53" t="s">
        <v>683</v>
      </c>
      <c r="C53">
        <v>53</v>
      </c>
      <c r="D53">
        <v>43.93</v>
      </c>
      <c r="E53">
        <v>46.85</v>
      </c>
      <c r="F53">
        <v>51.15</v>
      </c>
      <c r="G53">
        <v>89.14</v>
      </c>
      <c r="H53">
        <v>104.17</v>
      </c>
      <c r="I53">
        <v>83.58</v>
      </c>
      <c r="J53">
        <v>103.4</v>
      </c>
      <c r="K53">
        <v>150.61000000000001</v>
      </c>
      <c r="L53">
        <v>155.87</v>
      </c>
      <c r="M53">
        <v>148.63</v>
      </c>
      <c r="N53">
        <v>185.99</v>
      </c>
      <c r="O53">
        <v>245.32</v>
      </c>
      <c r="P53">
        <v>337.08</v>
      </c>
      <c r="Q53">
        <v>420.62</v>
      </c>
      <c r="R53">
        <v>451.89</v>
      </c>
      <c r="S53">
        <v>513.39</v>
      </c>
      <c r="T53">
        <v>607.45000000000005</v>
      </c>
      <c r="U53">
        <v>605.41999999999996</v>
      </c>
    </row>
    <row r="54" spans="1:21" x14ac:dyDescent="0.25">
      <c r="A54" t="s">
        <v>61</v>
      </c>
      <c r="C54">
        <v>21.36</v>
      </c>
      <c r="D54">
        <v>25.41</v>
      </c>
      <c r="E54">
        <v>22.46</v>
      </c>
      <c r="F54">
        <v>13.6</v>
      </c>
      <c r="G54">
        <v>14.09</v>
      </c>
      <c r="H54">
        <v>13.27</v>
      </c>
      <c r="I54">
        <v>10.52</v>
      </c>
      <c r="J54">
        <v>10.64</v>
      </c>
      <c r="K54">
        <v>12.56</v>
      </c>
      <c r="L54">
        <v>11.69</v>
      </c>
      <c r="M54">
        <v>10.08</v>
      </c>
      <c r="N54">
        <v>9.19</v>
      </c>
      <c r="O54">
        <v>5.97</v>
      </c>
      <c r="P54">
        <v>5.0599999999999996</v>
      </c>
      <c r="Q54">
        <v>4.43</v>
      </c>
      <c r="R54">
        <v>4.74</v>
      </c>
      <c r="S54">
        <v>4.6500000000000004</v>
      </c>
      <c r="T54">
        <v>3.4</v>
      </c>
      <c r="U54">
        <v>3.44</v>
      </c>
    </row>
    <row r="55" spans="1:21" x14ac:dyDescent="0.25">
      <c r="A55" t="s">
        <v>684</v>
      </c>
      <c r="C55">
        <v>16.43</v>
      </c>
      <c r="D55">
        <v>19.54</v>
      </c>
      <c r="E55">
        <v>29.1</v>
      </c>
      <c r="F55">
        <v>32.42</v>
      </c>
      <c r="G55">
        <v>62.81</v>
      </c>
      <c r="H55">
        <v>73.569999999999993</v>
      </c>
      <c r="I55">
        <v>55.92</v>
      </c>
      <c r="J55">
        <v>86.5</v>
      </c>
      <c r="K55">
        <v>90.93</v>
      </c>
      <c r="L55">
        <v>89.96</v>
      </c>
      <c r="M55">
        <v>68.010000000000005</v>
      </c>
      <c r="N55">
        <v>130.22999999999999</v>
      </c>
      <c r="O55">
        <v>180.1</v>
      </c>
      <c r="P55">
        <v>260.14999999999998</v>
      </c>
      <c r="Q55">
        <v>343.97</v>
      </c>
      <c r="R55">
        <v>413.67</v>
      </c>
      <c r="S55">
        <v>494.39</v>
      </c>
      <c r="T55">
        <v>644.4</v>
      </c>
      <c r="U55">
        <v>629.5</v>
      </c>
    </row>
    <row r="56" spans="1:21" x14ac:dyDescent="0.25">
      <c r="A56" t="s">
        <v>685</v>
      </c>
      <c r="C56">
        <v>50.57</v>
      </c>
      <c r="D56">
        <v>58.98</v>
      </c>
      <c r="E56">
        <v>61.55</v>
      </c>
      <c r="F56">
        <v>55.67</v>
      </c>
      <c r="G56">
        <v>118.82</v>
      </c>
      <c r="H56">
        <v>152.65</v>
      </c>
      <c r="I56">
        <v>107.09</v>
      </c>
      <c r="J56">
        <v>122.19</v>
      </c>
      <c r="K56">
        <v>167.74</v>
      </c>
      <c r="L56">
        <v>160.88</v>
      </c>
      <c r="M56">
        <v>165.11</v>
      </c>
      <c r="N56">
        <v>198.38</v>
      </c>
      <c r="O56">
        <v>285.23</v>
      </c>
      <c r="P56">
        <v>375.49</v>
      </c>
      <c r="Q56">
        <v>487.43</v>
      </c>
      <c r="R56">
        <v>572.98</v>
      </c>
      <c r="S56">
        <v>641.70000000000005</v>
      </c>
      <c r="T56">
        <v>775.58</v>
      </c>
      <c r="U56">
        <v>705.56</v>
      </c>
    </row>
    <row r="57" spans="1:21" x14ac:dyDescent="0.25">
      <c r="A57" t="s">
        <v>17</v>
      </c>
    </row>
    <row r="58" spans="1:21" x14ac:dyDescent="0.25">
      <c r="A58" t="s">
        <v>91</v>
      </c>
      <c r="C58">
        <v>-233.63</v>
      </c>
      <c r="D58">
        <v>-304.14</v>
      </c>
      <c r="E58">
        <v>-240.98</v>
      </c>
      <c r="F58">
        <v>-157.28</v>
      </c>
      <c r="G58">
        <v>-165.01</v>
      </c>
      <c r="H58">
        <v>-232.8</v>
      </c>
      <c r="I58">
        <v>-80.790000000000006</v>
      </c>
      <c r="J58">
        <v>-114.5</v>
      </c>
      <c r="K58">
        <v>-260.99</v>
      </c>
      <c r="L58">
        <v>-208.91</v>
      </c>
      <c r="M58">
        <v>22.91</v>
      </c>
      <c r="N58">
        <v>72.8</v>
      </c>
      <c r="O58">
        <v>648.29999999999995</v>
      </c>
      <c r="P58" s="2">
        <v>1456.07</v>
      </c>
      <c r="Q58" s="2">
        <v>2362.5500000000002</v>
      </c>
      <c r="R58" s="2">
        <v>3155.89</v>
      </c>
      <c r="S58" s="2">
        <v>4109.8999999999996</v>
      </c>
      <c r="T58" s="2">
        <v>4693.17</v>
      </c>
      <c r="U58" s="2">
        <v>5105.7700000000004</v>
      </c>
    </row>
    <row r="59" spans="1:21" x14ac:dyDescent="0.25">
      <c r="A59" t="s">
        <v>92</v>
      </c>
      <c r="C59">
        <v>-94.15</v>
      </c>
      <c r="D59">
        <v>-175.91</v>
      </c>
      <c r="E59">
        <v>-115.56</v>
      </c>
      <c r="F59">
        <v>-41.83</v>
      </c>
      <c r="G59">
        <v>-26.08</v>
      </c>
      <c r="H59">
        <v>-29.65</v>
      </c>
      <c r="I59">
        <v>-10.17</v>
      </c>
      <c r="J59">
        <v>-11.78</v>
      </c>
      <c r="K59">
        <v>-21.77</v>
      </c>
      <c r="L59">
        <v>-15.67</v>
      </c>
      <c r="M59">
        <v>1.55</v>
      </c>
      <c r="N59">
        <v>3.6</v>
      </c>
      <c r="O59">
        <v>15.58</v>
      </c>
      <c r="P59">
        <v>20.81</v>
      </c>
      <c r="Q59">
        <v>23.53</v>
      </c>
      <c r="R59">
        <v>24.96</v>
      </c>
      <c r="S59">
        <v>25.94</v>
      </c>
      <c r="T59">
        <v>24.27</v>
      </c>
      <c r="U59">
        <v>24.17</v>
      </c>
    </row>
    <row r="60" spans="1:21" x14ac:dyDescent="0.25">
      <c r="A60" t="s">
        <v>17</v>
      </c>
    </row>
    <row r="61" spans="1:21" x14ac:dyDescent="0.25">
      <c r="A61" t="s">
        <v>93</v>
      </c>
      <c r="C61">
        <v>30.11</v>
      </c>
      <c r="D61">
        <v>35.64</v>
      </c>
      <c r="E61">
        <v>43.1</v>
      </c>
      <c r="F61">
        <v>46.11</v>
      </c>
      <c r="G61">
        <v>53.89</v>
      </c>
      <c r="H61">
        <v>78.58</v>
      </c>
      <c r="I61">
        <v>52.28</v>
      </c>
      <c r="J61">
        <v>53.45</v>
      </c>
      <c r="K61">
        <v>61.61</v>
      </c>
      <c r="L61">
        <v>62.6</v>
      </c>
      <c r="M61">
        <v>53.05</v>
      </c>
      <c r="N61">
        <v>50.57</v>
      </c>
      <c r="O61">
        <v>57.48</v>
      </c>
      <c r="P61">
        <v>72.44</v>
      </c>
      <c r="Q61">
        <v>87.1</v>
      </c>
      <c r="R61">
        <v>109.84</v>
      </c>
      <c r="S61">
        <v>130.01</v>
      </c>
      <c r="T61">
        <v>150.24</v>
      </c>
      <c r="U61">
        <v>184.45</v>
      </c>
    </row>
    <row r="62" spans="1:21" x14ac:dyDescent="0.25">
      <c r="A62" t="s">
        <v>17</v>
      </c>
    </row>
    <row r="63" spans="1:21" x14ac:dyDescent="0.25">
      <c r="A63" t="s">
        <v>95</v>
      </c>
      <c r="C63">
        <v>27.78</v>
      </c>
      <c r="D63">
        <v>40.840000000000003</v>
      </c>
      <c r="E63">
        <v>94.6</v>
      </c>
      <c r="F63">
        <v>123.35</v>
      </c>
      <c r="G63">
        <v>124.73</v>
      </c>
      <c r="H63">
        <v>90.03</v>
      </c>
      <c r="I63">
        <v>98.05</v>
      </c>
      <c r="J63">
        <v>77.819999999999993</v>
      </c>
      <c r="K63">
        <v>53</v>
      </c>
      <c r="L63">
        <v>97.14</v>
      </c>
      <c r="M63">
        <v>49.27</v>
      </c>
      <c r="N63">
        <v>157.21</v>
      </c>
      <c r="O63">
        <v>-37.72</v>
      </c>
      <c r="P63">
        <v>-35.700000000000003</v>
      </c>
      <c r="Q63">
        <v>-46.45</v>
      </c>
      <c r="R63">
        <v>-29.24</v>
      </c>
      <c r="S63">
        <v>-70.27</v>
      </c>
      <c r="T63">
        <v>-16.12</v>
      </c>
      <c r="U63">
        <v>-3.99</v>
      </c>
    </row>
    <row r="64" spans="1:21" x14ac:dyDescent="0.25">
      <c r="A64" t="s">
        <v>288</v>
      </c>
      <c r="C64">
        <v>21.61</v>
      </c>
      <c r="D64">
        <v>40.630000000000003</v>
      </c>
      <c r="E64">
        <v>81.19</v>
      </c>
      <c r="F64">
        <v>108.62</v>
      </c>
      <c r="G64">
        <v>101.59</v>
      </c>
      <c r="H64">
        <v>88.58</v>
      </c>
      <c r="I64">
        <v>77.31</v>
      </c>
      <c r="J64">
        <v>68.760000000000005</v>
      </c>
      <c r="K64">
        <v>49.61</v>
      </c>
      <c r="L64">
        <v>88.41</v>
      </c>
      <c r="M64">
        <v>37.29</v>
      </c>
      <c r="N64">
        <v>19.82</v>
      </c>
      <c r="O64">
        <v>-60.39</v>
      </c>
      <c r="P64">
        <v>-111.99</v>
      </c>
      <c r="Q64">
        <v>-256.60000000000002</v>
      </c>
      <c r="R64">
        <v>6.56</v>
      </c>
      <c r="S64">
        <v>-5.43</v>
      </c>
      <c r="T64">
        <v>-121.28</v>
      </c>
      <c r="U64">
        <v>-155.02000000000001</v>
      </c>
    </row>
    <row r="65" spans="1:21" x14ac:dyDescent="0.25">
      <c r="A65" t="s">
        <v>397</v>
      </c>
      <c r="C65">
        <v>21.61</v>
      </c>
      <c r="D65">
        <v>40.630000000000003</v>
      </c>
      <c r="E65">
        <v>81.19</v>
      </c>
      <c r="F65">
        <v>108.62</v>
      </c>
      <c r="G65">
        <v>105.91</v>
      </c>
      <c r="H65">
        <v>94.24</v>
      </c>
      <c r="I65">
        <v>78.790000000000006</v>
      </c>
      <c r="J65">
        <v>69.03</v>
      </c>
      <c r="K65">
        <v>53.49</v>
      </c>
      <c r="L65">
        <v>108.3</v>
      </c>
      <c r="M65">
        <v>62.64</v>
      </c>
      <c r="N65">
        <v>53.89</v>
      </c>
      <c r="O65">
        <v>34.14</v>
      </c>
      <c r="P65">
        <v>42.24</v>
      </c>
      <c r="Q65">
        <v>43.41</v>
      </c>
      <c r="R65">
        <v>37.659999999999997</v>
      </c>
      <c r="S65">
        <v>20.9</v>
      </c>
      <c r="T65">
        <v>-16.12</v>
      </c>
      <c r="U65">
        <v>-3.99</v>
      </c>
    </row>
    <row r="66" spans="1:21" x14ac:dyDescent="0.25">
      <c r="A66" t="s">
        <v>398</v>
      </c>
      <c r="G66">
        <v>4.32</v>
      </c>
      <c r="H66">
        <v>5.66</v>
      </c>
      <c r="I66">
        <v>1.48</v>
      </c>
      <c r="J66">
        <v>0.26</v>
      </c>
      <c r="K66">
        <v>3.89</v>
      </c>
      <c r="L66">
        <v>19.89</v>
      </c>
      <c r="M66">
        <v>25.34</v>
      </c>
      <c r="N66">
        <v>34.07</v>
      </c>
      <c r="O66">
        <v>80.040000000000006</v>
      </c>
      <c r="P66">
        <v>78.790000000000006</v>
      </c>
      <c r="Q66">
        <v>92.86</v>
      </c>
      <c r="R66">
        <v>119.74</v>
      </c>
      <c r="S66">
        <v>168.65</v>
      </c>
      <c r="T66">
        <v>249.3</v>
      </c>
      <c r="U66">
        <v>286.66000000000003</v>
      </c>
    </row>
    <row r="67" spans="1:21" x14ac:dyDescent="0.25">
      <c r="A67" t="s">
        <v>686</v>
      </c>
      <c r="E67">
        <v>13.04</v>
      </c>
      <c r="F67">
        <v>15</v>
      </c>
      <c r="G67">
        <v>22.14</v>
      </c>
      <c r="H67">
        <v>2.16</v>
      </c>
      <c r="I67">
        <v>-0.46</v>
      </c>
      <c r="J67">
        <v>0.92</v>
      </c>
      <c r="K67">
        <v>-0.56999999999999995</v>
      </c>
      <c r="L67">
        <v>1.64</v>
      </c>
      <c r="M67">
        <v>0.69</v>
      </c>
      <c r="N67">
        <v>0.54</v>
      </c>
      <c r="O67">
        <v>-0.35</v>
      </c>
    </row>
    <row r="68" spans="1:21" x14ac:dyDescent="0.25">
      <c r="A68" t="s">
        <v>485</v>
      </c>
      <c r="E68">
        <v>0.38</v>
      </c>
      <c r="F68">
        <v>-0.27</v>
      </c>
      <c r="G68">
        <v>1</v>
      </c>
      <c r="H68">
        <v>-0.71</v>
      </c>
      <c r="I68">
        <v>8.32</v>
      </c>
      <c r="J68">
        <v>8.14</v>
      </c>
      <c r="K68">
        <v>-5</v>
      </c>
      <c r="L68">
        <v>2.79</v>
      </c>
      <c r="M68">
        <v>-15.9</v>
      </c>
      <c r="N68">
        <v>-2.15</v>
      </c>
      <c r="O68">
        <v>-0.73</v>
      </c>
      <c r="P68">
        <v>11.75</v>
      </c>
      <c r="Q68">
        <v>-8.5</v>
      </c>
      <c r="R68">
        <v>-8.5</v>
      </c>
      <c r="S68">
        <v>-8.5</v>
      </c>
      <c r="T68">
        <v>-8.5</v>
      </c>
      <c r="U68">
        <v>-8.5</v>
      </c>
    </row>
    <row r="69" spans="1:21" x14ac:dyDescent="0.25">
      <c r="A69" t="s">
        <v>485</v>
      </c>
      <c r="C69">
        <v>6.18</v>
      </c>
      <c r="D69">
        <v>0.21</v>
      </c>
      <c r="E69">
        <v>13.41</v>
      </c>
      <c r="F69">
        <v>14.73</v>
      </c>
      <c r="G69">
        <v>23.14</v>
      </c>
      <c r="H69">
        <v>1.45</v>
      </c>
      <c r="I69">
        <v>20.73</v>
      </c>
      <c r="J69">
        <v>9.06</v>
      </c>
      <c r="K69">
        <v>3.39</v>
      </c>
      <c r="L69">
        <v>8.7200000000000006</v>
      </c>
      <c r="M69">
        <v>11.97</v>
      </c>
      <c r="N69">
        <v>96.97</v>
      </c>
      <c r="O69">
        <v>21.84</v>
      </c>
      <c r="P69">
        <v>108.9</v>
      </c>
      <c r="Q69">
        <v>85.79</v>
      </c>
      <c r="R69">
        <v>101.61</v>
      </c>
      <c r="S69">
        <v>120.6</v>
      </c>
      <c r="T69">
        <v>410.17</v>
      </c>
      <c r="U69">
        <v>492.2</v>
      </c>
    </row>
    <row r="70" spans="1:21" x14ac:dyDescent="0.25">
      <c r="A70" t="s">
        <v>100</v>
      </c>
      <c r="G70">
        <v>-77.67</v>
      </c>
      <c r="H70">
        <v>-126.54</v>
      </c>
      <c r="I70">
        <v>-178.83</v>
      </c>
      <c r="J70">
        <v>-192.32</v>
      </c>
      <c r="K70">
        <v>-200.65</v>
      </c>
      <c r="L70">
        <v>-306.04000000000002</v>
      </c>
      <c r="M70">
        <v>-26.36</v>
      </c>
      <c r="N70">
        <v>-84.4</v>
      </c>
      <c r="O70">
        <v>722.12</v>
      </c>
      <c r="P70" s="2">
        <v>1609.52</v>
      </c>
      <c r="Q70" s="2">
        <v>2727.08</v>
      </c>
      <c r="R70" s="2">
        <v>3456.33</v>
      </c>
      <c r="S70" s="2">
        <v>4296.8</v>
      </c>
      <c r="T70" s="2">
        <v>4976.3999999999996</v>
      </c>
      <c r="U70" s="2">
        <v>5437.6</v>
      </c>
    </row>
    <row r="71" spans="1:21" x14ac:dyDescent="0.25">
      <c r="A71" t="s">
        <v>83</v>
      </c>
      <c r="C71">
        <v>-105.35</v>
      </c>
      <c r="D71">
        <v>-199.53</v>
      </c>
      <c r="E71">
        <v>-160.91999999999999</v>
      </c>
      <c r="F71">
        <v>-74.64</v>
      </c>
      <c r="G71">
        <v>-45.8</v>
      </c>
      <c r="H71">
        <v>-41.12</v>
      </c>
      <c r="I71">
        <v>-22.52</v>
      </c>
      <c r="J71">
        <v>-19.78</v>
      </c>
      <c r="K71">
        <v>-26.18</v>
      </c>
      <c r="L71">
        <v>-22.95</v>
      </c>
      <c r="M71">
        <v>-1.79</v>
      </c>
      <c r="N71">
        <v>-4.17</v>
      </c>
      <c r="O71">
        <v>18.010000000000002</v>
      </c>
      <c r="P71">
        <v>20.48</v>
      </c>
      <c r="Q71">
        <v>22.99</v>
      </c>
      <c r="R71">
        <v>21.15</v>
      </c>
      <c r="S71">
        <v>24.82</v>
      </c>
    </row>
    <row r="72" spans="1:21" x14ac:dyDescent="0.25">
      <c r="A72" t="s">
        <v>17</v>
      </c>
    </row>
    <row r="73" spans="1:21" x14ac:dyDescent="0.25">
      <c r="A73" t="s">
        <v>101</v>
      </c>
      <c r="C73">
        <v>0.56999999999999995</v>
      </c>
      <c r="D73">
        <v>0.71</v>
      </c>
      <c r="E73">
        <v>0.73</v>
      </c>
      <c r="F73">
        <v>0.64</v>
      </c>
      <c r="G73">
        <v>1.54</v>
      </c>
      <c r="H73">
        <v>0.63</v>
      </c>
      <c r="I73">
        <v>0.26</v>
      </c>
      <c r="J73">
        <v>1.05</v>
      </c>
      <c r="K73">
        <v>1.1000000000000001</v>
      </c>
      <c r="L73">
        <v>1.89</v>
      </c>
      <c r="M73">
        <v>0.85</v>
      </c>
      <c r="N73">
        <v>2.74</v>
      </c>
      <c r="O73">
        <v>30.9</v>
      </c>
      <c r="P73">
        <v>154.27000000000001</v>
      </c>
      <c r="Q73">
        <v>324.82</v>
      </c>
      <c r="R73">
        <v>463.86</v>
      </c>
      <c r="S73">
        <v>628.33000000000004</v>
      </c>
      <c r="T73">
        <v>766.58</v>
      </c>
      <c r="U73">
        <v>803.67</v>
      </c>
    </row>
    <row r="74" spans="1:21" x14ac:dyDescent="0.25">
      <c r="A74" t="s">
        <v>102</v>
      </c>
      <c r="O74">
        <v>2.0699999999999998</v>
      </c>
      <c r="P74">
        <v>2.2400000000000002</v>
      </c>
      <c r="Q74">
        <v>5.04</v>
      </c>
      <c r="R74">
        <v>3.62</v>
      </c>
      <c r="S74">
        <v>3.9</v>
      </c>
      <c r="T74">
        <v>-0.14000000000000001</v>
      </c>
      <c r="U74">
        <v>-0.14000000000000001</v>
      </c>
    </row>
    <row r="75" spans="1:21" x14ac:dyDescent="0.25">
      <c r="A75" t="s">
        <v>17</v>
      </c>
    </row>
    <row r="76" spans="1:21" x14ac:dyDescent="0.25">
      <c r="A76" t="s">
        <v>106</v>
      </c>
      <c r="C76">
        <v>-261.99</v>
      </c>
      <c r="D76">
        <v>-345.68</v>
      </c>
      <c r="E76">
        <v>-336.32</v>
      </c>
      <c r="F76">
        <v>-281.27</v>
      </c>
      <c r="G76">
        <v>-291.27999999999997</v>
      </c>
      <c r="H76">
        <v>-323.47000000000003</v>
      </c>
      <c r="I76">
        <v>-179.09</v>
      </c>
      <c r="J76">
        <v>-193.37</v>
      </c>
      <c r="K76">
        <v>-315.08999999999997</v>
      </c>
      <c r="L76">
        <v>-307.94</v>
      </c>
      <c r="M76">
        <v>-27.2</v>
      </c>
      <c r="N76">
        <v>-87.14</v>
      </c>
      <c r="O76">
        <v>656.87</v>
      </c>
      <c r="P76" s="2">
        <v>1401.21</v>
      </c>
      <c r="Q76" s="2">
        <v>2210.59</v>
      </c>
      <c r="R76" s="2">
        <v>2907.79</v>
      </c>
      <c r="S76" s="2">
        <v>3854.21</v>
      </c>
      <c r="T76" s="2">
        <v>4363.21</v>
      </c>
      <c r="U76" s="2">
        <v>4794.6000000000004</v>
      </c>
    </row>
    <row r="77" spans="1:21" x14ac:dyDescent="0.25">
      <c r="A77" t="s">
        <v>83</v>
      </c>
      <c r="C77">
        <v>-105.58</v>
      </c>
      <c r="D77">
        <v>-199.94</v>
      </c>
      <c r="E77">
        <v>-161.27000000000001</v>
      </c>
      <c r="F77">
        <v>-74.81</v>
      </c>
      <c r="G77">
        <v>-46.04</v>
      </c>
      <c r="H77">
        <v>-41.2</v>
      </c>
      <c r="I77">
        <v>-22.55</v>
      </c>
      <c r="J77">
        <v>-19.89</v>
      </c>
      <c r="K77">
        <v>-26.28</v>
      </c>
      <c r="L77">
        <v>-23.09</v>
      </c>
      <c r="M77">
        <v>-1.85</v>
      </c>
      <c r="N77">
        <v>-4.3099999999999996</v>
      </c>
      <c r="O77">
        <v>16.72</v>
      </c>
      <c r="P77">
        <v>19.68</v>
      </c>
      <c r="Q77">
        <v>23.77</v>
      </c>
      <c r="R77">
        <v>24.82</v>
      </c>
      <c r="S77">
        <v>25.99</v>
      </c>
    </row>
    <row r="78" spans="1:21" x14ac:dyDescent="0.25">
      <c r="A78" t="s">
        <v>105</v>
      </c>
      <c r="C78">
        <v>-44.37</v>
      </c>
      <c r="D78">
        <v>-4.68</v>
      </c>
      <c r="E78">
        <v>-56.66</v>
      </c>
      <c r="F78">
        <v>-18.670000000000002</v>
      </c>
      <c r="G78">
        <v>-17.739999999999998</v>
      </c>
      <c r="H78">
        <v>-19.05</v>
      </c>
      <c r="I78">
        <v>-21.53</v>
      </c>
      <c r="J78">
        <v>-28.92</v>
      </c>
      <c r="K78">
        <v>-13.68</v>
      </c>
      <c r="L78">
        <v>-5.82</v>
      </c>
      <c r="M78">
        <v>2.02</v>
      </c>
      <c r="N78">
        <v>1.29</v>
      </c>
      <c r="O78">
        <v>8.8000000000000007</v>
      </c>
      <c r="P78">
        <v>15.15</v>
      </c>
      <c r="Q78">
        <v>24.72</v>
      </c>
      <c r="R78">
        <v>16.04</v>
      </c>
      <c r="S78">
        <v>20.079999999999998</v>
      </c>
      <c r="T78">
        <v>35.479999999999997</v>
      </c>
      <c r="U78">
        <v>59.66</v>
      </c>
    </row>
    <row r="79" spans="1:21" x14ac:dyDescent="0.25">
      <c r="A79" t="s">
        <v>589</v>
      </c>
      <c r="G79">
        <v>-241.8</v>
      </c>
      <c r="H79">
        <v>-302.48</v>
      </c>
      <c r="I79">
        <v>-157.55000000000001</v>
      </c>
      <c r="J79">
        <v>-164.45</v>
      </c>
      <c r="K79">
        <v>-301.41000000000003</v>
      </c>
      <c r="L79">
        <v>-302.12</v>
      </c>
      <c r="M79">
        <v>-29.2</v>
      </c>
      <c r="N79">
        <v>-88.43</v>
      </c>
      <c r="O79">
        <v>652.85</v>
      </c>
      <c r="P79" s="2">
        <v>1371.58</v>
      </c>
      <c r="Q79" s="2">
        <v>2260.88</v>
      </c>
      <c r="R79" s="2">
        <v>3054.22</v>
      </c>
      <c r="S79" s="2">
        <v>3877.39</v>
      </c>
      <c r="T79" s="2">
        <v>5592</v>
      </c>
      <c r="U79" s="2">
        <v>4770.8</v>
      </c>
    </row>
    <row r="80" spans="1:21" x14ac:dyDescent="0.25">
      <c r="A80" t="s">
        <v>280</v>
      </c>
      <c r="C80">
        <v>-87.7</v>
      </c>
      <c r="D80">
        <v>-197.24</v>
      </c>
      <c r="E80">
        <v>-134.1</v>
      </c>
      <c r="F80">
        <v>-69.84</v>
      </c>
      <c r="G80">
        <v>-43.24</v>
      </c>
      <c r="H80">
        <v>-38.770000000000003</v>
      </c>
      <c r="I80">
        <v>-19.84</v>
      </c>
      <c r="J80">
        <v>-16.920000000000002</v>
      </c>
      <c r="K80">
        <v>-25.14</v>
      </c>
      <c r="L80">
        <v>-22.66</v>
      </c>
      <c r="M80">
        <v>-1.98</v>
      </c>
      <c r="N80">
        <v>-4.37</v>
      </c>
      <c r="O80">
        <v>14.94</v>
      </c>
      <c r="P80">
        <v>19.82</v>
      </c>
      <c r="Q80">
        <v>21.81</v>
      </c>
      <c r="R80">
        <v>22.35</v>
      </c>
      <c r="S80">
        <v>23.58</v>
      </c>
      <c r="T80">
        <v>25.71</v>
      </c>
      <c r="U80">
        <v>25.51</v>
      </c>
    </row>
    <row r="81" spans="1:21" x14ac:dyDescent="0.25">
      <c r="A81" t="s">
        <v>17</v>
      </c>
    </row>
    <row r="82" spans="1:21" x14ac:dyDescent="0.25">
      <c r="A82" t="s">
        <v>108</v>
      </c>
      <c r="C82">
        <v>9.39</v>
      </c>
      <c r="D82">
        <v>9.74</v>
      </c>
      <c r="E82">
        <v>10.050000000000001</v>
      </c>
      <c r="F82">
        <v>10.25</v>
      </c>
      <c r="G82">
        <v>53.27</v>
      </c>
      <c r="H82">
        <v>115.12</v>
      </c>
      <c r="I82">
        <v>138.72</v>
      </c>
      <c r="J82">
        <v>173.44</v>
      </c>
      <c r="K82">
        <v>185.91</v>
      </c>
      <c r="L82">
        <v>212.68</v>
      </c>
      <c r="M82">
        <v>227.37</v>
      </c>
      <c r="N82">
        <v>240.4</v>
      </c>
      <c r="O82">
        <v>295.61</v>
      </c>
      <c r="P82">
        <v>303.87</v>
      </c>
      <c r="Q82">
        <v>307.72000000000003</v>
      </c>
      <c r="R82">
        <v>305.72000000000003</v>
      </c>
      <c r="S82">
        <v>308.39</v>
      </c>
      <c r="T82">
        <v>319.27</v>
      </c>
      <c r="U82">
        <v>331.94</v>
      </c>
    </row>
    <row r="83" spans="1:21" x14ac:dyDescent="0.25">
      <c r="A83" t="s">
        <v>17</v>
      </c>
    </row>
    <row r="84" spans="1:21" x14ac:dyDescent="0.25">
      <c r="A84" t="s">
        <v>109</v>
      </c>
      <c r="C84">
        <v>9.39</v>
      </c>
      <c r="D84">
        <v>9.74</v>
      </c>
      <c r="E84">
        <v>10.050000000000001</v>
      </c>
      <c r="F84">
        <v>10.25</v>
      </c>
      <c r="G84">
        <v>53.27</v>
      </c>
      <c r="H84">
        <v>115.12</v>
      </c>
      <c r="I84">
        <v>138.72</v>
      </c>
      <c r="J84">
        <v>173.44</v>
      </c>
      <c r="K84">
        <v>185.91</v>
      </c>
      <c r="L84">
        <v>212.68</v>
      </c>
      <c r="M84">
        <v>227.37</v>
      </c>
      <c r="N84">
        <v>240.4</v>
      </c>
      <c r="O84">
        <v>316.16000000000003</v>
      </c>
      <c r="P84">
        <v>323.38</v>
      </c>
      <c r="Q84">
        <v>326.32</v>
      </c>
      <c r="R84">
        <v>330.69</v>
      </c>
      <c r="S84">
        <v>334.24</v>
      </c>
      <c r="T84">
        <v>343.51</v>
      </c>
      <c r="U84">
        <v>350.18</v>
      </c>
    </row>
    <row r="85" spans="1:21" x14ac:dyDescent="0.25">
      <c r="A85" t="s">
        <v>110</v>
      </c>
      <c r="G85">
        <v>-4.54</v>
      </c>
      <c r="H85">
        <v>-2.63</v>
      </c>
      <c r="I85">
        <v>-1.1399999999999999</v>
      </c>
      <c r="J85">
        <v>-0.95</v>
      </c>
      <c r="K85">
        <v>-1.62</v>
      </c>
      <c r="L85">
        <v>-1.42</v>
      </c>
      <c r="M85">
        <v>-0.13</v>
      </c>
      <c r="N85">
        <v>-0.37</v>
      </c>
      <c r="O85">
        <v>2.13</v>
      </c>
      <c r="P85">
        <v>4.29</v>
      </c>
      <c r="Q85">
        <v>7.05</v>
      </c>
      <c r="R85">
        <v>9.36</v>
      </c>
      <c r="S85">
        <v>11.63</v>
      </c>
      <c r="T85">
        <v>13.25</v>
      </c>
      <c r="U85">
        <v>14.77</v>
      </c>
    </row>
    <row r="86" spans="1:21" x14ac:dyDescent="0.25">
      <c r="A86" t="s">
        <v>17</v>
      </c>
    </row>
    <row r="87" spans="1:21" x14ac:dyDescent="0.25">
      <c r="A87" t="s">
        <v>111</v>
      </c>
    </row>
    <row r="88" spans="1:21" x14ac:dyDescent="0.25">
      <c r="A88" t="s">
        <v>63</v>
      </c>
      <c r="G88">
        <v>158.6</v>
      </c>
      <c r="H88">
        <v>143</v>
      </c>
      <c r="I88">
        <v>183.3</v>
      </c>
      <c r="J88">
        <v>211.4</v>
      </c>
      <c r="K88">
        <v>276.10000000000002</v>
      </c>
      <c r="L88">
        <v>344.01</v>
      </c>
      <c r="M88">
        <v>422.81</v>
      </c>
      <c r="N88">
        <v>612.44000000000005</v>
      </c>
      <c r="O88" s="2">
        <v>1401.82</v>
      </c>
      <c r="P88" s="2">
        <v>2447.92</v>
      </c>
      <c r="Q88" s="2">
        <v>3736.42</v>
      </c>
      <c r="R88" s="2">
        <v>5126.08</v>
      </c>
      <c r="S88" s="2">
        <v>6639.8</v>
      </c>
      <c r="T88" s="2">
        <v>7894.77</v>
      </c>
      <c r="U88" s="2">
        <v>7416.55</v>
      </c>
    </row>
    <row r="89" spans="1:21" x14ac:dyDescent="0.25">
      <c r="A89" t="s">
        <v>64</v>
      </c>
      <c r="G89">
        <v>21.4</v>
      </c>
      <c r="H89">
        <v>22.6</v>
      </c>
      <c r="I89">
        <v>23.1</v>
      </c>
      <c r="J89">
        <v>20.3</v>
      </c>
      <c r="K89">
        <v>23</v>
      </c>
      <c r="L89">
        <v>25.8</v>
      </c>
      <c r="M89">
        <v>28.7</v>
      </c>
      <c r="N89">
        <v>30.3</v>
      </c>
      <c r="O89">
        <v>33.83</v>
      </c>
      <c r="P89">
        <v>35.61</v>
      </c>
      <c r="Q89">
        <v>37.32</v>
      </c>
      <c r="R89">
        <v>38.15</v>
      </c>
      <c r="S89">
        <v>38.61</v>
      </c>
      <c r="T89">
        <v>40.93</v>
      </c>
      <c r="U89">
        <v>38.450000000000003</v>
      </c>
    </row>
    <row r="90" spans="1:21" x14ac:dyDescent="0.25">
      <c r="A90" t="s">
        <v>116</v>
      </c>
      <c r="G90">
        <v>-153.86000000000001</v>
      </c>
      <c r="H90">
        <v>-228.8</v>
      </c>
      <c r="I90">
        <v>-80.790000000000006</v>
      </c>
      <c r="J90">
        <v>-114.5</v>
      </c>
      <c r="K90">
        <v>-33.47</v>
      </c>
      <c r="L90">
        <v>19.18</v>
      </c>
      <c r="M90">
        <v>107.6</v>
      </c>
      <c r="N90">
        <v>221.02</v>
      </c>
      <c r="O90">
        <v>828.67</v>
      </c>
      <c r="P90" s="2">
        <v>1736.71</v>
      </c>
      <c r="Q90" s="2">
        <v>2840.95</v>
      </c>
      <c r="R90" s="2">
        <v>4006.63</v>
      </c>
      <c r="S90" s="2">
        <v>5121.13</v>
      </c>
      <c r="T90" s="2">
        <v>6437.29</v>
      </c>
      <c r="U90" s="2">
        <v>6074.5</v>
      </c>
    </row>
    <row r="91" spans="1:21" x14ac:dyDescent="0.25">
      <c r="A91" t="s">
        <v>683</v>
      </c>
      <c r="I91">
        <v>64.599999999999994</v>
      </c>
      <c r="J91">
        <v>83.1</v>
      </c>
      <c r="K91">
        <v>116.6</v>
      </c>
      <c r="L91">
        <v>127</v>
      </c>
      <c r="O91">
        <v>215.69</v>
      </c>
      <c r="P91">
        <v>284.73</v>
      </c>
      <c r="Q91">
        <v>419.3</v>
      </c>
      <c r="R91">
        <v>450.69</v>
      </c>
      <c r="S91">
        <v>557.76</v>
      </c>
      <c r="T91">
        <v>515.14</v>
      </c>
      <c r="U91">
        <v>429.85</v>
      </c>
    </row>
    <row r="92" spans="1:21" x14ac:dyDescent="0.25">
      <c r="A92" t="s">
        <v>61</v>
      </c>
      <c r="I92">
        <v>8.1300000000000008</v>
      </c>
      <c r="J92">
        <v>8.5500000000000007</v>
      </c>
      <c r="K92">
        <v>9.7200000000000006</v>
      </c>
      <c r="L92">
        <v>9.52</v>
      </c>
      <c r="O92">
        <v>4.8099999999999996</v>
      </c>
      <c r="P92">
        <v>3.41</v>
      </c>
      <c r="Q92">
        <v>3.39</v>
      </c>
      <c r="R92">
        <v>3.32</v>
      </c>
      <c r="S92">
        <v>3.23</v>
      </c>
      <c r="T92">
        <v>3.11</v>
      </c>
      <c r="U92">
        <v>3.09</v>
      </c>
    </row>
    <row r="93" spans="1:21" x14ac:dyDescent="0.25">
      <c r="A93" t="s">
        <v>684</v>
      </c>
      <c r="I93">
        <v>44.9</v>
      </c>
      <c r="J93">
        <v>69.400000000000006</v>
      </c>
      <c r="K93">
        <v>72.099999999999994</v>
      </c>
      <c r="L93">
        <v>72</v>
      </c>
      <c r="O93">
        <v>156.79</v>
      </c>
      <c r="P93">
        <v>195.85</v>
      </c>
      <c r="Q93">
        <v>296.07</v>
      </c>
      <c r="R93">
        <v>385.49</v>
      </c>
      <c r="S93">
        <v>481.07</v>
      </c>
      <c r="T93">
        <v>587.66999999999996</v>
      </c>
      <c r="U93">
        <v>443.75</v>
      </c>
    </row>
    <row r="94" spans="1:21" x14ac:dyDescent="0.25">
      <c r="A94" t="s">
        <v>117</v>
      </c>
      <c r="G94">
        <v>66.86</v>
      </c>
      <c r="H94">
        <v>97.3</v>
      </c>
      <c r="I94">
        <v>45.5</v>
      </c>
      <c r="J94">
        <v>14.03</v>
      </c>
      <c r="K94">
        <v>30.13</v>
      </c>
      <c r="L94">
        <v>81.790000000000006</v>
      </c>
      <c r="M94">
        <v>161</v>
      </c>
      <c r="N94">
        <v>271.58999999999997</v>
      </c>
      <c r="O94">
        <v>917.44</v>
      </c>
      <c r="P94" s="2">
        <v>1778.44</v>
      </c>
      <c r="Q94" s="2">
        <v>2860.13</v>
      </c>
      <c r="R94" s="2">
        <v>3845.94</v>
      </c>
      <c r="S94" s="2">
        <v>4805.9399999999996</v>
      </c>
      <c r="T94" s="2">
        <v>6409.29</v>
      </c>
      <c r="U94" s="2">
        <v>5840</v>
      </c>
    </row>
    <row r="95" spans="1:21" x14ac:dyDescent="0.25">
      <c r="A95" t="s">
        <v>484</v>
      </c>
      <c r="H95">
        <v>87.87</v>
      </c>
      <c r="I95">
        <v>85.63</v>
      </c>
      <c r="J95">
        <v>55.57</v>
      </c>
      <c r="K95">
        <v>43.16</v>
      </c>
      <c r="L95">
        <v>38.01</v>
      </c>
      <c r="M95">
        <v>42.16</v>
      </c>
      <c r="N95">
        <v>20.239999999999998</v>
      </c>
      <c r="O95">
        <v>-34.369999999999997</v>
      </c>
      <c r="P95">
        <v>-4.88</v>
      </c>
      <c r="Q95">
        <v>-0.2</v>
      </c>
      <c r="R95">
        <v>11.21</v>
      </c>
      <c r="S95">
        <v>-13.65</v>
      </c>
      <c r="T95">
        <v>-216.69</v>
      </c>
      <c r="U95">
        <v>-521.76</v>
      </c>
    </row>
    <row r="96" spans="1:21" x14ac:dyDescent="0.25">
      <c r="A96" t="s">
        <v>599</v>
      </c>
      <c r="G96">
        <v>-59.84</v>
      </c>
      <c r="H96">
        <v>-301.64</v>
      </c>
      <c r="I96">
        <v>-145.03</v>
      </c>
      <c r="J96">
        <v>-96.03</v>
      </c>
      <c r="K96">
        <v>-75.73</v>
      </c>
      <c r="L96">
        <v>-20.72</v>
      </c>
      <c r="M96">
        <v>64.599999999999994</v>
      </c>
      <c r="N96">
        <v>198.05</v>
      </c>
      <c r="O96">
        <v>795.66</v>
      </c>
      <c r="P96" s="2">
        <v>1533.06</v>
      </c>
      <c r="Q96" s="2">
        <v>2452.14</v>
      </c>
      <c r="R96" s="2">
        <v>3350.89</v>
      </c>
      <c r="S96" s="2">
        <v>4248.1099999999997</v>
      </c>
      <c r="T96" s="2">
        <v>6233.83</v>
      </c>
      <c r="U96" s="2">
        <v>5464</v>
      </c>
    </row>
    <row r="97" spans="1:21" x14ac:dyDescent="0.25">
      <c r="A97" t="s">
        <v>124</v>
      </c>
      <c r="G97">
        <v>-0.63</v>
      </c>
      <c r="H97">
        <v>-0.3</v>
      </c>
      <c r="I97">
        <v>-0.67</v>
      </c>
      <c r="J97">
        <v>-0.55000000000000004</v>
      </c>
      <c r="K97">
        <v>-0.41</v>
      </c>
      <c r="L97">
        <v>-0.1</v>
      </c>
      <c r="M97">
        <v>0.28000000000000003</v>
      </c>
      <c r="N97">
        <v>0.76</v>
      </c>
      <c r="O97">
        <v>2.66</v>
      </c>
      <c r="P97">
        <v>4.9000000000000004</v>
      </c>
      <c r="Q97">
        <v>7.77</v>
      </c>
      <c r="R97">
        <v>10.029999999999999</v>
      </c>
      <c r="S97">
        <v>12.63</v>
      </c>
      <c r="T97">
        <v>14.7</v>
      </c>
      <c r="U97">
        <v>16.350000000000001</v>
      </c>
    </row>
    <row r="98" spans="1:21" x14ac:dyDescent="0.25">
      <c r="A98" t="s">
        <v>17</v>
      </c>
    </row>
    <row r="99" spans="1:21" x14ac:dyDescent="0.25">
      <c r="A99" t="s">
        <v>176</v>
      </c>
    </row>
    <row r="100" spans="1:21" x14ac:dyDescent="0.25">
      <c r="A100" t="s">
        <v>67</v>
      </c>
      <c r="C100">
        <v>18.25</v>
      </c>
      <c r="D100">
        <v>20.9</v>
      </c>
      <c r="E100">
        <v>28.16</v>
      </c>
      <c r="F100">
        <v>30.48</v>
      </c>
      <c r="G100">
        <v>168.48</v>
      </c>
      <c r="H100">
        <v>196.29</v>
      </c>
      <c r="I100">
        <v>73.89</v>
      </c>
      <c r="J100">
        <v>76.13</v>
      </c>
      <c r="K100">
        <v>113.97</v>
      </c>
      <c r="L100">
        <v>87.1</v>
      </c>
      <c r="M100">
        <v>83</v>
      </c>
      <c r="N100">
        <v>145.02000000000001</v>
      </c>
      <c r="O100">
        <v>217.71</v>
      </c>
      <c r="P100">
        <v>250.25</v>
      </c>
      <c r="Q100">
        <v>288.60000000000002</v>
      </c>
      <c r="R100">
        <v>362.51</v>
      </c>
      <c r="S100">
        <v>426.48</v>
      </c>
      <c r="T100">
        <v>723.61</v>
      </c>
      <c r="U100">
        <v>762.99</v>
      </c>
    </row>
    <row r="101" spans="1:21" x14ac:dyDescent="0.25">
      <c r="A101" t="s">
        <v>61</v>
      </c>
      <c r="G101">
        <v>26.63</v>
      </c>
      <c r="H101">
        <v>25</v>
      </c>
      <c r="I101">
        <v>9.3000000000000007</v>
      </c>
      <c r="J101">
        <v>7.54</v>
      </c>
      <c r="K101">
        <v>9.5</v>
      </c>
      <c r="L101">
        <v>6.53</v>
      </c>
      <c r="M101">
        <v>5.63</v>
      </c>
      <c r="N101">
        <v>7.16</v>
      </c>
      <c r="O101">
        <v>5.64</v>
      </c>
      <c r="P101">
        <v>4.3600000000000003</v>
      </c>
      <c r="Q101">
        <v>3.66</v>
      </c>
      <c r="R101">
        <v>3.31</v>
      </c>
      <c r="S101">
        <v>3.11</v>
      </c>
      <c r="T101">
        <v>5.83</v>
      </c>
      <c r="U101">
        <v>5.82</v>
      </c>
    </row>
    <row r="102" spans="1:21" x14ac:dyDescent="0.25">
      <c r="A102" t="s">
        <v>126</v>
      </c>
      <c r="C102">
        <v>5.14</v>
      </c>
      <c r="D102">
        <v>5.53</v>
      </c>
      <c r="E102">
        <v>6.01</v>
      </c>
      <c r="F102">
        <v>7.73</v>
      </c>
      <c r="G102">
        <v>29.68</v>
      </c>
      <c r="H102">
        <v>45.43</v>
      </c>
      <c r="I102">
        <v>17.48</v>
      </c>
      <c r="J102">
        <v>13.81</v>
      </c>
      <c r="K102">
        <v>18.96</v>
      </c>
      <c r="L102">
        <v>17.5</v>
      </c>
      <c r="M102">
        <v>16.579999999999998</v>
      </c>
      <c r="N102">
        <v>24.1</v>
      </c>
      <c r="O102">
        <v>42.67</v>
      </c>
      <c r="P102">
        <v>50.05</v>
      </c>
      <c r="Q102">
        <v>62.79</v>
      </c>
      <c r="R102">
        <v>83.94</v>
      </c>
      <c r="S102">
        <v>104.9</v>
      </c>
      <c r="T102">
        <v>161.80000000000001</v>
      </c>
      <c r="U102">
        <v>196</v>
      </c>
    </row>
    <row r="103" spans="1:21" x14ac:dyDescent="0.25">
      <c r="A103" t="s">
        <v>114</v>
      </c>
      <c r="K103">
        <v>33.96</v>
      </c>
      <c r="L103">
        <v>27.62</v>
      </c>
      <c r="M103">
        <v>22.15</v>
      </c>
      <c r="N103">
        <v>32.86</v>
      </c>
      <c r="O103">
        <v>40.1</v>
      </c>
      <c r="P103">
        <v>44.97</v>
      </c>
      <c r="Q103">
        <v>47.31</v>
      </c>
      <c r="R103">
        <v>63.71</v>
      </c>
      <c r="S103">
        <v>69.040000000000006</v>
      </c>
    </row>
    <row r="104" spans="1:21" x14ac:dyDescent="0.25">
      <c r="A104" t="s">
        <v>129</v>
      </c>
      <c r="K104">
        <v>18.649999999999999</v>
      </c>
      <c r="L104">
        <v>16.420000000000002</v>
      </c>
      <c r="M104">
        <v>11.22</v>
      </c>
      <c r="N104">
        <v>28.34</v>
      </c>
      <c r="O104">
        <v>47.68</v>
      </c>
      <c r="P104">
        <v>71.13</v>
      </c>
      <c r="Q104">
        <v>86.3</v>
      </c>
      <c r="R104">
        <v>135.38</v>
      </c>
      <c r="S104">
        <v>173.17</v>
      </c>
      <c r="T104">
        <v>346.42</v>
      </c>
      <c r="U104">
        <v>357.18</v>
      </c>
    </row>
    <row r="105" spans="1:21" x14ac:dyDescent="0.25">
      <c r="A105" t="s">
        <v>115</v>
      </c>
      <c r="C105">
        <v>6.66</v>
      </c>
      <c r="D105">
        <v>8.27</v>
      </c>
      <c r="E105">
        <v>11.87</v>
      </c>
      <c r="F105">
        <v>12.5</v>
      </c>
      <c r="G105">
        <v>67.489999999999995</v>
      </c>
      <c r="H105">
        <v>77.44</v>
      </c>
      <c r="I105">
        <v>26.38</v>
      </c>
      <c r="J105">
        <v>24.96</v>
      </c>
      <c r="K105">
        <v>42.4</v>
      </c>
      <c r="L105">
        <v>25.56</v>
      </c>
      <c r="M105">
        <v>33.04</v>
      </c>
      <c r="N105">
        <v>59.71</v>
      </c>
      <c r="O105">
        <v>80.53</v>
      </c>
      <c r="P105">
        <v>122.81</v>
      </c>
      <c r="Q105">
        <v>154.24</v>
      </c>
      <c r="R105">
        <v>232.54</v>
      </c>
      <c r="S105">
        <v>296.95</v>
      </c>
      <c r="T105">
        <v>614.80999999999995</v>
      </c>
      <c r="U105">
        <v>37.5</v>
      </c>
    </row>
    <row r="106" spans="1:21" x14ac:dyDescent="0.25">
      <c r="A106" t="s">
        <v>687</v>
      </c>
      <c r="I106">
        <v>12.88</v>
      </c>
      <c r="K106">
        <v>8.9600000000000009</v>
      </c>
      <c r="L106">
        <v>4.29</v>
      </c>
      <c r="M106">
        <v>27.18</v>
      </c>
      <c r="N106">
        <v>32.340000000000003</v>
      </c>
      <c r="O106">
        <v>0.5</v>
      </c>
    </row>
    <row r="107" spans="1:21" x14ac:dyDescent="0.25">
      <c r="A107" t="s">
        <v>17</v>
      </c>
    </row>
    <row r="108" spans="1:21" x14ac:dyDescent="0.25">
      <c r="A108" t="s">
        <v>134</v>
      </c>
    </row>
    <row r="109" spans="1:21" x14ac:dyDescent="0.25">
      <c r="A109" t="s">
        <v>135</v>
      </c>
    </row>
    <row r="110" spans="1:21" x14ac:dyDescent="0.25">
      <c r="A110" t="s">
        <v>136</v>
      </c>
      <c r="C110">
        <v>441.8</v>
      </c>
      <c r="D110">
        <v>390.89</v>
      </c>
      <c r="E110">
        <v>392.09</v>
      </c>
      <c r="F110">
        <v>419.98</v>
      </c>
      <c r="G110">
        <v>663.93</v>
      </c>
      <c r="H110">
        <v>472.71</v>
      </c>
      <c r="I110">
        <v>618.6</v>
      </c>
      <c r="J110">
        <v>806.42</v>
      </c>
      <c r="K110" s="2">
        <v>1055.96</v>
      </c>
      <c r="L110" s="2">
        <v>1693.17</v>
      </c>
      <c r="M110" s="2">
        <v>2044.13</v>
      </c>
      <c r="N110" s="2">
        <v>3730.57</v>
      </c>
      <c r="O110" s="2">
        <v>16917.509999999998</v>
      </c>
      <c r="P110" s="2">
        <v>30465.919999999998</v>
      </c>
      <c r="Q110" s="2">
        <v>44896.57</v>
      </c>
      <c r="R110" s="2">
        <v>12523.16</v>
      </c>
      <c r="S110" s="2">
        <v>16296.29</v>
      </c>
      <c r="T110" s="2">
        <v>22288.1</v>
      </c>
      <c r="U110" s="2">
        <v>25072.46</v>
      </c>
    </row>
    <row r="111" spans="1:21" x14ac:dyDescent="0.25">
      <c r="A111" t="s">
        <v>536</v>
      </c>
      <c r="C111">
        <v>107.03</v>
      </c>
      <c r="D111">
        <v>135.03</v>
      </c>
      <c r="E111">
        <v>156.58000000000001</v>
      </c>
      <c r="F111">
        <v>103.83</v>
      </c>
      <c r="G111">
        <v>220.73</v>
      </c>
      <c r="H111">
        <v>202.82</v>
      </c>
      <c r="I111">
        <v>246.95</v>
      </c>
      <c r="J111">
        <v>396.04</v>
      </c>
      <c r="K111">
        <v>348.5</v>
      </c>
      <c r="L111">
        <v>664.59</v>
      </c>
      <c r="M111">
        <v>802.85</v>
      </c>
      <c r="N111" s="2">
        <v>2454.11</v>
      </c>
      <c r="O111" s="2">
        <v>2810.72</v>
      </c>
      <c r="P111" s="2">
        <v>23801.35</v>
      </c>
      <c r="Q111" s="2">
        <v>35455.839999999997</v>
      </c>
      <c r="R111" s="2">
        <v>7440.74</v>
      </c>
      <c r="S111" s="2">
        <v>10183.11</v>
      </c>
      <c r="T111" s="2">
        <v>14499.79</v>
      </c>
      <c r="U111" s="2">
        <v>17387.650000000001</v>
      </c>
    </row>
    <row r="112" spans="1:21" x14ac:dyDescent="0.25">
      <c r="A112" t="s">
        <v>141</v>
      </c>
      <c r="C112">
        <v>23.18</v>
      </c>
      <c r="D112">
        <v>34.47</v>
      </c>
      <c r="E112">
        <v>35.17</v>
      </c>
      <c r="F112">
        <v>30.32</v>
      </c>
      <c r="G112">
        <v>88.78</v>
      </c>
      <c r="H112">
        <v>37.83</v>
      </c>
      <c r="I112">
        <v>99.51</v>
      </c>
      <c r="J112">
        <v>87.79</v>
      </c>
      <c r="K112">
        <v>251</v>
      </c>
      <c r="L112">
        <v>340.74</v>
      </c>
      <c r="M112">
        <v>335.84</v>
      </c>
      <c r="N112">
        <v>371.8</v>
      </c>
      <c r="O112">
        <v>683.38</v>
      </c>
      <c r="P112" s="2">
        <v>1116.5999999999999</v>
      </c>
      <c r="Q112" s="2">
        <v>1535.48</v>
      </c>
      <c r="R112" s="2">
        <v>2000.57</v>
      </c>
      <c r="S112" s="2">
        <v>2439.2600000000002</v>
      </c>
      <c r="T112" s="2">
        <v>2940.82</v>
      </c>
      <c r="U112" s="2">
        <v>2637.45</v>
      </c>
    </row>
    <row r="113" spans="1:21" x14ac:dyDescent="0.25">
      <c r="A113" t="s">
        <v>688</v>
      </c>
      <c r="J113">
        <v>25.2</v>
      </c>
      <c r="K113">
        <v>46.73</v>
      </c>
      <c r="L113">
        <v>41.37</v>
      </c>
      <c r="M113">
        <v>145.16</v>
      </c>
      <c r="N113">
        <v>241.19</v>
      </c>
      <c r="O113">
        <v>361.62</v>
      </c>
      <c r="P113">
        <v>441.21</v>
      </c>
      <c r="Q113">
        <v>541.28</v>
      </c>
      <c r="R113">
        <v>654.04999999999995</v>
      </c>
      <c r="S113">
        <v>742.98</v>
      </c>
      <c r="T113" s="2">
        <v>1338.46</v>
      </c>
      <c r="U113" s="2">
        <v>1474.33</v>
      </c>
    </row>
    <row r="114" spans="1:21" x14ac:dyDescent="0.25">
      <c r="A114" t="s">
        <v>689</v>
      </c>
      <c r="E114">
        <v>4.84</v>
      </c>
      <c r="F114">
        <v>5.21</v>
      </c>
      <c r="G114">
        <v>5.59</v>
      </c>
      <c r="H114">
        <v>5.1100000000000003</v>
      </c>
      <c r="I114">
        <v>5.43</v>
      </c>
      <c r="J114">
        <v>5.78</v>
      </c>
      <c r="K114">
        <v>0</v>
      </c>
      <c r="L114">
        <v>0</v>
      </c>
      <c r="M114">
        <v>0</v>
      </c>
      <c r="N114">
        <v>0</v>
      </c>
      <c r="O114">
        <v>90.97</v>
      </c>
      <c r="P114">
        <v>90.97</v>
      </c>
      <c r="Q114">
        <v>90.97</v>
      </c>
      <c r="R114">
        <v>90.97</v>
      </c>
      <c r="S114">
        <v>90.97</v>
      </c>
      <c r="T114">
        <v>90.97</v>
      </c>
      <c r="U114">
        <v>90.97</v>
      </c>
    </row>
    <row r="115" spans="1:21" x14ac:dyDescent="0.25">
      <c r="A115" t="s">
        <v>340</v>
      </c>
      <c r="C115">
        <v>116.91</v>
      </c>
      <c r="D115">
        <v>82.95</v>
      </c>
      <c r="E115">
        <v>83.16</v>
      </c>
      <c r="F115">
        <v>90.26</v>
      </c>
      <c r="G115">
        <v>135.27000000000001</v>
      </c>
      <c r="H115">
        <v>109.61</v>
      </c>
      <c r="I115">
        <v>142.06</v>
      </c>
      <c r="J115">
        <v>143.37</v>
      </c>
      <c r="K115">
        <v>268.39</v>
      </c>
      <c r="L115">
        <v>502.52</v>
      </c>
      <c r="M115">
        <v>544.66</v>
      </c>
      <c r="N115">
        <v>643.30999999999995</v>
      </c>
      <c r="O115" s="2">
        <v>1002.58</v>
      </c>
      <c r="P115" s="2">
        <v>1438.04</v>
      </c>
      <c r="Q115" s="2">
        <v>1946.19</v>
      </c>
      <c r="R115" s="2">
        <v>2266.14</v>
      </c>
      <c r="S115" s="2">
        <v>2736.05</v>
      </c>
      <c r="T115" s="2">
        <v>3354.05</v>
      </c>
      <c r="U115" s="2">
        <v>3189.47</v>
      </c>
    </row>
    <row r="116" spans="1:21" x14ac:dyDescent="0.25">
      <c r="A116" t="s">
        <v>537</v>
      </c>
      <c r="E116">
        <v>23.42</v>
      </c>
      <c r="F116">
        <v>26.68</v>
      </c>
      <c r="G116">
        <v>36.75</v>
      </c>
      <c r="H116">
        <v>28.07</v>
      </c>
      <c r="I116">
        <v>30.72</v>
      </c>
      <c r="J116">
        <v>30.66</v>
      </c>
      <c r="K116">
        <v>43.64</v>
      </c>
      <c r="L116">
        <v>51.15</v>
      </c>
      <c r="M116">
        <v>46.2</v>
      </c>
      <c r="N116">
        <v>49.81</v>
      </c>
      <c r="O116">
        <v>184.97</v>
      </c>
      <c r="P116">
        <v>210</v>
      </c>
      <c r="Q116">
        <v>233.18</v>
      </c>
      <c r="R116">
        <v>257.14999999999998</v>
      </c>
      <c r="S116">
        <v>285.81</v>
      </c>
      <c r="T116">
        <v>464.92</v>
      </c>
      <c r="U116">
        <v>563.41999999999996</v>
      </c>
    </row>
    <row r="117" spans="1:21" x14ac:dyDescent="0.25">
      <c r="A117" t="s">
        <v>408</v>
      </c>
      <c r="E117">
        <v>19.87</v>
      </c>
      <c r="F117">
        <v>44.39</v>
      </c>
      <c r="G117">
        <v>28.66</v>
      </c>
      <c r="H117">
        <v>30.8</v>
      </c>
      <c r="I117">
        <v>52.47</v>
      </c>
      <c r="J117">
        <v>92.54</v>
      </c>
      <c r="K117">
        <v>51.52</v>
      </c>
      <c r="L117">
        <v>46.82</v>
      </c>
      <c r="M117">
        <v>110.62</v>
      </c>
      <c r="N117">
        <v>1.97</v>
      </c>
      <c r="O117">
        <v>1.05</v>
      </c>
      <c r="P117">
        <v>1.05</v>
      </c>
      <c r="Q117">
        <v>1.05</v>
      </c>
      <c r="R117">
        <v>1.05</v>
      </c>
      <c r="S117">
        <v>1.05</v>
      </c>
      <c r="T117">
        <v>1.05</v>
      </c>
      <c r="U117">
        <v>1.05</v>
      </c>
    </row>
    <row r="118" spans="1:21" x14ac:dyDescent="0.25">
      <c r="A118" t="s">
        <v>78</v>
      </c>
      <c r="E118">
        <v>69.06</v>
      </c>
      <c r="F118">
        <v>92.49</v>
      </c>
      <c r="G118">
        <v>43.81</v>
      </c>
      <c r="H118">
        <v>58.47</v>
      </c>
      <c r="I118">
        <v>41.47</v>
      </c>
      <c r="J118">
        <v>25.04</v>
      </c>
      <c r="K118">
        <v>46.19</v>
      </c>
      <c r="L118">
        <v>45.98</v>
      </c>
      <c r="M118">
        <v>58.79</v>
      </c>
      <c r="N118">
        <v>30.65</v>
      </c>
      <c r="O118">
        <v>74.28</v>
      </c>
      <c r="P118">
        <v>85.64</v>
      </c>
      <c r="Q118">
        <v>103.33</v>
      </c>
      <c r="R118">
        <v>119.9</v>
      </c>
      <c r="S118">
        <v>136.21</v>
      </c>
      <c r="T118">
        <v>196.74</v>
      </c>
      <c r="U118">
        <v>213.74</v>
      </c>
    </row>
    <row r="119" spans="1:21" x14ac:dyDescent="0.25">
      <c r="A119" t="s">
        <v>146</v>
      </c>
      <c r="C119">
        <v>485.11</v>
      </c>
      <c r="D119">
        <v>553.61</v>
      </c>
      <c r="E119">
        <v>811.96</v>
      </c>
      <c r="F119">
        <v>801.01</v>
      </c>
      <c r="G119">
        <v>857.86</v>
      </c>
      <c r="H119">
        <v>849.88</v>
      </c>
      <c r="I119">
        <v>835.78</v>
      </c>
      <c r="J119">
        <v>919.15</v>
      </c>
      <c r="K119">
        <v>890.66</v>
      </c>
      <c r="L119">
        <v>720.51</v>
      </c>
      <c r="M119">
        <v>613.23</v>
      </c>
      <c r="N119">
        <v>666.14</v>
      </c>
      <c r="O119" s="2">
        <v>1193.07</v>
      </c>
      <c r="P119" s="2">
        <v>1455.03</v>
      </c>
      <c r="Q119" s="2">
        <v>1717.63</v>
      </c>
      <c r="R119" s="2">
        <v>1401.28</v>
      </c>
      <c r="S119" s="2">
        <v>1487.28</v>
      </c>
      <c r="T119" s="2">
        <v>1727.96</v>
      </c>
      <c r="U119" s="2">
        <v>1831.98</v>
      </c>
    </row>
    <row r="120" spans="1:21" x14ac:dyDescent="0.25">
      <c r="A120" t="s">
        <v>148</v>
      </c>
      <c r="E120">
        <v>538.45000000000005</v>
      </c>
      <c r="F120">
        <v>497.79</v>
      </c>
      <c r="G120">
        <v>716.75</v>
      </c>
      <c r="H120">
        <v>607.05999999999995</v>
      </c>
      <c r="I120">
        <v>600.63</v>
      </c>
      <c r="J120">
        <v>604.11</v>
      </c>
      <c r="K120">
        <v>600.41</v>
      </c>
      <c r="L120">
        <v>493.35</v>
      </c>
      <c r="M120">
        <v>403.48</v>
      </c>
      <c r="N120">
        <v>398.51</v>
      </c>
      <c r="O120">
        <v>533.04999999999995</v>
      </c>
      <c r="P120">
        <v>651.16999999999996</v>
      </c>
      <c r="Q120">
        <v>783.98</v>
      </c>
      <c r="R120">
        <v>818.42</v>
      </c>
      <c r="S120">
        <v>893.38</v>
      </c>
      <c r="T120" s="2">
        <v>1040.98</v>
      </c>
      <c r="U120">
        <v>997.33</v>
      </c>
    </row>
    <row r="121" spans="1:21" x14ac:dyDescent="0.25">
      <c r="A121" t="s">
        <v>690</v>
      </c>
      <c r="C121">
        <v>256.33</v>
      </c>
      <c r="D121">
        <v>354.54</v>
      </c>
      <c r="E121">
        <v>538.45000000000005</v>
      </c>
      <c r="F121">
        <v>497.79</v>
      </c>
      <c r="G121">
        <v>716.75</v>
      </c>
      <c r="H121">
        <v>607.05999999999995</v>
      </c>
      <c r="I121">
        <v>636.25</v>
      </c>
      <c r="J121">
        <v>710.77</v>
      </c>
      <c r="K121">
        <v>727.37</v>
      </c>
      <c r="L121">
        <v>633.08000000000004</v>
      </c>
      <c r="M121">
        <v>525.96</v>
      </c>
      <c r="N121">
        <v>507.05</v>
      </c>
    </row>
    <row r="122" spans="1:21" x14ac:dyDescent="0.25">
      <c r="A122" t="s">
        <v>689</v>
      </c>
      <c r="E122">
        <v>77.89</v>
      </c>
      <c r="F122">
        <v>72.680000000000007</v>
      </c>
      <c r="G122">
        <v>67.08</v>
      </c>
      <c r="H122">
        <v>50.75</v>
      </c>
      <c r="I122">
        <v>45.27</v>
      </c>
      <c r="J122">
        <v>39.479999999999997</v>
      </c>
      <c r="K122">
        <v>0</v>
      </c>
      <c r="L122">
        <v>0</v>
      </c>
      <c r="M122">
        <v>0</v>
      </c>
      <c r="N122">
        <v>0</v>
      </c>
      <c r="O122">
        <v>28.09</v>
      </c>
      <c r="P122">
        <v>28.09</v>
      </c>
      <c r="Q122">
        <v>28.09</v>
      </c>
      <c r="R122">
        <v>28.09</v>
      </c>
      <c r="S122">
        <v>28.09</v>
      </c>
      <c r="T122">
        <v>28.09</v>
      </c>
      <c r="U122">
        <v>28.09</v>
      </c>
    </row>
    <row r="123" spans="1:21" x14ac:dyDescent="0.25">
      <c r="A123" t="s">
        <v>691</v>
      </c>
      <c r="E123">
        <v>113.13</v>
      </c>
      <c r="F123">
        <v>160.68</v>
      </c>
      <c r="G123">
        <v>0.05</v>
      </c>
      <c r="H123">
        <v>6.67</v>
      </c>
      <c r="I123">
        <v>2.46</v>
      </c>
      <c r="J123">
        <v>1.29</v>
      </c>
      <c r="K123">
        <v>4.74</v>
      </c>
      <c r="L123">
        <v>3.45</v>
      </c>
      <c r="M123">
        <v>3.63</v>
      </c>
      <c r="N123">
        <v>4.0999999999999996</v>
      </c>
      <c r="O123">
        <v>7.03</v>
      </c>
      <c r="P123">
        <v>7.41</v>
      </c>
      <c r="Q123">
        <v>7.95</v>
      </c>
      <c r="R123">
        <v>8.57</v>
      </c>
      <c r="S123">
        <v>8.99</v>
      </c>
      <c r="T123">
        <v>7</v>
      </c>
      <c r="U123">
        <v>7.68</v>
      </c>
    </row>
    <row r="124" spans="1:21" x14ac:dyDescent="0.25">
      <c r="A124" t="s">
        <v>692</v>
      </c>
      <c r="I124">
        <v>35.619999999999997</v>
      </c>
      <c r="J124">
        <v>106.66</v>
      </c>
      <c r="K124">
        <v>126.96</v>
      </c>
      <c r="L124">
        <v>139.72999999999999</v>
      </c>
      <c r="M124">
        <v>122.49</v>
      </c>
      <c r="N124">
        <v>108.54</v>
      </c>
      <c r="O124">
        <v>121.62</v>
      </c>
      <c r="P124">
        <v>132.47</v>
      </c>
      <c r="Q124">
        <v>144.22999999999999</v>
      </c>
      <c r="R124">
        <v>177.9</v>
      </c>
      <c r="S124">
        <v>196.44</v>
      </c>
      <c r="T124">
        <v>109.68</v>
      </c>
      <c r="U124">
        <v>106.48</v>
      </c>
    </row>
    <row r="125" spans="1:21" x14ac:dyDescent="0.25">
      <c r="A125" t="s">
        <v>693</v>
      </c>
      <c r="E125">
        <v>41.47</v>
      </c>
      <c r="F125">
        <v>32.4</v>
      </c>
      <c r="G125">
        <v>31.1</v>
      </c>
      <c r="H125">
        <v>143.76</v>
      </c>
      <c r="I125">
        <v>117.29</v>
      </c>
      <c r="J125">
        <v>126.54</v>
      </c>
      <c r="K125">
        <v>118.35</v>
      </c>
      <c r="L125">
        <v>33.76</v>
      </c>
      <c r="M125">
        <v>37.5</v>
      </c>
      <c r="N125">
        <v>25.5</v>
      </c>
      <c r="O125">
        <v>21.59</v>
      </c>
      <c r="P125">
        <v>21.59</v>
      </c>
      <c r="Q125">
        <v>21.59</v>
      </c>
      <c r="R125">
        <v>21.81</v>
      </c>
      <c r="S125">
        <v>21.81</v>
      </c>
      <c r="T125">
        <v>23.42</v>
      </c>
      <c r="U125">
        <v>20.6</v>
      </c>
    </row>
    <row r="126" spans="1:21" x14ac:dyDescent="0.25">
      <c r="A126" t="s">
        <v>78</v>
      </c>
      <c r="E126">
        <v>41.03</v>
      </c>
      <c r="F126">
        <v>37.46</v>
      </c>
      <c r="G126">
        <v>42.88</v>
      </c>
      <c r="H126">
        <v>41.65</v>
      </c>
      <c r="I126">
        <v>34.51</v>
      </c>
      <c r="J126">
        <v>39.119999999999997</v>
      </c>
      <c r="K126">
        <v>40.21</v>
      </c>
      <c r="L126">
        <v>50.21</v>
      </c>
      <c r="M126">
        <v>46.14</v>
      </c>
      <c r="N126">
        <v>57.2</v>
      </c>
      <c r="O126">
        <v>281.12</v>
      </c>
      <c r="P126">
        <v>281.12</v>
      </c>
      <c r="Q126">
        <v>281.12</v>
      </c>
      <c r="R126">
        <v>281.12</v>
      </c>
      <c r="S126">
        <v>281.12</v>
      </c>
      <c r="T126">
        <v>316.10000000000002</v>
      </c>
      <c r="U126">
        <v>383.6</v>
      </c>
    </row>
    <row r="127" spans="1:21" x14ac:dyDescent="0.25">
      <c r="A127" t="s">
        <v>155</v>
      </c>
      <c r="C127">
        <v>926.91</v>
      </c>
      <c r="D127">
        <v>944.5</v>
      </c>
      <c r="E127" s="2">
        <v>1204.05</v>
      </c>
      <c r="F127" s="2">
        <v>1220.99</v>
      </c>
      <c r="G127" s="2">
        <v>1521.79</v>
      </c>
      <c r="H127" s="2">
        <v>1322.59</v>
      </c>
      <c r="I127" s="2">
        <v>1454.39</v>
      </c>
      <c r="J127" s="2">
        <v>1725.57</v>
      </c>
      <c r="K127" s="2">
        <v>1946.63</v>
      </c>
      <c r="L127" s="2">
        <v>2413.6799999999998</v>
      </c>
      <c r="M127" s="2">
        <v>2657.35</v>
      </c>
      <c r="N127" s="2">
        <v>4396.71</v>
      </c>
      <c r="O127" s="2">
        <v>17978.22</v>
      </c>
      <c r="P127" s="2">
        <v>31655.62</v>
      </c>
      <c r="Q127" s="2">
        <v>46212.51</v>
      </c>
      <c r="R127" s="2">
        <v>13705.29</v>
      </c>
      <c r="S127" s="2">
        <v>17571.46</v>
      </c>
      <c r="T127" s="2">
        <v>23951.74</v>
      </c>
      <c r="U127" s="2">
        <v>26793.14</v>
      </c>
    </row>
    <row r="128" spans="1:21" x14ac:dyDescent="0.25">
      <c r="A128" t="s">
        <v>17</v>
      </c>
    </row>
    <row r="129" spans="1:21" x14ac:dyDescent="0.25">
      <c r="A129" t="s">
        <v>156</v>
      </c>
    </row>
    <row r="130" spans="1:21" x14ac:dyDescent="0.25">
      <c r="A130" t="s">
        <v>157</v>
      </c>
      <c r="C130">
        <v>229.07</v>
      </c>
      <c r="D130">
        <v>221.86</v>
      </c>
      <c r="E130">
        <v>261.08999999999997</v>
      </c>
      <c r="F130">
        <v>271.27999999999997</v>
      </c>
      <c r="G130">
        <v>257.3</v>
      </c>
      <c r="H130">
        <v>573.96</v>
      </c>
      <c r="I130">
        <v>436.38</v>
      </c>
      <c r="J130">
        <v>342.48</v>
      </c>
      <c r="K130">
        <v>541.95000000000005</v>
      </c>
      <c r="L130">
        <v>470.42</v>
      </c>
      <c r="M130">
        <v>636.76</v>
      </c>
      <c r="N130">
        <v>623.83000000000004</v>
      </c>
      <c r="O130" s="2">
        <v>1118.8499999999999</v>
      </c>
      <c r="P130" s="2">
        <v>1429.05</v>
      </c>
      <c r="Q130" s="2">
        <v>1741.55</v>
      </c>
      <c r="R130" s="2">
        <v>2371.09</v>
      </c>
      <c r="S130" s="2">
        <v>2185.5100000000002</v>
      </c>
      <c r="T130" s="2">
        <v>2396.29</v>
      </c>
      <c r="U130" s="2">
        <v>2695.05</v>
      </c>
    </row>
    <row r="131" spans="1:21" x14ac:dyDescent="0.25">
      <c r="A131" t="s">
        <v>158</v>
      </c>
      <c r="C131">
        <v>34.83</v>
      </c>
      <c r="D131">
        <v>36.700000000000003</v>
      </c>
      <c r="E131">
        <v>41.51</v>
      </c>
      <c r="F131">
        <v>48.58</v>
      </c>
      <c r="G131">
        <v>66.89</v>
      </c>
      <c r="H131">
        <v>55.58</v>
      </c>
      <c r="I131">
        <v>58.33</v>
      </c>
      <c r="J131">
        <v>72.97</v>
      </c>
      <c r="K131">
        <v>161.77000000000001</v>
      </c>
      <c r="L131">
        <v>132.08000000000001</v>
      </c>
      <c r="M131">
        <v>92.7</v>
      </c>
      <c r="N131">
        <v>203.13</v>
      </c>
      <c r="O131">
        <v>360.53</v>
      </c>
      <c r="P131">
        <v>557.9</v>
      </c>
      <c r="Q131">
        <v>739.49</v>
      </c>
      <c r="R131">
        <v>820.48</v>
      </c>
      <c r="S131">
        <v>982.45</v>
      </c>
      <c r="T131" s="2">
        <v>1079.0899999999999</v>
      </c>
      <c r="U131" s="2">
        <v>1108.06</v>
      </c>
    </row>
    <row r="132" spans="1:21" x14ac:dyDescent="0.25">
      <c r="A132" t="s">
        <v>201</v>
      </c>
      <c r="E132">
        <v>23.86</v>
      </c>
      <c r="F132">
        <v>16.809999999999999</v>
      </c>
      <c r="G132">
        <v>17.97</v>
      </c>
      <c r="H132">
        <v>10.33</v>
      </c>
      <c r="I132">
        <v>10.26</v>
      </c>
      <c r="J132">
        <v>11.75</v>
      </c>
      <c r="K132">
        <v>17.329999999999998</v>
      </c>
      <c r="L132">
        <v>0</v>
      </c>
      <c r="M132">
        <v>0</v>
      </c>
      <c r="N132">
        <v>0</v>
      </c>
      <c r="O132">
        <v>74.34</v>
      </c>
      <c r="P132">
        <v>74.099999999999994</v>
      </c>
      <c r="Q132">
        <v>78.39</v>
      </c>
      <c r="R132">
        <v>83.84</v>
      </c>
      <c r="S132">
        <v>89.29</v>
      </c>
      <c r="T132">
        <v>90.98</v>
      </c>
      <c r="U132">
        <v>110.86</v>
      </c>
    </row>
    <row r="133" spans="1:21" x14ac:dyDescent="0.25">
      <c r="A133" t="s">
        <v>694</v>
      </c>
      <c r="E133">
        <v>20.94</v>
      </c>
      <c r="F133">
        <v>20.14</v>
      </c>
      <c r="G133">
        <v>29.85</v>
      </c>
      <c r="H133">
        <v>337.58</v>
      </c>
      <c r="I133">
        <v>120.85</v>
      </c>
      <c r="J133">
        <v>25.83</v>
      </c>
      <c r="K133">
        <v>26.02</v>
      </c>
      <c r="L133">
        <v>0</v>
      </c>
      <c r="M133">
        <v>114.39</v>
      </c>
      <c r="N133">
        <v>0</v>
      </c>
      <c r="O133">
        <v>5.55</v>
      </c>
      <c r="P133">
        <v>16.2</v>
      </c>
      <c r="Q133">
        <v>13.36</v>
      </c>
      <c r="R133">
        <v>412.26</v>
      </c>
      <c r="S133">
        <v>5.72</v>
      </c>
      <c r="T133">
        <v>5.98</v>
      </c>
      <c r="U133">
        <v>5.98</v>
      </c>
    </row>
    <row r="134" spans="1:21" x14ac:dyDescent="0.25">
      <c r="A134" t="s">
        <v>417</v>
      </c>
      <c r="F134">
        <v>118.11</v>
      </c>
      <c r="G134">
        <v>67.63</v>
      </c>
      <c r="H134">
        <v>89.19</v>
      </c>
      <c r="I134">
        <v>114.29</v>
      </c>
      <c r="J134">
        <v>89.98</v>
      </c>
      <c r="K134">
        <v>159.05000000000001</v>
      </c>
      <c r="L134">
        <v>128.91999999999999</v>
      </c>
      <c r="M134">
        <v>243.31</v>
      </c>
      <c r="N134">
        <v>100.98</v>
      </c>
      <c r="O134">
        <v>325.23</v>
      </c>
      <c r="P134">
        <v>364.83</v>
      </c>
      <c r="Q134">
        <v>417.46</v>
      </c>
      <c r="R134">
        <v>514.91</v>
      </c>
      <c r="S134">
        <v>608.55999999999995</v>
      </c>
      <c r="T134">
        <v>582.13</v>
      </c>
      <c r="U134">
        <v>709.36</v>
      </c>
    </row>
    <row r="135" spans="1:21" x14ac:dyDescent="0.25">
      <c r="A135" t="s">
        <v>695</v>
      </c>
      <c r="E135">
        <v>75.87</v>
      </c>
      <c r="F135">
        <v>67.650000000000006</v>
      </c>
      <c r="G135">
        <v>66.84</v>
      </c>
      <c r="H135">
        <v>70.28</v>
      </c>
      <c r="I135">
        <v>112</v>
      </c>
      <c r="J135">
        <v>114.14</v>
      </c>
      <c r="K135">
        <v>144.18</v>
      </c>
      <c r="L135">
        <v>130.88</v>
      </c>
      <c r="M135">
        <v>138.44999999999999</v>
      </c>
      <c r="N135">
        <v>222.25</v>
      </c>
      <c r="O135">
        <v>288.77</v>
      </c>
      <c r="P135">
        <v>314.18</v>
      </c>
      <c r="Q135">
        <v>356.95</v>
      </c>
      <c r="R135">
        <v>383.65</v>
      </c>
      <c r="S135">
        <v>424.14</v>
      </c>
      <c r="T135">
        <v>602.76</v>
      </c>
      <c r="U135">
        <v>782.3</v>
      </c>
    </row>
    <row r="136" spans="1:21" x14ac:dyDescent="0.25">
      <c r="A136" t="s">
        <v>202</v>
      </c>
      <c r="I136">
        <v>7.9</v>
      </c>
      <c r="J136">
        <v>13.1</v>
      </c>
      <c r="K136">
        <v>16.23</v>
      </c>
      <c r="L136">
        <v>20.25</v>
      </c>
      <c r="M136">
        <v>19.64</v>
      </c>
      <c r="N136">
        <v>22</v>
      </c>
      <c r="O136">
        <v>22.8</v>
      </c>
      <c r="P136">
        <v>22.13</v>
      </c>
      <c r="Q136">
        <v>21.66</v>
      </c>
      <c r="R136">
        <v>20.23</v>
      </c>
      <c r="S136">
        <v>19.920000000000002</v>
      </c>
      <c r="T136">
        <v>22.4</v>
      </c>
      <c r="U136">
        <v>23.09</v>
      </c>
    </row>
    <row r="137" spans="1:21" x14ac:dyDescent="0.25">
      <c r="A137" t="s">
        <v>696</v>
      </c>
      <c r="G137">
        <v>8.1300000000000008</v>
      </c>
      <c r="H137">
        <v>10.99</v>
      </c>
      <c r="I137">
        <v>12.75</v>
      </c>
      <c r="J137">
        <v>14.72</v>
      </c>
      <c r="K137">
        <v>17.36</v>
      </c>
      <c r="L137">
        <v>38.97</v>
      </c>
      <c r="M137">
        <v>11.7</v>
      </c>
      <c r="N137">
        <v>51.31</v>
      </c>
      <c r="O137">
        <v>60.18</v>
      </c>
      <c r="P137">
        <v>59.53</v>
      </c>
      <c r="Q137">
        <v>55.56</v>
      </c>
      <c r="R137">
        <v>53.83</v>
      </c>
      <c r="S137">
        <v>52.87</v>
      </c>
      <c r="T137">
        <v>44.38</v>
      </c>
      <c r="U137">
        <v>50.86</v>
      </c>
    </row>
    <row r="138" spans="1:21" x14ac:dyDescent="0.25">
      <c r="A138" t="s">
        <v>164</v>
      </c>
      <c r="C138">
        <v>530.54999999999995</v>
      </c>
      <c r="D138">
        <v>816.79</v>
      </c>
      <c r="E138" s="2">
        <v>1202.07</v>
      </c>
      <c r="F138" s="2">
        <v>1450.34</v>
      </c>
      <c r="G138" s="2">
        <v>1224.73</v>
      </c>
      <c r="H138">
        <v>916.49</v>
      </c>
      <c r="I138">
        <v>876.61</v>
      </c>
      <c r="J138" s="2">
        <v>1176.07</v>
      </c>
      <c r="K138" s="2">
        <v>1025.8699999999999</v>
      </c>
      <c r="L138" s="2">
        <v>1422.59</v>
      </c>
      <c r="M138" s="2">
        <v>1435.38</v>
      </c>
      <c r="N138" s="2">
        <v>2979.92</v>
      </c>
      <c r="O138" s="2">
        <v>2944.72</v>
      </c>
      <c r="P138" s="2">
        <v>2947.74</v>
      </c>
      <c r="Q138" s="2">
        <v>2859.29</v>
      </c>
      <c r="R138" s="2">
        <v>2123.9499999999998</v>
      </c>
      <c r="S138" s="2">
        <v>2110.2800000000002</v>
      </c>
      <c r="T138" s="2">
        <v>1620.68</v>
      </c>
      <c r="U138" s="2">
        <v>1617.61</v>
      </c>
    </row>
    <row r="139" spans="1:21" x14ac:dyDescent="0.25">
      <c r="A139" t="s">
        <v>697</v>
      </c>
      <c r="F139">
        <v>815.56</v>
      </c>
      <c r="G139">
        <v>360.34</v>
      </c>
      <c r="H139">
        <v>75.959999999999994</v>
      </c>
      <c r="I139">
        <v>168.01</v>
      </c>
      <c r="J139">
        <v>283.48</v>
      </c>
      <c r="K139">
        <v>273.08</v>
      </c>
      <c r="L139">
        <v>842.01</v>
      </c>
      <c r="M139" s="2">
        <v>1010.35</v>
      </c>
      <c r="N139" s="2">
        <v>2613.73</v>
      </c>
      <c r="O139" s="2">
        <v>2499.92</v>
      </c>
      <c r="P139" s="2">
        <v>2478.8000000000002</v>
      </c>
      <c r="Q139" s="2">
        <v>2344.83</v>
      </c>
      <c r="R139" s="2">
        <v>1814.44</v>
      </c>
      <c r="S139" s="2">
        <v>1227.53</v>
      </c>
      <c r="T139">
        <v>-882.09</v>
      </c>
      <c r="U139" s="2">
        <v>-2611.35</v>
      </c>
    </row>
    <row r="140" spans="1:21" x14ac:dyDescent="0.25">
      <c r="A140" t="s">
        <v>698</v>
      </c>
      <c r="K140">
        <v>112.48</v>
      </c>
      <c r="L140">
        <v>4.63</v>
      </c>
      <c r="M140">
        <v>4.0599999999999996</v>
      </c>
      <c r="N140">
        <v>0</v>
      </c>
      <c r="O140">
        <v>3.32</v>
      </c>
      <c r="P140">
        <v>3.32</v>
      </c>
      <c r="Q140">
        <v>3.32</v>
      </c>
      <c r="R140">
        <v>3.32</v>
      </c>
      <c r="S140">
        <v>3.32</v>
      </c>
      <c r="T140">
        <v>3.32</v>
      </c>
      <c r="U140">
        <v>2.58</v>
      </c>
    </row>
    <row r="141" spans="1:21" x14ac:dyDescent="0.25">
      <c r="A141" t="s">
        <v>161</v>
      </c>
      <c r="E141">
        <v>237.14</v>
      </c>
      <c r="F141">
        <v>309.83999999999997</v>
      </c>
      <c r="G141">
        <v>87.31</v>
      </c>
      <c r="H141">
        <v>125.53</v>
      </c>
      <c r="I141">
        <v>87.46</v>
      </c>
      <c r="J141">
        <v>90.31</v>
      </c>
      <c r="K141">
        <v>56.39</v>
      </c>
      <c r="L141">
        <v>19.14</v>
      </c>
      <c r="M141">
        <v>43.11</v>
      </c>
      <c r="N141">
        <v>42.84</v>
      </c>
      <c r="O141">
        <v>107.36</v>
      </c>
      <c r="P141">
        <v>112.37</v>
      </c>
      <c r="Q141">
        <v>117.78</v>
      </c>
      <c r="R141">
        <v>111.73</v>
      </c>
      <c r="S141">
        <v>116.57</v>
      </c>
      <c r="T141">
        <v>105.44</v>
      </c>
      <c r="U141">
        <v>117.9</v>
      </c>
    </row>
    <row r="142" spans="1:21" x14ac:dyDescent="0.25">
      <c r="A142" t="s">
        <v>699</v>
      </c>
      <c r="K142">
        <v>442.06</v>
      </c>
      <c r="L142">
        <v>405.82</v>
      </c>
      <c r="M142">
        <v>244.13</v>
      </c>
      <c r="N142">
        <v>192.46</v>
      </c>
      <c r="O142">
        <v>165.11</v>
      </c>
      <c r="P142">
        <v>157.71</v>
      </c>
      <c r="Q142">
        <v>154.82</v>
      </c>
      <c r="R142">
        <v>153.6</v>
      </c>
      <c r="S142">
        <v>151.47999999999999</v>
      </c>
      <c r="T142">
        <v>149.88999999999999</v>
      </c>
      <c r="U142">
        <v>139.81</v>
      </c>
    </row>
    <row r="143" spans="1:21" x14ac:dyDescent="0.25">
      <c r="A143" t="s">
        <v>202</v>
      </c>
      <c r="I143">
        <v>41.85</v>
      </c>
      <c r="J143">
        <v>106.19</v>
      </c>
      <c r="K143">
        <v>132.36000000000001</v>
      </c>
      <c r="L143">
        <v>141.94</v>
      </c>
      <c r="M143">
        <v>124.52</v>
      </c>
      <c r="N143">
        <v>106.94</v>
      </c>
      <c r="O143">
        <v>100.97</v>
      </c>
      <c r="P143">
        <v>104.02</v>
      </c>
      <c r="Q143">
        <v>101.66</v>
      </c>
      <c r="R143">
        <v>99.65</v>
      </c>
      <c r="S143">
        <v>98.23</v>
      </c>
      <c r="T143">
        <v>117.63</v>
      </c>
      <c r="U143">
        <v>102.73</v>
      </c>
    </row>
    <row r="144" spans="1:21" x14ac:dyDescent="0.25">
      <c r="A144" t="s">
        <v>78</v>
      </c>
      <c r="E144">
        <v>55.87</v>
      </c>
      <c r="F144">
        <v>62.74</v>
      </c>
      <c r="G144">
        <v>26.2</v>
      </c>
      <c r="H144">
        <v>474.18</v>
      </c>
      <c r="I144">
        <v>12.28</v>
      </c>
      <c r="J144">
        <v>16.77</v>
      </c>
      <c r="K144">
        <v>9.49</v>
      </c>
      <c r="L144">
        <v>9.0500000000000007</v>
      </c>
      <c r="M144">
        <v>9.2100000000000009</v>
      </c>
      <c r="N144">
        <v>23.96</v>
      </c>
      <c r="O144">
        <v>25.06</v>
      </c>
      <c r="P144">
        <v>28.34</v>
      </c>
      <c r="Q144">
        <v>31.61</v>
      </c>
      <c r="R144">
        <v>22.9</v>
      </c>
      <c r="S144">
        <v>22.9</v>
      </c>
      <c r="T144">
        <v>24.85</v>
      </c>
      <c r="U144">
        <v>28.76</v>
      </c>
    </row>
    <row r="145" spans="1:21" x14ac:dyDescent="0.25">
      <c r="A145" t="s">
        <v>167</v>
      </c>
      <c r="C145">
        <v>759.62</v>
      </c>
      <c r="D145" s="2">
        <v>1038.6500000000001</v>
      </c>
      <c r="E145" s="2">
        <v>1463.16</v>
      </c>
      <c r="F145" s="2">
        <v>1721.62</v>
      </c>
      <c r="G145" s="2">
        <v>1482.03</v>
      </c>
      <c r="H145" s="2">
        <v>1490.45</v>
      </c>
      <c r="I145" s="2">
        <v>1312.99</v>
      </c>
      <c r="J145" s="2">
        <v>1518.55</v>
      </c>
      <c r="K145" s="2">
        <v>1567.81</v>
      </c>
      <c r="L145" s="2">
        <v>1893.01</v>
      </c>
      <c r="M145" s="2">
        <v>2072.14</v>
      </c>
      <c r="N145" s="2">
        <v>3603.75</v>
      </c>
      <c r="O145" s="2">
        <v>4037.98</v>
      </c>
      <c r="P145" s="2">
        <v>4338.76</v>
      </c>
      <c r="Q145" s="2">
        <v>4530.01</v>
      </c>
      <c r="R145" s="2">
        <v>4430.87</v>
      </c>
      <c r="S145" s="2">
        <v>3702.79</v>
      </c>
      <c r="T145" s="2">
        <v>2057.08</v>
      </c>
      <c r="U145">
        <v>994.24</v>
      </c>
    </row>
    <row r="146" spans="1:21" x14ac:dyDescent="0.25">
      <c r="A146" t="s">
        <v>169</v>
      </c>
      <c r="E146">
        <v>234.99</v>
      </c>
      <c r="F146">
        <v>213.53</v>
      </c>
      <c r="G146">
        <v>182.37</v>
      </c>
      <c r="H146">
        <v>91.73</v>
      </c>
      <c r="I146">
        <v>62.57</v>
      </c>
      <c r="J146">
        <v>42.8</v>
      </c>
      <c r="K146">
        <v>38.04</v>
      </c>
      <c r="L146">
        <v>18.59</v>
      </c>
      <c r="M146">
        <v>22.75</v>
      </c>
      <c r="N146">
        <v>24.32</v>
      </c>
      <c r="O146">
        <v>29.27</v>
      </c>
      <c r="P146">
        <v>37.33</v>
      </c>
      <c r="Q146">
        <v>52.37</v>
      </c>
      <c r="R146">
        <v>39.08</v>
      </c>
      <c r="S146">
        <v>46.07</v>
      </c>
      <c r="T146">
        <v>91.55</v>
      </c>
      <c r="U146">
        <v>130.05000000000001</v>
      </c>
    </row>
    <row r="147" spans="1:21" x14ac:dyDescent="0.25">
      <c r="A147" t="s">
        <v>170</v>
      </c>
      <c r="C147">
        <v>167.29</v>
      </c>
      <c r="D147">
        <v>-94.15</v>
      </c>
      <c r="E147">
        <v>-259.11</v>
      </c>
      <c r="F147">
        <v>-500.64</v>
      </c>
      <c r="G147">
        <v>39.76</v>
      </c>
      <c r="H147">
        <v>-167.86</v>
      </c>
      <c r="I147">
        <v>141.4</v>
      </c>
      <c r="J147">
        <v>207.02</v>
      </c>
      <c r="K147">
        <v>378.82</v>
      </c>
      <c r="L147">
        <v>520.66999999999996</v>
      </c>
      <c r="M147">
        <v>585.22</v>
      </c>
      <c r="N147">
        <v>792.96</v>
      </c>
      <c r="O147" s="2">
        <v>1975.43</v>
      </c>
      <c r="P147" s="2">
        <v>3610.55</v>
      </c>
      <c r="Q147" s="2">
        <v>51791.99</v>
      </c>
      <c r="R147" s="2">
        <v>8992.44</v>
      </c>
      <c r="S147" s="2">
        <v>13249.94</v>
      </c>
      <c r="T147" s="2">
        <v>20299.57</v>
      </c>
      <c r="U147" s="2">
        <v>26531.59</v>
      </c>
    </row>
    <row r="148" spans="1:21" x14ac:dyDescent="0.25">
      <c r="A148" t="s">
        <v>171</v>
      </c>
      <c r="C148">
        <v>0</v>
      </c>
      <c r="D148">
        <v>0</v>
      </c>
      <c r="E148">
        <v>0</v>
      </c>
      <c r="F148">
        <v>0</v>
      </c>
      <c r="G148">
        <v>0.01</v>
      </c>
      <c r="H148">
        <v>0.01</v>
      </c>
      <c r="I148">
        <v>0.02</v>
      </c>
      <c r="J148">
        <v>0.02</v>
      </c>
      <c r="K148">
        <v>0.02</v>
      </c>
      <c r="L148">
        <v>0.02</v>
      </c>
      <c r="M148">
        <v>0.02</v>
      </c>
      <c r="N148">
        <v>0.03</v>
      </c>
      <c r="O148">
        <v>0.03</v>
      </c>
      <c r="P148">
        <v>0.04</v>
      </c>
      <c r="Q148">
        <v>0.04</v>
      </c>
      <c r="R148">
        <v>0.05</v>
      </c>
      <c r="S148">
        <v>0.05</v>
      </c>
      <c r="T148">
        <v>0.03</v>
      </c>
      <c r="U148">
        <v>0.03</v>
      </c>
    </row>
    <row r="149" spans="1:21" x14ac:dyDescent="0.25">
      <c r="A149" t="s">
        <v>172</v>
      </c>
      <c r="E149">
        <v>108.65</v>
      </c>
      <c r="F149">
        <v>150.80000000000001</v>
      </c>
      <c r="G149" s="2">
        <v>2481.35</v>
      </c>
      <c r="H149" s="2">
        <v>2686.76</v>
      </c>
      <c r="I149" s="2">
        <v>3182.75</v>
      </c>
      <c r="J149" s="2">
        <v>3219.08</v>
      </c>
      <c r="K149" s="2">
        <v>3906.49</v>
      </c>
      <c r="L149" s="2">
        <v>4370.34</v>
      </c>
      <c r="M149" s="2">
        <v>4462.66</v>
      </c>
      <c r="N149" s="2">
        <v>4755.97</v>
      </c>
      <c r="O149" s="2">
        <v>26486.18</v>
      </c>
      <c r="P149" s="2">
        <v>47907.8</v>
      </c>
      <c r="Q149" s="2">
        <v>69352.34</v>
      </c>
      <c r="R149" s="2">
        <v>5877.44</v>
      </c>
      <c r="S149" s="2">
        <v>6122.68</v>
      </c>
      <c r="T149" s="2">
        <v>6564.81</v>
      </c>
      <c r="U149" s="2">
        <v>7295</v>
      </c>
    </row>
    <row r="150" spans="1:21" x14ac:dyDescent="0.25">
      <c r="A150" t="s">
        <v>700</v>
      </c>
      <c r="C150">
        <v>-0.9</v>
      </c>
      <c r="D150">
        <v>-0.84</v>
      </c>
      <c r="E150">
        <v>-0.54</v>
      </c>
      <c r="F150">
        <v>-0.16</v>
      </c>
      <c r="G150">
        <v>0.13</v>
      </c>
      <c r="H150">
        <v>0.02</v>
      </c>
      <c r="I150">
        <v>-0.01</v>
      </c>
      <c r="J150">
        <v>-0.35</v>
      </c>
      <c r="K150">
        <v>-1.25</v>
      </c>
      <c r="L150">
        <v>-1.69</v>
      </c>
      <c r="M150">
        <v>-2.59</v>
      </c>
      <c r="N150">
        <v>-0.37</v>
      </c>
      <c r="O150">
        <v>0.24</v>
      </c>
      <c r="P150">
        <v>0.24</v>
      </c>
      <c r="Q150">
        <v>0.17</v>
      </c>
      <c r="R150">
        <v>0.17</v>
      </c>
      <c r="S150">
        <v>0.17</v>
      </c>
      <c r="T150">
        <v>0.17</v>
      </c>
      <c r="U150">
        <v>0.35</v>
      </c>
    </row>
    <row r="151" spans="1:21" x14ac:dyDescent="0.25">
      <c r="A151" t="s">
        <v>173</v>
      </c>
      <c r="E151" s="2">
        <v>-2068.0500000000002</v>
      </c>
      <c r="F151" s="2">
        <v>-2330.65</v>
      </c>
      <c r="G151" s="2">
        <v>-2624.1</v>
      </c>
      <c r="H151" s="2">
        <v>-2946.38</v>
      </c>
      <c r="I151" s="2">
        <v>-3103.94</v>
      </c>
      <c r="J151" s="2">
        <v>-3263.08</v>
      </c>
      <c r="K151" s="2">
        <v>-3564.48</v>
      </c>
      <c r="L151" s="2">
        <v>-3866.6</v>
      </c>
      <c r="M151" s="2">
        <v>-3897.62</v>
      </c>
      <c r="N151" s="2">
        <v>-3986.98</v>
      </c>
      <c r="O151" s="2">
        <v>-3208.52</v>
      </c>
      <c r="P151" s="2">
        <v>-1707.05</v>
      </c>
      <c r="Q151">
        <v>774.04</v>
      </c>
      <c r="R151" s="2">
        <v>3894.69</v>
      </c>
      <c r="S151" s="2">
        <v>8339.56</v>
      </c>
      <c r="T151" s="2">
        <v>15545.79</v>
      </c>
      <c r="U151" s="2">
        <v>17727.52</v>
      </c>
    </row>
    <row r="152" spans="1:21" x14ac:dyDescent="0.25">
      <c r="A152" t="s">
        <v>326</v>
      </c>
      <c r="C152">
        <v>926.91</v>
      </c>
      <c r="D152">
        <v>944.5</v>
      </c>
      <c r="E152" s="2">
        <v>1204.05</v>
      </c>
      <c r="F152" s="2">
        <v>1220.99</v>
      </c>
      <c r="G152" s="2">
        <v>1521.79</v>
      </c>
      <c r="H152" s="2">
        <v>1322.59</v>
      </c>
      <c r="I152" s="2">
        <v>1454.39</v>
      </c>
      <c r="J152" s="2">
        <v>1725.57</v>
      </c>
      <c r="K152" s="2">
        <v>1946.63</v>
      </c>
      <c r="L152" s="2">
        <v>2413.6799999999998</v>
      </c>
      <c r="M152" s="2">
        <v>2657.35</v>
      </c>
      <c r="N152" s="2">
        <v>4396.71</v>
      </c>
      <c r="O152" s="2">
        <v>17978.22</v>
      </c>
      <c r="P152" s="2">
        <v>31655.62</v>
      </c>
      <c r="Q152" s="2">
        <v>46212.51</v>
      </c>
      <c r="R152" s="2">
        <v>13705.29</v>
      </c>
      <c r="S152" s="2">
        <v>17571.46</v>
      </c>
      <c r="T152" s="2">
        <v>23951.74</v>
      </c>
      <c r="U152" s="2">
        <v>26793.14</v>
      </c>
    </row>
    <row r="153" spans="1:21" x14ac:dyDescent="0.25">
      <c r="A153" t="s">
        <v>17</v>
      </c>
    </row>
    <row r="154" spans="1:21" x14ac:dyDescent="0.25">
      <c r="A154" t="s">
        <v>176</v>
      </c>
    </row>
    <row r="155" spans="1:21" x14ac:dyDescent="0.25">
      <c r="A155" t="s">
        <v>180</v>
      </c>
      <c r="L155">
        <v>-71.69</v>
      </c>
      <c r="M155">
        <v>-5.49</v>
      </c>
      <c r="N155">
        <v>-13.29</v>
      </c>
      <c r="O155">
        <v>42.48</v>
      </c>
      <c r="P155">
        <v>42.93</v>
      </c>
      <c r="Q155">
        <v>42.8</v>
      </c>
      <c r="R155">
        <v>32.1</v>
      </c>
      <c r="S155">
        <v>27.9</v>
      </c>
    </row>
    <row r="156" spans="1:21" x14ac:dyDescent="0.25">
      <c r="A156" t="s">
        <v>178</v>
      </c>
    </row>
    <row r="157" spans="1:21" x14ac:dyDescent="0.25">
      <c r="A157" t="s">
        <v>609</v>
      </c>
      <c r="G157">
        <v>741.28</v>
      </c>
      <c r="H157">
        <v>636.80999999999995</v>
      </c>
      <c r="I157">
        <v>390.9</v>
      </c>
      <c r="J157">
        <v>526.73</v>
      </c>
      <c r="K157">
        <v>411.58</v>
      </c>
      <c r="L157">
        <v>846.63</v>
      </c>
      <c r="M157" s="2">
        <v>1128.79</v>
      </c>
      <c r="N157" s="2">
        <v>2617.88</v>
      </c>
      <c r="O157" s="2">
        <v>2559.15</v>
      </c>
      <c r="P157" s="2">
        <v>2551.0300000000002</v>
      </c>
      <c r="Q157" s="2">
        <v>2534.59</v>
      </c>
      <c r="R157" s="2">
        <v>2473.33</v>
      </c>
      <c r="S157" s="2">
        <v>2457.44</v>
      </c>
      <c r="T157" s="2">
        <v>2597.5500000000002</v>
      </c>
      <c r="U157" s="2">
        <v>2477.9699999999998</v>
      </c>
    </row>
    <row r="158" spans="1:21" x14ac:dyDescent="0.25">
      <c r="A158" t="s">
        <v>186</v>
      </c>
      <c r="C158">
        <v>1.93</v>
      </c>
      <c r="D158">
        <v>1.76</v>
      </c>
      <c r="E158">
        <v>1.5</v>
      </c>
      <c r="F158">
        <v>1.55</v>
      </c>
      <c r="G158">
        <v>2.58</v>
      </c>
      <c r="H158">
        <v>0.82</v>
      </c>
      <c r="I158">
        <v>1.42</v>
      </c>
      <c r="J158">
        <v>2.35</v>
      </c>
      <c r="K158">
        <v>1.95</v>
      </c>
      <c r="L158">
        <v>3.6</v>
      </c>
      <c r="M158">
        <v>3.21</v>
      </c>
      <c r="N158">
        <v>5.98</v>
      </c>
      <c r="O158">
        <v>49.99</v>
      </c>
      <c r="P158">
        <v>44.94</v>
      </c>
      <c r="Q158">
        <v>43.14</v>
      </c>
      <c r="R158">
        <v>7.32</v>
      </c>
      <c r="S158">
        <v>9.4</v>
      </c>
      <c r="T158">
        <v>9.3000000000000007</v>
      </c>
      <c r="U158">
        <v>9.3000000000000007</v>
      </c>
    </row>
    <row r="159" spans="1:21" x14ac:dyDescent="0.25">
      <c r="A159" t="s">
        <v>183</v>
      </c>
      <c r="C159">
        <v>9.56</v>
      </c>
      <c r="D159">
        <v>9.94</v>
      </c>
      <c r="E159">
        <v>10.130000000000001</v>
      </c>
      <c r="F159">
        <v>10.35</v>
      </c>
      <c r="G159">
        <v>109.42</v>
      </c>
      <c r="H159">
        <v>121.04</v>
      </c>
      <c r="I159">
        <v>168</v>
      </c>
      <c r="J159">
        <v>176.46</v>
      </c>
      <c r="K159">
        <v>205.66</v>
      </c>
      <c r="L159">
        <v>224.72</v>
      </c>
      <c r="M159">
        <v>229.14</v>
      </c>
      <c r="N159">
        <v>280.05</v>
      </c>
      <c r="O159">
        <v>307.93</v>
      </c>
      <c r="P159">
        <v>312.95999999999998</v>
      </c>
      <c r="Q159">
        <v>316.48</v>
      </c>
      <c r="R159">
        <v>309.97000000000003</v>
      </c>
      <c r="S159">
        <v>314.07</v>
      </c>
      <c r="T159">
        <v>320.29000000000002</v>
      </c>
      <c r="U159">
        <v>323.37</v>
      </c>
    </row>
    <row r="160" spans="1:21" x14ac:dyDescent="0.25">
      <c r="A160" t="s">
        <v>701</v>
      </c>
      <c r="C160">
        <v>89.55</v>
      </c>
      <c r="D160">
        <v>-227.28</v>
      </c>
      <c r="E160" s="2">
        <v>-1959.94</v>
      </c>
      <c r="F160" s="2">
        <v>-2180</v>
      </c>
      <c r="G160">
        <v>-142.61000000000001</v>
      </c>
      <c r="H160">
        <v>-259.58999999999997</v>
      </c>
      <c r="I160">
        <v>78.819999999999993</v>
      </c>
      <c r="J160">
        <v>164.23</v>
      </c>
      <c r="K160">
        <v>340.78</v>
      </c>
      <c r="L160">
        <v>502.08</v>
      </c>
      <c r="M160">
        <v>562.47</v>
      </c>
      <c r="N160">
        <v>768.64</v>
      </c>
      <c r="O160" s="2">
        <v>2070.29</v>
      </c>
      <c r="P160" s="2">
        <v>3433.14</v>
      </c>
      <c r="Q160" s="2">
        <v>48568.33</v>
      </c>
      <c r="R160" s="2">
        <v>8886.73</v>
      </c>
      <c r="S160" s="2">
        <v>13097.64</v>
      </c>
      <c r="T160" s="2">
        <v>20640.25</v>
      </c>
      <c r="U160" s="2">
        <v>21742.67</v>
      </c>
    </row>
    <row r="161" spans="1:21" x14ac:dyDescent="0.25">
      <c r="A161" t="s">
        <v>424</v>
      </c>
      <c r="C161">
        <v>-140.76</v>
      </c>
      <c r="D161">
        <v>-167.51</v>
      </c>
      <c r="E161">
        <v>-191.06</v>
      </c>
      <c r="F161">
        <v>-208.24</v>
      </c>
      <c r="G161">
        <v>-1.3</v>
      </c>
      <c r="H161">
        <v>-2.14</v>
      </c>
      <c r="I161">
        <v>0.47</v>
      </c>
      <c r="J161">
        <v>-0.25</v>
      </c>
      <c r="K161">
        <v>1.66</v>
      </c>
      <c r="L161">
        <v>2.23</v>
      </c>
      <c r="M161">
        <v>2.4500000000000002</v>
      </c>
      <c r="N161">
        <v>2.74</v>
      </c>
      <c r="O161">
        <v>6.88</v>
      </c>
      <c r="P161">
        <v>11.35</v>
      </c>
      <c r="Q161">
        <v>18.600000000000001</v>
      </c>
      <c r="R161">
        <v>30.78</v>
      </c>
      <c r="S161">
        <v>45.25</v>
      </c>
    </row>
    <row r="162" spans="1:21" x14ac:dyDescent="0.25">
      <c r="A162" t="s">
        <v>623</v>
      </c>
      <c r="C162">
        <v>117.95</v>
      </c>
      <c r="D162">
        <v>85.39</v>
      </c>
      <c r="E162">
        <v>97.54</v>
      </c>
      <c r="F162">
        <v>83.61</v>
      </c>
      <c r="G162">
        <v>93.7</v>
      </c>
      <c r="H162">
        <v>58.18</v>
      </c>
      <c r="I162">
        <v>82.73</v>
      </c>
      <c r="J162">
        <v>67.56</v>
      </c>
      <c r="K162">
        <v>93.22</v>
      </c>
      <c r="L162">
        <v>161.51</v>
      </c>
      <c r="M162">
        <v>186.44</v>
      </c>
      <c r="N162">
        <v>163.44999999999999</v>
      </c>
      <c r="O162">
        <v>130.16</v>
      </c>
      <c r="P162">
        <v>135.37</v>
      </c>
      <c r="Q162">
        <v>134.47</v>
      </c>
      <c r="R162">
        <v>121.48</v>
      </c>
      <c r="S162">
        <v>119.59</v>
      </c>
      <c r="T162">
        <v>129.78</v>
      </c>
      <c r="U162">
        <v>129.43</v>
      </c>
    </row>
    <row r="163" spans="1:21" x14ac:dyDescent="0.25">
      <c r="A163" t="s">
        <v>702</v>
      </c>
      <c r="C163">
        <v>34.1</v>
      </c>
      <c r="D163">
        <v>72.760000000000005</v>
      </c>
      <c r="E163">
        <v>61.72</v>
      </c>
      <c r="F163">
        <v>29.43</v>
      </c>
      <c r="G163">
        <v>51.22</v>
      </c>
      <c r="H163">
        <v>17.579999999999998</v>
      </c>
      <c r="I163">
        <v>45.86</v>
      </c>
      <c r="J163">
        <v>32.96</v>
      </c>
      <c r="K163">
        <v>76.400000000000006</v>
      </c>
      <c r="L163">
        <v>93.27</v>
      </c>
      <c r="M163">
        <v>83.4</v>
      </c>
      <c r="N163">
        <v>67.05</v>
      </c>
      <c r="O163">
        <v>60.49</v>
      </c>
      <c r="P163">
        <v>58.85</v>
      </c>
      <c r="Q163">
        <v>55.66</v>
      </c>
      <c r="R163">
        <v>51.13</v>
      </c>
      <c r="S163">
        <v>49.68</v>
      </c>
      <c r="T163">
        <v>44.65</v>
      </c>
      <c r="U163">
        <v>44.94</v>
      </c>
    </row>
    <row r="164" spans="1:21" x14ac:dyDescent="0.25">
      <c r="A164" t="s">
        <v>17</v>
      </c>
    </row>
    <row r="165" spans="1:21" x14ac:dyDescent="0.25">
      <c r="A165" t="s">
        <v>188</v>
      </c>
    </row>
    <row r="166" spans="1:21" x14ac:dyDescent="0.25">
      <c r="A166" t="s">
        <v>189</v>
      </c>
    </row>
    <row r="167" spans="1:21" x14ac:dyDescent="0.25">
      <c r="A167" t="s">
        <v>121</v>
      </c>
      <c r="C167">
        <v>-217.62</v>
      </c>
      <c r="D167">
        <v>-341</v>
      </c>
      <c r="E167">
        <v>-279.66000000000003</v>
      </c>
      <c r="F167">
        <v>-262.60000000000002</v>
      </c>
      <c r="G167">
        <v>-273.54000000000002</v>
      </c>
      <c r="H167">
        <v>-306.87</v>
      </c>
      <c r="I167">
        <v>-157.55000000000001</v>
      </c>
      <c r="J167">
        <v>-164.45</v>
      </c>
      <c r="K167">
        <v>-301.41000000000003</v>
      </c>
      <c r="L167">
        <v>-302.12</v>
      </c>
      <c r="M167">
        <v>-29.23</v>
      </c>
      <c r="N167">
        <v>-88.43</v>
      </c>
    </row>
    <row r="168" spans="1:21" x14ac:dyDescent="0.25">
      <c r="A168" t="s">
        <v>190</v>
      </c>
      <c r="C168">
        <v>30.11</v>
      </c>
      <c r="D168">
        <v>35.64</v>
      </c>
      <c r="E168">
        <v>43.1</v>
      </c>
      <c r="F168">
        <v>46.11</v>
      </c>
      <c r="G168">
        <v>53.89</v>
      </c>
      <c r="H168">
        <v>78.58</v>
      </c>
      <c r="I168">
        <v>52.28</v>
      </c>
      <c r="J168">
        <v>53.45</v>
      </c>
      <c r="K168">
        <v>61.61</v>
      </c>
      <c r="L168">
        <v>62.6</v>
      </c>
      <c r="M168">
        <v>53.05</v>
      </c>
      <c r="N168">
        <v>50.57</v>
      </c>
      <c r="O168">
        <v>57.48</v>
      </c>
      <c r="P168">
        <v>72.44</v>
      </c>
      <c r="Q168">
        <v>87.1</v>
      </c>
      <c r="R168">
        <v>109.84</v>
      </c>
      <c r="S168">
        <v>130.01</v>
      </c>
      <c r="T168">
        <v>150.24</v>
      </c>
      <c r="U168">
        <v>184.45</v>
      </c>
    </row>
    <row r="169" spans="1:21" x14ac:dyDescent="0.25">
      <c r="A169" t="s">
        <v>703</v>
      </c>
      <c r="E169">
        <v>28.93</v>
      </c>
      <c r="F169">
        <v>3.26</v>
      </c>
      <c r="G169">
        <v>25.44</v>
      </c>
      <c r="H169">
        <v>22.13</v>
      </c>
      <c r="I169">
        <v>6.46</v>
      </c>
      <c r="J169">
        <v>3.8</v>
      </c>
      <c r="K169">
        <v>3.03</v>
      </c>
      <c r="L169">
        <v>4.7699999999999996</v>
      </c>
      <c r="M169">
        <v>6.8</v>
      </c>
      <c r="N169">
        <v>8.25</v>
      </c>
      <c r="O169">
        <v>8.17</v>
      </c>
      <c r="P169">
        <v>9.17</v>
      </c>
      <c r="Q169">
        <v>8.09</v>
      </c>
      <c r="R169">
        <v>6.42</v>
      </c>
      <c r="S169">
        <v>8.9700000000000006</v>
      </c>
      <c r="T169">
        <v>8.9700000000000006</v>
      </c>
      <c r="U169">
        <v>8.9700000000000006</v>
      </c>
    </row>
    <row r="170" spans="1:21" x14ac:dyDescent="0.25">
      <c r="A170" t="s">
        <v>67</v>
      </c>
      <c r="C170">
        <v>18.25</v>
      </c>
      <c r="D170">
        <v>20.9</v>
      </c>
      <c r="E170">
        <v>28.16</v>
      </c>
      <c r="F170">
        <v>30.48</v>
      </c>
      <c r="G170">
        <v>168.48</v>
      </c>
      <c r="H170">
        <v>196.29</v>
      </c>
      <c r="I170">
        <v>73.89</v>
      </c>
      <c r="J170">
        <v>73.27</v>
      </c>
      <c r="K170">
        <v>112.26</v>
      </c>
      <c r="L170">
        <v>84.48</v>
      </c>
      <c r="M170">
        <v>82.42</v>
      </c>
      <c r="N170">
        <v>139.41</v>
      </c>
      <c r="O170">
        <v>220.79</v>
      </c>
      <c r="P170">
        <v>284</v>
      </c>
      <c r="Q170">
        <v>340.85</v>
      </c>
      <c r="R170">
        <v>446.3</v>
      </c>
      <c r="S170">
        <v>538.20000000000005</v>
      </c>
      <c r="T170">
        <v>955.94</v>
      </c>
      <c r="U170">
        <v>860.87</v>
      </c>
    </row>
    <row r="171" spans="1:21" x14ac:dyDescent="0.25">
      <c r="A171" t="s">
        <v>704</v>
      </c>
      <c r="L171">
        <v>0.41</v>
      </c>
      <c r="M171">
        <v>0.16</v>
      </c>
      <c r="N171">
        <v>0.44</v>
      </c>
      <c r="O171">
        <v>0.11</v>
      </c>
    </row>
    <row r="172" spans="1:21" x14ac:dyDescent="0.25">
      <c r="A172" t="s">
        <v>705</v>
      </c>
      <c r="I172">
        <v>-0.5</v>
      </c>
      <c r="J172">
        <v>16.89</v>
      </c>
      <c r="K172">
        <v>-9.58</v>
      </c>
      <c r="L172">
        <v>1.64</v>
      </c>
      <c r="M172">
        <v>0.69</v>
      </c>
      <c r="N172">
        <v>0.54</v>
      </c>
      <c r="O172">
        <v>-0.56000000000000005</v>
      </c>
    </row>
    <row r="173" spans="1:21" x14ac:dyDescent="0.25">
      <c r="A173" t="s">
        <v>338</v>
      </c>
    </row>
    <row r="174" spans="1:21" x14ac:dyDescent="0.25">
      <c r="A174" t="s">
        <v>141</v>
      </c>
      <c r="C174">
        <v>7.76</v>
      </c>
      <c r="D174">
        <v>-11.28</v>
      </c>
      <c r="E174">
        <v>-0.7</v>
      </c>
      <c r="F174">
        <v>4.8499999999999996</v>
      </c>
      <c r="G174">
        <v>-55.02</v>
      </c>
      <c r="H174">
        <v>51.95</v>
      </c>
      <c r="I174">
        <v>-61.69</v>
      </c>
      <c r="J174">
        <v>8.57</v>
      </c>
      <c r="K174">
        <v>-162.86000000000001</v>
      </c>
      <c r="L174">
        <v>-89.89</v>
      </c>
      <c r="M174">
        <v>7.13</v>
      </c>
      <c r="N174">
        <v>-35.53</v>
      </c>
      <c r="O174">
        <v>-185.14</v>
      </c>
      <c r="P174">
        <v>-379.22</v>
      </c>
      <c r="Q174">
        <v>-364.93</v>
      </c>
      <c r="R174">
        <v>-398.09</v>
      </c>
      <c r="S174">
        <v>-376.27</v>
      </c>
      <c r="T174">
        <v>-395.67</v>
      </c>
      <c r="U174">
        <v>-13.93</v>
      </c>
    </row>
    <row r="175" spans="1:21" x14ac:dyDescent="0.25">
      <c r="A175" t="s">
        <v>688</v>
      </c>
      <c r="J175">
        <v>-21.87</v>
      </c>
      <c r="K175">
        <v>-21.53</v>
      </c>
      <c r="L175">
        <v>5.36</v>
      </c>
      <c r="M175">
        <v>-103.8</v>
      </c>
      <c r="N175">
        <v>-96.02</v>
      </c>
      <c r="O175">
        <v>-186.03</v>
      </c>
      <c r="P175">
        <v>-81.319999999999993</v>
      </c>
      <c r="Q175">
        <v>-156.93</v>
      </c>
      <c r="R175">
        <v>-192.4</v>
      </c>
      <c r="S175">
        <v>-121.09</v>
      </c>
      <c r="T175">
        <v>-58.69</v>
      </c>
      <c r="U175">
        <v>-43.23</v>
      </c>
    </row>
    <row r="176" spans="1:21" x14ac:dyDescent="0.25">
      <c r="A176" t="s">
        <v>340</v>
      </c>
      <c r="C176">
        <v>-10.94</v>
      </c>
      <c r="D176">
        <v>33.96</v>
      </c>
      <c r="E176">
        <v>-0.21</v>
      </c>
      <c r="F176">
        <v>-7.11</v>
      </c>
      <c r="G176">
        <v>-36.97</v>
      </c>
      <c r="H176">
        <v>18.43</v>
      </c>
      <c r="I176">
        <v>-33</v>
      </c>
      <c r="J176">
        <v>-0.89</v>
      </c>
      <c r="K176">
        <v>-124.88</v>
      </c>
      <c r="L176">
        <v>-231.69</v>
      </c>
      <c r="M176">
        <v>-44.53</v>
      </c>
      <c r="N176">
        <v>-119.21</v>
      </c>
      <c r="O176">
        <v>-250.3</v>
      </c>
      <c r="P176">
        <v>-527.80999999999995</v>
      </c>
      <c r="Q176">
        <v>-474.44</v>
      </c>
      <c r="R176">
        <v>-562.69000000000005</v>
      </c>
      <c r="S176">
        <v>-527.39</v>
      </c>
      <c r="T176">
        <v>-422.94</v>
      </c>
      <c r="U176">
        <v>-217.05</v>
      </c>
    </row>
    <row r="177" spans="1:21" x14ac:dyDescent="0.25">
      <c r="A177" t="s">
        <v>706</v>
      </c>
      <c r="F177">
        <v>-31.28</v>
      </c>
      <c r="G177">
        <v>14.22</v>
      </c>
      <c r="H177">
        <v>-21.99</v>
      </c>
      <c r="I177">
        <v>19.91</v>
      </c>
      <c r="J177">
        <v>17.57</v>
      </c>
      <c r="K177">
        <v>-24.28</v>
      </c>
      <c r="L177">
        <v>1.66</v>
      </c>
      <c r="M177">
        <v>-13.07</v>
      </c>
      <c r="N177">
        <v>27.17</v>
      </c>
      <c r="O177">
        <v>-46.99</v>
      </c>
      <c r="P177">
        <v>-44.28</v>
      </c>
      <c r="Q177">
        <v>-47.36</v>
      </c>
      <c r="R177">
        <v>-41.84</v>
      </c>
      <c r="S177">
        <v>-50.18</v>
      </c>
      <c r="T177">
        <v>-66.62</v>
      </c>
      <c r="U177">
        <v>-42.5</v>
      </c>
    </row>
    <row r="178" spans="1:21" x14ac:dyDescent="0.25">
      <c r="A178" t="s">
        <v>203</v>
      </c>
      <c r="E178">
        <v>-8.43</v>
      </c>
      <c r="F178">
        <v>-2.1800000000000002</v>
      </c>
      <c r="G178">
        <v>-8.0299999999999994</v>
      </c>
      <c r="H178">
        <v>8.64</v>
      </c>
      <c r="I178">
        <v>-3.12</v>
      </c>
      <c r="J178">
        <v>1.52</v>
      </c>
      <c r="K178">
        <v>-17.59</v>
      </c>
      <c r="L178">
        <v>-5.75</v>
      </c>
      <c r="M178">
        <v>3.79</v>
      </c>
      <c r="N178">
        <v>-3.6</v>
      </c>
      <c r="O178">
        <v>-117.25</v>
      </c>
      <c r="P178">
        <v>-112.6</v>
      </c>
      <c r="Q178">
        <v>-102.53</v>
      </c>
      <c r="R178">
        <v>-159.25</v>
      </c>
      <c r="S178">
        <v>-182.38</v>
      </c>
      <c r="T178">
        <v>-145.97999999999999</v>
      </c>
      <c r="U178">
        <v>-144.79</v>
      </c>
    </row>
    <row r="179" spans="1:21" x14ac:dyDescent="0.25">
      <c r="A179" t="s">
        <v>158</v>
      </c>
      <c r="C179">
        <v>8.7899999999999991</v>
      </c>
      <c r="D179">
        <v>1.87</v>
      </c>
      <c r="E179">
        <v>4.8099999999999996</v>
      </c>
      <c r="F179">
        <v>7.08</v>
      </c>
      <c r="G179">
        <v>18.309999999999999</v>
      </c>
      <c r="H179">
        <v>-11.31</v>
      </c>
      <c r="I179">
        <v>-0.62</v>
      </c>
      <c r="J179">
        <v>13.13</v>
      </c>
      <c r="K179">
        <v>86.5</v>
      </c>
      <c r="L179">
        <v>-29.08</v>
      </c>
      <c r="M179">
        <v>-36.630000000000003</v>
      </c>
      <c r="N179">
        <v>110.91</v>
      </c>
      <c r="O179">
        <v>145.18</v>
      </c>
      <c r="P179">
        <v>221.74</v>
      </c>
      <c r="Q179">
        <v>138</v>
      </c>
      <c r="R179">
        <v>152.30000000000001</v>
      </c>
      <c r="S179">
        <v>148.97</v>
      </c>
      <c r="T179">
        <v>128.94</v>
      </c>
      <c r="U179">
        <v>53.8</v>
      </c>
    </row>
    <row r="180" spans="1:21" x14ac:dyDescent="0.25">
      <c r="A180" t="s">
        <v>707</v>
      </c>
      <c r="I180">
        <v>-2.86</v>
      </c>
      <c r="J180">
        <v>-11.81</v>
      </c>
      <c r="K180">
        <v>3.02</v>
      </c>
      <c r="L180">
        <v>0</v>
      </c>
      <c r="M180">
        <v>-36.68</v>
      </c>
      <c r="N180">
        <v>-33.450000000000003</v>
      </c>
      <c r="O180">
        <v>-20.04</v>
      </c>
      <c r="P180">
        <v>-19.78</v>
      </c>
      <c r="Q180">
        <v>-18.86</v>
      </c>
      <c r="R180">
        <v>-18.25</v>
      </c>
      <c r="S180">
        <v>-17.850000000000001</v>
      </c>
    </row>
    <row r="181" spans="1:21" x14ac:dyDescent="0.25">
      <c r="A181" t="s">
        <v>708</v>
      </c>
      <c r="E181">
        <v>-1.02</v>
      </c>
      <c r="F181">
        <v>4.63</v>
      </c>
      <c r="G181">
        <v>19.350000000000001</v>
      </c>
      <c r="H181">
        <v>7.99</v>
      </c>
      <c r="I181">
        <v>2.9</v>
      </c>
      <c r="J181">
        <v>-2.85</v>
      </c>
      <c r="K181">
        <v>-2.62</v>
      </c>
      <c r="L181">
        <v>-3.37</v>
      </c>
      <c r="M181">
        <v>4.07</v>
      </c>
      <c r="N181">
        <v>-11.09</v>
      </c>
      <c r="O181">
        <v>-97.29</v>
      </c>
      <c r="P181">
        <v>5.4</v>
      </c>
      <c r="Q181">
        <v>5.4</v>
      </c>
    </row>
    <row r="182" spans="1:21" x14ac:dyDescent="0.25">
      <c r="A182" t="s">
        <v>709</v>
      </c>
      <c r="E182">
        <v>46.77</v>
      </c>
      <c r="F182">
        <v>43.24</v>
      </c>
      <c r="G182">
        <v>0</v>
      </c>
      <c r="H182">
        <v>0</v>
      </c>
      <c r="I182">
        <v>-4.5199999999999996</v>
      </c>
      <c r="J182">
        <v>-4.3</v>
      </c>
      <c r="K182">
        <v>-9.99</v>
      </c>
      <c r="L182">
        <v>-1.39</v>
      </c>
      <c r="M182">
        <v>-1.1399999999999999</v>
      </c>
      <c r="N182">
        <v>-0.25</v>
      </c>
      <c r="O182">
        <v>-0.17</v>
      </c>
    </row>
    <row r="183" spans="1:21" x14ac:dyDescent="0.25">
      <c r="A183" t="s">
        <v>204</v>
      </c>
      <c r="C183">
        <v>-281.11</v>
      </c>
      <c r="D183">
        <v>-309.69</v>
      </c>
      <c r="E183">
        <v>-282.83</v>
      </c>
      <c r="F183">
        <v>-67.180000000000007</v>
      </c>
      <c r="G183">
        <v>-91.95</v>
      </c>
      <c r="H183">
        <v>163.77000000000001</v>
      </c>
      <c r="I183">
        <v>-98.8</v>
      </c>
      <c r="J183">
        <v>-60.68</v>
      </c>
      <c r="K183">
        <v>-191.72</v>
      </c>
      <c r="L183">
        <v>-372.53</v>
      </c>
      <c r="M183">
        <v>92</v>
      </c>
      <c r="N183">
        <v>113.95</v>
      </c>
      <c r="O183">
        <v>450.94</v>
      </c>
      <c r="P183" s="2">
        <v>1004.98</v>
      </c>
      <c r="Q183" s="2">
        <v>1795.45</v>
      </c>
      <c r="R183" s="2">
        <v>2727.98</v>
      </c>
      <c r="S183" s="2">
        <v>3706.22</v>
      </c>
      <c r="T183" s="2">
        <v>5078.62</v>
      </c>
      <c r="U183" s="2">
        <v>5440.96</v>
      </c>
    </row>
    <row r="184" spans="1:21" x14ac:dyDescent="0.25">
      <c r="A184" t="s">
        <v>17</v>
      </c>
    </row>
    <row r="185" spans="1:21" x14ac:dyDescent="0.25">
      <c r="A185" t="s">
        <v>205</v>
      </c>
    </row>
    <row r="186" spans="1:21" x14ac:dyDescent="0.25">
      <c r="A186" t="s">
        <v>206</v>
      </c>
      <c r="C186">
        <v>-14.39</v>
      </c>
      <c r="D186">
        <v>-6.26</v>
      </c>
      <c r="E186">
        <v>-8.98</v>
      </c>
      <c r="F186">
        <v>-5.14</v>
      </c>
      <c r="G186">
        <v>-48.46</v>
      </c>
      <c r="H186">
        <v>-51.05</v>
      </c>
      <c r="I186">
        <v>-37.909999999999997</v>
      </c>
      <c r="J186">
        <v>-49.81</v>
      </c>
      <c r="K186">
        <v>-116.82</v>
      </c>
      <c r="L186">
        <v>-83.74</v>
      </c>
      <c r="M186">
        <v>-58.85</v>
      </c>
      <c r="N186">
        <v>-56.76</v>
      </c>
      <c r="O186">
        <v>-175.62</v>
      </c>
      <c r="P186">
        <v>-173.43</v>
      </c>
      <c r="Q186">
        <v>-194.48</v>
      </c>
      <c r="R186">
        <v>-199.5</v>
      </c>
      <c r="S186">
        <v>-176.75</v>
      </c>
      <c r="T186">
        <v>-158.33000000000001</v>
      </c>
      <c r="U186">
        <v>-140.80000000000001</v>
      </c>
    </row>
    <row r="187" spans="1:21" x14ac:dyDescent="0.25">
      <c r="A187" t="s">
        <v>212</v>
      </c>
      <c r="C187">
        <v>-81.02</v>
      </c>
      <c r="D187">
        <v>55.75</v>
      </c>
      <c r="E187">
        <v>0</v>
      </c>
      <c r="F187">
        <v>-26.79</v>
      </c>
      <c r="G187">
        <v>-76.91</v>
      </c>
      <c r="H187">
        <v>104.5</v>
      </c>
      <c r="I187">
        <v>0</v>
      </c>
      <c r="J187">
        <v>3.11</v>
      </c>
      <c r="K187">
        <v>0</v>
      </c>
      <c r="L187">
        <v>0</v>
      </c>
      <c r="M187">
        <v>0</v>
      </c>
      <c r="N187">
        <v>-36.49</v>
      </c>
      <c r="O187">
        <v>-30.06</v>
      </c>
      <c r="P187">
        <v>-81.86</v>
      </c>
      <c r="Q187">
        <v>-69.650000000000006</v>
      </c>
      <c r="R187">
        <v>-65.58</v>
      </c>
      <c r="S187">
        <v>-86.15</v>
      </c>
      <c r="T187">
        <v>158.22</v>
      </c>
      <c r="U187">
        <v>140.79</v>
      </c>
    </row>
    <row r="188" spans="1:21" x14ac:dyDescent="0.25">
      <c r="A188" t="s">
        <v>213</v>
      </c>
      <c r="C188">
        <v>-95.41</v>
      </c>
      <c r="D188">
        <v>49.49</v>
      </c>
      <c r="E188">
        <v>-8.98</v>
      </c>
      <c r="F188">
        <v>-31.93</v>
      </c>
      <c r="G188">
        <v>-125.38</v>
      </c>
      <c r="H188">
        <v>53.45</v>
      </c>
      <c r="I188">
        <v>-37.909999999999997</v>
      </c>
      <c r="J188">
        <v>-46.7</v>
      </c>
      <c r="K188">
        <v>-116.82</v>
      </c>
      <c r="L188">
        <v>-83.73</v>
      </c>
      <c r="M188">
        <v>-58.78</v>
      </c>
      <c r="N188">
        <v>-93.12</v>
      </c>
      <c r="O188">
        <v>-253.78</v>
      </c>
      <c r="P188">
        <v>-259.73</v>
      </c>
      <c r="Q188">
        <v>-295.51</v>
      </c>
      <c r="R188">
        <v>-229.65</v>
      </c>
      <c r="S188">
        <v>-199.25</v>
      </c>
      <c r="T188">
        <v>-195.53</v>
      </c>
      <c r="U188">
        <v>-183.62</v>
      </c>
    </row>
    <row r="189" spans="1:21" x14ac:dyDescent="0.25">
      <c r="A189" t="s">
        <v>17</v>
      </c>
    </row>
    <row r="190" spans="1:21" x14ac:dyDescent="0.25">
      <c r="A190" t="s">
        <v>214</v>
      </c>
    </row>
    <row r="191" spans="1:21" x14ac:dyDescent="0.25">
      <c r="A191" t="s">
        <v>710</v>
      </c>
      <c r="E191">
        <v>-45.83</v>
      </c>
      <c r="F191">
        <v>-23.66</v>
      </c>
      <c r="G191">
        <v>-15.25</v>
      </c>
      <c r="H191">
        <v>-12.54</v>
      </c>
      <c r="I191">
        <v>-7.62</v>
      </c>
      <c r="J191">
        <v>-5.84</v>
      </c>
      <c r="K191">
        <v>-6.85</v>
      </c>
      <c r="L191">
        <v>-2.27</v>
      </c>
      <c r="M191">
        <v>0</v>
      </c>
      <c r="N191">
        <v>0</v>
      </c>
      <c r="O191">
        <v>-1.99</v>
      </c>
      <c r="P191">
        <v>-6.1</v>
      </c>
      <c r="Q191">
        <v>-6.1</v>
      </c>
      <c r="R191">
        <v>-6.1</v>
      </c>
      <c r="S191">
        <v>-6.1</v>
      </c>
    </row>
    <row r="192" spans="1:21" x14ac:dyDescent="0.25">
      <c r="A192" t="s">
        <v>711</v>
      </c>
      <c r="E192">
        <v>-0.22</v>
      </c>
      <c r="F192">
        <v>-6.11</v>
      </c>
      <c r="G192">
        <v>0</v>
      </c>
      <c r="H192">
        <v>-5.93</v>
      </c>
      <c r="I192">
        <v>-13.25</v>
      </c>
      <c r="J192">
        <v>-1.95</v>
      </c>
      <c r="K192">
        <v>-6.55</v>
      </c>
      <c r="L192">
        <v>-19.739999999999998</v>
      </c>
      <c r="M192">
        <v>-12.76</v>
      </c>
      <c r="N192">
        <v>-62.71</v>
      </c>
      <c r="O192">
        <v>-0.79</v>
      </c>
      <c r="Q192">
        <v>-80.14</v>
      </c>
      <c r="R192">
        <v>-73.59</v>
      </c>
      <c r="S192" s="2">
        <v>-2444.94</v>
      </c>
    </row>
    <row r="193" spans="1:21" x14ac:dyDescent="0.25">
      <c r="A193" t="s">
        <v>712</v>
      </c>
      <c r="C193">
        <v>253.1</v>
      </c>
      <c r="D193">
        <v>285.83</v>
      </c>
      <c r="E193">
        <v>148.49</v>
      </c>
      <c r="F193">
        <v>0</v>
      </c>
      <c r="G193">
        <v>70.27</v>
      </c>
      <c r="H193">
        <v>72.33</v>
      </c>
      <c r="I193">
        <v>26.28</v>
      </c>
      <c r="J193">
        <v>16.850000000000001</v>
      </c>
      <c r="K193">
        <v>3.26</v>
      </c>
      <c r="L193">
        <v>4.99</v>
      </c>
      <c r="M193">
        <v>1.8</v>
      </c>
      <c r="N193">
        <v>0</v>
      </c>
      <c r="O193">
        <v>0</v>
      </c>
    </row>
    <row r="194" spans="1:21" x14ac:dyDescent="0.25">
      <c r="A194" t="s">
        <v>713</v>
      </c>
      <c r="B194">
        <v>0</v>
      </c>
      <c r="C194">
        <v>-33.79</v>
      </c>
      <c r="D194">
        <v>-57.93</v>
      </c>
      <c r="E194">
        <v>-33.159999999999997</v>
      </c>
      <c r="F194">
        <v>-21.42</v>
      </c>
      <c r="G194">
        <v>-20.16</v>
      </c>
      <c r="H194">
        <v>-121.48</v>
      </c>
      <c r="I194">
        <v>-189.38</v>
      </c>
      <c r="J194">
        <v>-137.02000000000001</v>
      </c>
      <c r="K194">
        <v>-156.13</v>
      </c>
      <c r="L194">
        <v>-264.36</v>
      </c>
      <c r="M194">
        <v>-231.19</v>
      </c>
      <c r="N194">
        <v>-987.21</v>
      </c>
      <c r="O194">
        <v>-13.91</v>
      </c>
      <c r="P194">
        <v>-100</v>
      </c>
      <c r="Q194">
        <v>-100</v>
      </c>
      <c r="R194">
        <v>-100</v>
      </c>
      <c r="S194">
        <v>-100</v>
      </c>
      <c r="T194">
        <v>0</v>
      </c>
      <c r="U194">
        <v>0</v>
      </c>
    </row>
    <row r="195" spans="1:21" x14ac:dyDescent="0.25">
      <c r="A195" t="s">
        <v>674</v>
      </c>
      <c r="C195">
        <v>2.14</v>
      </c>
      <c r="D195">
        <v>0.63</v>
      </c>
      <c r="E195">
        <v>4.24</v>
      </c>
      <c r="F195">
        <v>0.43</v>
      </c>
      <c r="G195">
        <v>1.52</v>
      </c>
      <c r="H195">
        <v>12.71</v>
      </c>
      <c r="I195">
        <v>353.49</v>
      </c>
      <c r="J195">
        <v>298.33999999999997</v>
      </c>
      <c r="K195">
        <v>15.28</v>
      </c>
      <c r="L195">
        <v>327.87</v>
      </c>
      <c r="M195">
        <v>12.37</v>
      </c>
      <c r="N195">
        <v>59.12</v>
      </c>
      <c r="O195">
        <v>18.920000000000002</v>
      </c>
      <c r="P195">
        <v>0</v>
      </c>
      <c r="Q195">
        <v>0</v>
      </c>
      <c r="R195">
        <v>0</v>
      </c>
      <c r="S195">
        <v>0</v>
      </c>
    </row>
    <row r="196" spans="1:21" x14ac:dyDescent="0.25">
      <c r="A196" t="s">
        <v>215</v>
      </c>
      <c r="E196">
        <v>1.24</v>
      </c>
      <c r="F196">
        <v>0.43</v>
      </c>
      <c r="G196">
        <v>1.52</v>
      </c>
      <c r="H196">
        <v>12.71</v>
      </c>
      <c r="I196">
        <v>23.49</v>
      </c>
      <c r="J196">
        <v>89.79</v>
      </c>
      <c r="K196">
        <v>15.28</v>
      </c>
      <c r="L196">
        <v>16.95</v>
      </c>
      <c r="M196">
        <v>12.37</v>
      </c>
      <c r="N196">
        <v>59.12</v>
      </c>
      <c r="O196">
        <v>26.66</v>
      </c>
      <c r="P196">
        <v>78.89</v>
      </c>
      <c r="Q196">
        <v>78.099999999999994</v>
      </c>
      <c r="R196">
        <v>52.51</v>
      </c>
      <c r="S196" s="2">
        <v>1289.03</v>
      </c>
    </row>
    <row r="197" spans="1:21" x14ac:dyDescent="0.25">
      <c r="A197" t="s">
        <v>714</v>
      </c>
      <c r="E197">
        <v>209.86</v>
      </c>
      <c r="F197">
        <v>13.65</v>
      </c>
      <c r="G197">
        <v>0</v>
      </c>
      <c r="H197">
        <v>-56.46</v>
      </c>
      <c r="I197">
        <v>6.51</v>
      </c>
      <c r="J197">
        <v>0</v>
      </c>
      <c r="K197">
        <v>2.82</v>
      </c>
      <c r="L197">
        <v>6.98</v>
      </c>
      <c r="M197">
        <v>3.96</v>
      </c>
      <c r="N197">
        <v>0</v>
      </c>
    </row>
    <row r="198" spans="1:21" x14ac:dyDescent="0.25">
      <c r="A198" t="s">
        <v>218</v>
      </c>
      <c r="C198">
        <v>212.18</v>
      </c>
      <c r="D198">
        <v>288.2</v>
      </c>
      <c r="E198">
        <v>283.38</v>
      </c>
      <c r="F198">
        <v>61.81</v>
      </c>
      <c r="G198">
        <v>317.2</v>
      </c>
      <c r="H198">
        <v>-120.31</v>
      </c>
      <c r="I198">
        <v>176.03</v>
      </c>
      <c r="J198">
        <v>306.38</v>
      </c>
      <c r="K198">
        <v>211.36</v>
      </c>
      <c r="L198">
        <v>683.35</v>
      </c>
      <c r="M198">
        <v>175.21</v>
      </c>
      <c r="N198" s="2">
        <v>1508.4</v>
      </c>
      <c r="O198" s="2">
        <v>15317.1</v>
      </c>
      <c r="P198" s="2">
        <v>23870.67</v>
      </c>
      <c r="Q198" s="2">
        <v>21506.29</v>
      </c>
      <c r="R198">
        <v>-22.7</v>
      </c>
      <c r="S198" s="2">
        <v>-1420.43</v>
      </c>
      <c r="T198">
        <v>-6.78</v>
      </c>
      <c r="U198">
        <v>-6.45</v>
      </c>
    </row>
    <row r="199" spans="1:21" x14ac:dyDescent="0.25">
      <c r="A199" t="s">
        <v>17</v>
      </c>
    </row>
    <row r="200" spans="1:21" x14ac:dyDescent="0.25">
      <c r="A200" t="s">
        <v>176</v>
      </c>
    </row>
    <row r="201" spans="1:21" x14ac:dyDescent="0.25">
      <c r="A201" t="s">
        <v>219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-0.59</v>
      </c>
      <c r="K201">
        <v>0.43</v>
      </c>
      <c r="L201">
        <v>-0.28000000000000003</v>
      </c>
      <c r="M201">
        <v>-2.63</v>
      </c>
      <c r="N201">
        <v>1.38</v>
      </c>
      <c r="O201">
        <v>-0.91</v>
      </c>
    </row>
    <row r="202" spans="1:21" x14ac:dyDescent="0.25">
      <c r="A202" t="s">
        <v>220</v>
      </c>
      <c r="C202">
        <v>-164.34</v>
      </c>
      <c r="D202">
        <v>28</v>
      </c>
      <c r="E202">
        <v>-8.42</v>
      </c>
      <c r="F202">
        <v>-37.299999999999997</v>
      </c>
      <c r="G202">
        <v>99.87</v>
      </c>
      <c r="H202">
        <v>96.9</v>
      </c>
      <c r="I202">
        <v>39.32</v>
      </c>
      <c r="J202">
        <v>198.4</v>
      </c>
      <c r="K202">
        <v>-96.75</v>
      </c>
      <c r="L202">
        <v>226.81</v>
      </c>
      <c r="M202">
        <v>205.79</v>
      </c>
      <c r="N202" s="2">
        <v>1530.61</v>
      </c>
      <c r="O202" s="2">
        <v>14552.12</v>
      </c>
      <c r="P202" s="2">
        <v>14943.98</v>
      </c>
      <c r="Q202" s="2">
        <v>15649.96</v>
      </c>
      <c r="R202" s="2">
        <v>2321.3000000000002</v>
      </c>
      <c r="S202" s="2">
        <v>2533.64</v>
      </c>
      <c r="T202" s="2">
        <v>5014.7299999999996</v>
      </c>
      <c r="U202" s="2">
        <v>4593.5200000000004</v>
      </c>
    </row>
    <row r="203" spans="1:21" x14ac:dyDescent="0.25">
      <c r="A203" t="s">
        <v>221</v>
      </c>
      <c r="E203">
        <v>226.34</v>
      </c>
      <c r="F203">
        <v>217.92</v>
      </c>
      <c r="G203">
        <v>180.61</v>
      </c>
      <c r="H203">
        <v>280.49</v>
      </c>
      <c r="I203">
        <v>377.39</v>
      </c>
      <c r="J203">
        <v>416.71</v>
      </c>
      <c r="K203">
        <v>615.11</v>
      </c>
      <c r="L203">
        <v>518.37</v>
      </c>
      <c r="M203">
        <v>745.18</v>
      </c>
      <c r="N203">
        <v>950.97</v>
      </c>
      <c r="O203" s="2">
        <v>2356.96</v>
      </c>
      <c r="P203" s="2">
        <v>19137.38</v>
      </c>
      <c r="Q203" s="2">
        <v>36330.04</v>
      </c>
      <c r="R203" s="2">
        <v>5097.2299999999996</v>
      </c>
      <c r="S203" s="2">
        <v>7401.52</v>
      </c>
      <c r="T203" s="2">
        <v>8767.5400000000009</v>
      </c>
      <c r="U203" s="2">
        <v>10625.57</v>
      </c>
    </row>
    <row r="204" spans="1:21" x14ac:dyDescent="0.25">
      <c r="A204" t="s">
        <v>222</v>
      </c>
      <c r="E204">
        <v>217.92</v>
      </c>
      <c r="F204">
        <v>180.61</v>
      </c>
      <c r="G204">
        <v>280.49</v>
      </c>
      <c r="H204">
        <v>377.39</v>
      </c>
      <c r="I204">
        <v>416.71</v>
      </c>
      <c r="J204">
        <v>615.11</v>
      </c>
      <c r="K204">
        <v>518.37</v>
      </c>
      <c r="L204">
        <v>745.18</v>
      </c>
      <c r="M204">
        <v>950.97</v>
      </c>
      <c r="N204" s="2">
        <v>2481.58</v>
      </c>
      <c r="O204" s="2">
        <v>2931.06</v>
      </c>
      <c r="P204" s="2">
        <v>3609.1</v>
      </c>
      <c r="Q204" s="2">
        <v>5046.0600000000004</v>
      </c>
      <c r="R204" s="2">
        <v>7423.46</v>
      </c>
      <c r="S204" s="2">
        <v>9599.1</v>
      </c>
      <c r="T204" s="2">
        <v>13135.7</v>
      </c>
      <c r="U204" s="2">
        <v>14272.12</v>
      </c>
    </row>
    <row r="205" spans="1:21" x14ac:dyDescent="0.25">
      <c r="A205" t="s">
        <v>178</v>
      </c>
    </row>
    <row r="206" spans="1:21" x14ac:dyDescent="0.25">
      <c r="A206" t="s">
        <v>225</v>
      </c>
      <c r="C206">
        <v>-295.5</v>
      </c>
      <c r="D206">
        <v>-315.95</v>
      </c>
      <c r="E206">
        <v>-291.81</v>
      </c>
      <c r="F206">
        <v>-72.319999999999993</v>
      </c>
      <c r="G206">
        <v>-140.41</v>
      </c>
      <c r="H206">
        <v>112.72</v>
      </c>
      <c r="I206">
        <v>-136.71</v>
      </c>
      <c r="J206">
        <v>-110.49</v>
      </c>
      <c r="K206">
        <v>-308.55</v>
      </c>
      <c r="L206">
        <v>-456.27</v>
      </c>
      <c r="M206">
        <v>33.15</v>
      </c>
      <c r="N206">
        <v>57.19</v>
      </c>
      <c r="O206">
        <v>437.32</v>
      </c>
      <c r="P206">
        <v>838.87</v>
      </c>
      <c r="Q206" s="2">
        <v>1662.14</v>
      </c>
      <c r="R206" s="2">
        <v>2505.7199999999998</v>
      </c>
      <c r="S206" s="2">
        <v>3783.73</v>
      </c>
      <c r="T206" s="2">
        <v>7845.6</v>
      </c>
      <c r="U206" s="2">
        <v>7758.14</v>
      </c>
    </row>
    <row r="207" spans="1:21" x14ac:dyDescent="0.25">
      <c r="A207" t="s">
        <v>230</v>
      </c>
      <c r="C207">
        <v>5.8</v>
      </c>
      <c r="D207">
        <v>3.62</v>
      </c>
      <c r="E207">
        <v>4.3099999999999996</v>
      </c>
      <c r="F207">
        <v>1.37</v>
      </c>
      <c r="G207">
        <v>7.66</v>
      </c>
      <c r="H207">
        <v>6.5</v>
      </c>
      <c r="I207">
        <v>4.7699999999999996</v>
      </c>
      <c r="J207">
        <v>5.12</v>
      </c>
      <c r="K207">
        <v>9.74</v>
      </c>
      <c r="L207">
        <v>6.28</v>
      </c>
      <c r="M207">
        <v>3.99</v>
      </c>
      <c r="N207">
        <v>2.8</v>
      </c>
      <c r="O207">
        <v>4.2</v>
      </c>
      <c r="P207">
        <v>2.98</v>
      </c>
      <c r="Q207">
        <v>3.05</v>
      </c>
      <c r="R207">
        <v>2.3199999999999998</v>
      </c>
      <c r="S207">
        <v>1.06</v>
      </c>
      <c r="T207">
        <v>0.76</v>
      </c>
      <c r="U207">
        <v>0.5</v>
      </c>
    </row>
    <row r="208" spans="1:21" x14ac:dyDescent="0.25">
      <c r="A208" t="s">
        <v>17</v>
      </c>
    </row>
    <row r="209" spans="1:1" x14ac:dyDescent="0.25">
      <c r="A209" t="s">
        <v>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8681-3C5D-4C9A-AB13-11EDA091CC60}">
  <dimension ref="A1:U280"/>
  <sheetViews>
    <sheetView workbookViewId="0">
      <selection sqref="A1:U1048576"/>
    </sheetView>
  </sheetViews>
  <sheetFormatPr defaultRowHeight="15" x14ac:dyDescent="0.25"/>
  <sheetData>
    <row r="1" spans="1:21" x14ac:dyDescent="0.25">
      <c r="A1" t="s">
        <v>715</v>
      </c>
    </row>
    <row r="2" spans="1:21" x14ac:dyDescent="0.25">
      <c r="A2" t="s">
        <v>716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41636</v>
      </c>
      <c r="C4" s="1">
        <v>42000</v>
      </c>
      <c r="D4" s="1">
        <v>42364</v>
      </c>
      <c r="E4" s="1">
        <v>42735</v>
      </c>
      <c r="F4" s="1">
        <v>43099</v>
      </c>
      <c r="G4" s="1">
        <v>43463</v>
      </c>
      <c r="H4" s="1">
        <v>43827</v>
      </c>
      <c r="I4" s="1">
        <v>44191</v>
      </c>
      <c r="J4" s="1">
        <v>44555</v>
      </c>
      <c r="K4" s="1">
        <v>44926</v>
      </c>
      <c r="L4" s="1">
        <v>45290</v>
      </c>
      <c r="M4" s="1">
        <v>45654</v>
      </c>
      <c r="N4" s="1">
        <v>46018</v>
      </c>
      <c r="O4" s="1">
        <v>46382</v>
      </c>
      <c r="P4" s="1">
        <v>46746</v>
      </c>
      <c r="Q4" s="1">
        <v>47117</v>
      </c>
      <c r="R4" s="1">
        <v>47481</v>
      </c>
      <c r="S4" s="1">
        <v>47845</v>
      </c>
      <c r="T4" s="1">
        <v>48209</v>
      </c>
      <c r="U4" s="1">
        <v>48573</v>
      </c>
    </row>
    <row r="5" spans="1:21" x14ac:dyDescent="0.25">
      <c r="A5" t="s">
        <v>14</v>
      </c>
    </row>
    <row r="6" spans="1:21" x14ac:dyDescent="0.25">
      <c r="A6" t="s">
        <v>15</v>
      </c>
      <c r="B6">
        <v>-0.11</v>
      </c>
      <c r="C6">
        <v>0.06</v>
      </c>
      <c r="D6">
        <v>-0.54</v>
      </c>
      <c r="E6">
        <v>-0.14000000000000001</v>
      </c>
      <c r="F6">
        <v>0.17</v>
      </c>
      <c r="G6">
        <v>0.46</v>
      </c>
      <c r="H6">
        <v>0.64</v>
      </c>
      <c r="I6">
        <v>1.29</v>
      </c>
      <c r="J6">
        <v>2.79</v>
      </c>
      <c r="K6">
        <v>3.5</v>
      </c>
      <c r="L6">
        <v>2.65</v>
      </c>
      <c r="M6">
        <v>3.31</v>
      </c>
      <c r="N6">
        <v>4.17</v>
      </c>
      <c r="O6">
        <v>7.48</v>
      </c>
      <c r="P6">
        <v>15.51</v>
      </c>
      <c r="Q6">
        <v>23.01</v>
      </c>
      <c r="R6">
        <v>30.34</v>
      </c>
      <c r="S6">
        <v>41.55</v>
      </c>
    </row>
    <row r="7" spans="1:21" x14ac:dyDescent="0.25">
      <c r="A7" t="s">
        <v>16</v>
      </c>
      <c r="B7" s="2">
        <v>5299</v>
      </c>
      <c r="C7" s="2">
        <v>5506</v>
      </c>
      <c r="D7" s="2">
        <v>3991</v>
      </c>
      <c r="E7" s="2">
        <v>4272</v>
      </c>
      <c r="F7" s="2">
        <v>5329</v>
      </c>
      <c r="G7" s="2">
        <v>6480</v>
      </c>
      <c r="H7" s="2">
        <v>6731</v>
      </c>
      <c r="I7" s="2">
        <v>9763</v>
      </c>
      <c r="J7" s="2">
        <v>16434</v>
      </c>
      <c r="K7" s="2">
        <v>23601</v>
      </c>
      <c r="L7" s="2">
        <v>22680</v>
      </c>
      <c r="M7" s="2">
        <v>25785</v>
      </c>
      <c r="N7" s="2">
        <v>34639</v>
      </c>
      <c r="O7" s="2">
        <v>51101.02</v>
      </c>
      <c r="P7" s="2">
        <v>88234.240000000005</v>
      </c>
      <c r="Q7" s="2">
        <v>121978.61</v>
      </c>
      <c r="R7" s="2">
        <v>156076</v>
      </c>
      <c r="S7" s="2">
        <v>218565.14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530</v>
      </c>
      <c r="I10" s="2">
        <v>1685</v>
      </c>
      <c r="J10" s="2">
        <v>3694</v>
      </c>
      <c r="K10" s="2">
        <v>6043</v>
      </c>
      <c r="L10" s="2">
        <v>6496</v>
      </c>
      <c r="M10" s="2">
        <v>12579</v>
      </c>
      <c r="N10" s="2">
        <v>16635</v>
      </c>
      <c r="O10" s="2">
        <v>32511.27</v>
      </c>
      <c r="P10" s="2">
        <v>69523.83</v>
      </c>
      <c r="Q10" s="2">
        <v>102607.61</v>
      </c>
      <c r="R10" s="2">
        <v>133669.9</v>
      </c>
      <c r="S10" s="2">
        <v>198538.09</v>
      </c>
    </row>
    <row r="11" spans="1:21" x14ac:dyDescent="0.25">
      <c r="A11" t="s">
        <v>717</v>
      </c>
      <c r="I11" s="2">
        <v>5189</v>
      </c>
      <c r="J11" s="2">
        <v>6887</v>
      </c>
      <c r="K11" s="2">
        <v>6201</v>
      </c>
      <c r="L11" s="2">
        <v>4651</v>
      </c>
      <c r="M11" s="2">
        <v>7054</v>
      </c>
      <c r="N11" s="2">
        <v>10640</v>
      </c>
      <c r="O11" s="2">
        <v>12114.1</v>
      </c>
      <c r="P11" s="2">
        <v>12445.07</v>
      </c>
      <c r="Q11" s="2">
        <v>13052.53</v>
      </c>
      <c r="R11" s="2">
        <v>14189.68</v>
      </c>
      <c r="S11" s="2">
        <v>14828.42</v>
      </c>
    </row>
    <row r="12" spans="1:21" x14ac:dyDescent="0.25">
      <c r="A12" t="s">
        <v>718</v>
      </c>
      <c r="I12" s="2">
        <v>2746</v>
      </c>
      <c r="J12" s="2">
        <v>5607</v>
      </c>
      <c r="K12" s="2">
        <v>6805</v>
      </c>
      <c r="L12" s="2">
        <v>6212</v>
      </c>
      <c r="M12" s="2">
        <v>2595</v>
      </c>
      <c r="N12" s="2">
        <v>3910</v>
      </c>
      <c r="O12" s="2">
        <v>2797.71</v>
      </c>
      <c r="P12" s="2">
        <v>2699.88</v>
      </c>
      <c r="Q12" s="2">
        <v>3015.28</v>
      </c>
      <c r="R12" s="2">
        <v>3491.57</v>
      </c>
      <c r="S12" s="2">
        <v>3989.26</v>
      </c>
    </row>
    <row r="13" spans="1:21" x14ac:dyDescent="0.25">
      <c r="A13" t="s">
        <v>719</v>
      </c>
      <c r="I13">
        <v>143</v>
      </c>
      <c r="J13">
        <v>246</v>
      </c>
      <c r="K13" s="2">
        <v>4552</v>
      </c>
      <c r="L13" s="2">
        <v>5321</v>
      </c>
      <c r="M13" s="2">
        <v>3557</v>
      </c>
      <c r="N13" s="2">
        <v>3454</v>
      </c>
      <c r="O13" s="2">
        <v>4105.91</v>
      </c>
      <c r="P13" s="2">
        <v>4730.2700000000004</v>
      </c>
      <c r="Q13" s="2">
        <v>5085.01</v>
      </c>
      <c r="R13" s="2">
        <v>6000.65</v>
      </c>
      <c r="S13" s="2">
        <v>6445.58</v>
      </c>
    </row>
    <row r="14" spans="1:21" x14ac:dyDescent="0.25">
      <c r="A14" t="s">
        <v>17</v>
      </c>
    </row>
    <row r="15" spans="1:21" x14ac:dyDescent="0.25">
      <c r="A15" t="s">
        <v>720</v>
      </c>
      <c r="O15" s="2">
        <v>14874.93</v>
      </c>
      <c r="P15" s="2">
        <v>39362.85</v>
      </c>
      <c r="Q15" s="2">
        <v>60959.040000000001</v>
      </c>
      <c r="R15" s="2">
        <v>91728.72</v>
      </c>
      <c r="S15" s="2">
        <v>134396.10999999999</v>
      </c>
    </row>
    <row r="16" spans="1:21" x14ac:dyDescent="0.25">
      <c r="A16" t="s">
        <v>17</v>
      </c>
    </row>
    <row r="17" spans="1:19" x14ac:dyDescent="0.25">
      <c r="A17" t="s">
        <v>30</v>
      </c>
      <c r="B17">
        <v>37.33</v>
      </c>
      <c r="C17">
        <v>33</v>
      </c>
      <c r="D17">
        <v>28</v>
      </c>
      <c r="E17">
        <v>31</v>
      </c>
      <c r="F17">
        <v>34</v>
      </c>
      <c r="G17">
        <v>39</v>
      </c>
      <c r="H17">
        <v>43</v>
      </c>
      <c r="I17">
        <v>45</v>
      </c>
      <c r="J17">
        <v>48</v>
      </c>
      <c r="K17">
        <v>52</v>
      </c>
      <c r="L17">
        <v>50</v>
      </c>
      <c r="M17">
        <v>53</v>
      </c>
      <c r="N17">
        <v>52</v>
      </c>
      <c r="O17">
        <v>55.8</v>
      </c>
      <c r="P17">
        <v>55.48</v>
      </c>
      <c r="Q17">
        <v>55.42</v>
      </c>
      <c r="R17">
        <v>56.76</v>
      </c>
      <c r="S17">
        <v>57.2</v>
      </c>
    </row>
    <row r="18" spans="1:19" x14ac:dyDescent="0.25">
      <c r="A18" t="s">
        <v>721</v>
      </c>
      <c r="B18" s="2">
        <v>1201</v>
      </c>
      <c r="C18" s="2">
        <v>1072</v>
      </c>
      <c r="D18">
        <v>947</v>
      </c>
      <c r="E18" s="2">
        <v>1008</v>
      </c>
      <c r="F18" s="2">
        <v>1196</v>
      </c>
      <c r="G18" s="2">
        <v>1434</v>
      </c>
      <c r="H18" s="2">
        <v>1547</v>
      </c>
      <c r="I18" s="2">
        <v>1983</v>
      </c>
      <c r="J18" s="2">
        <v>2845</v>
      </c>
      <c r="K18" s="2">
        <v>5005</v>
      </c>
      <c r="L18" s="2">
        <v>5872</v>
      </c>
      <c r="M18" s="2">
        <v>6456</v>
      </c>
      <c r="N18" s="2">
        <v>8091</v>
      </c>
      <c r="O18" s="2">
        <v>10443.549999999999</v>
      </c>
      <c r="P18" s="2">
        <v>13882.08</v>
      </c>
      <c r="Q18" s="2">
        <v>17691.46</v>
      </c>
      <c r="R18" s="2">
        <v>19527.419999999998</v>
      </c>
      <c r="S18" s="2">
        <v>22885.58</v>
      </c>
    </row>
    <row r="19" spans="1:19" x14ac:dyDescent="0.25">
      <c r="A19" t="s">
        <v>83</v>
      </c>
      <c r="B19">
        <v>22.66</v>
      </c>
      <c r="C19">
        <v>19.47</v>
      </c>
      <c r="D19">
        <v>0</v>
      </c>
      <c r="E19">
        <v>0</v>
      </c>
      <c r="F19">
        <v>22.77</v>
      </c>
      <c r="G19">
        <v>22.15</v>
      </c>
      <c r="H19">
        <v>22.98</v>
      </c>
      <c r="I19">
        <v>20.309999999999999</v>
      </c>
      <c r="J19">
        <v>17.309999999999999</v>
      </c>
      <c r="K19">
        <v>21.21</v>
      </c>
      <c r="L19">
        <v>25.89</v>
      </c>
      <c r="M19">
        <v>25.04</v>
      </c>
      <c r="N19">
        <v>23.36</v>
      </c>
      <c r="O19">
        <v>20.47</v>
      </c>
      <c r="P19">
        <v>16.28</v>
      </c>
      <c r="Q19">
        <v>14.82</v>
      </c>
      <c r="R19">
        <v>13.1</v>
      </c>
      <c r="S19">
        <v>11.77</v>
      </c>
    </row>
    <row r="20" spans="1:19" x14ac:dyDescent="0.25">
      <c r="A20" t="s">
        <v>29</v>
      </c>
      <c r="B20">
        <v>103</v>
      </c>
      <c r="C20">
        <v>235</v>
      </c>
      <c r="D20">
        <v>-253</v>
      </c>
      <c r="E20">
        <v>44</v>
      </c>
      <c r="F20">
        <v>301</v>
      </c>
      <c r="G20">
        <v>633</v>
      </c>
      <c r="H20">
        <v>840</v>
      </c>
      <c r="I20" s="2">
        <v>1657</v>
      </c>
      <c r="J20" s="2">
        <v>4069</v>
      </c>
      <c r="K20" s="2">
        <v>6345</v>
      </c>
      <c r="L20" s="2">
        <v>4854</v>
      </c>
      <c r="M20" s="2">
        <v>6138</v>
      </c>
      <c r="N20" s="2">
        <v>7768</v>
      </c>
      <c r="O20" s="2">
        <v>14238.39</v>
      </c>
      <c r="P20" s="2">
        <v>29657.96</v>
      </c>
      <c r="Q20" s="2">
        <v>44150.55</v>
      </c>
      <c r="R20" s="2">
        <v>63196</v>
      </c>
      <c r="S20" s="2">
        <v>94767.2</v>
      </c>
    </row>
    <row r="21" spans="1:19" x14ac:dyDescent="0.25">
      <c r="A21" t="s">
        <v>240</v>
      </c>
      <c r="B21">
        <v>1.94</v>
      </c>
      <c r="C21">
        <v>4.2699999999999996</v>
      </c>
      <c r="D21">
        <v>-6.34</v>
      </c>
      <c r="E21">
        <v>1</v>
      </c>
      <c r="F21">
        <v>4.26</v>
      </c>
      <c r="G21">
        <v>9.7799999999999994</v>
      </c>
      <c r="H21">
        <v>12.48</v>
      </c>
      <c r="I21">
        <v>16.97</v>
      </c>
      <c r="J21">
        <v>24.76</v>
      </c>
      <c r="K21">
        <v>26.88</v>
      </c>
      <c r="L21">
        <v>21.4</v>
      </c>
      <c r="M21">
        <v>23.8</v>
      </c>
      <c r="N21">
        <v>22.43</v>
      </c>
      <c r="O21">
        <v>27.89</v>
      </c>
      <c r="P21">
        <v>33.840000000000003</v>
      </c>
      <c r="Q21">
        <v>36.04</v>
      </c>
      <c r="R21">
        <v>39.43</v>
      </c>
      <c r="S21">
        <v>40.380000000000003</v>
      </c>
    </row>
    <row r="22" spans="1:19" x14ac:dyDescent="0.25">
      <c r="A22" t="s">
        <v>17</v>
      </c>
    </row>
    <row r="23" spans="1:19" x14ac:dyDescent="0.25">
      <c r="A23" t="s">
        <v>242</v>
      </c>
      <c r="B23">
        <v>-84</v>
      </c>
      <c r="C23">
        <v>-95</v>
      </c>
      <c r="D23">
        <v>-96</v>
      </c>
      <c r="E23">
        <v>-77</v>
      </c>
      <c r="F23">
        <v>-113</v>
      </c>
      <c r="G23">
        <v>-163</v>
      </c>
      <c r="H23">
        <v>-217</v>
      </c>
      <c r="I23">
        <v>-294</v>
      </c>
      <c r="J23">
        <v>-301</v>
      </c>
      <c r="K23">
        <v>-450</v>
      </c>
      <c r="L23">
        <v>-546</v>
      </c>
      <c r="M23">
        <v>-636</v>
      </c>
      <c r="N23">
        <v>-974</v>
      </c>
      <c r="O23" s="2">
        <v>-2263.1</v>
      </c>
      <c r="P23" s="2">
        <v>-2361.1</v>
      </c>
      <c r="Q23" s="2">
        <v>-2373.37</v>
      </c>
      <c r="R23" s="2">
        <v>-3394.6</v>
      </c>
      <c r="S23" s="2">
        <v>-4254.5</v>
      </c>
    </row>
    <row r="24" spans="1:19" x14ac:dyDescent="0.25">
      <c r="A24" t="s">
        <v>83</v>
      </c>
      <c r="B24">
        <v>1.59</v>
      </c>
      <c r="C24">
        <v>1.73</v>
      </c>
      <c r="D24">
        <v>2.41</v>
      </c>
      <c r="E24">
        <v>1.78</v>
      </c>
      <c r="F24">
        <v>2.15</v>
      </c>
      <c r="G24">
        <v>2.52</v>
      </c>
      <c r="H24">
        <v>3.22</v>
      </c>
      <c r="I24">
        <v>3.01</v>
      </c>
      <c r="J24">
        <v>1.83</v>
      </c>
      <c r="K24">
        <v>1.91</v>
      </c>
      <c r="L24">
        <v>2.41</v>
      </c>
      <c r="M24">
        <v>2.4700000000000002</v>
      </c>
      <c r="N24">
        <v>2.81</v>
      </c>
      <c r="O24">
        <v>5.03</v>
      </c>
      <c r="P24">
        <v>3.54</v>
      </c>
      <c r="Q24">
        <v>2.78</v>
      </c>
      <c r="R24">
        <v>2.75</v>
      </c>
      <c r="S24">
        <v>3</v>
      </c>
    </row>
    <row r="25" spans="1:19" x14ac:dyDescent="0.25">
      <c r="A25" t="s">
        <v>36</v>
      </c>
      <c r="B25">
        <v>-232</v>
      </c>
      <c r="C25">
        <v>-193</v>
      </c>
      <c r="D25">
        <v>167</v>
      </c>
      <c r="E25">
        <v>13</v>
      </c>
      <c r="F25">
        <v>-105</v>
      </c>
      <c r="G25">
        <v>-129</v>
      </c>
      <c r="H25">
        <v>276</v>
      </c>
      <c r="I25">
        <v>777</v>
      </c>
      <c r="J25" s="2">
        <v>3220</v>
      </c>
      <c r="K25" s="2">
        <v>3100</v>
      </c>
      <c r="L25" s="2">
        <v>1121</v>
      </c>
      <c r="M25" s="2">
        <v>2405</v>
      </c>
      <c r="N25" s="2">
        <v>5519</v>
      </c>
      <c r="O25" s="2">
        <v>7609.05</v>
      </c>
      <c r="P25" s="2">
        <v>17021.38</v>
      </c>
      <c r="Q25" s="2">
        <v>31653.88</v>
      </c>
      <c r="R25" s="2">
        <v>43022.71</v>
      </c>
      <c r="S25" s="2">
        <v>62268.79</v>
      </c>
    </row>
    <row r="26" spans="1:19" x14ac:dyDescent="0.25">
      <c r="A26" t="s">
        <v>17</v>
      </c>
    </row>
    <row r="27" spans="1:19" x14ac:dyDescent="0.25">
      <c r="A27" t="s">
        <v>37</v>
      </c>
    </row>
    <row r="28" spans="1:19" x14ac:dyDescent="0.25">
      <c r="A28" t="s">
        <v>17</v>
      </c>
    </row>
    <row r="29" spans="1:19" x14ac:dyDescent="0.25">
      <c r="A29" t="s">
        <v>38</v>
      </c>
    </row>
    <row r="30" spans="1:19" x14ac:dyDescent="0.25">
      <c r="A30" t="s">
        <v>722</v>
      </c>
      <c r="B30">
        <v>-1.99</v>
      </c>
      <c r="C30">
        <v>-9.9499999999999993</v>
      </c>
      <c r="D30">
        <v>-19.27</v>
      </c>
      <c r="E30">
        <v>-15.53</v>
      </c>
      <c r="F30">
        <v>-0.96</v>
      </c>
      <c r="G30">
        <v>8.31</v>
      </c>
      <c r="H30">
        <v>6.44</v>
      </c>
      <c r="I30">
        <v>33.22</v>
      </c>
      <c r="J30">
        <v>29.58</v>
      </c>
      <c r="K30">
        <v>3.3</v>
      </c>
      <c r="L30">
        <v>1.26</v>
      </c>
      <c r="M30">
        <v>2.39</v>
      </c>
      <c r="N30">
        <v>5.93</v>
      </c>
      <c r="O30">
        <v>10.92</v>
      </c>
      <c r="P30">
        <v>19.36</v>
      </c>
      <c r="Q30">
        <v>21.34</v>
      </c>
      <c r="R30">
        <v>14.8</v>
      </c>
      <c r="S30">
        <v>15.1</v>
      </c>
    </row>
    <row r="31" spans="1:19" x14ac:dyDescent="0.25">
      <c r="A31" t="s">
        <v>17</v>
      </c>
    </row>
    <row r="32" spans="1:19" x14ac:dyDescent="0.25">
      <c r="A32" t="s">
        <v>252</v>
      </c>
    </row>
    <row r="33" spans="1:19" x14ac:dyDescent="0.25">
      <c r="A33" t="s">
        <v>49</v>
      </c>
      <c r="B33">
        <v>50.21</v>
      </c>
      <c r="C33">
        <v>54.54</v>
      </c>
      <c r="D33">
        <v>61.61</v>
      </c>
      <c r="E33">
        <v>36.25</v>
      </c>
      <c r="F33">
        <v>26.5</v>
      </c>
      <c r="G33">
        <v>47.47</v>
      </c>
      <c r="H33">
        <v>83.66</v>
      </c>
      <c r="I33">
        <v>73.17</v>
      </c>
      <c r="J33">
        <v>52.85</v>
      </c>
      <c r="K33">
        <v>53.7</v>
      </c>
      <c r="L33">
        <v>76.25</v>
      </c>
      <c r="M33">
        <v>81.650000000000006</v>
      </c>
      <c r="N33">
        <v>65.709999999999994</v>
      </c>
      <c r="O33">
        <v>58.55</v>
      </c>
      <c r="P33">
        <v>53.06</v>
      </c>
      <c r="Q33">
        <v>50.75</v>
      </c>
      <c r="R33">
        <v>21.26</v>
      </c>
      <c r="S33">
        <v>18.579999999999998</v>
      </c>
    </row>
    <row r="34" spans="1:19" x14ac:dyDescent="0.25">
      <c r="A34" t="s">
        <v>569</v>
      </c>
      <c r="B34">
        <v>4.59</v>
      </c>
      <c r="C34">
        <v>4.67</v>
      </c>
      <c r="D34">
        <v>4.2699999999999996</v>
      </c>
      <c r="E34">
        <v>4.6399999999999997</v>
      </c>
      <c r="F34">
        <v>4.8</v>
      </c>
      <c r="G34">
        <v>5.23</v>
      </c>
      <c r="H34">
        <v>4.2300000000000004</v>
      </c>
      <c r="I34">
        <v>4.55</v>
      </c>
      <c r="J34">
        <v>5.07</v>
      </c>
      <c r="K34">
        <v>4.54</v>
      </c>
      <c r="L34">
        <v>3.01</v>
      </c>
      <c r="M34">
        <v>2.59</v>
      </c>
      <c r="N34">
        <v>2.56</v>
      </c>
      <c r="O34">
        <v>3.41</v>
      </c>
      <c r="P34">
        <v>3.71</v>
      </c>
      <c r="Q34">
        <v>8.14</v>
      </c>
      <c r="R34">
        <v>8.0500000000000007</v>
      </c>
      <c r="S34">
        <v>7.96</v>
      </c>
    </row>
    <row r="35" spans="1:19" x14ac:dyDescent="0.25">
      <c r="A35" t="s">
        <v>723</v>
      </c>
      <c r="B35">
        <v>96.89</v>
      </c>
      <c r="C35">
        <v>68</v>
      </c>
      <c r="D35">
        <v>84.78</v>
      </c>
      <c r="E35">
        <v>84.02</v>
      </c>
      <c r="F35">
        <v>72.88</v>
      </c>
      <c r="G35">
        <v>76.36</v>
      </c>
      <c r="H35">
        <v>92.53</v>
      </c>
      <c r="I35">
        <v>94.02</v>
      </c>
      <c r="J35">
        <v>83.67</v>
      </c>
      <c r="K35">
        <v>107.64</v>
      </c>
      <c r="L35">
        <v>129.6</v>
      </c>
      <c r="M35">
        <v>159.81</v>
      </c>
      <c r="N35">
        <v>164.86</v>
      </c>
      <c r="O35">
        <v>167.3</v>
      </c>
      <c r="P35">
        <v>162.41</v>
      </c>
      <c r="Q35">
        <v>121.22</v>
      </c>
      <c r="R35">
        <v>67.849999999999994</v>
      </c>
      <c r="S35">
        <v>59.54</v>
      </c>
    </row>
    <row r="36" spans="1:19" x14ac:dyDescent="0.25">
      <c r="A36" t="s">
        <v>724</v>
      </c>
      <c r="B36">
        <v>39.82</v>
      </c>
      <c r="C36">
        <v>49.02</v>
      </c>
      <c r="D36">
        <v>43.49</v>
      </c>
      <c r="E36">
        <v>39.36</v>
      </c>
      <c r="F36">
        <v>43.99</v>
      </c>
      <c r="G36">
        <v>53.05</v>
      </c>
      <c r="H36">
        <v>82.9</v>
      </c>
      <c r="I36">
        <v>45.43</v>
      </c>
      <c r="J36">
        <v>35.93</v>
      </c>
      <c r="K36">
        <v>47.76</v>
      </c>
      <c r="L36">
        <v>64.67</v>
      </c>
      <c r="M36">
        <v>50.97</v>
      </c>
      <c r="N36">
        <v>45.51</v>
      </c>
      <c r="O36">
        <v>117.75</v>
      </c>
      <c r="P36">
        <v>125.96</v>
      </c>
      <c r="Q36">
        <v>79.16</v>
      </c>
      <c r="R36">
        <v>75.44</v>
      </c>
      <c r="S36">
        <v>79.790000000000006</v>
      </c>
    </row>
    <row r="37" spans="1:19" x14ac:dyDescent="0.25">
      <c r="A37" t="s">
        <v>725</v>
      </c>
      <c r="B37">
        <v>-0.31</v>
      </c>
      <c r="C37">
        <v>-0.25</v>
      </c>
      <c r="D37">
        <v>-0.41</v>
      </c>
      <c r="E37">
        <v>0</v>
      </c>
      <c r="F37">
        <v>-0.11</v>
      </c>
      <c r="G37">
        <v>-0.12</v>
      </c>
      <c r="H37">
        <v>0.25</v>
      </c>
      <c r="I37">
        <v>0.64</v>
      </c>
      <c r="J37">
        <v>2.62</v>
      </c>
      <c r="K37">
        <v>1.98</v>
      </c>
      <c r="L37">
        <v>0.69</v>
      </c>
      <c r="M37">
        <v>1.47</v>
      </c>
      <c r="N37">
        <v>4.12</v>
      </c>
      <c r="O37">
        <v>3.86</v>
      </c>
      <c r="P37">
        <v>9.44</v>
      </c>
      <c r="Q37">
        <v>18.27</v>
      </c>
      <c r="R37">
        <v>25.9</v>
      </c>
      <c r="S37">
        <v>35.1</v>
      </c>
    </row>
    <row r="38" spans="1:19" x14ac:dyDescent="0.25">
      <c r="A38" t="s">
        <v>17</v>
      </c>
    </row>
    <row r="39" spans="1:19" x14ac:dyDescent="0.25">
      <c r="A39" t="s">
        <v>726</v>
      </c>
    </row>
    <row r="40" spans="1:19" x14ac:dyDescent="0.25">
      <c r="A40" t="s">
        <v>17</v>
      </c>
    </row>
    <row r="41" spans="1:19" x14ac:dyDescent="0.25">
      <c r="A41" t="s">
        <v>58</v>
      </c>
    </row>
    <row r="42" spans="1:19" x14ac:dyDescent="0.25">
      <c r="A42" t="s">
        <v>727</v>
      </c>
    </row>
    <row r="43" spans="1:19" x14ac:dyDescent="0.25">
      <c r="A43" t="s">
        <v>60</v>
      </c>
      <c r="I43" s="2">
        <v>1685</v>
      </c>
      <c r="J43" s="2">
        <v>3694</v>
      </c>
      <c r="K43" s="2">
        <v>6043</v>
      </c>
      <c r="L43" s="2">
        <v>6496</v>
      </c>
      <c r="M43" s="2">
        <v>12579</v>
      </c>
      <c r="N43" s="2">
        <v>16635</v>
      </c>
      <c r="O43" s="2">
        <v>32511.27</v>
      </c>
      <c r="P43" s="2">
        <v>69523.83</v>
      </c>
      <c r="Q43" s="2">
        <v>102607.61</v>
      </c>
      <c r="R43" s="2">
        <v>133669.9</v>
      </c>
      <c r="S43" s="2">
        <v>198538.09</v>
      </c>
    </row>
    <row r="44" spans="1:19" x14ac:dyDescent="0.25">
      <c r="A44" t="s">
        <v>61</v>
      </c>
      <c r="M44">
        <v>94</v>
      </c>
      <c r="N44">
        <v>48</v>
      </c>
      <c r="O44">
        <v>61.94</v>
      </c>
      <c r="P44">
        <v>77.02</v>
      </c>
      <c r="Q44">
        <v>82.81</v>
      </c>
      <c r="R44">
        <v>83.76</v>
      </c>
      <c r="S44">
        <v>87.74</v>
      </c>
    </row>
    <row r="45" spans="1:19" x14ac:dyDescent="0.25">
      <c r="A45" t="s">
        <v>116</v>
      </c>
      <c r="I45">
        <v>198</v>
      </c>
      <c r="J45">
        <v>991</v>
      </c>
      <c r="K45" s="2">
        <v>1848</v>
      </c>
      <c r="L45" s="2">
        <v>1267</v>
      </c>
      <c r="M45" s="2">
        <v>3482</v>
      </c>
      <c r="N45" s="2">
        <v>3603</v>
      </c>
      <c r="O45" s="2">
        <v>9318.2800000000007</v>
      </c>
      <c r="P45" s="2">
        <v>24327.03</v>
      </c>
      <c r="Q45" s="2">
        <v>37379.760000000002</v>
      </c>
    </row>
    <row r="46" spans="1:19" x14ac:dyDescent="0.25">
      <c r="A46" t="s">
        <v>269</v>
      </c>
      <c r="N46">
        <v>21.6</v>
      </c>
      <c r="O46">
        <v>27.99</v>
      </c>
      <c r="P46">
        <v>32.630000000000003</v>
      </c>
      <c r="Q46">
        <v>34.46</v>
      </c>
    </row>
    <row r="47" spans="1:19" x14ac:dyDescent="0.25">
      <c r="A47" t="s">
        <v>17</v>
      </c>
    </row>
    <row r="48" spans="1:19" x14ac:dyDescent="0.25">
      <c r="A48" t="s">
        <v>728</v>
      </c>
    </row>
    <row r="49" spans="1:19" x14ac:dyDescent="0.25">
      <c r="A49" t="s">
        <v>60</v>
      </c>
      <c r="N49" s="2">
        <v>14550</v>
      </c>
      <c r="O49" s="2">
        <v>14855.44</v>
      </c>
      <c r="P49" s="2">
        <v>14934.53</v>
      </c>
      <c r="Q49" s="2">
        <v>16090.69</v>
      </c>
      <c r="R49" s="2">
        <v>18000.12</v>
      </c>
      <c r="S49" s="2">
        <v>20223.77</v>
      </c>
    </row>
    <row r="50" spans="1:19" x14ac:dyDescent="0.25">
      <c r="A50" t="s">
        <v>116</v>
      </c>
      <c r="N50" s="2">
        <v>2855</v>
      </c>
      <c r="O50" s="2">
        <v>1877.64</v>
      </c>
      <c r="P50" s="2">
        <v>2301.48</v>
      </c>
      <c r="Q50" s="2">
        <v>3218.81</v>
      </c>
    </row>
    <row r="51" spans="1:19" x14ac:dyDescent="0.25">
      <c r="A51" t="s">
        <v>729</v>
      </c>
    </row>
    <row r="52" spans="1:19" x14ac:dyDescent="0.25">
      <c r="A52" t="s">
        <v>60</v>
      </c>
      <c r="I52" s="2">
        <v>5189</v>
      </c>
      <c r="J52" s="2">
        <v>6887</v>
      </c>
      <c r="K52" s="2">
        <v>6201</v>
      </c>
      <c r="L52" s="2">
        <v>4651</v>
      </c>
      <c r="M52" s="2">
        <v>7054</v>
      </c>
      <c r="N52" s="2">
        <v>10640</v>
      </c>
      <c r="O52" s="2">
        <v>12114.1</v>
      </c>
      <c r="P52" s="2">
        <v>12445.07</v>
      </c>
      <c r="Q52" s="2">
        <v>13052.53</v>
      </c>
      <c r="R52" s="2">
        <v>14189.68</v>
      </c>
      <c r="S52" s="2">
        <v>14828.42</v>
      </c>
    </row>
    <row r="53" spans="1:19" x14ac:dyDescent="0.25">
      <c r="A53" t="s">
        <v>61</v>
      </c>
      <c r="M53">
        <v>52</v>
      </c>
      <c r="N53">
        <v>30.7</v>
      </c>
      <c r="O53">
        <v>24.17</v>
      </c>
      <c r="P53">
        <v>15.29</v>
      </c>
      <c r="Q53">
        <v>12.5</v>
      </c>
      <c r="R53">
        <v>9.9</v>
      </c>
      <c r="S53">
        <v>8.3699999999999992</v>
      </c>
    </row>
    <row r="54" spans="1:19" x14ac:dyDescent="0.25">
      <c r="A54" t="s">
        <v>116</v>
      </c>
      <c r="I54" s="2">
        <v>1608</v>
      </c>
      <c r="J54" s="2">
        <v>2088</v>
      </c>
      <c r="K54" s="2">
        <v>1190</v>
      </c>
      <c r="L54">
        <v>-46</v>
      </c>
      <c r="M54">
        <v>897</v>
      </c>
      <c r="O54" s="2">
        <v>1997.53</v>
      </c>
      <c r="P54" s="2">
        <v>2126.71</v>
      </c>
      <c r="Q54" s="2">
        <v>2457.92</v>
      </c>
    </row>
    <row r="55" spans="1:19" x14ac:dyDescent="0.25">
      <c r="A55" t="s">
        <v>269</v>
      </c>
      <c r="O55">
        <v>15.52</v>
      </c>
      <c r="P55">
        <v>17.62</v>
      </c>
      <c r="Q55">
        <v>19.77</v>
      </c>
    </row>
    <row r="56" spans="1:19" x14ac:dyDescent="0.25">
      <c r="A56" t="s">
        <v>730</v>
      </c>
    </row>
    <row r="57" spans="1:19" x14ac:dyDescent="0.25">
      <c r="A57" t="s">
        <v>60</v>
      </c>
      <c r="I57" s="2">
        <v>2746</v>
      </c>
      <c r="J57" s="2">
        <v>5607</v>
      </c>
      <c r="K57" s="2">
        <v>6805</v>
      </c>
      <c r="L57" s="2">
        <v>6212</v>
      </c>
      <c r="M57" s="2">
        <v>2595</v>
      </c>
      <c r="N57" s="2">
        <v>3910</v>
      </c>
      <c r="O57" s="2">
        <v>2797.71</v>
      </c>
      <c r="P57" s="2">
        <v>2699.88</v>
      </c>
      <c r="Q57" s="2">
        <v>3015.28</v>
      </c>
      <c r="R57" s="2">
        <v>3491.57</v>
      </c>
      <c r="S57" s="2">
        <v>3989.26</v>
      </c>
    </row>
    <row r="58" spans="1:19" x14ac:dyDescent="0.25">
      <c r="A58" t="s">
        <v>61</v>
      </c>
      <c r="L58">
        <v>18</v>
      </c>
      <c r="M58">
        <v>58</v>
      </c>
      <c r="N58">
        <v>11.2</v>
      </c>
      <c r="O58">
        <v>5.39</v>
      </c>
      <c r="P58">
        <v>3.03</v>
      </c>
      <c r="Q58">
        <v>2.5499999999999998</v>
      </c>
      <c r="R58">
        <v>2.33</v>
      </c>
      <c r="S58">
        <v>1.89</v>
      </c>
    </row>
    <row r="59" spans="1:19" x14ac:dyDescent="0.25">
      <c r="A59" t="s">
        <v>116</v>
      </c>
      <c r="I59">
        <v>-138</v>
      </c>
      <c r="J59">
        <v>934</v>
      </c>
      <c r="K59">
        <v>953</v>
      </c>
      <c r="L59">
        <v>971</v>
      </c>
      <c r="M59">
        <v>290</v>
      </c>
      <c r="O59">
        <v>266.87</v>
      </c>
      <c r="P59">
        <v>290.31</v>
      </c>
      <c r="Q59">
        <v>232</v>
      </c>
    </row>
    <row r="60" spans="1:19" x14ac:dyDescent="0.25">
      <c r="A60" t="s">
        <v>269</v>
      </c>
      <c r="O60">
        <v>10.07</v>
      </c>
      <c r="P60">
        <v>11.13</v>
      </c>
      <c r="Q60">
        <v>8.14</v>
      </c>
    </row>
    <row r="61" spans="1:19" x14ac:dyDescent="0.25">
      <c r="A61" t="s">
        <v>17</v>
      </c>
    </row>
    <row r="62" spans="1:19" x14ac:dyDescent="0.25">
      <c r="A62" t="s">
        <v>731</v>
      </c>
    </row>
    <row r="63" spans="1:19" x14ac:dyDescent="0.25">
      <c r="A63" t="s">
        <v>60</v>
      </c>
      <c r="I63">
        <v>143</v>
      </c>
      <c r="J63">
        <v>246</v>
      </c>
      <c r="K63" s="2">
        <v>4552</v>
      </c>
      <c r="L63" s="2">
        <v>5321</v>
      </c>
      <c r="M63" s="2">
        <v>3557</v>
      </c>
      <c r="N63" s="2">
        <v>3454</v>
      </c>
      <c r="O63" s="2">
        <v>4105.91</v>
      </c>
      <c r="P63" s="2">
        <v>4730.2700000000004</v>
      </c>
      <c r="Q63" s="2">
        <v>5085.01</v>
      </c>
      <c r="R63" s="2">
        <v>6000.65</v>
      </c>
      <c r="S63" s="2">
        <v>6445.58</v>
      </c>
    </row>
    <row r="64" spans="1:19" x14ac:dyDescent="0.25">
      <c r="A64" t="s">
        <v>61</v>
      </c>
      <c r="M64">
        <v>33</v>
      </c>
      <c r="N64">
        <v>9.9</v>
      </c>
      <c r="O64">
        <v>7.97</v>
      </c>
      <c r="P64">
        <v>5.3</v>
      </c>
      <c r="Q64">
        <v>4.04</v>
      </c>
      <c r="R64">
        <v>4.09</v>
      </c>
      <c r="S64">
        <v>3.23</v>
      </c>
    </row>
    <row r="65" spans="1:19" x14ac:dyDescent="0.25">
      <c r="A65" t="s">
        <v>116</v>
      </c>
      <c r="I65">
        <v>-11</v>
      </c>
      <c r="J65">
        <v>44</v>
      </c>
      <c r="K65" s="2">
        <v>2252</v>
      </c>
      <c r="L65" s="2">
        <v>2628</v>
      </c>
      <c r="M65" s="2">
        <v>1421</v>
      </c>
      <c r="N65" s="2">
        <v>1243</v>
      </c>
      <c r="O65" s="2">
        <v>1475.83</v>
      </c>
      <c r="P65" s="2">
        <v>1943.68</v>
      </c>
      <c r="Q65" s="2">
        <v>1967.66</v>
      </c>
    </row>
    <row r="66" spans="1:19" x14ac:dyDescent="0.25">
      <c r="A66" t="s">
        <v>269</v>
      </c>
      <c r="N66">
        <v>35.9</v>
      </c>
      <c r="O66">
        <v>36.22</v>
      </c>
      <c r="P66">
        <v>43.32</v>
      </c>
      <c r="Q66">
        <v>40.65</v>
      </c>
    </row>
    <row r="67" spans="1:19" x14ac:dyDescent="0.25">
      <c r="A67" t="s">
        <v>17</v>
      </c>
    </row>
    <row r="68" spans="1:19" x14ac:dyDescent="0.25">
      <c r="A68" t="s">
        <v>273</v>
      </c>
    </row>
    <row r="69" spans="1:19" x14ac:dyDescent="0.25">
      <c r="A69" t="s">
        <v>116</v>
      </c>
      <c r="B69">
        <v>-91</v>
      </c>
      <c r="C69">
        <v>-478</v>
      </c>
      <c r="D69">
        <v>-194</v>
      </c>
      <c r="E69">
        <v>-417</v>
      </c>
      <c r="F69">
        <v>-97</v>
      </c>
      <c r="G69">
        <v>-182</v>
      </c>
      <c r="H69">
        <v>-209</v>
      </c>
      <c r="I69">
        <v>-288</v>
      </c>
      <c r="J69">
        <v>-409</v>
      </c>
      <c r="K69" s="2">
        <v>-4979</v>
      </c>
      <c r="L69" s="2">
        <v>-4419</v>
      </c>
      <c r="M69" s="2">
        <v>-4190</v>
      </c>
      <c r="N69" s="2">
        <v>-4007</v>
      </c>
      <c r="O69" s="2">
        <v>-3526.98</v>
      </c>
      <c r="P69" s="2">
        <v>-4231.04</v>
      </c>
      <c r="Q69" s="2">
        <v>-4164.42</v>
      </c>
    </row>
    <row r="70" spans="1:19" x14ac:dyDescent="0.25">
      <c r="A70" t="s">
        <v>17</v>
      </c>
    </row>
    <row r="71" spans="1:19" x14ac:dyDescent="0.25">
      <c r="A71" t="s">
        <v>720</v>
      </c>
      <c r="O71" s="2">
        <v>14874.93</v>
      </c>
      <c r="P71" s="2">
        <v>39362.85</v>
      </c>
      <c r="Q71" s="2">
        <v>60959.040000000001</v>
      </c>
      <c r="R71" s="2">
        <v>91728.72</v>
      </c>
      <c r="S71" s="2">
        <v>134396.10999999999</v>
      </c>
    </row>
    <row r="72" spans="1:19" x14ac:dyDescent="0.25">
      <c r="A72" t="s">
        <v>17</v>
      </c>
    </row>
    <row r="73" spans="1:19" x14ac:dyDescent="0.25">
      <c r="A73" t="s">
        <v>732</v>
      </c>
      <c r="O73" s="2">
        <v>15732.33</v>
      </c>
      <c r="P73" s="2">
        <v>26268.65</v>
      </c>
      <c r="Q73" s="2">
        <v>34358.720000000001</v>
      </c>
      <c r="S73" s="2">
        <v>110000</v>
      </c>
    </row>
    <row r="74" spans="1:19" x14ac:dyDescent="0.25">
      <c r="A74" t="s">
        <v>17</v>
      </c>
    </row>
    <row r="75" spans="1:19" x14ac:dyDescent="0.25">
      <c r="A75" t="s">
        <v>51</v>
      </c>
    </row>
    <row r="76" spans="1:19" x14ac:dyDescent="0.25">
      <c r="A76" t="s">
        <v>733</v>
      </c>
    </row>
    <row r="77" spans="1:19" x14ac:dyDescent="0.25">
      <c r="A77" t="s">
        <v>60</v>
      </c>
      <c r="B77" s="2">
        <v>3720</v>
      </c>
      <c r="C77" s="2">
        <v>3132</v>
      </c>
      <c r="D77" s="2">
        <v>1805</v>
      </c>
      <c r="E77" s="2">
        <v>1988</v>
      </c>
      <c r="F77" s="2">
        <v>2977</v>
      </c>
      <c r="G77" s="2">
        <v>4125</v>
      </c>
      <c r="H77" s="2">
        <v>4709</v>
      </c>
      <c r="I77" s="2">
        <v>6432</v>
      </c>
      <c r="J77" s="2">
        <v>9332</v>
      </c>
      <c r="O77" s="2">
        <v>22340.12</v>
      </c>
      <c r="P77" s="2">
        <v>40470.959999999999</v>
      </c>
      <c r="Q77" s="2">
        <v>41569.85</v>
      </c>
      <c r="R77" s="2">
        <v>82193.89</v>
      </c>
      <c r="S77" s="2">
        <v>96415.97</v>
      </c>
    </row>
    <row r="78" spans="1:19" x14ac:dyDescent="0.25">
      <c r="A78" t="s">
        <v>116</v>
      </c>
      <c r="B78">
        <v>-101</v>
      </c>
      <c r="C78">
        <v>-76</v>
      </c>
      <c r="D78">
        <v>-502</v>
      </c>
      <c r="E78">
        <v>-243</v>
      </c>
      <c r="F78">
        <v>92</v>
      </c>
      <c r="G78">
        <v>470</v>
      </c>
      <c r="H78">
        <v>577</v>
      </c>
      <c r="I78" s="2">
        <v>1266</v>
      </c>
      <c r="J78" s="2">
        <v>2090</v>
      </c>
      <c r="O78" s="2">
        <v>2328</v>
      </c>
      <c r="P78" s="2">
        <v>2328</v>
      </c>
    </row>
    <row r="79" spans="1:19" x14ac:dyDescent="0.25">
      <c r="A79" t="s">
        <v>734</v>
      </c>
    </row>
    <row r="80" spans="1:19" x14ac:dyDescent="0.25">
      <c r="A80" t="s">
        <v>60</v>
      </c>
      <c r="B80" s="2">
        <v>1577</v>
      </c>
      <c r="C80" s="2">
        <v>2374</v>
      </c>
      <c r="D80" s="2">
        <v>2186</v>
      </c>
      <c r="E80" s="2">
        <v>2331</v>
      </c>
      <c r="F80" s="2">
        <v>2276</v>
      </c>
      <c r="G80" s="2">
        <v>2350</v>
      </c>
      <c r="H80" s="2">
        <v>2022</v>
      </c>
      <c r="I80" s="2">
        <v>3331</v>
      </c>
      <c r="J80" s="2">
        <v>7102</v>
      </c>
      <c r="O80" s="2">
        <v>18590.599999999999</v>
      </c>
      <c r="P80" s="2">
        <v>24936.93</v>
      </c>
      <c r="Q80" s="2">
        <v>33587.160000000003</v>
      </c>
      <c r="R80" s="2">
        <v>41766.519999999997</v>
      </c>
      <c r="S80" s="2">
        <v>56578.98</v>
      </c>
    </row>
    <row r="81" spans="1:19" x14ac:dyDescent="0.25">
      <c r="A81" t="s">
        <v>116</v>
      </c>
      <c r="B81">
        <v>295</v>
      </c>
      <c r="C81">
        <v>399</v>
      </c>
      <c r="D81">
        <v>215</v>
      </c>
      <c r="E81">
        <v>287</v>
      </c>
      <c r="F81">
        <v>132</v>
      </c>
      <c r="G81">
        <v>163</v>
      </c>
      <c r="H81">
        <v>263</v>
      </c>
      <c r="I81">
        <v>391</v>
      </c>
      <c r="J81" s="2">
        <v>1979</v>
      </c>
      <c r="O81" s="2">
        <v>2583</v>
      </c>
      <c r="P81" s="2">
        <v>2583</v>
      </c>
    </row>
    <row r="82" spans="1:19" x14ac:dyDescent="0.25">
      <c r="A82" t="s">
        <v>17</v>
      </c>
    </row>
    <row r="83" spans="1:19" x14ac:dyDescent="0.25">
      <c r="A83" t="s">
        <v>72</v>
      </c>
    </row>
    <row r="84" spans="1:19" x14ac:dyDescent="0.25">
      <c r="A84" t="s">
        <v>16</v>
      </c>
    </row>
    <row r="85" spans="1:19" x14ac:dyDescent="0.25">
      <c r="A85" t="s">
        <v>73</v>
      </c>
      <c r="B85">
        <v>801</v>
      </c>
      <c r="C85" s="2">
        <v>1030</v>
      </c>
      <c r="D85">
        <v>984</v>
      </c>
      <c r="E85">
        <v>922</v>
      </c>
      <c r="F85" s="2">
        <v>1360</v>
      </c>
      <c r="G85" s="2">
        <v>1327</v>
      </c>
      <c r="H85" s="2">
        <v>1764</v>
      </c>
      <c r="I85" s="2">
        <v>2294</v>
      </c>
      <c r="J85" s="2">
        <v>4656</v>
      </c>
      <c r="K85" s="2">
        <v>8049</v>
      </c>
      <c r="L85" s="2">
        <v>7837</v>
      </c>
      <c r="M85" s="2">
        <v>8693</v>
      </c>
      <c r="N85" s="2">
        <v>11363</v>
      </c>
    </row>
    <row r="86" spans="1:19" x14ac:dyDescent="0.25">
      <c r="A86" t="s">
        <v>586</v>
      </c>
      <c r="B86">
        <v>710</v>
      </c>
      <c r="C86" s="2">
        <v>1324</v>
      </c>
      <c r="D86" s="2">
        <v>1254</v>
      </c>
      <c r="E86" s="2">
        <v>1456</v>
      </c>
      <c r="F86" s="2">
        <v>1215</v>
      </c>
      <c r="G86" s="2">
        <v>1225</v>
      </c>
      <c r="H86">
        <v>840</v>
      </c>
      <c r="I86" s="2">
        <v>1033</v>
      </c>
      <c r="J86" s="2">
        <v>2381</v>
      </c>
      <c r="K86" s="2">
        <v>4177</v>
      </c>
      <c r="L86" s="2">
        <v>4629</v>
      </c>
      <c r="M86" s="2">
        <v>1767</v>
      </c>
    </row>
    <row r="87" spans="1:19" x14ac:dyDescent="0.25">
      <c r="A87" t="s">
        <v>585</v>
      </c>
      <c r="B87" s="2">
        <v>2519</v>
      </c>
      <c r="C87" s="2">
        <v>2324</v>
      </c>
      <c r="D87" s="2">
        <v>1145</v>
      </c>
      <c r="E87" s="2">
        <v>1153</v>
      </c>
      <c r="F87" s="2">
        <v>1712</v>
      </c>
      <c r="G87" s="2">
        <v>1319</v>
      </c>
      <c r="H87" s="2">
        <v>1736</v>
      </c>
      <c r="I87" s="2">
        <v>2329</v>
      </c>
      <c r="J87" s="2">
        <v>4096</v>
      </c>
      <c r="K87" s="2">
        <v>5207</v>
      </c>
      <c r="L87" s="2">
        <v>3417</v>
      </c>
      <c r="M87" s="2">
        <v>6231</v>
      </c>
      <c r="N87" s="2">
        <v>7751</v>
      </c>
    </row>
    <row r="88" spans="1:19" x14ac:dyDescent="0.25">
      <c r="A88" t="s">
        <v>735</v>
      </c>
      <c r="B88">
        <v>610</v>
      </c>
      <c r="C88">
        <v>371</v>
      </c>
      <c r="D88">
        <v>356</v>
      </c>
      <c r="E88">
        <v>569</v>
      </c>
      <c r="F88">
        <v>550</v>
      </c>
      <c r="G88">
        <v>728</v>
      </c>
      <c r="H88">
        <v>597</v>
      </c>
      <c r="I88" s="2">
        <v>1096</v>
      </c>
      <c r="J88" s="2">
        <v>1389</v>
      </c>
      <c r="K88" s="2">
        <v>1380</v>
      </c>
      <c r="L88" s="2">
        <v>2231</v>
      </c>
      <c r="M88" s="2">
        <v>3614</v>
      </c>
      <c r="N88" s="2">
        <v>4284</v>
      </c>
    </row>
    <row r="89" spans="1:19" x14ac:dyDescent="0.25">
      <c r="A89" t="s">
        <v>584</v>
      </c>
      <c r="B89">
        <v>460</v>
      </c>
      <c r="C89">
        <v>325</v>
      </c>
      <c r="D89">
        <v>168</v>
      </c>
      <c r="E89">
        <v>154</v>
      </c>
      <c r="F89">
        <v>263</v>
      </c>
      <c r="G89">
        <v>470</v>
      </c>
      <c r="H89">
        <v>762</v>
      </c>
      <c r="I89" s="2">
        <v>1108</v>
      </c>
      <c r="J89" s="2">
        <v>1249</v>
      </c>
      <c r="K89" s="2">
        <v>1773</v>
      </c>
      <c r="L89" s="2">
        <v>2030</v>
      </c>
      <c r="M89" s="2">
        <v>1625</v>
      </c>
    </row>
    <row r="90" spans="1:19" x14ac:dyDescent="0.25">
      <c r="A90" t="s">
        <v>736</v>
      </c>
      <c r="G90" s="2">
        <v>1197</v>
      </c>
      <c r="H90">
        <v>719</v>
      </c>
      <c r="I90" s="2">
        <v>1187</v>
      </c>
      <c r="J90" s="2">
        <v>2091</v>
      </c>
      <c r="K90" s="2">
        <v>2369</v>
      </c>
      <c r="L90" s="2">
        <v>1841</v>
      </c>
      <c r="M90" s="2">
        <v>3301</v>
      </c>
      <c r="N90" s="2">
        <v>5186</v>
      </c>
    </row>
    <row r="91" spans="1:19" x14ac:dyDescent="0.25">
      <c r="A91" t="s">
        <v>737</v>
      </c>
      <c r="B91">
        <v>199</v>
      </c>
      <c r="C91">
        <v>132</v>
      </c>
      <c r="D91">
        <v>84</v>
      </c>
      <c r="E91">
        <v>65</v>
      </c>
      <c r="F91">
        <v>153</v>
      </c>
      <c r="G91">
        <v>209</v>
      </c>
      <c r="H91">
        <v>313</v>
      </c>
      <c r="I91">
        <v>716</v>
      </c>
      <c r="J91">
        <v>572</v>
      </c>
      <c r="K91">
        <v>646</v>
      </c>
      <c r="L91">
        <v>695</v>
      </c>
      <c r="M91">
        <v>554</v>
      </c>
      <c r="N91" s="2">
        <v>6055</v>
      </c>
    </row>
    <row r="92" spans="1:19" x14ac:dyDescent="0.25">
      <c r="A92" t="s">
        <v>17</v>
      </c>
    </row>
    <row r="93" spans="1:19" x14ac:dyDescent="0.25">
      <c r="A93" t="s">
        <v>274</v>
      </c>
    </row>
    <row r="94" spans="1:19" x14ac:dyDescent="0.25">
      <c r="A94" t="s">
        <v>80</v>
      </c>
      <c r="B94" s="2">
        <v>5299</v>
      </c>
      <c r="C94" s="2">
        <v>5506</v>
      </c>
      <c r="D94" s="2">
        <v>3991</v>
      </c>
      <c r="E94" s="2">
        <v>4272</v>
      </c>
      <c r="F94" s="2">
        <v>5329</v>
      </c>
      <c r="G94" s="2">
        <v>6480</v>
      </c>
      <c r="H94" s="2">
        <v>6731</v>
      </c>
      <c r="I94" s="2">
        <v>9763</v>
      </c>
      <c r="J94" s="2">
        <v>16434</v>
      </c>
      <c r="K94" s="2">
        <v>23601</v>
      </c>
      <c r="L94" s="2">
        <v>22680</v>
      </c>
      <c r="M94" s="2">
        <v>25785</v>
      </c>
      <c r="N94" s="2">
        <v>34639</v>
      </c>
      <c r="O94" s="2">
        <v>51101.02</v>
      </c>
      <c r="P94" s="2">
        <v>88234.240000000005</v>
      </c>
      <c r="Q94" s="2">
        <v>121978.61</v>
      </c>
      <c r="R94" s="2">
        <v>156076</v>
      </c>
      <c r="S94" s="2">
        <v>218565.14</v>
      </c>
    </row>
    <row r="95" spans="1:19" x14ac:dyDescent="0.25">
      <c r="A95" t="s">
        <v>17</v>
      </c>
    </row>
    <row r="96" spans="1:19" x14ac:dyDescent="0.25">
      <c r="A96" t="s">
        <v>82</v>
      </c>
      <c r="B96" s="2">
        <v>3321</v>
      </c>
      <c r="C96" s="2">
        <v>3667</v>
      </c>
      <c r="D96" s="2">
        <v>2911</v>
      </c>
      <c r="E96" s="2">
        <v>3316</v>
      </c>
      <c r="F96" s="2">
        <v>3466</v>
      </c>
      <c r="G96" s="2">
        <v>4028</v>
      </c>
      <c r="H96" s="2">
        <v>3863</v>
      </c>
      <c r="I96" s="2">
        <v>5416</v>
      </c>
      <c r="J96" s="2">
        <v>8505</v>
      </c>
      <c r="K96" s="2">
        <v>11550</v>
      </c>
      <c r="L96" s="2">
        <v>11278</v>
      </c>
      <c r="M96" s="2">
        <v>12114</v>
      </c>
      <c r="N96" s="2">
        <v>16456</v>
      </c>
      <c r="O96" s="2">
        <v>22853</v>
      </c>
      <c r="P96" s="2">
        <v>39647.160000000003</v>
      </c>
      <c r="Q96" s="2">
        <v>55830.92</v>
      </c>
      <c r="R96" s="2">
        <v>68286.11</v>
      </c>
      <c r="S96" s="2">
        <v>92600.22</v>
      </c>
    </row>
    <row r="97" spans="1:19" x14ac:dyDescent="0.25">
      <c r="A97" t="s">
        <v>83</v>
      </c>
      <c r="B97">
        <v>62.67</v>
      </c>
      <c r="C97">
        <v>66.599999999999994</v>
      </c>
      <c r="D97">
        <v>72.94</v>
      </c>
      <c r="E97">
        <v>76.78</v>
      </c>
      <c r="F97">
        <v>65.98</v>
      </c>
      <c r="G97">
        <v>62.21</v>
      </c>
      <c r="H97">
        <v>57.39</v>
      </c>
      <c r="I97">
        <v>55.47</v>
      </c>
      <c r="J97">
        <v>51.75</v>
      </c>
      <c r="K97">
        <v>55.07</v>
      </c>
      <c r="L97">
        <v>53.88</v>
      </c>
      <c r="M97">
        <v>50.65</v>
      </c>
      <c r="N97">
        <v>50.48</v>
      </c>
    </row>
    <row r="98" spans="1:19" x14ac:dyDescent="0.25">
      <c r="A98" t="s">
        <v>17</v>
      </c>
    </row>
    <row r="99" spans="1:19" x14ac:dyDescent="0.25">
      <c r="A99" t="s">
        <v>84</v>
      </c>
      <c r="B99" s="2">
        <v>1978</v>
      </c>
      <c r="C99" s="2">
        <v>1897</v>
      </c>
      <c r="D99" s="2">
        <v>1116</v>
      </c>
      <c r="E99" s="2">
        <v>1345</v>
      </c>
      <c r="F99" s="2">
        <v>1789</v>
      </c>
      <c r="G99" s="2">
        <v>2496</v>
      </c>
      <c r="H99" s="2">
        <v>2874</v>
      </c>
      <c r="I99" s="2">
        <v>4353</v>
      </c>
      <c r="J99" s="2">
        <v>7934</v>
      </c>
      <c r="K99" s="2">
        <v>12273</v>
      </c>
      <c r="L99" s="2">
        <v>11436</v>
      </c>
      <c r="M99" s="2">
        <v>13759</v>
      </c>
      <c r="N99" s="2">
        <v>18165</v>
      </c>
      <c r="O99" s="2">
        <v>28510.27</v>
      </c>
      <c r="P99" s="2">
        <v>48735.34</v>
      </c>
      <c r="Q99" s="2">
        <v>67465.98</v>
      </c>
      <c r="R99" s="2">
        <v>89010.07</v>
      </c>
      <c r="S99" s="2">
        <v>127145.3</v>
      </c>
    </row>
    <row r="100" spans="1:19" x14ac:dyDescent="0.25">
      <c r="A100" t="s">
        <v>85</v>
      </c>
      <c r="B100">
        <v>37.33</v>
      </c>
      <c r="C100">
        <v>33</v>
      </c>
      <c r="D100">
        <v>28</v>
      </c>
      <c r="E100">
        <v>31</v>
      </c>
      <c r="F100">
        <v>34</v>
      </c>
      <c r="G100">
        <v>39</v>
      </c>
      <c r="H100">
        <v>43</v>
      </c>
      <c r="I100">
        <v>45</v>
      </c>
      <c r="J100">
        <v>48</v>
      </c>
      <c r="K100">
        <v>52</v>
      </c>
      <c r="L100">
        <v>50</v>
      </c>
      <c r="M100">
        <v>53</v>
      </c>
      <c r="N100">
        <v>52</v>
      </c>
      <c r="O100">
        <v>55.8</v>
      </c>
      <c r="P100">
        <v>55.48</v>
      </c>
      <c r="Q100">
        <v>55.42</v>
      </c>
      <c r="R100">
        <v>56.76</v>
      </c>
      <c r="S100">
        <v>57.2</v>
      </c>
    </row>
    <row r="101" spans="1:19" x14ac:dyDescent="0.25">
      <c r="A101" t="s">
        <v>17</v>
      </c>
    </row>
    <row r="102" spans="1:19" x14ac:dyDescent="0.25">
      <c r="A102" t="s">
        <v>275</v>
      </c>
      <c r="B102" s="2">
        <v>1875</v>
      </c>
      <c r="C102" s="2">
        <v>1662</v>
      </c>
      <c r="D102" s="2">
        <v>1369</v>
      </c>
      <c r="E102" s="2">
        <v>1390</v>
      </c>
      <c r="F102" s="2">
        <v>1617</v>
      </c>
      <c r="G102" s="2">
        <v>1863</v>
      </c>
      <c r="H102" s="2">
        <v>2094</v>
      </c>
      <c r="I102" s="2">
        <v>2696</v>
      </c>
      <c r="J102" s="2">
        <v>3877</v>
      </c>
      <c r="K102" s="2">
        <v>6030</v>
      </c>
      <c r="L102" s="2">
        <v>6616</v>
      </c>
      <c r="M102" s="2">
        <v>7669</v>
      </c>
      <c r="N102" s="2">
        <v>10397</v>
      </c>
      <c r="O102" s="2">
        <v>14298.2</v>
      </c>
      <c r="P102" s="2">
        <v>18855.97</v>
      </c>
      <c r="Q102" s="2">
        <v>23649.439999999999</v>
      </c>
      <c r="R102" s="2">
        <v>27416.240000000002</v>
      </c>
      <c r="S102" s="2">
        <v>37671.89</v>
      </c>
    </row>
    <row r="103" spans="1:19" x14ac:dyDescent="0.25">
      <c r="A103" t="s">
        <v>17</v>
      </c>
    </row>
    <row r="104" spans="1:19" x14ac:dyDescent="0.25">
      <c r="A104" t="s">
        <v>91</v>
      </c>
      <c r="B104">
        <v>103</v>
      </c>
      <c r="C104">
        <v>235</v>
      </c>
      <c r="D104">
        <v>-253</v>
      </c>
      <c r="E104">
        <v>44</v>
      </c>
      <c r="F104">
        <v>301</v>
      </c>
      <c r="G104">
        <v>633</v>
      </c>
      <c r="H104">
        <v>840</v>
      </c>
      <c r="I104" s="2">
        <v>1657</v>
      </c>
      <c r="J104" s="2">
        <v>4069</v>
      </c>
      <c r="K104" s="2">
        <v>6345</v>
      </c>
      <c r="L104" s="2">
        <v>4854</v>
      </c>
      <c r="M104" s="2">
        <v>6138</v>
      </c>
      <c r="N104" s="2">
        <v>7768</v>
      </c>
      <c r="O104" s="2">
        <v>14238.39</v>
      </c>
      <c r="P104" s="2">
        <v>29657.96</v>
      </c>
      <c r="Q104" s="2">
        <v>44150.55</v>
      </c>
      <c r="R104" s="2">
        <v>63196</v>
      </c>
      <c r="S104" s="2">
        <v>94767.2</v>
      </c>
    </row>
    <row r="105" spans="1:19" x14ac:dyDescent="0.25">
      <c r="A105" t="s">
        <v>92</v>
      </c>
      <c r="B105">
        <v>1.94</v>
      </c>
      <c r="C105">
        <v>4.2699999999999996</v>
      </c>
      <c r="D105">
        <v>-6.34</v>
      </c>
      <c r="E105">
        <v>1</v>
      </c>
      <c r="F105">
        <v>4.26</v>
      </c>
      <c r="G105">
        <v>9.7799999999999994</v>
      </c>
      <c r="H105">
        <v>12.48</v>
      </c>
      <c r="I105">
        <v>16.97</v>
      </c>
      <c r="J105">
        <v>24.76</v>
      </c>
      <c r="K105">
        <v>26.88</v>
      </c>
      <c r="L105">
        <v>21.4</v>
      </c>
      <c r="M105">
        <v>23.8</v>
      </c>
      <c r="N105">
        <v>22.43</v>
      </c>
      <c r="O105">
        <v>27.89</v>
      </c>
      <c r="P105">
        <v>33.840000000000003</v>
      </c>
      <c r="Q105">
        <v>36.04</v>
      </c>
      <c r="R105">
        <v>39.43</v>
      </c>
      <c r="S105">
        <v>40.380000000000003</v>
      </c>
    </row>
    <row r="106" spans="1:19" x14ac:dyDescent="0.25">
      <c r="A106" t="s">
        <v>17</v>
      </c>
    </row>
    <row r="107" spans="1:19" x14ac:dyDescent="0.25">
      <c r="A107" t="s">
        <v>93</v>
      </c>
      <c r="B107">
        <v>236</v>
      </c>
      <c r="C107">
        <v>203</v>
      </c>
      <c r="D107">
        <v>167</v>
      </c>
      <c r="E107">
        <v>133</v>
      </c>
      <c r="F107">
        <v>144</v>
      </c>
      <c r="G107">
        <v>170</v>
      </c>
      <c r="H107">
        <v>222</v>
      </c>
      <c r="I107">
        <v>312</v>
      </c>
      <c r="J107">
        <v>407</v>
      </c>
      <c r="K107" s="2">
        <v>4174</v>
      </c>
      <c r="L107" s="2">
        <v>3453</v>
      </c>
      <c r="M107" s="2">
        <v>3064</v>
      </c>
      <c r="N107" s="2">
        <v>3004</v>
      </c>
      <c r="O107" s="2">
        <v>2774.65</v>
      </c>
      <c r="P107" s="2">
        <v>2873.21</v>
      </c>
      <c r="Q107" s="2">
        <v>2950.67</v>
      </c>
      <c r="R107" s="2">
        <v>4012</v>
      </c>
      <c r="S107" s="2">
        <v>4746</v>
      </c>
    </row>
    <row r="108" spans="1:19" x14ac:dyDescent="0.25">
      <c r="A108" t="s">
        <v>94</v>
      </c>
      <c r="B108">
        <v>139</v>
      </c>
      <c r="C108">
        <v>115</v>
      </c>
      <c r="D108">
        <v>94</v>
      </c>
      <c r="E108">
        <v>71</v>
      </c>
      <c r="F108">
        <v>77</v>
      </c>
      <c r="G108">
        <v>94</v>
      </c>
      <c r="H108">
        <v>142</v>
      </c>
      <c r="I108">
        <v>217</v>
      </c>
      <c r="J108">
        <v>296</v>
      </c>
      <c r="K108">
        <v>439</v>
      </c>
      <c r="L108">
        <v>441</v>
      </c>
      <c r="M108">
        <v>784</v>
      </c>
      <c r="N108">
        <v>750</v>
      </c>
      <c r="O108">
        <v>899.73</v>
      </c>
      <c r="P108" s="2">
        <v>1153.8</v>
      </c>
      <c r="Q108" s="2">
        <v>1358.01</v>
      </c>
      <c r="R108" s="2">
        <v>1845.8</v>
      </c>
      <c r="S108" s="2">
        <v>1250</v>
      </c>
    </row>
    <row r="109" spans="1:19" x14ac:dyDescent="0.25">
      <c r="A109" t="s">
        <v>61</v>
      </c>
      <c r="B109">
        <v>2.62</v>
      </c>
      <c r="C109">
        <v>2.09</v>
      </c>
      <c r="D109">
        <v>2.36</v>
      </c>
      <c r="E109">
        <v>1.64</v>
      </c>
      <c r="F109">
        <v>1.47</v>
      </c>
      <c r="G109">
        <v>1.45</v>
      </c>
      <c r="H109">
        <v>2.11</v>
      </c>
      <c r="I109">
        <v>2.2200000000000002</v>
      </c>
      <c r="J109">
        <v>1.8</v>
      </c>
      <c r="K109">
        <v>1.86</v>
      </c>
      <c r="L109">
        <v>1.94</v>
      </c>
      <c r="M109">
        <v>3.04</v>
      </c>
      <c r="N109">
        <v>2.17</v>
      </c>
      <c r="O109">
        <v>1.85</v>
      </c>
      <c r="P109">
        <v>1.5</v>
      </c>
      <c r="Q109">
        <v>2</v>
      </c>
      <c r="R109">
        <v>2</v>
      </c>
    </row>
    <row r="110" spans="1:19" x14ac:dyDescent="0.25">
      <c r="A110" t="s">
        <v>127</v>
      </c>
      <c r="B110">
        <v>18</v>
      </c>
      <c r="C110">
        <v>14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2">
        <v>3548</v>
      </c>
      <c r="L110" s="2">
        <v>2811</v>
      </c>
      <c r="M110" s="2">
        <v>2393</v>
      </c>
      <c r="N110" s="2">
        <v>2254</v>
      </c>
      <c r="O110" s="2">
        <v>2021.73</v>
      </c>
      <c r="P110" s="2">
        <v>2155.3000000000002</v>
      </c>
      <c r="Q110" s="2">
        <v>2152.5</v>
      </c>
      <c r="R110" s="2">
        <v>1917.5</v>
      </c>
      <c r="S110" s="2">
        <v>1917.5</v>
      </c>
    </row>
    <row r="111" spans="1:19" x14ac:dyDescent="0.25">
      <c r="A111" t="s">
        <v>402</v>
      </c>
      <c r="I111">
        <v>0</v>
      </c>
      <c r="J111">
        <v>0</v>
      </c>
      <c r="K111" s="2">
        <v>1448</v>
      </c>
      <c r="L111">
        <v>942</v>
      </c>
      <c r="M111">
        <v>946</v>
      </c>
      <c r="N111" s="2">
        <v>1031</v>
      </c>
      <c r="O111" s="2">
        <v>1071.9100000000001</v>
      </c>
      <c r="P111" s="2">
        <v>1097.07</v>
      </c>
      <c r="Q111" s="2">
        <v>1133.82</v>
      </c>
      <c r="R111" s="2">
        <v>1040</v>
      </c>
      <c r="S111" s="2">
        <v>1040</v>
      </c>
    </row>
    <row r="112" spans="1:19" x14ac:dyDescent="0.25">
      <c r="A112" t="s">
        <v>17</v>
      </c>
    </row>
    <row r="113" spans="1:19" x14ac:dyDescent="0.25">
      <c r="A113" t="s">
        <v>277</v>
      </c>
      <c r="B113">
        <v>339</v>
      </c>
      <c r="C113">
        <v>505</v>
      </c>
      <c r="D113">
        <v>-89</v>
      </c>
      <c r="E113">
        <v>177</v>
      </c>
      <c r="F113">
        <v>445</v>
      </c>
      <c r="G113">
        <v>803</v>
      </c>
      <c r="H113" s="2">
        <v>1062</v>
      </c>
      <c r="I113" s="2">
        <v>1969</v>
      </c>
      <c r="J113" s="2">
        <v>4476</v>
      </c>
      <c r="K113" s="2">
        <v>6971</v>
      </c>
      <c r="L113" s="2">
        <v>5496</v>
      </c>
      <c r="M113" s="2">
        <v>6824</v>
      </c>
      <c r="N113" s="2">
        <v>8521</v>
      </c>
      <c r="O113" s="2">
        <v>14586.95</v>
      </c>
      <c r="P113" s="2">
        <v>30033.26</v>
      </c>
      <c r="Q113" s="2">
        <v>45106.09</v>
      </c>
      <c r="R113" s="2">
        <v>53270.67</v>
      </c>
      <c r="S113" s="2">
        <v>67826</v>
      </c>
    </row>
    <row r="114" spans="1:19" x14ac:dyDescent="0.25">
      <c r="A114" t="s">
        <v>17</v>
      </c>
    </row>
    <row r="115" spans="1:19" x14ac:dyDescent="0.25">
      <c r="A115" t="s">
        <v>100</v>
      </c>
      <c r="B115">
        <v>-74</v>
      </c>
      <c r="C115">
        <v>-384</v>
      </c>
      <c r="D115">
        <v>-421</v>
      </c>
      <c r="E115">
        <v>-68</v>
      </c>
      <c r="F115">
        <v>197</v>
      </c>
      <c r="G115">
        <v>512</v>
      </c>
      <c r="H115">
        <v>789</v>
      </c>
      <c r="I115" s="2">
        <v>1618</v>
      </c>
      <c r="J115" s="2">
        <v>4084</v>
      </c>
      <c r="K115" s="2">
        <v>6327</v>
      </c>
      <c r="L115" s="2">
        <v>4944</v>
      </c>
      <c r="M115" s="2">
        <v>6227</v>
      </c>
      <c r="N115" s="2">
        <v>7849</v>
      </c>
      <c r="O115" s="2">
        <v>14537.64</v>
      </c>
      <c r="P115" s="2">
        <v>30071.86</v>
      </c>
      <c r="Q115" s="2">
        <v>43289.04</v>
      </c>
      <c r="R115" s="2">
        <v>60604.6</v>
      </c>
      <c r="S115" s="2">
        <v>86539.6</v>
      </c>
    </row>
    <row r="116" spans="1:19" x14ac:dyDescent="0.25">
      <c r="A116" t="s">
        <v>17</v>
      </c>
    </row>
    <row r="117" spans="1:19" x14ac:dyDescent="0.25">
      <c r="A117" t="s">
        <v>738</v>
      </c>
      <c r="I117">
        <v>43</v>
      </c>
      <c r="J117">
        <v>-93</v>
      </c>
      <c r="K117">
        <v>-945</v>
      </c>
      <c r="L117">
        <v>-988</v>
      </c>
      <c r="M117">
        <v>-429</v>
      </c>
      <c r="N117">
        <v>-271</v>
      </c>
      <c r="O117">
        <v>-575.63</v>
      </c>
      <c r="P117" s="2">
        <v>-1109.42</v>
      </c>
      <c r="Q117">
        <v>-617.53</v>
      </c>
    </row>
    <row r="118" spans="1:19" x14ac:dyDescent="0.25">
      <c r="A118" t="s">
        <v>739</v>
      </c>
      <c r="B118">
        <v>0</v>
      </c>
      <c r="C118">
        <v>0</v>
      </c>
      <c r="D118">
        <v>0</v>
      </c>
      <c r="E118">
        <v>10</v>
      </c>
      <c r="F118">
        <v>7</v>
      </c>
      <c r="G118">
        <v>2</v>
      </c>
      <c r="H118">
        <v>0</v>
      </c>
      <c r="I118">
        <v>-5</v>
      </c>
      <c r="J118">
        <v>-6</v>
      </c>
      <c r="K118">
        <v>-14</v>
      </c>
      <c r="L118">
        <v>-16</v>
      </c>
      <c r="M118">
        <v>-33</v>
      </c>
      <c r="N118">
        <v>-26</v>
      </c>
      <c r="O118">
        <v>-17.89</v>
      </c>
      <c r="P118">
        <v>-14.59</v>
      </c>
      <c r="Q118">
        <v>-15.5</v>
      </c>
      <c r="R118">
        <v>-12</v>
      </c>
      <c r="S118">
        <v>0</v>
      </c>
    </row>
    <row r="119" spans="1:19" x14ac:dyDescent="0.25">
      <c r="A119" t="s">
        <v>17</v>
      </c>
    </row>
    <row r="120" spans="1:19" x14ac:dyDescent="0.25">
      <c r="A120" t="s">
        <v>106</v>
      </c>
      <c r="B120">
        <v>-83</v>
      </c>
      <c r="C120">
        <v>51</v>
      </c>
      <c r="D120">
        <v>-419</v>
      </c>
      <c r="E120">
        <v>-117</v>
      </c>
      <c r="F120">
        <v>179</v>
      </c>
      <c r="G120">
        <v>514</v>
      </c>
      <c r="H120">
        <v>756</v>
      </c>
      <c r="I120" s="2">
        <v>1575</v>
      </c>
      <c r="J120" s="2">
        <v>3435</v>
      </c>
      <c r="K120" s="2">
        <v>5504</v>
      </c>
      <c r="L120" s="2">
        <v>4302</v>
      </c>
      <c r="M120" s="2">
        <v>5420</v>
      </c>
      <c r="N120" s="2">
        <v>6831</v>
      </c>
      <c r="O120" s="2">
        <v>12690</v>
      </c>
      <c r="P120" s="2">
        <v>26182.79</v>
      </c>
      <c r="Q120" s="2">
        <v>38718</v>
      </c>
      <c r="R120" s="2">
        <v>52304</v>
      </c>
      <c r="S120" s="2">
        <v>75966.83</v>
      </c>
    </row>
    <row r="121" spans="1:19" x14ac:dyDescent="0.25">
      <c r="A121" t="s">
        <v>280</v>
      </c>
      <c r="B121">
        <v>-1.57</v>
      </c>
      <c r="C121">
        <v>0.93</v>
      </c>
      <c r="D121">
        <v>-10.5</v>
      </c>
      <c r="E121">
        <v>-2.73</v>
      </c>
      <c r="F121">
        <v>1.96</v>
      </c>
      <c r="G121">
        <v>7.94</v>
      </c>
      <c r="H121">
        <v>11.23</v>
      </c>
      <c r="I121">
        <v>16.13</v>
      </c>
      <c r="J121">
        <v>20.9</v>
      </c>
      <c r="K121">
        <v>23.32</v>
      </c>
      <c r="L121">
        <v>18.97</v>
      </c>
      <c r="M121">
        <v>21.02</v>
      </c>
      <c r="N121">
        <v>19.72</v>
      </c>
      <c r="O121">
        <v>25.03</v>
      </c>
      <c r="P121">
        <v>29.98</v>
      </c>
      <c r="Q121">
        <v>32.299999999999997</v>
      </c>
      <c r="R121">
        <v>33.76</v>
      </c>
      <c r="S121">
        <v>34.979999999999997</v>
      </c>
    </row>
    <row r="122" spans="1:19" x14ac:dyDescent="0.25">
      <c r="A122" t="s">
        <v>17</v>
      </c>
    </row>
    <row r="123" spans="1:19" x14ac:dyDescent="0.25">
      <c r="A123" t="s">
        <v>108</v>
      </c>
      <c r="B123">
        <v>754</v>
      </c>
      <c r="C123">
        <v>768</v>
      </c>
      <c r="D123">
        <v>783</v>
      </c>
      <c r="E123">
        <v>835</v>
      </c>
      <c r="F123">
        <v>952</v>
      </c>
      <c r="G123">
        <v>982</v>
      </c>
      <c r="H123" s="2">
        <v>1091</v>
      </c>
      <c r="I123" s="2">
        <v>1184</v>
      </c>
      <c r="J123" s="2">
        <v>1213</v>
      </c>
      <c r="K123" s="2">
        <v>1561</v>
      </c>
      <c r="L123" s="2">
        <v>1614</v>
      </c>
      <c r="M123" s="2">
        <v>1620</v>
      </c>
      <c r="N123" s="2">
        <v>1624</v>
      </c>
      <c r="O123" s="2">
        <v>1645.42</v>
      </c>
      <c r="P123" s="2">
        <v>1665.37</v>
      </c>
      <c r="Q123" s="2">
        <v>1685.38</v>
      </c>
      <c r="R123" s="2">
        <v>1669.3</v>
      </c>
      <c r="S123" s="2">
        <v>1677.83</v>
      </c>
    </row>
    <row r="124" spans="1:19" x14ac:dyDescent="0.25">
      <c r="A124" t="s">
        <v>17</v>
      </c>
    </row>
    <row r="125" spans="1:19" x14ac:dyDescent="0.25">
      <c r="A125" t="s">
        <v>109</v>
      </c>
      <c r="D125">
        <v>783</v>
      </c>
      <c r="E125">
        <v>835</v>
      </c>
      <c r="F125" s="2">
        <v>1039</v>
      </c>
      <c r="G125" s="2">
        <v>1165</v>
      </c>
      <c r="H125" s="2">
        <v>1209</v>
      </c>
      <c r="I125" s="2">
        <v>1228</v>
      </c>
      <c r="J125" s="2">
        <v>1229</v>
      </c>
      <c r="K125" s="2">
        <v>1571</v>
      </c>
      <c r="L125" s="2">
        <v>1625</v>
      </c>
      <c r="M125" s="2">
        <v>1637</v>
      </c>
      <c r="N125" s="2">
        <v>1636</v>
      </c>
      <c r="O125" s="2">
        <v>1656.21</v>
      </c>
      <c r="P125" s="2">
        <v>1677.4</v>
      </c>
      <c r="Q125" s="2">
        <v>1721.23</v>
      </c>
      <c r="R125" s="2">
        <v>1781.25</v>
      </c>
      <c r="S125" s="2">
        <v>1817.5</v>
      </c>
    </row>
    <row r="126" spans="1:19" x14ac:dyDescent="0.25">
      <c r="A126" t="s">
        <v>110</v>
      </c>
      <c r="B126">
        <v>-0.11</v>
      </c>
      <c r="C126">
        <v>0.06</v>
      </c>
      <c r="D126">
        <v>-0.54</v>
      </c>
      <c r="E126">
        <v>-0.14000000000000001</v>
      </c>
      <c r="F126">
        <v>0.17</v>
      </c>
      <c r="G126">
        <v>0.46</v>
      </c>
      <c r="H126">
        <v>0.64</v>
      </c>
      <c r="I126">
        <v>1.29</v>
      </c>
      <c r="J126">
        <v>2.79</v>
      </c>
      <c r="K126">
        <v>3.5</v>
      </c>
      <c r="L126">
        <v>2.65</v>
      </c>
      <c r="M126">
        <v>3.31</v>
      </c>
      <c r="N126">
        <v>4.17</v>
      </c>
      <c r="O126">
        <v>7.48</v>
      </c>
      <c r="P126">
        <v>15.51</v>
      </c>
      <c r="Q126">
        <v>23.01</v>
      </c>
      <c r="R126">
        <v>30.34</v>
      </c>
      <c r="S126">
        <v>41.55</v>
      </c>
    </row>
    <row r="127" spans="1:19" x14ac:dyDescent="0.25">
      <c r="A127" t="s">
        <v>17</v>
      </c>
    </row>
    <row r="128" spans="1:19" x14ac:dyDescent="0.25">
      <c r="A128" t="s">
        <v>487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t="s">
        <v>17</v>
      </c>
    </row>
    <row r="130" spans="1:19" x14ac:dyDescent="0.25">
      <c r="A130" t="s">
        <v>282</v>
      </c>
    </row>
    <row r="131" spans="1:19" x14ac:dyDescent="0.25">
      <c r="A131" t="s">
        <v>62</v>
      </c>
      <c r="B131" s="2">
        <v>3321</v>
      </c>
      <c r="C131" s="2">
        <v>3667</v>
      </c>
      <c r="D131" s="2">
        <v>2911</v>
      </c>
      <c r="E131" s="2">
        <v>3316</v>
      </c>
      <c r="F131" s="2">
        <v>3466</v>
      </c>
      <c r="G131" s="2">
        <v>4028</v>
      </c>
      <c r="H131" s="2">
        <v>3863</v>
      </c>
      <c r="I131" s="2">
        <v>5416</v>
      </c>
      <c r="J131" s="2">
        <v>8505</v>
      </c>
      <c r="K131" s="2">
        <v>12998</v>
      </c>
      <c r="L131" s="2">
        <v>12220</v>
      </c>
      <c r="M131" s="2">
        <v>13060</v>
      </c>
      <c r="N131" s="2">
        <v>17487</v>
      </c>
      <c r="O131" s="2">
        <v>23215.48</v>
      </c>
      <c r="P131" s="2">
        <v>40374.58</v>
      </c>
      <c r="Q131" s="2">
        <v>54457.51</v>
      </c>
      <c r="R131" s="2">
        <v>55667.85</v>
      </c>
      <c r="S131" s="2">
        <v>66172.62</v>
      </c>
    </row>
    <row r="132" spans="1:19" x14ac:dyDescent="0.25">
      <c r="A132" t="s">
        <v>63</v>
      </c>
      <c r="B132" s="2">
        <v>1978</v>
      </c>
      <c r="C132" s="2">
        <v>1839</v>
      </c>
      <c r="D132" s="2">
        <v>1080</v>
      </c>
      <c r="E132" s="2">
        <v>1003</v>
      </c>
      <c r="F132" s="2">
        <v>1787</v>
      </c>
      <c r="G132" s="2">
        <v>2447</v>
      </c>
      <c r="H132" s="2">
        <v>2868</v>
      </c>
      <c r="I132" s="2">
        <v>4347</v>
      </c>
      <c r="J132" s="2">
        <v>7929</v>
      </c>
      <c r="K132" s="2">
        <v>10603</v>
      </c>
      <c r="L132" s="2">
        <v>10460</v>
      </c>
      <c r="M132" s="2">
        <v>12725</v>
      </c>
      <c r="N132" s="2">
        <v>17152</v>
      </c>
      <c r="O132" s="2">
        <v>27535.119999999999</v>
      </c>
      <c r="P132" s="2">
        <v>47998.25</v>
      </c>
      <c r="Q132" s="2">
        <v>66695.25</v>
      </c>
      <c r="R132" s="2">
        <v>85295.81</v>
      </c>
      <c r="S132" s="2">
        <v>114200.33</v>
      </c>
    </row>
    <row r="133" spans="1:19" x14ac:dyDescent="0.25">
      <c r="A133" t="s">
        <v>64</v>
      </c>
      <c r="B133">
        <v>37</v>
      </c>
      <c r="C133">
        <v>33</v>
      </c>
      <c r="D133">
        <v>27</v>
      </c>
      <c r="E133">
        <v>23</v>
      </c>
      <c r="F133">
        <v>34</v>
      </c>
      <c r="G133">
        <v>38</v>
      </c>
      <c r="H133">
        <v>43</v>
      </c>
      <c r="I133">
        <v>45</v>
      </c>
      <c r="J133">
        <v>48</v>
      </c>
      <c r="K133">
        <v>45</v>
      </c>
      <c r="L133">
        <v>46</v>
      </c>
      <c r="M133">
        <v>49</v>
      </c>
      <c r="N133">
        <v>50</v>
      </c>
      <c r="O133">
        <v>54.62</v>
      </c>
      <c r="P133">
        <v>54.97</v>
      </c>
      <c r="Q133">
        <v>54.94</v>
      </c>
      <c r="R133">
        <v>57.21</v>
      </c>
      <c r="S133">
        <v>58.12</v>
      </c>
    </row>
    <row r="134" spans="1:19" x14ac:dyDescent="0.25">
      <c r="A134" t="s">
        <v>87</v>
      </c>
      <c r="B134" s="2">
        <v>1875</v>
      </c>
      <c r="C134" s="2">
        <v>1994</v>
      </c>
      <c r="D134" s="2">
        <v>1561</v>
      </c>
      <c r="E134" s="2">
        <v>1376</v>
      </c>
      <c r="F134" s="2">
        <v>1660</v>
      </c>
      <c r="G134" s="2">
        <v>1996</v>
      </c>
      <c r="H134" s="2">
        <v>2237</v>
      </c>
      <c r="I134" s="2">
        <v>2978</v>
      </c>
      <c r="J134" s="2">
        <v>4281</v>
      </c>
      <c r="K134" s="2">
        <v>9339</v>
      </c>
      <c r="L134" s="2">
        <v>10059</v>
      </c>
      <c r="M134" s="2">
        <v>10825</v>
      </c>
      <c r="N134" s="2">
        <v>13458</v>
      </c>
      <c r="O134" s="2">
        <v>17763.810000000001</v>
      </c>
      <c r="P134" s="2">
        <v>23391.439999999999</v>
      </c>
      <c r="Q134" s="2">
        <v>28741.360000000001</v>
      </c>
      <c r="R134" s="2">
        <v>29983.040000000001</v>
      </c>
      <c r="S134" s="2">
        <v>35203.5</v>
      </c>
    </row>
    <row r="135" spans="1:19" x14ac:dyDescent="0.25">
      <c r="A135" t="s">
        <v>61</v>
      </c>
      <c r="B135">
        <v>35.380000000000003</v>
      </c>
      <c r="C135">
        <v>36.22</v>
      </c>
      <c r="D135">
        <v>39.11</v>
      </c>
      <c r="E135">
        <v>31.86</v>
      </c>
      <c r="F135">
        <v>31.6</v>
      </c>
      <c r="G135">
        <v>30.83</v>
      </c>
      <c r="H135">
        <v>33.229999999999997</v>
      </c>
      <c r="I135">
        <v>30.5</v>
      </c>
      <c r="J135">
        <v>26.05</v>
      </c>
      <c r="K135">
        <v>39.57</v>
      </c>
      <c r="L135">
        <v>44.35</v>
      </c>
      <c r="M135">
        <v>41.98</v>
      </c>
      <c r="N135">
        <v>38.85</v>
      </c>
      <c r="O135">
        <v>34.26</v>
      </c>
      <c r="P135">
        <v>26.68</v>
      </c>
      <c r="Q135">
        <v>23.78</v>
      </c>
      <c r="R135">
        <v>21.45</v>
      </c>
      <c r="S135">
        <v>19.22</v>
      </c>
    </row>
    <row r="136" spans="1:19" x14ac:dyDescent="0.25">
      <c r="A136" t="s">
        <v>89</v>
      </c>
      <c r="B136" s="2">
        <v>1201</v>
      </c>
      <c r="C136" s="2">
        <v>1072</v>
      </c>
      <c r="D136">
        <v>947</v>
      </c>
      <c r="E136" s="2">
        <v>1008</v>
      </c>
      <c r="F136" s="2">
        <v>1196</v>
      </c>
      <c r="G136" s="2">
        <v>1434</v>
      </c>
      <c r="H136" s="2">
        <v>1547</v>
      </c>
      <c r="I136" s="2">
        <v>1983</v>
      </c>
      <c r="J136" s="2">
        <v>2845</v>
      </c>
      <c r="K136" s="2">
        <v>5005</v>
      </c>
      <c r="L136" s="2">
        <v>5872</v>
      </c>
      <c r="M136" s="2">
        <v>6456</v>
      </c>
      <c r="N136" s="2">
        <v>8091</v>
      </c>
      <c r="O136" s="2">
        <v>10443.549999999999</v>
      </c>
      <c r="P136" s="2">
        <v>13882.08</v>
      </c>
      <c r="Q136" s="2">
        <v>17691.46</v>
      </c>
      <c r="R136" s="2">
        <v>19527.419999999998</v>
      </c>
      <c r="S136" s="2">
        <v>22885.58</v>
      </c>
    </row>
    <row r="137" spans="1:19" x14ac:dyDescent="0.25">
      <c r="A137" t="s">
        <v>276</v>
      </c>
      <c r="B137">
        <v>674</v>
      </c>
      <c r="C137">
        <v>604</v>
      </c>
      <c r="D137">
        <v>482</v>
      </c>
      <c r="E137">
        <v>466</v>
      </c>
      <c r="F137">
        <v>516</v>
      </c>
      <c r="G137">
        <v>562</v>
      </c>
      <c r="H137">
        <v>750</v>
      </c>
      <c r="I137">
        <v>995</v>
      </c>
      <c r="J137" s="2">
        <v>1448</v>
      </c>
      <c r="K137" s="2">
        <v>2336</v>
      </c>
      <c r="L137" s="2">
        <v>2352</v>
      </c>
      <c r="M137" s="2">
        <v>2783</v>
      </c>
      <c r="N137" s="2">
        <v>4144</v>
      </c>
      <c r="O137" s="2">
        <v>5590.25</v>
      </c>
      <c r="P137" s="2">
        <v>7275.38</v>
      </c>
      <c r="Q137" s="2">
        <v>8981.9599999999991</v>
      </c>
      <c r="R137" s="2">
        <v>8991.14</v>
      </c>
      <c r="S137" s="2">
        <v>10488.5</v>
      </c>
    </row>
    <row r="138" spans="1:19" x14ac:dyDescent="0.25">
      <c r="A138" t="s">
        <v>61</v>
      </c>
      <c r="B138">
        <v>12.72</v>
      </c>
      <c r="C138">
        <v>10.97</v>
      </c>
      <c r="D138">
        <v>12.08</v>
      </c>
      <c r="E138">
        <v>10.79</v>
      </c>
      <c r="F138">
        <v>9.82</v>
      </c>
      <c r="G138">
        <v>8.68</v>
      </c>
      <c r="H138">
        <v>11.14</v>
      </c>
      <c r="I138">
        <v>10.19</v>
      </c>
      <c r="J138">
        <v>8.81</v>
      </c>
      <c r="K138">
        <v>9.9</v>
      </c>
      <c r="L138">
        <v>10.37</v>
      </c>
      <c r="M138">
        <v>10.79</v>
      </c>
      <c r="N138">
        <v>11.96</v>
      </c>
      <c r="O138">
        <v>11.17</v>
      </c>
      <c r="P138">
        <v>8.5500000000000007</v>
      </c>
      <c r="Q138">
        <v>7.49</v>
      </c>
      <c r="R138">
        <v>7.56</v>
      </c>
      <c r="S138">
        <v>6.82</v>
      </c>
    </row>
    <row r="139" spans="1:19" x14ac:dyDescent="0.25">
      <c r="A139" t="s">
        <v>212</v>
      </c>
      <c r="B139">
        <v>0</v>
      </c>
      <c r="C139">
        <v>318</v>
      </c>
      <c r="D139">
        <v>132</v>
      </c>
      <c r="E139">
        <v>-98</v>
      </c>
      <c r="F139">
        <v>-52</v>
      </c>
      <c r="G139">
        <v>0</v>
      </c>
      <c r="H139">
        <v>-60</v>
      </c>
      <c r="I139">
        <v>0</v>
      </c>
      <c r="J139">
        <v>-12</v>
      </c>
      <c r="K139" s="2">
        <v>1998</v>
      </c>
      <c r="L139" s="2">
        <v>1835</v>
      </c>
      <c r="M139" s="2">
        <v>1586</v>
      </c>
      <c r="N139" s="2">
        <v>1223</v>
      </c>
      <c r="O139" s="2">
        <v>1209.02</v>
      </c>
      <c r="P139" s="2">
        <v>1220.51</v>
      </c>
      <c r="Q139" s="2">
        <v>1207.08</v>
      </c>
      <c r="R139" s="2">
        <v>1088.67</v>
      </c>
      <c r="S139" s="2">
        <v>1088.67</v>
      </c>
    </row>
    <row r="140" spans="1:19" x14ac:dyDescent="0.25">
      <c r="A140" t="s">
        <v>116</v>
      </c>
      <c r="B140">
        <v>103</v>
      </c>
      <c r="C140">
        <v>-155</v>
      </c>
      <c r="D140">
        <v>-481</v>
      </c>
      <c r="E140">
        <v>-373</v>
      </c>
      <c r="F140">
        <v>127</v>
      </c>
      <c r="G140">
        <v>451</v>
      </c>
      <c r="H140">
        <v>631</v>
      </c>
      <c r="I140" s="2">
        <v>1369</v>
      </c>
      <c r="J140" s="2">
        <v>3648</v>
      </c>
      <c r="K140" s="2">
        <v>1264</v>
      </c>
      <c r="L140">
        <v>401</v>
      </c>
      <c r="M140" s="2">
        <v>1900</v>
      </c>
      <c r="N140" s="2">
        <v>3694</v>
      </c>
      <c r="O140" s="2">
        <v>9746.84</v>
      </c>
      <c r="P140" s="2">
        <v>24418.32</v>
      </c>
      <c r="Q140" s="2">
        <v>37454.1</v>
      </c>
      <c r="R140" s="2">
        <v>51108.23</v>
      </c>
      <c r="S140" s="2">
        <v>75253.440000000002</v>
      </c>
    </row>
    <row r="141" spans="1:19" x14ac:dyDescent="0.25">
      <c r="A141" t="s">
        <v>269</v>
      </c>
      <c r="B141">
        <v>1.94</v>
      </c>
      <c r="C141">
        <v>-2.82</v>
      </c>
      <c r="D141">
        <v>-12.05</v>
      </c>
      <c r="E141">
        <v>-8.64</v>
      </c>
      <c r="F141">
        <v>2.42</v>
      </c>
      <c r="G141">
        <v>6.97</v>
      </c>
      <c r="H141">
        <v>9.3699999999999992</v>
      </c>
      <c r="I141">
        <v>14.02</v>
      </c>
      <c r="J141">
        <v>22.2</v>
      </c>
      <c r="K141">
        <v>5.36</v>
      </c>
      <c r="L141">
        <v>1.77</v>
      </c>
      <c r="M141">
        <v>7.37</v>
      </c>
      <c r="N141">
        <v>10.66</v>
      </c>
      <c r="O141">
        <v>18.8</v>
      </c>
      <c r="P141">
        <v>27.56</v>
      </c>
      <c r="Q141">
        <v>31.32</v>
      </c>
      <c r="R141">
        <v>35.909999999999997</v>
      </c>
      <c r="S141">
        <v>39.14</v>
      </c>
    </row>
    <row r="142" spans="1:19" x14ac:dyDescent="0.25">
      <c r="A142" t="s">
        <v>594</v>
      </c>
      <c r="B142">
        <v>177</v>
      </c>
      <c r="C142">
        <v>243</v>
      </c>
      <c r="D142">
        <v>165</v>
      </c>
      <c r="E142">
        <v>76</v>
      </c>
      <c r="F142">
        <v>135</v>
      </c>
      <c r="G142">
        <v>121</v>
      </c>
      <c r="H142">
        <v>259</v>
      </c>
      <c r="I142">
        <v>94</v>
      </c>
      <c r="J142">
        <v>-21</v>
      </c>
      <c r="K142">
        <v>80</v>
      </c>
      <c r="L142">
        <v>-91</v>
      </c>
      <c r="M142">
        <v>-89</v>
      </c>
      <c r="N142">
        <v>-446</v>
      </c>
      <c r="O142" s="2">
        <v>-1032.74</v>
      </c>
      <c r="P142">
        <v>-756.18</v>
      </c>
      <c r="Q142">
        <v>-882.36</v>
      </c>
      <c r="R142" s="2">
        <v>-1141.33</v>
      </c>
      <c r="S142" s="2">
        <v>-1141.33</v>
      </c>
    </row>
    <row r="143" spans="1:19" x14ac:dyDescent="0.25">
      <c r="A143" t="s">
        <v>289</v>
      </c>
      <c r="B143">
        <v>177</v>
      </c>
      <c r="C143">
        <v>177</v>
      </c>
      <c r="D143">
        <v>160</v>
      </c>
      <c r="E143">
        <v>156</v>
      </c>
      <c r="F143">
        <v>126</v>
      </c>
      <c r="G143">
        <v>121</v>
      </c>
      <c r="H143">
        <v>94</v>
      </c>
      <c r="I143">
        <v>47</v>
      </c>
      <c r="J143">
        <v>34</v>
      </c>
      <c r="K143">
        <v>88</v>
      </c>
      <c r="L143">
        <v>106</v>
      </c>
      <c r="M143">
        <v>92</v>
      </c>
      <c r="N143">
        <v>131</v>
      </c>
      <c r="O143">
        <v>165.06</v>
      </c>
      <c r="P143">
        <v>198.47</v>
      </c>
      <c r="Q143">
        <v>218.71</v>
      </c>
    </row>
    <row r="144" spans="1:19" x14ac:dyDescent="0.25">
      <c r="A144" t="s">
        <v>740</v>
      </c>
      <c r="B144">
        <v>0</v>
      </c>
      <c r="C144">
        <v>69</v>
      </c>
      <c r="D144">
        <v>5</v>
      </c>
      <c r="E144">
        <v>-80</v>
      </c>
      <c r="F144">
        <v>9</v>
      </c>
      <c r="G144">
        <v>0</v>
      </c>
      <c r="H144">
        <v>165</v>
      </c>
      <c r="I144">
        <v>47</v>
      </c>
      <c r="J144">
        <v>-55</v>
      </c>
      <c r="K144">
        <v>-8</v>
      </c>
      <c r="L144">
        <v>-197</v>
      </c>
      <c r="M144">
        <v>-181</v>
      </c>
      <c r="N144">
        <v>-577</v>
      </c>
      <c r="O144" s="2">
        <v>-1102.8900000000001</v>
      </c>
      <c r="P144">
        <v>-923.6</v>
      </c>
      <c r="Q144">
        <v>-812.64</v>
      </c>
      <c r="R144">
        <v>-240</v>
      </c>
      <c r="S144">
        <v>-240</v>
      </c>
    </row>
    <row r="145" spans="1:19" x14ac:dyDescent="0.25">
      <c r="A145" t="s">
        <v>119</v>
      </c>
      <c r="B145">
        <v>-74</v>
      </c>
      <c r="C145">
        <v>-398</v>
      </c>
      <c r="D145">
        <v>-646</v>
      </c>
      <c r="E145">
        <v>-449</v>
      </c>
      <c r="F145">
        <v>-8</v>
      </c>
      <c r="G145">
        <v>330</v>
      </c>
      <c r="H145">
        <v>372</v>
      </c>
      <c r="I145" s="2">
        <v>1275</v>
      </c>
      <c r="J145" s="2">
        <v>3669</v>
      </c>
      <c r="K145" s="2">
        <v>1184</v>
      </c>
      <c r="L145">
        <v>492</v>
      </c>
      <c r="M145" s="2">
        <v>1989</v>
      </c>
      <c r="N145" s="2">
        <v>4140</v>
      </c>
      <c r="O145" s="2">
        <v>11120.46</v>
      </c>
      <c r="P145" s="2">
        <v>25334.15</v>
      </c>
      <c r="Q145" s="2">
        <v>38920.449999999997</v>
      </c>
      <c r="R145" s="2">
        <v>51617.31</v>
      </c>
      <c r="S145" s="2">
        <v>79589.66</v>
      </c>
    </row>
    <row r="146" spans="1:19" x14ac:dyDescent="0.25">
      <c r="A146" t="s">
        <v>61</v>
      </c>
      <c r="B146">
        <v>-1.4</v>
      </c>
      <c r="C146">
        <v>-7.23</v>
      </c>
      <c r="D146">
        <v>-16.190000000000001</v>
      </c>
      <c r="E146">
        <v>-10.4</v>
      </c>
      <c r="F146">
        <v>-0.15</v>
      </c>
      <c r="G146">
        <v>5.0999999999999996</v>
      </c>
      <c r="H146">
        <v>5.53</v>
      </c>
      <c r="I146">
        <v>13.06</v>
      </c>
      <c r="J146">
        <v>22.33</v>
      </c>
      <c r="K146">
        <v>5.0199999999999996</v>
      </c>
      <c r="L146">
        <v>2.17</v>
      </c>
      <c r="M146">
        <v>7.71</v>
      </c>
      <c r="N146">
        <v>11.95</v>
      </c>
      <c r="O146">
        <v>26.91</v>
      </c>
      <c r="P146">
        <v>32.68</v>
      </c>
      <c r="Q146">
        <v>34.479999999999997</v>
      </c>
      <c r="R146">
        <v>36.99</v>
      </c>
      <c r="S146">
        <v>39.57</v>
      </c>
    </row>
    <row r="147" spans="1:19" x14ac:dyDescent="0.25">
      <c r="A147" t="s">
        <v>120</v>
      </c>
      <c r="B147">
        <v>9</v>
      </c>
      <c r="C147">
        <v>5</v>
      </c>
      <c r="D147">
        <v>14</v>
      </c>
      <c r="E147">
        <v>39</v>
      </c>
      <c r="F147">
        <v>18</v>
      </c>
      <c r="G147">
        <v>-9</v>
      </c>
      <c r="H147">
        <v>31</v>
      </c>
      <c r="I147" s="2">
        <v>-1210</v>
      </c>
      <c r="J147">
        <v>513</v>
      </c>
      <c r="K147">
        <v>-122</v>
      </c>
      <c r="L147">
        <v>-346</v>
      </c>
      <c r="M147">
        <v>381</v>
      </c>
      <c r="N147">
        <v>-103</v>
      </c>
      <c r="O147" s="2">
        <v>1294.7</v>
      </c>
      <c r="P147" s="2">
        <v>3054.83</v>
      </c>
      <c r="Q147" s="2">
        <v>4875.05</v>
      </c>
      <c r="R147" s="2">
        <v>7880.58</v>
      </c>
      <c r="S147" s="2">
        <v>11324.99</v>
      </c>
    </row>
    <row r="148" spans="1:19" x14ac:dyDescent="0.25">
      <c r="A148" t="s">
        <v>489</v>
      </c>
      <c r="H148">
        <v>8.33</v>
      </c>
      <c r="J148">
        <v>13.98</v>
      </c>
      <c r="M148">
        <v>19.16</v>
      </c>
      <c r="O148">
        <v>13.06</v>
      </c>
      <c r="P148">
        <v>13.13</v>
      </c>
      <c r="Q148">
        <v>13.2</v>
      </c>
      <c r="R148">
        <v>13.59</v>
      </c>
      <c r="S148">
        <v>13.59</v>
      </c>
    </row>
    <row r="149" spans="1:19" x14ac:dyDescent="0.25">
      <c r="A149" t="s">
        <v>121</v>
      </c>
      <c r="B149">
        <v>-83</v>
      </c>
      <c r="C149">
        <v>-403</v>
      </c>
      <c r="D149">
        <v>-660</v>
      </c>
      <c r="E149">
        <v>-497</v>
      </c>
      <c r="F149">
        <v>43</v>
      </c>
      <c r="G149">
        <v>337</v>
      </c>
      <c r="H149">
        <v>341</v>
      </c>
      <c r="I149" s="2">
        <v>2490</v>
      </c>
      <c r="J149" s="2">
        <v>3162</v>
      </c>
      <c r="K149" s="2">
        <v>1320</v>
      </c>
      <c r="L149">
        <v>854</v>
      </c>
      <c r="M149" s="2">
        <v>1641</v>
      </c>
      <c r="N149" s="2">
        <v>4335</v>
      </c>
      <c r="O149" s="2">
        <v>9713.2800000000007</v>
      </c>
      <c r="P149" s="2">
        <v>23156.46</v>
      </c>
      <c r="Q149" s="2">
        <v>35594.93</v>
      </c>
      <c r="R149" s="2">
        <v>49502.83</v>
      </c>
      <c r="S149" s="2">
        <v>71405.600000000006</v>
      </c>
    </row>
    <row r="150" spans="1:19" x14ac:dyDescent="0.25">
      <c r="A150" t="s">
        <v>122</v>
      </c>
      <c r="B150">
        <v>-1.57</v>
      </c>
      <c r="C150">
        <v>-7.32</v>
      </c>
      <c r="D150">
        <v>-16.54</v>
      </c>
      <c r="E150">
        <v>-11.53</v>
      </c>
      <c r="F150">
        <v>-0.63</v>
      </c>
      <c r="G150">
        <v>5.2</v>
      </c>
      <c r="H150">
        <v>5.07</v>
      </c>
      <c r="I150">
        <v>25.5</v>
      </c>
      <c r="J150">
        <v>19.239999999999998</v>
      </c>
      <c r="K150">
        <v>5.59</v>
      </c>
      <c r="L150">
        <v>3.77</v>
      </c>
      <c r="M150">
        <v>6.36</v>
      </c>
      <c r="N150">
        <v>12.51</v>
      </c>
      <c r="O150">
        <v>18.78</v>
      </c>
      <c r="P150">
        <v>25.3</v>
      </c>
      <c r="Q150">
        <v>28.41</v>
      </c>
      <c r="R150">
        <v>31.13</v>
      </c>
      <c r="S150">
        <v>33.97</v>
      </c>
    </row>
    <row r="151" spans="1:19" x14ac:dyDescent="0.25">
      <c r="A151" t="s">
        <v>123</v>
      </c>
      <c r="B151">
        <v>754</v>
      </c>
      <c r="C151">
        <v>768</v>
      </c>
      <c r="D151">
        <v>783</v>
      </c>
      <c r="E151">
        <v>835</v>
      </c>
      <c r="F151">
        <v>952</v>
      </c>
      <c r="G151" s="2">
        <v>1064</v>
      </c>
      <c r="H151" s="2">
        <v>1120</v>
      </c>
      <c r="I151" s="2">
        <v>1207</v>
      </c>
      <c r="J151" s="2">
        <v>1229</v>
      </c>
      <c r="K151" s="2">
        <v>1571</v>
      </c>
      <c r="L151" s="2">
        <v>1625</v>
      </c>
      <c r="M151" s="2">
        <v>1637</v>
      </c>
      <c r="N151" s="2">
        <v>1636</v>
      </c>
      <c r="O151" s="2">
        <v>1652.53</v>
      </c>
      <c r="P151" s="2">
        <v>1665.59</v>
      </c>
      <c r="Q151" s="2">
        <v>1684.63</v>
      </c>
      <c r="R151" s="2">
        <v>1757.03</v>
      </c>
      <c r="S151" s="2">
        <v>1831.91</v>
      </c>
    </row>
    <row r="152" spans="1:19" x14ac:dyDescent="0.25">
      <c r="A152" t="s">
        <v>297</v>
      </c>
      <c r="B152">
        <v>-0.11</v>
      </c>
      <c r="C152">
        <v>-0.52</v>
      </c>
      <c r="D152">
        <v>-0.84</v>
      </c>
      <c r="E152">
        <v>-0.6</v>
      </c>
      <c r="F152">
        <v>-0.03</v>
      </c>
      <c r="G152">
        <v>0.34</v>
      </c>
      <c r="H152">
        <v>0.31</v>
      </c>
      <c r="I152">
        <v>2.1</v>
      </c>
      <c r="J152">
        <v>2.61</v>
      </c>
      <c r="K152">
        <v>0.85</v>
      </c>
      <c r="L152">
        <v>0.53</v>
      </c>
      <c r="M152">
        <v>1.01</v>
      </c>
      <c r="N152">
        <v>2.63</v>
      </c>
      <c r="O152">
        <v>5.86</v>
      </c>
      <c r="P152">
        <v>13.32</v>
      </c>
      <c r="Q152">
        <v>20.32</v>
      </c>
      <c r="R152">
        <v>26.27</v>
      </c>
      <c r="S152">
        <v>21.61</v>
      </c>
    </row>
    <row r="153" spans="1:19" x14ac:dyDescent="0.25">
      <c r="A153" t="s">
        <v>124</v>
      </c>
      <c r="B153">
        <v>-0.11</v>
      </c>
      <c r="C153">
        <v>-0.53</v>
      </c>
      <c r="D153">
        <v>-0.84</v>
      </c>
      <c r="E153">
        <v>-0.6</v>
      </c>
      <c r="F153">
        <v>0.04</v>
      </c>
      <c r="G153">
        <v>0.32</v>
      </c>
      <c r="H153">
        <v>0.3</v>
      </c>
      <c r="I153">
        <v>2.06</v>
      </c>
      <c r="J153">
        <v>2.57</v>
      </c>
      <c r="K153">
        <v>0.84</v>
      </c>
      <c r="L153">
        <v>0.53</v>
      </c>
      <c r="M153">
        <v>1</v>
      </c>
      <c r="N153">
        <v>2.65</v>
      </c>
      <c r="O153">
        <v>5.99</v>
      </c>
      <c r="P153">
        <v>13.66</v>
      </c>
      <c r="Q153">
        <v>20.27</v>
      </c>
      <c r="R153">
        <v>27</v>
      </c>
      <c r="S153">
        <v>37.79</v>
      </c>
    </row>
    <row r="154" spans="1:19" x14ac:dyDescent="0.25">
      <c r="A154" t="s">
        <v>17</v>
      </c>
    </row>
    <row r="155" spans="1:19" x14ac:dyDescent="0.25">
      <c r="A155" t="s">
        <v>125</v>
      </c>
    </row>
    <row r="156" spans="1:19" x14ac:dyDescent="0.25">
      <c r="A156" t="s">
        <v>67</v>
      </c>
      <c r="B156">
        <v>91</v>
      </c>
      <c r="C156">
        <v>81</v>
      </c>
      <c r="D156">
        <v>63</v>
      </c>
      <c r="E156">
        <v>86</v>
      </c>
      <c r="F156">
        <v>97</v>
      </c>
      <c r="G156">
        <v>137</v>
      </c>
      <c r="H156">
        <v>197</v>
      </c>
      <c r="I156">
        <v>274</v>
      </c>
      <c r="J156">
        <v>379</v>
      </c>
      <c r="K156" s="2">
        <v>1081</v>
      </c>
      <c r="L156" s="2">
        <v>1384</v>
      </c>
      <c r="M156" s="2">
        <v>1407</v>
      </c>
      <c r="N156" s="2">
        <v>1638</v>
      </c>
      <c r="O156" s="2">
        <v>1845.14</v>
      </c>
      <c r="P156" s="2">
        <v>2310.9899999999998</v>
      </c>
      <c r="Q156" s="2">
        <v>2990.21</v>
      </c>
      <c r="R156" s="2">
        <v>5156.08</v>
      </c>
      <c r="S156" s="2">
        <v>6578.56</v>
      </c>
    </row>
    <row r="157" spans="1:19" x14ac:dyDescent="0.25">
      <c r="A157" t="s">
        <v>741</v>
      </c>
      <c r="B157">
        <v>5</v>
      </c>
      <c r="C157">
        <v>3</v>
      </c>
      <c r="D157">
        <v>3</v>
      </c>
      <c r="E157">
        <v>2</v>
      </c>
      <c r="F157">
        <v>2</v>
      </c>
      <c r="G157">
        <v>4</v>
      </c>
      <c r="H157">
        <v>6</v>
      </c>
      <c r="I157">
        <v>6</v>
      </c>
      <c r="J157">
        <v>5</v>
      </c>
      <c r="K157">
        <v>29</v>
      </c>
      <c r="L157">
        <v>30</v>
      </c>
      <c r="M157">
        <v>21</v>
      </c>
      <c r="N157">
        <v>26</v>
      </c>
      <c r="O157">
        <v>30.88</v>
      </c>
      <c r="P157">
        <v>34.14</v>
      </c>
      <c r="Q157">
        <v>45.62</v>
      </c>
      <c r="R157">
        <v>50.69</v>
      </c>
      <c r="S157">
        <v>60.83</v>
      </c>
    </row>
    <row r="158" spans="1:19" x14ac:dyDescent="0.25">
      <c r="A158" t="s">
        <v>114</v>
      </c>
      <c r="B158">
        <v>48</v>
      </c>
      <c r="C158">
        <v>44</v>
      </c>
      <c r="D158">
        <v>36</v>
      </c>
      <c r="E158">
        <v>49</v>
      </c>
      <c r="F158">
        <v>57</v>
      </c>
      <c r="G158">
        <v>91</v>
      </c>
      <c r="H158">
        <v>129</v>
      </c>
      <c r="I158">
        <v>173</v>
      </c>
      <c r="J158">
        <v>246</v>
      </c>
      <c r="K158">
        <v>697</v>
      </c>
      <c r="L158" s="2">
        <v>1002</v>
      </c>
      <c r="M158" s="2">
        <v>1079</v>
      </c>
      <c r="N158" s="2">
        <v>1287</v>
      </c>
    </row>
    <row r="159" spans="1:19" x14ac:dyDescent="0.25">
      <c r="A159" t="s">
        <v>742</v>
      </c>
      <c r="B159">
        <v>38</v>
      </c>
      <c r="C159">
        <v>34</v>
      </c>
      <c r="D159">
        <v>24</v>
      </c>
      <c r="E159">
        <v>35</v>
      </c>
      <c r="F159">
        <v>38</v>
      </c>
      <c r="G159">
        <v>42</v>
      </c>
      <c r="H159">
        <v>62</v>
      </c>
      <c r="I159">
        <v>95</v>
      </c>
      <c r="J159">
        <v>128</v>
      </c>
      <c r="K159">
        <v>355</v>
      </c>
      <c r="L159">
        <v>352</v>
      </c>
      <c r="M159">
        <v>307</v>
      </c>
      <c r="N159">
        <v>325</v>
      </c>
    </row>
    <row r="160" spans="1:19" x14ac:dyDescent="0.25">
      <c r="A160" t="s">
        <v>131</v>
      </c>
      <c r="B160">
        <v>5</v>
      </c>
      <c r="C160">
        <v>3</v>
      </c>
      <c r="D160">
        <v>3</v>
      </c>
      <c r="E160">
        <v>2</v>
      </c>
      <c r="F160">
        <v>2</v>
      </c>
      <c r="G160">
        <v>4</v>
      </c>
      <c r="H160">
        <v>6</v>
      </c>
      <c r="I160">
        <v>6</v>
      </c>
      <c r="J160">
        <v>5</v>
      </c>
      <c r="K160">
        <v>29</v>
      </c>
      <c r="L160">
        <v>30</v>
      </c>
      <c r="M160">
        <v>21</v>
      </c>
      <c r="N160">
        <v>26</v>
      </c>
      <c r="O160">
        <v>30.88</v>
      </c>
      <c r="P160">
        <v>34.14</v>
      </c>
      <c r="Q160">
        <v>45.62</v>
      </c>
      <c r="R160">
        <v>50.69</v>
      </c>
      <c r="S160">
        <v>60.83</v>
      </c>
    </row>
    <row r="161" spans="1:19" x14ac:dyDescent="0.25">
      <c r="A161" t="s">
        <v>743</v>
      </c>
      <c r="I161">
        <v>43</v>
      </c>
      <c r="J161">
        <v>-93</v>
      </c>
      <c r="K161">
        <v>-945</v>
      </c>
      <c r="L161">
        <v>-988</v>
      </c>
      <c r="M161">
        <v>-429</v>
      </c>
      <c r="N161">
        <v>-271</v>
      </c>
      <c r="O161">
        <v>-575.63</v>
      </c>
      <c r="P161" s="2">
        <v>-1109.42</v>
      </c>
      <c r="Q161">
        <v>-617.53</v>
      </c>
    </row>
    <row r="162" spans="1:19" x14ac:dyDescent="0.25">
      <c r="A162" t="s">
        <v>744</v>
      </c>
      <c r="L162" s="2">
        <v>1869</v>
      </c>
      <c r="M162" s="2">
        <v>1448</v>
      </c>
      <c r="N162" s="2">
        <v>1223</v>
      </c>
      <c r="O162" s="2">
        <v>1071.98</v>
      </c>
      <c r="P162" s="2">
        <v>1147.74</v>
      </c>
      <c r="Q162" s="2">
        <v>1164.6099999999999</v>
      </c>
      <c r="R162" s="2">
        <v>1136</v>
      </c>
      <c r="S162" s="2">
        <v>1136</v>
      </c>
    </row>
    <row r="163" spans="1:19" x14ac:dyDescent="0.25">
      <c r="A163" t="s">
        <v>745</v>
      </c>
      <c r="I163">
        <v>14</v>
      </c>
      <c r="J163">
        <v>42</v>
      </c>
      <c r="K163">
        <v>521</v>
      </c>
      <c r="L163">
        <v>262</v>
      </c>
      <c r="M163">
        <v>187</v>
      </c>
      <c r="N163">
        <v>231</v>
      </c>
      <c r="O163">
        <v>108.73</v>
      </c>
      <c r="P163">
        <v>208.8</v>
      </c>
      <c r="Q163">
        <v>374.98</v>
      </c>
    </row>
    <row r="164" spans="1:19" x14ac:dyDescent="0.25">
      <c r="A164" t="s">
        <v>746</v>
      </c>
      <c r="L164">
        <v>11</v>
      </c>
    </row>
    <row r="165" spans="1:19" x14ac:dyDescent="0.25">
      <c r="A165" t="s">
        <v>747</v>
      </c>
      <c r="J165">
        <v>-56</v>
      </c>
      <c r="K165">
        <v>62</v>
      </c>
      <c r="L165">
        <v>-1</v>
      </c>
      <c r="M165">
        <v>2</v>
      </c>
      <c r="N165">
        <v>-365</v>
      </c>
      <c r="O165">
        <v>-831.13</v>
      </c>
      <c r="P165" s="2">
        <v>-1108</v>
      </c>
      <c r="Q165" s="2">
        <v>-1108</v>
      </c>
    </row>
    <row r="166" spans="1:19" x14ac:dyDescent="0.25">
      <c r="A166" t="s">
        <v>687</v>
      </c>
      <c r="C166">
        <v>64</v>
      </c>
      <c r="E166">
        <v>68</v>
      </c>
      <c r="F166">
        <v>12</v>
      </c>
      <c r="G166">
        <v>12</v>
      </c>
      <c r="H166">
        <v>176</v>
      </c>
      <c r="I166">
        <v>54</v>
      </c>
      <c r="J166">
        <v>7</v>
      </c>
      <c r="K166">
        <v>0</v>
      </c>
    </row>
    <row r="167" spans="1:19" x14ac:dyDescent="0.25">
      <c r="A167" t="s">
        <v>748</v>
      </c>
      <c r="B167">
        <v>-48</v>
      </c>
      <c r="H167">
        <v>12</v>
      </c>
      <c r="J167">
        <v>-12</v>
      </c>
      <c r="K167">
        <v>-102</v>
      </c>
      <c r="L167">
        <v>-34</v>
      </c>
      <c r="M167">
        <v>-48</v>
      </c>
      <c r="N167">
        <v>21</v>
      </c>
      <c r="O167">
        <v>-22.17</v>
      </c>
      <c r="P167">
        <v>-22.6</v>
      </c>
      <c r="Q167">
        <v>-58.59</v>
      </c>
    </row>
    <row r="168" spans="1:19" x14ac:dyDescent="0.25">
      <c r="A168" t="s">
        <v>17</v>
      </c>
    </row>
    <row r="169" spans="1:19" x14ac:dyDescent="0.25">
      <c r="A169" t="s">
        <v>134</v>
      </c>
    </row>
    <row r="170" spans="1:19" x14ac:dyDescent="0.25">
      <c r="A170" t="s">
        <v>135</v>
      </c>
    </row>
    <row r="171" spans="1:19" x14ac:dyDescent="0.25">
      <c r="A171" t="s">
        <v>136</v>
      </c>
      <c r="B171" s="2">
        <v>2884</v>
      </c>
      <c r="C171" s="2">
        <v>2736</v>
      </c>
      <c r="D171" s="2">
        <v>2320</v>
      </c>
      <c r="E171" s="2">
        <v>2530</v>
      </c>
      <c r="F171" s="2">
        <v>2634</v>
      </c>
      <c r="G171" s="2">
        <v>3540</v>
      </c>
      <c r="H171" s="2">
        <v>4597</v>
      </c>
      <c r="I171" s="2">
        <v>6143</v>
      </c>
      <c r="J171" s="2">
        <v>8583</v>
      </c>
      <c r="K171" s="2">
        <v>15019</v>
      </c>
      <c r="L171" s="2">
        <v>16768</v>
      </c>
      <c r="M171" s="2">
        <v>19049</v>
      </c>
      <c r="N171" s="2">
        <v>26947</v>
      </c>
      <c r="O171" s="2">
        <v>38972.69</v>
      </c>
      <c r="P171" s="2">
        <v>67260</v>
      </c>
      <c r="Q171" s="2">
        <v>104985.95</v>
      </c>
      <c r="R171" s="2">
        <v>168390.07</v>
      </c>
      <c r="S171" s="2">
        <v>244024.88</v>
      </c>
    </row>
    <row r="172" spans="1:19" x14ac:dyDescent="0.25">
      <c r="A172" t="s">
        <v>137</v>
      </c>
      <c r="B172" s="2">
        <v>1097</v>
      </c>
      <c r="C172" s="2">
        <v>1040</v>
      </c>
      <c r="D172">
        <v>785</v>
      </c>
      <c r="E172" s="2">
        <v>1264</v>
      </c>
      <c r="F172" s="2">
        <v>1185</v>
      </c>
      <c r="G172" s="2">
        <v>1156</v>
      </c>
      <c r="H172" s="2">
        <v>1503</v>
      </c>
      <c r="I172" s="2">
        <v>2290</v>
      </c>
      <c r="J172" s="2">
        <v>3608</v>
      </c>
      <c r="K172" s="2">
        <v>5855</v>
      </c>
      <c r="L172" s="2">
        <v>5773</v>
      </c>
      <c r="M172" s="2">
        <v>5132</v>
      </c>
      <c r="N172" s="2">
        <v>10552</v>
      </c>
      <c r="O172" s="2">
        <v>14881.16</v>
      </c>
      <c r="P172" s="2">
        <v>27767.69</v>
      </c>
      <c r="Q172" s="2">
        <v>57974.91</v>
      </c>
      <c r="R172" s="2">
        <v>153264.21</v>
      </c>
      <c r="S172" s="2">
        <v>213165.62</v>
      </c>
    </row>
    <row r="173" spans="1:19" x14ac:dyDescent="0.25">
      <c r="A173" t="s">
        <v>139</v>
      </c>
      <c r="B173">
        <v>869</v>
      </c>
      <c r="C173">
        <v>805</v>
      </c>
      <c r="D173">
        <v>785</v>
      </c>
      <c r="E173" s="2">
        <v>1264</v>
      </c>
      <c r="F173" s="2">
        <v>1185</v>
      </c>
      <c r="G173" s="2">
        <v>1078</v>
      </c>
      <c r="H173" s="2">
        <v>1466</v>
      </c>
      <c r="I173" s="2">
        <v>1595</v>
      </c>
      <c r="J173" s="2">
        <v>2535</v>
      </c>
      <c r="K173" s="2">
        <v>4835</v>
      </c>
      <c r="L173" s="2">
        <v>3933</v>
      </c>
      <c r="M173" s="2">
        <v>3787</v>
      </c>
      <c r="N173" s="2">
        <v>5539</v>
      </c>
      <c r="O173" s="2">
        <v>8931.2199999999993</v>
      </c>
      <c r="P173" s="2">
        <v>24377.23</v>
      </c>
      <c r="Q173" s="2">
        <v>53416.57</v>
      </c>
      <c r="R173" s="2">
        <v>99334.44</v>
      </c>
      <c r="S173" s="2">
        <v>123913.05</v>
      </c>
    </row>
    <row r="174" spans="1:19" x14ac:dyDescent="0.25">
      <c r="A174" t="s">
        <v>140</v>
      </c>
      <c r="B174">
        <v>228</v>
      </c>
      <c r="C174">
        <v>235</v>
      </c>
      <c r="D174">
        <v>0</v>
      </c>
      <c r="E174">
        <v>0</v>
      </c>
      <c r="F174">
        <v>0</v>
      </c>
      <c r="G174">
        <v>78</v>
      </c>
      <c r="H174">
        <v>37</v>
      </c>
      <c r="I174">
        <v>695</v>
      </c>
      <c r="J174" s="2">
        <v>1073</v>
      </c>
      <c r="K174" s="2">
        <v>1020</v>
      </c>
      <c r="L174" s="2">
        <v>1840</v>
      </c>
      <c r="M174" s="2">
        <v>1345</v>
      </c>
      <c r="N174" s="2">
        <v>5013</v>
      </c>
      <c r="O174" s="2">
        <v>7961.6</v>
      </c>
      <c r="P174" s="2">
        <v>8250.4</v>
      </c>
      <c r="Q174" s="2">
        <v>7388.11</v>
      </c>
      <c r="R174" s="2">
        <v>8025</v>
      </c>
      <c r="S174" s="2">
        <v>8025</v>
      </c>
    </row>
    <row r="175" spans="1:19" x14ac:dyDescent="0.25">
      <c r="A175" t="s">
        <v>141</v>
      </c>
      <c r="B175">
        <v>832</v>
      </c>
      <c r="C175">
        <v>818</v>
      </c>
      <c r="D175">
        <v>533</v>
      </c>
      <c r="E175">
        <v>311</v>
      </c>
      <c r="F175">
        <v>454</v>
      </c>
      <c r="G175" s="2">
        <v>1235</v>
      </c>
      <c r="H175" s="2">
        <v>1859</v>
      </c>
      <c r="I175" s="2">
        <v>2066</v>
      </c>
      <c r="J175" s="2">
        <v>2706</v>
      </c>
      <c r="K175" s="2">
        <v>4126</v>
      </c>
      <c r="L175" s="2">
        <v>5376</v>
      </c>
      <c r="M175" s="2">
        <v>6192</v>
      </c>
      <c r="N175" s="2">
        <v>6315</v>
      </c>
      <c r="O175" s="2">
        <v>9668.42</v>
      </c>
      <c r="P175" s="2">
        <v>15823.18</v>
      </c>
      <c r="Q175" s="2">
        <v>20157.41</v>
      </c>
      <c r="R175" s="2">
        <v>23582.65</v>
      </c>
      <c r="S175" s="2">
        <v>29964.35</v>
      </c>
    </row>
    <row r="176" spans="1:19" x14ac:dyDescent="0.25">
      <c r="A176" t="s">
        <v>340</v>
      </c>
      <c r="B176">
        <v>884</v>
      </c>
      <c r="C176">
        <v>685</v>
      </c>
      <c r="D176">
        <v>678</v>
      </c>
      <c r="E176">
        <v>751</v>
      </c>
      <c r="F176">
        <v>694</v>
      </c>
      <c r="G176">
        <v>845</v>
      </c>
      <c r="H176">
        <v>982</v>
      </c>
      <c r="I176" s="2">
        <v>1399</v>
      </c>
      <c r="J176" s="2">
        <v>1955</v>
      </c>
      <c r="K176" s="2">
        <v>3771</v>
      </c>
      <c r="L176" s="2">
        <v>4351</v>
      </c>
      <c r="M176" s="2">
        <v>5734</v>
      </c>
      <c r="N176" s="2">
        <v>7920</v>
      </c>
      <c r="O176" s="2">
        <v>10794.73</v>
      </c>
      <c r="P176" s="2">
        <v>17220.36</v>
      </c>
      <c r="Q176" s="2">
        <v>20532.150000000001</v>
      </c>
      <c r="R176" s="2">
        <v>23487.46</v>
      </c>
      <c r="S176" s="2">
        <v>29854.62</v>
      </c>
    </row>
    <row r="177" spans="1:19" x14ac:dyDescent="0.25">
      <c r="A177" t="s">
        <v>305</v>
      </c>
      <c r="B177">
        <v>30</v>
      </c>
      <c r="C177">
        <v>40</v>
      </c>
      <c r="D177">
        <v>16</v>
      </c>
      <c r="E177">
        <v>11</v>
      </c>
      <c r="F177">
        <v>34</v>
      </c>
      <c r="G177">
        <v>134</v>
      </c>
      <c r="H177">
        <v>94</v>
      </c>
      <c r="I177">
        <v>93</v>
      </c>
      <c r="J177">
        <v>82</v>
      </c>
      <c r="K177">
        <v>231</v>
      </c>
      <c r="L177">
        <v>279</v>
      </c>
      <c r="M177">
        <v>351</v>
      </c>
      <c r="N177">
        <v>909</v>
      </c>
    </row>
    <row r="178" spans="1:19" x14ac:dyDescent="0.25">
      <c r="A178" t="s">
        <v>749</v>
      </c>
      <c r="B178">
        <v>727</v>
      </c>
      <c r="C178">
        <v>431</v>
      </c>
      <c r="D178">
        <v>482</v>
      </c>
      <c r="E178">
        <v>564</v>
      </c>
      <c r="F178">
        <v>446</v>
      </c>
      <c r="G178">
        <v>354</v>
      </c>
      <c r="H178">
        <v>691</v>
      </c>
      <c r="I178" s="2">
        <v>1139</v>
      </c>
      <c r="J178" s="2">
        <v>1676</v>
      </c>
      <c r="K178" s="2">
        <v>2648</v>
      </c>
      <c r="L178" s="2">
        <v>3260</v>
      </c>
      <c r="M178" s="2">
        <v>4289</v>
      </c>
      <c r="N178" s="2">
        <v>4768</v>
      </c>
    </row>
    <row r="179" spans="1:19" x14ac:dyDescent="0.25">
      <c r="A179" t="s">
        <v>303</v>
      </c>
      <c r="B179">
        <v>127</v>
      </c>
      <c r="C179">
        <v>214</v>
      </c>
      <c r="D179">
        <v>180</v>
      </c>
      <c r="E179">
        <v>176</v>
      </c>
      <c r="F179">
        <v>214</v>
      </c>
      <c r="G179">
        <v>357</v>
      </c>
      <c r="H179">
        <v>197</v>
      </c>
      <c r="I179">
        <v>167</v>
      </c>
      <c r="J179">
        <v>197</v>
      </c>
      <c r="K179">
        <v>892</v>
      </c>
      <c r="L179">
        <v>812</v>
      </c>
      <c r="M179" s="2">
        <v>1094</v>
      </c>
      <c r="N179" s="2">
        <v>2243</v>
      </c>
      <c r="O179" s="2">
        <v>13590.4</v>
      </c>
      <c r="P179" s="2">
        <v>30896.99</v>
      </c>
      <c r="Q179" s="2">
        <v>46931.98</v>
      </c>
      <c r="R179" s="2">
        <v>78972.52</v>
      </c>
      <c r="S179" s="2">
        <v>110395.86</v>
      </c>
    </row>
    <row r="180" spans="1:19" x14ac:dyDescent="0.25">
      <c r="A180" t="s">
        <v>428</v>
      </c>
      <c r="B180">
        <v>71</v>
      </c>
      <c r="C180">
        <v>193</v>
      </c>
      <c r="D180">
        <v>33</v>
      </c>
      <c r="E180">
        <v>32</v>
      </c>
      <c r="F180">
        <v>33</v>
      </c>
      <c r="G180">
        <v>34</v>
      </c>
      <c r="H180">
        <v>233</v>
      </c>
      <c r="I180">
        <v>378</v>
      </c>
      <c r="J180">
        <v>312</v>
      </c>
      <c r="K180" s="2">
        <v>1265</v>
      </c>
      <c r="L180" s="2">
        <v>1259</v>
      </c>
      <c r="M180" s="2">
        <v>1878</v>
      </c>
      <c r="N180" s="2">
        <v>2160</v>
      </c>
      <c r="O180" s="2">
        <v>2662</v>
      </c>
      <c r="P180" s="2">
        <v>2662</v>
      </c>
      <c r="Q180" s="2">
        <v>2662</v>
      </c>
      <c r="R180" s="2">
        <v>2662</v>
      </c>
      <c r="S180" s="2">
        <v>2662</v>
      </c>
    </row>
    <row r="181" spans="1:19" x14ac:dyDescent="0.25">
      <c r="A181" t="s">
        <v>145</v>
      </c>
      <c r="B181">
        <v>71</v>
      </c>
      <c r="C181">
        <v>193</v>
      </c>
      <c r="D181">
        <v>324</v>
      </c>
      <c r="E181">
        <v>204</v>
      </c>
      <c r="F181">
        <v>301</v>
      </c>
      <c r="G181">
        <v>304</v>
      </c>
      <c r="H181">
        <v>253</v>
      </c>
      <c r="I181">
        <v>388</v>
      </c>
      <c r="J181">
        <v>314</v>
      </c>
      <c r="K181" s="2">
        <v>1267</v>
      </c>
      <c r="L181" s="2">
        <v>1268</v>
      </c>
      <c r="M181" s="2">
        <v>1991</v>
      </c>
      <c r="N181" s="2">
        <v>2160</v>
      </c>
      <c r="O181" s="2">
        <v>3054.41</v>
      </c>
      <c r="P181" s="2">
        <v>3990.17</v>
      </c>
      <c r="Q181" s="2">
        <v>4452.8500000000004</v>
      </c>
      <c r="R181" s="2">
        <v>2662</v>
      </c>
      <c r="S181" s="2">
        <v>2662</v>
      </c>
    </row>
    <row r="182" spans="1:19" x14ac:dyDescent="0.25">
      <c r="A182" t="s">
        <v>146</v>
      </c>
      <c r="B182" s="2">
        <v>1453</v>
      </c>
      <c r="C182" s="2">
        <v>1031</v>
      </c>
      <c r="D182">
        <v>764</v>
      </c>
      <c r="E182">
        <v>791</v>
      </c>
      <c r="F182">
        <v>918</v>
      </c>
      <c r="G182" s="2">
        <v>1016</v>
      </c>
      <c r="H182" s="2">
        <v>1431</v>
      </c>
      <c r="I182" s="2">
        <v>2819</v>
      </c>
      <c r="J182" s="2">
        <v>3836</v>
      </c>
      <c r="K182" s="2">
        <v>52561</v>
      </c>
      <c r="L182" s="2">
        <v>51117</v>
      </c>
      <c r="M182" s="2">
        <v>50177</v>
      </c>
      <c r="N182" s="2">
        <v>49979</v>
      </c>
      <c r="O182" s="2">
        <v>52458.51</v>
      </c>
      <c r="P182" s="2">
        <v>53455.37</v>
      </c>
      <c r="Q182" s="2">
        <v>54245.97</v>
      </c>
      <c r="R182" s="2">
        <v>46349.599999999999</v>
      </c>
      <c r="S182" s="2">
        <v>46185.279999999999</v>
      </c>
    </row>
    <row r="183" spans="1:19" x14ac:dyDescent="0.25">
      <c r="A183" t="s">
        <v>409</v>
      </c>
      <c r="B183">
        <v>346</v>
      </c>
      <c r="C183">
        <v>302</v>
      </c>
      <c r="D183">
        <v>188</v>
      </c>
      <c r="E183">
        <v>164</v>
      </c>
      <c r="F183">
        <v>261</v>
      </c>
      <c r="G183">
        <v>348</v>
      </c>
      <c r="H183">
        <v>500</v>
      </c>
      <c r="I183">
        <v>641</v>
      </c>
      <c r="J183">
        <v>702</v>
      </c>
      <c r="K183" s="2">
        <v>1513</v>
      </c>
      <c r="L183" s="2">
        <v>1589</v>
      </c>
      <c r="M183" s="2">
        <v>1802</v>
      </c>
      <c r="N183" s="2">
        <v>2312</v>
      </c>
      <c r="O183" s="2">
        <v>3705.28</v>
      </c>
      <c r="P183" s="2">
        <v>4648.41</v>
      </c>
      <c r="Q183" s="2">
        <v>6313.78</v>
      </c>
      <c r="R183" s="2">
        <v>8585.64</v>
      </c>
      <c r="S183" s="2">
        <v>11314.64</v>
      </c>
    </row>
    <row r="184" spans="1:19" x14ac:dyDescent="0.25">
      <c r="A184" t="s">
        <v>750</v>
      </c>
    </row>
    <row r="185" spans="1:19" x14ac:dyDescent="0.25">
      <c r="A185" t="s">
        <v>751</v>
      </c>
      <c r="G185">
        <v>0</v>
      </c>
      <c r="H185">
        <v>205</v>
      </c>
      <c r="I185">
        <v>208</v>
      </c>
      <c r="J185">
        <v>367</v>
      </c>
      <c r="K185">
        <v>460</v>
      </c>
      <c r="L185">
        <v>633</v>
      </c>
      <c r="M185">
        <v>623</v>
      </c>
      <c r="O185">
        <v>0</v>
      </c>
      <c r="P185">
        <v>0</v>
      </c>
      <c r="Q185">
        <v>0</v>
      </c>
    </row>
    <row r="186" spans="1:19" x14ac:dyDescent="0.25">
      <c r="A186" t="s">
        <v>752</v>
      </c>
      <c r="B186" s="2">
        <v>1107</v>
      </c>
      <c r="C186">
        <v>729</v>
      </c>
      <c r="D186">
        <v>576</v>
      </c>
      <c r="E186">
        <v>627</v>
      </c>
      <c r="F186">
        <v>657</v>
      </c>
      <c r="G186">
        <v>668</v>
      </c>
      <c r="H186">
        <v>726</v>
      </c>
      <c r="I186" s="2">
        <v>1970</v>
      </c>
      <c r="J186" s="2">
        <v>2767</v>
      </c>
      <c r="K186" s="2">
        <v>50588</v>
      </c>
      <c r="L186" s="2">
        <v>48895</v>
      </c>
      <c r="M186" s="2">
        <v>47752</v>
      </c>
      <c r="N186" s="2">
        <v>47667</v>
      </c>
      <c r="O186" s="2">
        <v>48312.25</v>
      </c>
      <c r="P186" s="2">
        <v>48312.25</v>
      </c>
      <c r="Q186" s="2">
        <v>48312.25</v>
      </c>
    </row>
    <row r="187" spans="1:19" x14ac:dyDescent="0.25">
      <c r="A187" t="s">
        <v>413</v>
      </c>
      <c r="B187">
        <v>631</v>
      </c>
      <c r="C187">
        <v>385</v>
      </c>
      <c r="D187">
        <v>278</v>
      </c>
      <c r="E187">
        <v>289</v>
      </c>
      <c r="F187">
        <v>289</v>
      </c>
      <c r="G187">
        <v>289</v>
      </c>
      <c r="H187">
        <v>289</v>
      </c>
      <c r="I187">
        <v>289</v>
      </c>
      <c r="J187">
        <v>289</v>
      </c>
      <c r="K187" s="2">
        <v>48295</v>
      </c>
      <c r="L187" s="2">
        <v>45625</v>
      </c>
      <c r="M187" s="2">
        <v>43769</v>
      </c>
      <c r="N187" s="2">
        <v>41831</v>
      </c>
      <c r="O187" s="2">
        <v>40416.019999999997</v>
      </c>
      <c r="P187" s="2">
        <v>39539.64</v>
      </c>
      <c r="Q187" s="2">
        <v>36807</v>
      </c>
      <c r="R187" s="2">
        <v>41105</v>
      </c>
      <c r="S187" s="2">
        <v>41105</v>
      </c>
    </row>
    <row r="188" spans="1:19" x14ac:dyDescent="0.25">
      <c r="A188" t="s">
        <v>152</v>
      </c>
      <c r="B188">
        <v>553</v>
      </c>
      <c r="C188">
        <v>320</v>
      </c>
      <c r="D188">
        <v>278</v>
      </c>
      <c r="E188">
        <v>289</v>
      </c>
      <c r="F188">
        <v>289</v>
      </c>
      <c r="G188">
        <v>289</v>
      </c>
      <c r="H188">
        <v>289</v>
      </c>
      <c r="I188">
        <v>289</v>
      </c>
      <c r="J188">
        <v>289</v>
      </c>
      <c r="K188" s="2">
        <v>24177</v>
      </c>
      <c r="L188" s="2">
        <v>24262</v>
      </c>
      <c r="M188" s="2">
        <v>24839</v>
      </c>
      <c r="N188" s="2">
        <v>25126</v>
      </c>
      <c r="O188" s="2">
        <v>25305.17</v>
      </c>
      <c r="P188" s="2">
        <v>25196.78</v>
      </c>
      <c r="Q188" s="2">
        <v>25026.46</v>
      </c>
      <c r="R188" s="2">
        <v>23159.33</v>
      </c>
      <c r="S188" s="2">
        <v>22784</v>
      </c>
    </row>
    <row r="189" spans="1:19" x14ac:dyDescent="0.25">
      <c r="A189" t="s">
        <v>753</v>
      </c>
      <c r="B189">
        <v>78</v>
      </c>
      <c r="C189">
        <v>65</v>
      </c>
      <c r="D189">
        <v>0</v>
      </c>
      <c r="J189">
        <v>0</v>
      </c>
      <c r="K189" s="2">
        <v>24118</v>
      </c>
      <c r="L189" s="2">
        <v>21363</v>
      </c>
      <c r="M189" s="2">
        <v>18930</v>
      </c>
      <c r="N189" s="2">
        <v>16705</v>
      </c>
      <c r="O189" s="2">
        <v>15204.56</v>
      </c>
      <c r="P189" s="2">
        <v>13948.69</v>
      </c>
      <c r="Q189" s="2">
        <v>11810.5</v>
      </c>
      <c r="R189" s="2">
        <v>11246.33</v>
      </c>
      <c r="S189" s="2">
        <v>10318</v>
      </c>
    </row>
    <row r="190" spans="1:19" x14ac:dyDescent="0.25">
      <c r="A190" t="s">
        <v>754</v>
      </c>
      <c r="B190">
        <v>0</v>
      </c>
      <c r="C190">
        <v>0</v>
      </c>
      <c r="D190">
        <v>0</v>
      </c>
      <c r="E190">
        <v>59</v>
      </c>
      <c r="F190">
        <v>58</v>
      </c>
      <c r="G190">
        <v>0</v>
      </c>
      <c r="H190">
        <v>0</v>
      </c>
      <c r="I190">
        <v>0</v>
      </c>
      <c r="J190">
        <v>69</v>
      </c>
      <c r="K190">
        <v>83</v>
      </c>
      <c r="L190">
        <v>99</v>
      </c>
      <c r="M190">
        <v>149</v>
      </c>
      <c r="O190" s="2">
        <v>6299.5</v>
      </c>
      <c r="P190" s="2">
        <v>8799.5</v>
      </c>
      <c r="Q190" s="2">
        <v>11299.5</v>
      </c>
      <c r="R190">
        <v>0</v>
      </c>
      <c r="S190">
        <v>0</v>
      </c>
    </row>
    <row r="191" spans="1:19" x14ac:dyDescent="0.25">
      <c r="A191" t="s">
        <v>311</v>
      </c>
      <c r="B191">
        <v>18</v>
      </c>
      <c r="C191">
        <v>33</v>
      </c>
      <c r="D191">
        <v>48</v>
      </c>
      <c r="E191">
        <v>11</v>
      </c>
      <c r="F191">
        <v>11</v>
      </c>
      <c r="G191">
        <v>15</v>
      </c>
      <c r="H191">
        <v>22</v>
      </c>
      <c r="I191" s="2">
        <v>1245</v>
      </c>
      <c r="J191">
        <v>931</v>
      </c>
      <c r="K191">
        <v>58</v>
      </c>
      <c r="L191">
        <v>366</v>
      </c>
      <c r="M191">
        <v>688</v>
      </c>
      <c r="N191">
        <v>384</v>
      </c>
      <c r="O191">
        <v>482.8</v>
      </c>
      <c r="P191">
        <v>504.4</v>
      </c>
      <c r="Q191">
        <v>547.33000000000004</v>
      </c>
    </row>
    <row r="192" spans="1:19" x14ac:dyDescent="0.25">
      <c r="A192" t="s">
        <v>154</v>
      </c>
      <c r="B192">
        <v>386</v>
      </c>
      <c r="C192">
        <v>344</v>
      </c>
      <c r="D192">
        <v>298</v>
      </c>
      <c r="E192">
        <v>279</v>
      </c>
      <c r="F192">
        <v>310</v>
      </c>
      <c r="G192">
        <v>321</v>
      </c>
      <c r="H192">
        <v>357</v>
      </c>
      <c r="I192">
        <v>373</v>
      </c>
      <c r="J192" s="2">
        <v>1478</v>
      </c>
      <c r="K192" s="2">
        <v>2152</v>
      </c>
      <c r="L192" s="2">
        <v>2805</v>
      </c>
      <c r="M192" s="2">
        <v>3146</v>
      </c>
      <c r="N192" s="2">
        <v>5452</v>
      </c>
      <c r="O192" s="2">
        <v>7080.7</v>
      </c>
      <c r="P192" s="2">
        <v>7466.68</v>
      </c>
      <c r="Q192" s="2">
        <v>7086.67</v>
      </c>
    </row>
    <row r="193" spans="1:19" x14ac:dyDescent="0.25">
      <c r="A193" t="s">
        <v>155</v>
      </c>
      <c r="B193" s="2">
        <v>4337</v>
      </c>
      <c r="C193" s="2">
        <v>3767</v>
      </c>
      <c r="D193" s="2">
        <v>3084</v>
      </c>
      <c r="E193" s="2">
        <v>3328</v>
      </c>
      <c r="F193" s="2">
        <v>3552</v>
      </c>
      <c r="G193" s="2">
        <v>4556</v>
      </c>
      <c r="H193" s="2">
        <v>6028</v>
      </c>
      <c r="I193" s="2">
        <v>8962</v>
      </c>
      <c r="J193" s="2">
        <v>12419</v>
      </c>
      <c r="K193" s="2">
        <v>67580</v>
      </c>
      <c r="L193" s="2">
        <v>67885</v>
      </c>
      <c r="M193" s="2">
        <v>69226</v>
      </c>
      <c r="N193" s="2">
        <v>76926</v>
      </c>
      <c r="O193" s="2">
        <v>91393.69</v>
      </c>
      <c r="P193" s="2">
        <v>121044.67</v>
      </c>
      <c r="Q193" s="2">
        <v>162206.87</v>
      </c>
      <c r="R193" s="2">
        <v>243663.19</v>
      </c>
      <c r="S193" s="2">
        <v>324511.55</v>
      </c>
    </row>
    <row r="194" spans="1:19" x14ac:dyDescent="0.25">
      <c r="A194" t="s">
        <v>17</v>
      </c>
    </row>
    <row r="195" spans="1:19" x14ac:dyDescent="0.25">
      <c r="A195" t="s">
        <v>156</v>
      </c>
    </row>
    <row r="196" spans="1:19" x14ac:dyDescent="0.25">
      <c r="A196" t="s">
        <v>157</v>
      </c>
      <c r="B196" s="2">
        <v>1618</v>
      </c>
      <c r="C196" s="2">
        <v>1440</v>
      </c>
      <c r="D196" s="2">
        <v>1403</v>
      </c>
      <c r="E196" s="2">
        <v>1346</v>
      </c>
      <c r="F196" s="2">
        <v>1513</v>
      </c>
      <c r="G196" s="2">
        <v>1984</v>
      </c>
      <c r="H196" s="2">
        <v>2359</v>
      </c>
      <c r="I196" s="2">
        <v>2417</v>
      </c>
      <c r="J196" s="2">
        <v>4240</v>
      </c>
      <c r="K196" s="2">
        <v>6369</v>
      </c>
      <c r="L196" s="2">
        <v>6689</v>
      </c>
      <c r="M196" s="2">
        <v>7281</v>
      </c>
      <c r="N196" s="2">
        <v>9455</v>
      </c>
      <c r="O196" s="2">
        <v>13290.06</v>
      </c>
      <c r="P196" s="2">
        <v>18859.080000000002</v>
      </c>
      <c r="Q196" s="2">
        <v>22995.200000000001</v>
      </c>
      <c r="R196" s="2">
        <v>24177.14</v>
      </c>
      <c r="S196" s="2">
        <v>28805.200000000001</v>
      </c>
    </row>
    <row r="197" spans="1:19" x14ac:dyDescent="0.25">
      <c r="A197" t="s">
        <v>755</v>
      </c>
      <c r="B197">
        <v>364</v>
      </c>
      <c r="C197">
        <v>218</v>
      </c>
      <c r="D197">
        <v>245</v>
      </c>
      <c r="E197">
        <v>383</v>
      </c>
      <c r="F197">
        <v>412</v>
      </c>
      <c r="G197">
        <v>207</v>
      </c>
      <c r="H197">
        <v>213</v>
      </c>
      <c r="I197">
        <v>78</v>
      </c>
      <c r="J197">
        <v>85</v>
      </c>
      <c r="K197">
        <v>463</v>
      </c>
      <c r="L197">
        <v>363</v>
      </c>
      <c r="M197">
        <v>476</v>
      </c>
      <c r="N197">
        <v>0</v>
      </c>
      <c r="O197">
        <v>874</v>
      </c>
      <c r="P197">
        <v>437</v>
      </c>
      <c r="Q197">
        <v>874</v>
      </c>
    </row>
    <row r="198" spans="1:19" x14ac:dyDescent="0.25">
      <c r="A198" t="s">
        <v>158</v>
      </c>
      <c r="B198">
        <v>519</v>
      </c>
      <c r="C198">
        <v>415</v>
      </c>
      <c r="D198">
        <v>279</v>
      </c>
      <c r="E198">
        <v>440</v>
      </c>
      <c r="F198">
        <v>384</v>
      </c>
      <c r="G198">
        <v>834</v>
      </c>
      <c r="H198">
        <v>988</v>
      </c>
      <c r="I198">
        <v>468</v>
      </c>
      <c r="J198" s="2">
        <v>1321</v>
      </c>
      <c r="K198" s="2">
        <v>2493</v>
      </c>
      <c r="L198" s="2">
        <v>2055</v>
      </c>
      <c r="M198" s="2">
        <v>1990</v>
      </c>
      <c r="N198" s="2">
        <v>2929</v>
      </c>
      <c r="O198" s="2">
        <v>5430.42</v>
      </c>
      <c r="P198" s="2">
        <v>8564.4</v>
      </c>
      <c r="Q198" s="2">
        <v>10305.450000000001</v>
      </c>
      <c r="R198" s="2">
        <v>13995.14</v>
      </c>
      <c r="S198" s="2">
        <v>17805.87</v>
      </c>
    </row>
    <row r="199" spans="1:19" x14ac:dyDescent="0.25">
      <c r="A199" t="s">
        <v>414</v>
      </c>
      <c r="B199">
        <v>526</v>
      </c>
      <c r="C199">
        <v>551</v>
      </c>
      <c r="D199">
        <v>472</v>
      </c>
      <c r="E199">
        <v>391</v>
      </c>
      <c r="F199">
        <v>555</v>
      </c>
      <c r="G199">
        <v>783</v>
      </c>
      <c r="H199" s="2">
        <v>1084</v>
      </c>
      <c r="I199" s="2">
        <v>1796</v>
      </c>
      <c r="J199" s="2">
        <v>2424</v>
      </c>
      <c r="K199" s="2">
        <v>3077</v>
      </c>
      <c r="L199" s="2">
        <v>3082</v>
      </c>
      <c r="M199" s="2">
        <v>4260</v>
      </c>
      <c r="N199" s="2">
        <v>5250</v>
      </c>
      <c r="O199" s="2">
        <v>6453.09</v>
      </c>
      <c r="P199" s="2">
        <v>8401.06</v>
      </c>
      <c r="Q199" s="2">
        <v>9552.6200000000008</v>
      </c>
      <c r="R199" s="2">
        <v>5546</v>
      </c>
      <c r="S199" s="2">
        <v>5546</v>
      </c>
    </row>
    <row r="200" spans="1:19" x14ac:dyDescent="0.25">
      <c r="A200" t="s">
        <v>313</v>
      </c>
      <c r="B200">
        <v>0</v>
      </c>
      <c r="C200">
        <v>5</v>
      </c>
      <c r="D200">
        <v>230</v>
      </c>
      <c r="E200">
        <v>0</v>
      </c>
      <c r="F200">
        <v>70</v>
      </c>
      <c r="G200">
        <v>136</v>
      </c>
      <c r="H200">
        <v>0</v>
      </c>
      <c r="I200">
        <v>0</v>
      </c>
      <c r="J200">
        <v>312</v>
      </c>
      <c r="K200">
        <v>0</v>
      </c>
      <c r="L200">
        <v>751</v>
      </c>
      <c r="M200">
        <v>0</v>
      </c>
      <c r="N200">
        <v>0</v>
      </c>
      <c r="O200">
        <v>869.41</v>
      </c>
      <c r="P200">
        <v>823.35</v>
      </c>
      <c r="Q200">
        <v>849.2</v>
      </c>
    </row>
    <row r="201" spans="1:19" x14ac:dyDescent="0.25">
      <c r="A201" t="s">
        <v>314</v>
      </c>
      <c r="B201">
        <v>0</v>
      </c>
      <c r="C201">
        <v>0</v>
      </c>
      <c r="D201">
        <v>124</v>
      </c>
      <c r="E201">
        <v>69</v>
      </c>
      <c r="F201">
        <v>92</v>
      </c>
      <c r="G201">
        <v>24</v>
      </c>
      <c r="H201">
        <v>74</v>
      </c>
      <c r="I201">
        <v>75</v>
      </c>
      <c r="J201">
        <v>98</v>
      </c>
      <c r="K201">
        <v>336</v>
      </c>
      <c r="L201">
        <v>438</v>
      </c>
      <c r="M201">
        <v>555</v>
      </c>
      <c r="N201">
        <v>402</v>
      </c>
      <c r="O201">
        <v>458.81</v>
      </c>
      <c r="P201">
        <v>564.78</v>
      </c>
      <c r="Q201">
        <v>739</v>
      </c>
      <c r="R201">
        <v>738.5</v>
      </c>
      <c r="S201">
        <v>738.5</v>
      </c>
    </row>
    <row r="202" spans="1:19" x14ac:dyDescent="0.25">
      <c r="A202" t="s">
        <v>164</v>
      </c>
      <c r="B202" s="2">
        <v>2175</v>
      </c>
      <c r="C202" s="2">
        <v>2140</v>
      </c>
      <c r="D202" s="2">
        <v>2093</v>
      </c>
      <c r="E202" s="2">
        <v>1559</v>
      </c>
      <c r="F202" s="2">
        <v>1443</v>
      </c>
      <c r="G202" s="2">
        <v>1306</v>
      </c>
      <c r="H202">
        <v>842</v>
      </c>
      <c r="I202">
        <v>708</v>
      </c>
      <c r="J202">
        <v>682</v>
      </c>
      <c r="K202" s="2">
        <v>6461</v>
      </c>
      <c r="L202" s="2">
        <v>5304</v>
      </c>
      <c r="M202" s="2">
        <v>4377</v>
      </c>
      <c r="N202" s="2">
        <v>4472</v>
      </c>
      <c r="O202" s="2">
        <v>4908.79</v>
      </c>
      <c r="P202" s="2">
        <v>4631.6400000000003</v>
      </c>
      <c r="Q202" s="2">
        <v>4595.3599999999997</v>
      </c>
      <c r="R202" s="2">
        <v>5159</v>
      </c>
      <c r="S202" s="2">
        <v>5159</v>
      </c>
    </row>
    <row r="203" spans="1:19" x14ac:dyDescent="0.25">
      <c r="A203" t="s">
        <v>315</v>
      </c>
      <c r="B203" s="2">
        <v>1982</v>
      </c>
      <c r="C203" s="2">
        <v>2023</v>
      </c>
      <c r="D203" s="2">
        <v>2007</v>
      </c>
      <c r="E203" s="2">
        <v>1435</v>
      </c>
      <c r="F203" s="2">
        <v>1325</v>
      </c>
      <c r="G203" s="2">
        <v>1114</v>
      </c>
      <c r="H203">
        <v>486</v>
      </c>
      <c r="I203">
        <v>330</v>
      </c>
      <c r="J203">
        <v>1</v>
      </c>
      <c r="K203" s="2">
        <v>2467</v>
      </c>
      <c r="L203" s="2">
        <v>1717</v>
      </c>
      <c r="M203" s="2">
        <v>1721</v>
      </c>
      <c r="N203" s="2">
        <v>2348</v>
      </c>
      <c r="O203" s="2">
        <v>2552.39</v>
      </c>
      <c r="P203" s="2">
        <v>2215.17</v>
      </c>
      <c r="Q203" s="2">
        <v>2091.8000000000002</v>
      </c>
      <c r="R203" s="2">
        <v>2351</v>
      </c>
      <c r="S203" s="2">
        <v>2351</v>
      </c>
    </row>
    <row r="204" spans="1:19" x14ac:dyDescent="0.25">
      <c r="A204" t="s">
        <v>419</v>
      </c>
      <c r="G204">
        <v>0</v>
      </c>
      <c r="H204">
        <v>199</v>
      </c>
      <c r="I204">
        <v>201</v>
      </c>
      <c r="J204">
        <v>348</v>
      </c>
      <c r="K204">
        <v>396</v>
      </c>
      <c r="L204">
        <v>535</v>
      </c>
      <c r="M204">
        <v>491</v>
      </c>
      <c r="N204">
        <v>625</v>
      </c>
      <c r="O204">
        <v>928.57</v>
      </c>
      <c r="P204">
        <v>928.57</v>
      </c>
      <c r="Q204">
        <v>880</v>
      </c>
      <c r="R204" s="2">
        <v>1050</v>
      </c>
      <c r="S204" s="2">
        <v>1050</v>
      </c>
    </row>
    <row r="205" spans="1:19" x14ac:dyDescent="0.25">
      <c r="A205" t="s">
        <v>501</v>
      </c>
      <c r="E205">
        <v>11</v>
      </c>
      <c r="G205">
        <v>11</v>
      </c>
      <c r="H205">
        <v>11</v>
      </c>
      <c r="I205">
        <v>11</v>
      </c>
      <c r="J205">
        <v>12</v>
      </c>
      <c r="K205" s="2">
        <v>1934</v>
      </c>
      <c r="L205" s="2">
        <v>1202</v>
      </c>
      <c r="M205">
        <v>349</v>
      </c>
      <c r="N205">
        <v>313</v>
      </c>
      <c r="O205">
        <v>301.86</v>
      </c>
      <c r="P205">
        <v>301.86</v>
      </c>
      <c r="Q205">
        <v>303.25</v>
      </c>
    </row>
    <row r="206" spans="1:19" x14ac:dyDescent="0.25">
      <c r="A206" t="s">
        <v>78</v>
      </c>
      <c r="B206">
        <v>177</v>
      </c>
      <c r="C206">
        <v>105</v>
      </c>
      <c r="D206">
        <v>86</v>
      </c>
      <c r="E206">
        <v>124</v>
      </c>
      <c r="F206">
        <v>118</v>
      </c>
      <c r="G206">
        <v>181</v>
      </c>
      <c r="H206">
        <v>146</v>
      </c>
      <c r="I206">
        <v>166</v>
      </c>
      <c r="J206">
        <v>321</v>
      </c>
      <c r="K206" s="2">
        <v>1664</v>
      </c>
      <c r="L206" s="2">
        <v>1850</v>
      </c>
      <c r="M206" s="2">
        <v>1816</v>
      </c>
      <c r="N206" s="2">
        <v>1186</v>
      </c>
      <c r="O206" s="2">
        <v>1571.45</v>
      </c>
      <c r="P206" s="2">
        <v>1947.85</v>
      </c>
      <c r="Q206" s="2">
        <v>1367.33</v>
      </c>
    </row>
    <row r="207" spans="1:19" x14ac:dyDescent="0.25">
      <c r="A207" t="s">
        <v>167</v>
      </c>
      <c r="B207" s="2">
        <v>3793</v>
      </c>
      <c r="C207" s="2">
        <v>3580</v>
      </c>
      <c r="D207" s="2">
        <v>3496</v>
      </c>
      <c r="E207" s="2">
        <v>2905</v>
      </c>
      <c r="F207" s="2">
        <v>2956</v>
      </c>
      <c r="G207" s="2">
        <v>3290</v>
      </c>
      <c r="H207" s="2">
        <v>3201</v>
      </c>
      <c r="I207" s="2">
        <v>3125</v>
      </c>
      <c r="J207" s="2">
        <v>4922</v>
      </c>
      <c r="K207" s="2">
        <v>12830</v>
      </c>
      <c r="L207" s="2">
        <v>11993</v>
      </c>
      <c r="M207" s="2">
        <v>11658</v>
      </c>
      <c r="N207" s="2">
        <v>13927</v>
      </c>
      <c r="O207" s="2">
        <v>18008.79</v>
      </c>
      <c r="P207" s="2">
        <v>23538.52</v>
      </c>
      <c r="Q207" s="2">
        <v>27636.09</v>
      </c>
      <c r="R207" s="2">
        <v>31968.67</v>
      </c>
      <c r="S207" s="2">
        <v>37436.67</v>
      </c>
    </row>
    <row r="208" spans="1:19" x14ac:dyDescent="0.25">
      <c r="A208" t="s">
        <v>170</v>
      </c>
      <c r="B208">
        <v>544</v>
      </c>
      <c r="C208">
        <v>187</v>
      </c>
      <c r="D208">
        <v>-412</v>
      </c>
      <c r="E208">
        <v>416</v>
      </c>
      <c r="F208">
        <v>596</v>
      </c>
      <c r="G208" s="2">
        <v>1266</v>
      </c>
      <c r="H208" s="2">
        <v>2827</v>
      </c>
      <c r="I208" s="2">
        <v>5837</v>
      </c>
      <c r="J208" s="2">
        <v>7497</v>
      </c>
      <c r="K208" s="2">
        <v>54750</v>
      </c>
      <c r="L208" s="2">
        <v>55892</v>
      </c>
      <c r="M208" s="2">
        <v>57568</v>
      </c>
      <c r="N208" s="2">
        <v>62999</v>
      </c>
      <c r="O208" s="2">
        <v>73451.31</v>
      </c>
      <c r="P208" s="2">
        <v>96764.97</v>
      </c>
      <c r="Q208" s="2">
        <v>133020.4</v>
      </c>
      <c r="R208" s="2">
        <v>210250.5</v>
      </c>
      <c r="S208" s="2">
        <v>284816.75</v>
      </c>
    </row>
    <row r="209" spans="1:19" x14ac:dyDescent="0.25">
      <c r="A209" t="s">
        <v>171</v>
      </c>
      <c r="B209">
        <v>7</v>
      </c>
      <c r="C209">
        <v>8</v>
      </c>
      <c r="D209">
        <v>8</v>
      </c>
      <c r="E209">
        <v>9</v>
      </c>
      <c r="F209">
        <v>9</v>
      </c>
      <c r="G209">
        <v>10</v>
      </c>
      <c r="H209">
        <v>12</v>
      </c>
      <c r="I209">
        <v>12</v>
      </c>
      <c r="J209">
        <v>12</v>
      </c>
      <c r="K209">
        <v>16</v>
      </c>
      <c r="L209">
        <v>17</v>
      </c>
      <c r="M209">
        <v>17</v>
      </c>
      <c r="N209">
        <v>17</v>
      </c>
      <c r="O209">
        <v>16.399999999999999</v>
      </c>
      <c r="P209">
        <v>16.399999999999999</v>
      </c>
      <c r="Q209">
        <v>16.440000000000001</v>
      </c>
      <c r="R209">
        <v>16</v>
      </c>
      <c r="S209">
        <v>16</v>
      </c>
    </row>
    <row r="210" spans="1:19" x14ac:dyDescent="0.25">
      <c r="A210" t="s">
        <v>503</v>
      </c>
      <c r="B210" s="2">
        <v>6894</v>
      </c>
      <c r="C210" s="2">
        <v>6949</v>
      </c>
      <c r="D210" s="2">
        <v>7017</v>
      </c>
      <c r="E210" s="2">
        <v>8334</v>
      </c>
      <c r="F210" s="2">
        <v>8464</v>
      </c>
      <c r="G210" s="2">
        <v>8750</v>
      </c>
      <c r="H210" s="2">
        <v>9963</v>
      </c>
      <c r="I210" s="2">
        <v>10544</v>
      </c>
      <c r="J210" s="2">
        <v>11069</v>
      </c>
      <c r="K210" s="2">
        <v>58005</v>
      </c>
      <c r="L210" s="2">
        <v>59676</v>
      </c>
      <c r="M210" s="2">
        <v>61362</v>
      </c>
      <c r="N210" s="2">
        <v>63365</v>
      </c>
      <c r="O210" s="2">
        <v>68457.039999999994</v>
      </c>
      <c r="P210" s="2">
        <v>78472.539999999994</v>
      </c>
      <c r="Q210" s="2">
        <v>93244.62</v>
      </c>
      <c r="R210" s="2">
        <v>68642</v>
      </c>
      <c r="S210" s="2">
        <v>76948</v>
      </c>
    </row>
    <row r="211" spans="1:19" x14ac:dyDescent="0.25">
      <c r="A211" t="s">
        <v>174</v>
      </c>
      <c r="B211">
        <v>-2</v>
      </c>
      <c r="C211">
        <v>-5</v>
      </c>
      <c r="D211">
        <v>-8</v>
      </c>
      <c r="E211">
        <v>-5</v>
      </c>
      <c r="F211">
        <v>6</v>
      </c>
      <c r="G211">
        <v>-8</v>
      </c>
      <c r="H211">
        <v>0</v>
      </c>
      <c r="I211">
        <v>17</v>
      </c>
      <c r="J211">
        <v>-3</v>
      </c>
      <c r="K211">
        <v>-41</v>
      </c>
      <c r="L211">
        <v>-10</v>
      </c>
      <c r="M211">
        <v>-69</v>
      </c>
      <c r="N211">
        <v>-3</v>
      </c>
      <c r="O211">
        <v>-56.25</v>
      </c>
      <c r="P211">
        <v>-56.25</v>
      </c>
      <c r="Q211">
        <v>-50.33</v>
      </c>
    </row>
    <row r="212" spans="1:19" x14ac:dyDescent="0.25">
      <c r="A212" t="s">
        <v>325</v>
      </c>
      <c r="B212">
        <v>112</v>
      </c>
      <c r="C212">
        <v>119</v>
      </c>
      <c r="D212">
        <v>0</v>
      </c>
      <c r="E212">
        <v>0</v>
      </c>
      <c r="F212">
        <v>108</v>
      </c>
      <c r="G212">
        <v>50</v>
      </c>
      <c r="H212">
        <v>53</v>
      </c>
      <c r="I212">
        <v>131</v>
      </c>
      <c r="J212" s="2">
        <v>2130</v>
      </c>
      <c r="K212" s="2">
        <v>3099</v>
      </c>
      <c r="L212" s="2">
        <v>4514</v>
      </c>
      <c r="M212" s="2">
        <v>6106</v>
      </c>
      <c r="N212" s="2">
        <v>7079</v>
      </c>
      <c r="O212" s="2">
        <v>2827.33</v>
      </c>
      <c r="P212" s="2">
        <v>4099.33</v>
      </c>
      <c r="Q212" s="2">
        <v>7710</v>
      </c>
    </row>
    <row r="213" spans="1:19" x14ac:dyDescent="0.25">
      <c r="A213" t="s">
        <v>173</v>
      </c>
      <c r="B213" s="2">
        <v>-6243</v>
      </c>
      <c r="C213" s="2">
        <v>-6646</v>
      </c>
      <c r="D213" s="2">
        <v>-7306</v>
      </c>
      <c r="E213" s="2">
        <v>-7803</v>
      </c>
      <c r="F213" s="2">
        <v>-7775</v>
      </c>
      <c r="G213" s="2">
        <v>-7436</v>
      </c>
      <c r="H213" s="2">
        <v>-7095</v>
      </c>
      <c r="I213" s="2">
        <v>-4605</v>
      </c>
      <c r="J213" s="2">
        <v>-1451</v>
      </c>
      <c r="K213">
        <v>-131</v>
      </c>
      <c r="L213">
        <v>723</v>
      </c>
      <c r="M213" s="2">
        <v>2364</v>
      </c>
      <c r="N213" s="2">
        <v>6699</v>
      </c>
      <c r="O213" s="2">
        <v>14581.95</v>
      </c>
      <c r="P213" s="2">
        <v>38745.85</v>
      </c>
      <c r="Q213" s="2">
        <v>76657.78</v>
      </c>
      <c r="R213" s="2">
        <v>120175</v>
      </c>
      <c r="S213" s="2">
        <v>185741</v>
      </c>
    </row>
    <row r="214" spans="1:19" x14ac:dyDescent="0.25">
      <c r="A214" t="s">
        <v>326</v>
      </c>
      <c r="B214" s="2">
        <v>4337</v>
      </c>
      <c r="C214" s="2">
        <v>3767</v>
      </c>
      <c r="D214" s="2">
        <v>3084</v>
      </c>
      <c r="E214" s="2">
        <v>3328</v>
      </c>
      <c r="F214" s="2">
        <v>3552</v>
      </c>
      <c r="G214" s="2">
        <v>4556</v>
      </c>
      <c r="H214" s="2">
        <v>6028</v>
      </c>
      <c r="I214" s="2">
        <v>8962</v>
      </c>
      <c r="J214" s="2">
        <v>12419</v>
      </c>
      <c r="K214" s="2">
        <v>67580</v>
      </c>
      <c r="L214" s="2">
        <v>67885</v>
      </c>
      <c r="M214" s="2">
        <v>69226</v>
      </c>
      <c r="N214" s="2">
        <v>76926</v>
      </c>
      <c r="O214" s="2">
        <v>91393.69</v>
      </c>
      <c r="P214" s="2">
        <v>121044.67</v>
      </c>
      <c r="Q214" s="2">
        <v>162206.87</v>
      </c>
      <c r="R214" s="2">
        <v>243663.19</v>
      </c>
      <c r="S214" s="2">
        <v>324511.55</v>
      </c>
    </row>
    <row r="215" spans="1:19" x14ac:dyDescent="0.25">
      <c r="A215" t="s">
        <v>17</v>
      </c>
    </row>
    <row r="216" spans="1:19" x14ac:dyDescent="0.25">
      <c r="A216" t="s">
        <v>176</v>
      </c>
    </row>
    <row r="217" spans="1:19" x14ac:dyDescent="0.25">
      <c r="A217" t="s">
        <v>180</v>
      </c>
      <c r="B217">
        <v>-15.34</v>
      </c>
      <c r="C217">
        <v>-110.26</v>
      </c>
      <c r="D217">
        <v>586.66999999999996</v>
      </c>
      <c r="E217" s="2">
        <v>-24900</v>
      </c>
      <c r="F217">
        <v>-6.52</v>
      </c>
      <c r="G217">
        <v>36.200000000000003</v>
      </c>
      <c r="H217">
        <v>16.66</v>
      </c>
      <c r="I217">
        <v>57.48</v>
      </c>
      <c r="J217">
        <v>47.43</v>
      </c>
      <c r="K217">
        <v>4.24</v>
      </c>
      <c r="L217">
        <v>1.54</v>
      </c>
      <c r="M217">
        <v>2.89</v>
      </c>
      <c r="N217">
        <v>7.19</v>
      </c>
      <c r="O217">
        <v>14.28</v>
      </c>
      <c r="P217">
        <v>24.19</v>
      </c>
      <c r="Q217">
        <v>27.59</v>
      </c>
      <c r="R217">
        <v>17.3</v>
      </c>
      <c r="S217">
        <v>17.5</v>
      </c>
    </row>
    <row r="218" spans="1:19" x14ac:dyDescent="0.25">
      <c r="A218" t="s">
        <v>611</v>
      </c>
      <c r="B218">
        <v>57.15</v>
      </c>
      <c r="C218">
        <v>54.08</v>
      </c>
      <c r="D218">
        <v>48.61</v>
      </c>
      <c r="E218">
        <v>26.71</v>
      </c>
      <c r="F218">
        <v>31.46</v>
      </c>
      <c r="G218">
        <v>69.430000000000007</v>
      </c>
      <c r="H218">
        <v>100.53</v>
      </c>
      <c r="I218">
        <v>77.03</v>
      </c>
      <c r="J218">
        <v>59.94</v>
      </c>
      <c r="K218">
        <v>64.86</v>
      </c>
      <c r="L218">
        <v>86.28</v>
      </c>
      <c r="M218">
        <v>87.41</v>
      </c>
      <c r="N218">
        <v>66.36</v>
      </c>
      <c r="O218">
        <v>75.37</v>
      </c>
      <c r="P218">
        <v>81.819999999999993</v>
      </c>
      <c r="Q218">
        <v>57.1</v>
      </c>
    </row>
    <row r="219" spans="1:19" x14ac:dyDescent="0.25">
      <c r="A219" t="s">
        <v>756</v>
      </c>
      <c r="B219">
        <v>1.51</v>
      </c>
      <c r="C219">
        <v>1.34</v>
      </c>
      <c r="D219">
        <v>0.99</v>
      </c>
      <c r="E219">
        <v>1.35</v>
      </c>
      <c r="F219">
        <v>1.23</v>
      </c>
      <c r="G219">
        <v>1.1499999999999999</v>
      </c>
      <c r="H219">
        <v>1.28</v>
      </c>
      <c r="I219">
        <v>1.89</v>
      </c>
      <c r="J219">
        <v>2.99</v>
      </c>
      <c r="K219">
        <v>3.63</v>
      </c>
      <c r="L219">
        <v>3.57</v>
      </c>
      <c r="M219">
        <v>3.16</v>
      </c>
      <c r="N219">
        <v>6.47</v>
      </c>
      <c r="O219">
        <v>8.39</v>
      </c>
      <c r="P219">
        <v>15.6</v>
      </c>
      <c r="Q219">
        <v>39.75</v>
      </c>
      <c r="R219">
        <v>66.239999999999995</v>
      </c>
      <c r="S219">
        <v>100.49</v>
      </c>
    </row>
    <row r="220" spans="1:19" x14ac:dyDescent="0.25">
      <c r="A220" t="s">
        <v>186</v>
      </c>
      <c r="B220">
        <v>1.78</v>
      </c>
      <c r="C220">
        <v>1.9</v>
      </c>
      <c r="D220">
        <v>1.65</v>
      </c>
      <c r="E220">
        <v>1.88</v>
      </c>
      <c r="F220">
        <v>1.74</v>
      </c>
      <c r="G220">
        <v>1.78</v>
      </c>
      <c r="H220">
        <v>1.95</v>
      </c>
      <c r="I220">
        <v>2.54</v>
      </c>
      <c r="J220">
        <v>2.02</v>
      </c>
      <c r="K220">
        <v>2.36</v>
      </c>
      <c r="L220">
        <v>2.5099999999999998</v>
      </c>
      <c r="M220">
        <v>2.62</v>
      </c>
      <c r="N220">
        <v>2.85</v>
      </c>
      <c r="O220">
        <v>2.97</v>
      </c>
      <c r="P220">
        <v>3.83</v>
      </c>
      <c r="Q220">
        <v>5.74</v>
      </c>
      <c r="R220">
        <v>5.71</v>
      </c>
      <c r="S220">
        <v>6.85</v>
      </c>
    </row>
    <row r="221" spans="1:19" x14ac:dyDescent="0.25">
      <c r="A221" t="s">
        <v>757</v>
      </c>
      <c r="B221">
        <v>1.19</v>
      </c>
      <c r="C221">
        <v>1.29</v>
      </c>
      <c r="D221">
        <v>0.94</v>
      </c>
      <c r="E221">
        <v>1.17</v>
      </c>
      <c r="F221">
        <v>1.08</v>
      </c>
      <c r="G221">
        <v>1.21</v>
      </c>
      <c r="H221">
        <v>1.43</v>
      </c>
      <c r="I221">
        <v>1.8</v>
      </c>
      <c r="J221">
        <v>1.49</v>
      </c>
      <c r="K221">
        <v>1.57</v>
      </c>
      <c r="L221">
        <v>1.67</v>
      </c>
      <c r="M221">
        <v>1.56</v>
      </c>
      <c r="N221">
        <v>1.78</v>
      </c>
      <c r="O221">
        <v>2.31</v>
      </c>
      <c r="P221">
        <v>3.11</v>
      </c>
      <c r="Q221">
        <v>6.84</v>
      </c>
      <c r="R221">
        <v>4.4400000000000004</v>
      </c>
      <c r="S221">
        <v>4.58</v>
      </c>
    </row>
    <row r="222" spans="1:19" x14ac:dyDescent="0.25">
      <c r="A222" t="s">
        <v>327</v>
      </c>
      <c r="B222">
        <v>1.27</v>
      </c>
      <c r="C222">
        <v>1.36</v>
      </c>
      <c r="D222">
        <v>1.17</v>
      </c>
      <c r="E222">
        <v>1.35</v>
      </c>
      <c r="F222">
        <v>1.53</v>
      </c>
      <c r="G222">
        <v>1.6</v>
      </c>
      <c r="H222">
        <v>1.27</v>
      </c>
      <c r="I222">
        <v>1.3</v>
      </c>
      <c r="J222">
        <v>1.54</v>
      </c>
      <c r="K222">
        <v>0.59</v>
      </c>
      <c r="L222">
        <v>0.33</v>
      </c>
      <c r="M222">
        <v>0.38</v>
      </c>
      <c r="N222">
        <v>0.47</v>
      </c>
      <c r="O222">
        <v>0.62</v>
      </c>
      <c r="P222">
        <v>0.87</v>
      </c>
      <c r="Q222">
        <v>0.94</v>
      </c>
    </row>
    <row r="223" spans="1:19" x14ac:dyDescent="0.25">
      <c r="A223" t="s">
        <v>334</v>
      </c>
      <c r="B223">
        <v>-0.12</v>
      </c>
      <c r="C223">
        <v>-0.26</v>
      </c>
      <c r="D223">
        <v>-0.87</v>
      </c>
      <c r="E223">
        <v>0.14000000000000001</v>
      </c>
      <c r="F223">
        <v>0.32</v>
      </c>
      <c r="G223">
        <v>0.97</v>
      </c>
      <c r="H223">
        <v>2.17</v>
      </c>
      <c r="I223">
        <v>4.58</v>
      </c>
      <c r="J223">
        <v>5.97</v>
      </c>
      <c r="K223">
        <v>4</v>
      </c>
      <c r="L223">
        <v>6.35</v>
      </c>
      <c r="M223">
        <v>8.51</v>
      </c>
      <c r="N223">
        <v>12.99</v>
      </c>
      <c r="O223">
        <v>19.600000000000001</v>
      </c>
      <c r="P223">
        <v>31.95</v>
      </c>
      <c r="Q223">
        <v>58.69</v>
      </c>
      <c r="R223">
        <v>88.29</v>
      </c>
      <c r="S223">
        <v>128.55000000000001</v>
      </c>
    </row>
    <row r="224" spans="1:19" x14ac:dyDescent="0.25">
      <c r="A224" t="s">
        <v>758</v>
      </c>
      <c r="B224">
        <v>587</v>
      </c>
      <c r="C224">
        <v>755</v>
      </c>
      <c r="D224">
        <v>359</v>
      </c>
      <c r="E224">
        <v>538</v>
      </c>
      <c r="F224">
        <v>513</v>
      </c>
      <c r="G224">
        <v>498</v>
      </c>
      <c r="H224" s="2">
        <v>2290</v>
      </c>
      <c r="I224" s="2">
        <v>3032</v>
      </c>
      <c r="J224" s="2">
        <v>9066</v>
      </c>
      <c r="K224" s="2">
        <v>8610</v>
      </c>
      <c r="L224" s="2">
        <v>4594</v>
      </c>
      <c r="M224" s="2">
        <v>4968</v>
      </c>
    </row>
    <row r="225" spans="1:19" x14ac:dyDescent="0.25">
      <c r="A225" t="s">
        <v>333</v>
      </c>
      <c r="B225" s="2">
        <v>1266</v>
      </c>
      <c r="C225" s="2">
        <v>1296</v>
      </c>
      <c r="D225">
        <v>917</v>
      </c>
      <c r="E225" s="2">
        <v>1184</v>
      </c>
      <c r="F225" s="2">
        <v>1121</v>
      </c>
      <c r="G225" s="2">
        <v>1556</v>
      </c>
      <c r="H225" s="2">
        <v>2238</v>
      </c>
      <c r="I225" s="2">
        <v>3726</v>
      </c>
      <c r="J225" s="2">
        <v>4343</v>
      </c>
      <c r="K225" s="2">
        <v>8650</v>
      </c>
      <c r="L225" s="2">
        <v>10079</v>
      </c>
      <c r="M225" s="2">
        <v>11768</v>
      </c>
      <c r="N225" s="2">
        <v>17492</v>
      </c>
      <c r="O225" s="2">
        <v>25905.3</v>
      </c>
      <c r="P225" s="2">
        <v>45842.48</v>
      </c>
      <c r="Q225" s="2">
        <v>91291.42</v>
      </c>
      <c r="R225" s="2">
        <v>153430.35</v>
      </c>
      <c r="S225" s="2">
        <v>241699.8</v>
      </c>
    </row>
    <row r="226" spans="1:19" x14ac:dyDescent="0.25">
      <c r="A226" t="s">
        <v>424</v>
      </c>
      <c r="B226">
        <v>0.72</v>
      </c>
      <c r="C226">
        <v>0.24</v>
      </c>
      <c r="D226">
        <v>-0.53</v>
      </c>
      <c r="E226">
        <v>0.5</v>
      </c>
      <c r="F226">
        <v>0.63</v>
      </c>
      <c r="G226">
        <v>1.19</v>
      </c>
      <c r="H226">
        <v>2.52</v>
      </c>
      <c r="I226">
        <v>4.84</v>
      </c>
      <c r="J226">
        <v>6.1</v>
      </c>
      <c r="K226">
        <v>34.85</v>
      </c>
      <c r="L226">
        <v>34.4</v>
      </c>
      <c r="M226">
        <v>35.17</v>
      </c>
      <c r="N226">
        <v>38.51</v>
      </c>
      <c r="O226">
        <v>44.55</v>
      </c>
      <c r="P226">
        <v>58.54</v>
      </c>
      <c r="Q226">
        <v>83.27</v>
      </c>
      <c r="R226">
        <v>112.44</v>
      </c>
      <c r="S226">
        <v>152.38</v>
      </c>
    </row>
    <row r="227" spans="1:19" x14ac:dyDescent="0.25">
      <c r="A227" t="s">
        <v>609</v>
      </c>
      <c r="B227" s="2">
        <v>2030</v>
      </c>
      <c r="C227" s="2">
        <v>2197</v>
      </c>
      <c r="D227">
        <v>230</v>
      </c>
      <c r="E227" s="2">
        <v>1767</v>
      </c>
      <c r="F227" s="2">
        <v>1769</v>
      </c>
      <c r="G227" s="2">
        <v>1598</v>
      </c>
      <c r="H227">
        <v>563</v>
      </c>
      <c r="I227">
        <v>338</v>
      </c>
      <c r="J227">
        <v>313</v>
      </c>
      <c r="K227" s="2">
        <v>2467</v>
      </c>
      <c r="L227" s="2">
        <v>2468</v>
      </c>
      <c r="M227" s="2">
        <v>1750</v>
      </c>
      <c r="N227" s="2">
        <v>3250</v>
      </c>
      <c r="O227" s="2">
        <v>2938.33</v>
      </c>
      <c r="P227" s="2">
        <v>2790.33</v>
      </c>
      <c r="Q227" s="2">
        <v>2577.5</v>
      </c>
      <c r="R227" s="2">
        <v>1717</v>
      </c>
      <c r="S227" s="2">
        <v>1717</v>
      </c>
    </row>
    <row r="228" spans="1:19" x14ac:dyDescent="0.25">
      <c r="A228" t="s">
        <v>183</v>
      </c>
      <c r="B228">
        <v>725</v>
      </c>
      <c r="C228">
        <v>776</v>
      </c>
      <c r="D228">
        <v>792</v>
      </c>
      <c r="E228">
        <v>935</v>
      </c>
      <c r="F228">
        <v>967</v>
      </c>
      <c r="G228" s="2">
        <v>1005</v>
      </c>
      <c r="H228" s="2">
        <v>1170</v>
      </c>
      <c r="I228" s="2">
        <v>1211</v>
      </c>
      <c r="J228" s="2">
        <v>1207</v>
      </c>
      <c r="K228" s="2">
        <v>1612</v>
      </c>
      <c r="L228" s="2">
        <v>1616</v>
      </c>
      <c r="M228" s="2">
        <v>1622</v>
      </c>
      <c r="N228" s="2">
        <v>1630</v>
      </c>
    </row>
    <row r="229" spans="1:19" x14ac:dyDescent="0.25">
      <c r="A229" t="s">
        <v>184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s="2">
        <v>1762.17</v>
      </c>
      <c r="K229" s="2">
        <v>3698</v>
      </c>
      <c r="L229">
        <v>672.43</v>
      </c>
      <c r="M229">
        <v>608.57000000000005</v>
      </c>
      <c r="N229" s="2">
        <v>1316.57</v>
      </c>
      <c r="O229">
        <v>718.05</v>
      </c>
      <c r="P229">
        <v>-362.33</v>
      </c>
      <c r="Q229" s="2">
        <v>-2469.56</v>
      </c>
    </row>
    <row r="230" spans="1:19" x14ac:dyDescent="0.25">
      <c r="A230" t="s">
        <v>185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16.739999999999998</v>
      </c>
      <c r="K230">
        <v>36.33</v>
      </c>
      <c r="L230">
        <v>9.7100000000000009</v>
      </c>
      <c r="M230">
        <v>5.86</v>
      </c>
      <c r="N230">
        <v>12.39</v>
      </c>
    </row>
    <row r="231" spans="1:19" x14ac:dyDescent="0.25">
      <c r="A231" t="s">
        <v>507</v>
      </c>
      <c r="J231">
        <v>105.24</v>
      </c>
      <c r="K231">
        <v>101.8</v>
      </c>
      <c r="L231">
        <v>69.22</v>
      </c>
      <c r="M231">
        <v>103.87</v>
      </c>
      <c r="N231">
        <v>106.26</v>
      </c>
    </row>
    <row r="232" spans="1:19" x14ac:dyDescent="0.25">
      <c r="A232" t="s">
        <v>17</v>
      </c>
    </row>
    <row r="233" spans="1:19" x14ac:dyDescent="0.25">
      <c r="A233" t="s">
        <v>188</v>
      </c>
    </row>
    <row r="234" spans="1:19" x14ac:dyDescent="0.25">
      <c r="A234" t="s">
        <v>189</v>
      </c>
    </row>
    <row r="235" spans="1:19" x14ac:dyDescent="0.25">
      <c r="A235" t="s">
        <v>121</v>
      </c>
      <c r="B235">
        <v>-83</v>
      </c>
      <c r="C235">
        <v>51</v>
      </c>
      <c r="D235">
        <v>-419</v>
      </c>
      <c r="E235">
        <v>-117</v>
      </c>
      <c r="F235">
        <v>179</v>
      </c>
      <c r="G235">
        <v>514</v>
      </c>
      <c r="H235">
        <v>756</v>
      </c>
      <c r="I235" s="2">
        <v>1575</v>
      </c>
      <c r="J235" s="2">
        <v>3435</v>
      </c>
      <c r="K235" s="2">
        <v>5504</v>
      </c>
      <c r="L235" s="2">
        <v>4302</v>
      </c>
      <c r="M235" s="2">
        <v>5420</v>
      </c>
      <c r="N235" s="2">
        <v>6831</v>
      </c>
      <c r="O235" s="2">
        <v>12690</v>
      </c>
      <c r="P235" s="2">
        <v>26182.79</v>
      </c>
      <c r="Q235" s="2">
        <v>38718</v>
      </c>
      <c r="R235" s="2">
        <v>52304</v>
      </c>
      <c r="S235" s="2">
        <v>75966.83</v>
      </c>
    </row>
    <row r="236" spans="1:19" x14ac:dyDescent="0.25">
      <c r="A236" t="s">
        <v>190</v>
      </c>
      <c r="B236">
        <v>236</v>
      </c>
      <c r="C236">
        <v>203</v>
      </c>
      <c r="D236">
        <v>167</v>
      </c>
      <c r="E236">
        <v>133</v>
      </c>
      <c r="F236">
        <v>144</v>
      </c>
      <c r="G236">
        <v>170</v>
      </c>
      <c r="H236">
        <v>222</v>
      </c>
      <c r="I236">
        <v>312</v>
      </c>
      <c r="J236">
        <v>407</v>
      </c>
      <c r="K236" s="2">
        <v>4174</v>
      </c>
      <c r="L236" s="2">
        <v>3453</v>
      </c>
      <c r="M236" s="2">
        <v>3064</v>
      </c>
      <c r="N236" s="2">
        <v>3004</v>
      </c>
      <c r="O236" s="2">
        <v>2774.65</v>
      </c>
      <c r="P236" s="2">
        <v>2873.21</v>
      </c>
      <c r="Q236" s="2">
        <v>2950.67</v>
      </c>
      <c r="R236" s="2">
        <v>4012</v>
      </c>
      <c r="S236" s="2">
        <v>4746</v>
      </c>
    </row>
    <row r="237" spans="1:19" x14ac:dyDescent="0.25">
      <c r="A237" t="s">
        <v>191</v>
      </c>
      <c r="B237">
        <v>139</v>
      </c>
      <c r="C237">
        <v>115</v>
      </c>
      <c r="D237">
        <v>94</v>
      </c>
      <c r="E237">
        <v>71</v>
      </c>
      <c r="F237">
        <v>77</v>
      </c>
      <c r="G237">
        <v>94</v>
      </c>
      <c r="H237">
        <v>142</v>
      </c>
      <c r="I237">
        <v>217</v>
      </c>
      <c r="J237">
        <v>296</v>
      </c>
      <c r="K237">
        <v>439</v>
      </c>
      <c r="L237">
        <v>441</v>
      </c>
      <c r="M237">
        <v>784</v>
      </c>
      <c r="N237">
        <v>750</v>
      </c>
      <c r="O237">
        <v>899.73</v>
      </c>
      <c r="P237" s="2">
        <v>1153.8</v>
      </c>
      <c r="Q237" s="2">
        <v>1358.01</v>
      </c>
      <c r="R237" s="2">
        <v>1845.8</v>
      </c>
      <c r="S237" s="2">
        <v>1250</v>
      </c>
    </row>
    <row r="238" spans="1:19" x14ac:dyDescent="0.25">
      <c r="A238" t="s">
        <v>192</v>
      </c>
      <c r="B238">
        <v>18</v>
      </c>
      <c r="C238">
        <v>14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2">
        <v>3548</v>
      </c>
      <c r="L238" s="2">
        <v>2811</v>
      </c>
      <c r="M238" s="2">
        <v>2393</v>
      </c>
      <c r="N238" s="2">
        <v>2254</v>
      </c>
      <c r="O238" s="2">
        <v>2021.73</v>
      </c>
      <c r="P238" s="2">
        <v>2155.3000000000002</v>
      </c>
      <c r="Q238" s="2">
        <v>2152.5</v>
      </c>
      <c r="R238" s="2">
        <v>1917.5</v>
      </c>
      <c r="S238" s="2">
        <v>1917.5</v>
      </c>
    </row>
    <row r="239" spans="1:19" x14ac:dyDescent="0.25">
      <c r="A239" t="s">
        <v>703</v>
      </c>
      <c r="D239">
        <v>0</v>
      </c>
      <c r="E239">
        <v>21</v>
      </c>
      <c r="F239">
        <v>36</v>
      </c>
      <c r="G239">
        <v>38</v>
      </c>
      <c r="H239">
        <v>30</v>
      </c>
      <c r="I239">
        <v>14</v>
      </c>
      <c r="J239">
        <v>5</v>
      </c>
      <c r="K239">
        <v>0</v>
      </c>
      <c r="L239">
        <v>0</v>
      </c>
      <c r="M239">
        <v>0</v>
      </c>
      <c r="N239">
        <v>0</v>
      </c>
    </row>
    <row r="240" spans="1:19" x14ac:dyDescent="0.25">
      <c r="A240" t="s">
        <v>335</v>
      </c>
      <c r="B240">
        <v>91</v>
      </c>
      <c r="C240">
        <v>81</v>
      </c>
      <c r="D240">
        <v>63</v>
      </c>
      <c r="E240">
        <v>86</v>
      </c>
      <c r="F240">
        <v>97</v>
      </c>
      <c r="G240">
        <v>137</v>
      </c>
      <c r="H240">
        <v>197</v>
      </c>
      <c r="I240">
        <v>274</v>
      </c>
      <c r="J240">
        <v>379</v>
      </c>
      <c r="K240" s="2">
        <v>1081</v>
      </c>
      <c r="L240" s="2">
        <v>1384</v>
      </c>
      <c r="M240" s="2">
        <v>1407</v>
      </c>
      <c r="N240" s="2">
        <v>1638</v>
      </c>
      <c r="O240" s="2">
        <v>1845.14</v>
      </c>
      <c r="P240" s="2">
        <v>2310.9899999999998</v>
      </c>
      <c r="Q240" s="2">
        <v>2990.21</v>
      </c>
      <c r="R240" s="2">
        <v>5156.08</v>
      </c>
      <c r="S240" s="2">
        <v>6578.56</v>
      </c>
    </row>
    <row r="241" spans="1:19" x14ac:dyDescent="0.25">
      <c r="A241" t="s">
        <v>546</v>
      </c>
      <c r="B241">
        <v>1</v>
      </c>
      <c r="C241">
        <v>0</v>
      </c>
      <c r="D241">
        <v>0</v>
      </c>
      <c r="E241">
        <v>11</v>
      </c>
      <c r="F241">
        <v>0</v>
      </c>
      <c r="G241">
        <v>-4</v>
      </c>
      <c r="H241">
        <v>-7</v>
      </c>
      <c r="I241" s="2">
        <v>-1223</v>
      </c>
      <c r="J241">
        <v>308</v>
      </c>
      <c r="K241" s="2">
        <v>-1505</v>
      </c>
      <c r="L241" s="2">
        <v>-1019</v>
      </c>
      <c r="M241" s="2">
        <v>-1163</v>
      </c>
      <c r="N241">
        <v>248</v>
      </c>
      <c r="O241">
        <v>-106.11</v>
      </c>
      <c r="P241">
        <v>-72</v>
      </c>
      <c r="Q241">
        <v>-54</v>
      </c>
    </row>
    <row r="242" spans="1:19" x14ac:dyDescent="0.25">
      <c r="A242" t="s">
        <v>551</v>
      </c>
    </row>
    <row r="243" spans="1:19" x14ac:dyDescent="0.25">
      <c r="A243" t="s">
        <v>141</v>
      </c>
      <c r="B243">
        <v>-200</v>
      </c>
      <c r="C243">
        <v>7</v>
      </c>
      <c r="D243">
        <v>280</v>
      </c>
      <c r="E243">
        <v>178</v>
      </c>
      <c r="F243">
        <v>-103</v>
      </c>
      <c r="G243">
        <v>-806</v>
      </c>
      <c r="H243">
        <v>-623</v>
      </c>
      <c r="I243">
        <v>-219</v>
      </c>
      <c r="J243">
        <v>-640</v>
      </c>
      <c r="K243" s="2">
        <v>-1091</v>
      </c>
      <c r="L243" s="2">
        <v>-1257</v>
      </c>
      <c r="M243" s="2">
        <v>-1865</v>
      </c>
      <c r="N243">
        <v>-121</v>
      </c>
      <c r="O243" s="2">
        <v>-3294.69</v>
      </c>
      <c r="P243" s="2">
        <v>-5872.55</v>
      </c>
      <c r="Q243" s="2">
        <v>-5262.94</v>
      </c>
      <c r="R243" s="2">
        <v>-11024.18</v>
      </c>
      <c r="S243" s="2">
        <v>-11853.1</v>
      </c>
    </row>
    <row r="244" spans="1:19" x14ac:dyDescent="0.25">
      <c r="A244" t="s">
        <v>158</v>
      </c>
      <c r="B244">
        <v>-89</v>
      </c>
      <c r="C244">
        <v>-146</v>
      </c>
      <c r="D244">
        <v>27</v>
      </c>
      <c r="E244">
        <v>10</v>
      </c>
      <c r="G244">
        <v>212</v>
      </c>
      <c r="H244">
        <v>153</v>
      </c>
      <c r="I244">
        <v>-513</v>
      </c>
      <c r="J244">
        <v>801</v>
      </c>
      <c r="K244">
        <v>931</v>
      </c>
      <c r="L244">
        <v>-419</v>
      </c>
      <c r="M244">
        <v>-109</v>
      </c>
      <c r="N244">
        <v>410</v>
      </c>
      <c r="O244" s="2">
        <v>3143.97</v>
      </c>
      <c r="P244" s="2">
        <v>3940.66</v>
      </c>
      <c r="Q244" s="2">
        <v>4497.22</v>
      </c>
      <c r="R244" s="2">
        <v>8114.08</v>
      </c>
      <c r="S244" s="2">
        <v>8724.18</v>
      </c>
    </row>
    <row r="245" spans="1:19" x14ac:dyDescent="0.25">
      <c r="A245" t="s">
        <v>340</v>
      </c>
      <c r="B245">
        <v>-322</v>
      </c>
      <c r="C245">
        <v>199</v>
      </c>
      <c r="D245">
        <v>-11</v>
      </c>
      <c r="E245">
        <v>-48</v>
      </c>
      <c r="F245">
        <v>-3</v>
      </c>
      <c r="G245">
        <v>-151</v>
      </c>
      <c r="H245">
        <v>-137</v>
      </c>
      <c r="I245">
        <v>-417</v>
      </c>
      <c r="J245">
        <v>-556</v>
      </c>
      <c r="K245" s="2">
        <v>-1401</v>
      </c>
      <c r="L245">
        <v>-580</v>
      </c>
      <c r="M245" s="2">
        <v>-1458</v>
      </c>
      <c r="N245" s="2">
        <v>-2189</v>
      </c>
      <c r="O245" s="2">
        <v>-3510.43</v>
      </c>
      <c r="P245" s="2">
        <v>-6925.04</v>
      </c>
      <c r="Q245" s="2">
        <v>-6281.98</v>
      </c>
      <c r="R245" s="2">
        <v>-12821.42</v>
      </c>
      <c r="S245" s="2">
        <v>-13785.48</v>
      </c>
    </row>
    <row r="246" spans="1:19" x14ac:dyDescent="0.25">
      <c r="A246" t="s">
        <v>203</v>
      </c>
      <c r="B246">
        <v>-103</v>
      </c>
      <c r="C246">
        <v>-120</v>
      </c>
      <c r="D246">
        <v>-27</v>
      </c>
      <c r="E246">
        <v>-162</v>
      </c>
      <c r="F246">
        <v>-173</v>
      </c>
      <c r="G246">
        <v>-98</v>
      </c>
      <c r="H246">
        <v>-162</v>
      </c>
      <c r="I246">
        <v>-221</v>
      </c>
      <c r="J246">
        <v>-912</v>
      </c>
      <c r="K246" s="2">
        <v>-1210</v>
      </c>
      <c r="L246">
        <v>-472</v>
      </c>
      <c r="M246">
        <v>343</v>
      </c>
      <c r="N246">
        <v>-11</v>
      </c>
      <c r="O246">
        <v>-796.62</v>
      </c>
      <c r="P246">
        <v>-568.69000000000005</v>
      </c>
      <c r="Q246" s="2">
        <v>1442.1</v>
      </c>
    </row>
    <row r="247" spans="1:19" x14ac:dyDescent="0.25">
      <c r="A247" t="s">
        <v>759</v>
      </c>
      <c r="E247">
        <v>138</v>
      </c>
      <c r="F247">
        <v>43</v>
      </c>
      <c r="G247">
        <v>35</v>
      </c>
      <c r="H247">
        <v>7</v>
      </c>
      <c r="I247">
        <v>-135</v>
      </c>
      <c r="J247">
        <v>7</v>
      </c>
      <c r="K247">
        <v>379</v>
      </c>
      <c r="L247">
        <v>-100</v>
      </c>
      <c r="M247">
        <v>108</v>
      </c>
      <c r="N247">
        <v>0</v>
      </c>
    </row>
    <row r="248" spans="1:19" x14ac:dyDescent="0.25">
      <c r="A248" t="s">
        <v>760</v>
      </c>
      <c r="B248">
        <v>266</v>
      </c>
      <c r="C248">
        <v>-231</v>
      </c>
      <c r="D248">
        <v>-156</v>
      </c>
      <c r="E248">
        <v>66</v>
      </c>
      <c r="F248">
        <v>-8</v>
      </c>
      <c r="G248">
        <v>81</v>
      </c>
      <c r="H248">
        <v>220</v>
      </c>
      <c r="I248">
        <v>574</v>
      </c>
      <c r="J248">
        <v>526</v>
      </c>
      <c r="K248">
        <v>546</v>
      </c>
      <c r="L248">
        <v>-221</v>
      </c>
      <c r="M248">
        <v>883</v>
      </c>
      <c r="N248">
        <v>-467</v>
      </c>
      <c r="O248">
        <v>332.17</v>
      </c>
      <c r="P248" s="2">
        <v>2118.35</v>
      </c>
    </row>
    <row r="249" spans="1:19" x14ac:dyDescent="0.25">
      <c r="A249" t="s">
        <v>204</v>
      </c>
      <c r="B249">
        <v>-148</v>
      </c>
      <c r="C249">
        <v>-98</v>
      </c>
      <c r="D249">
        <v>-226</v>
      </c>
      <c r="E249">
        <v>81</v>
      </c>
      <c r="F249">
        <v>12</v>
      </c>
      <c r="G249">
        <v>34</v>
      </c>
      <c r="H249">
        <v>493</v>
      </c>
      <c r="I249" s="2">
        <v>1071</v>
      </c>
      <c r="J249" s="2">
        <v>3521</v>
      </c>
      <c r="K249" s="2">
        <v>3565</v>
      </c>
      <c r="L249" s="2">
        <v>1667</v>
      </c>
      <c r="M249" s="2">
        <v>3041</v>
      </c>
      <c r="N249" s="2">
        <v>7709</v>
      </c>
      <c r="O249" s="2">
        <v>10086.33</v>
      </c>
      <c r="P249" s="2">
        <v>20174.669999999998</v>
      </c>
      <c r="Q249" s="2">
        <v>33778.04</v>
      </c>
      <c r="R249" s="2">
        <v>44240.15</v>
      </c>
      <c r="S249" s="2">
        <v>60724.91</v>
      </c>
    </row>
    <row r="250" spans="1:19" x14ac:dyDescent="0.25">
      <c r="A250" t="s">
        <v>17</v>
      </c>
    </row>
    <row r="251" spans="1:19" x14ac:dyDescent="0.25">
      <c r="A251" t="s">
        <v>205</v>
      </c>
    </row>
    <row r="252" spans="1:19" x14ac:dyDescent="0.25">
      <c r="A252" t="s">
        <v>206</v>
      </c>
      <c r="B252">
        <v>-84</v>
      </c>
      <c r="C252">
        <v>-95</v>
      </c>
      <c r="D252">
        <v>-96</v>
      </c>
      <c r="E252">
        <v>-77</v>
      </c>
      <c r="F252">
        <v>-113</v>
      </c>
      <c r="G252">
        <v>-163</v>
      </c>
      <c r="H252">
        <v>-217</v>
      </c>
      <c r="I252">
        <v>-294</v>
      </c>
      <c r="J252">
        <v>-301</v>
      </c>
      <c r="K252">
        <v>-450</v>
      </c>
      <c r="L252">
        <v>-546</v>
      </c>
      <c r="M252">
        <v>-636</v>
      </c>
      <c r="N252">
        <v>-974</v>
      </c>
      <c r="O252" s="2">
        <v>-2263.1</v>
      </c>
      <c r="P252" s="2">
        <v>-2361.1</v>
      </c>
      <c r="Q252" s="2">
        <v>-2373.37</v>
      </c>
      <c r="R252" s="2">
        <v>-3394.6</v>
      </c>
      <c r="S252" s="2">
        <v>-4254.5</v>
      </c>
    </row>
    <row r="253" spans="1:19" x14ac:dyDescent="0.25">
      <c r="A253" t="s">
        <v>61</v>
      </c>
      <c r="B253">
        <v>1.59</v>
      </c>
      <c r="C253">
        <v>1.73</v>
      </c>
      <c r="D253">
        <v>2.41</v>
      </c>
      <c r="E253">
        <v>1.78</v>
      </c>
      <c r="F253">
        <v>2.15</v>
      </c>
      <c r="G253">
        <v>2.52</v>
      </c>
      <c r="H253">
        <v>3.22</v>
      </c>
      <c r="I253">
        <v>3.01</v>
      </c>
      <c r="J253">
        <v>1.83</v>
      </c>
      <c r="K253">
        <v>1.91</v>
      </c>
      <c r="L253">
        <v>2.41</v>
      </c>
      <c r="M253">
        <v>2.4700000000000002</v>
      </c>
      <c r="N253">
        <v>2.81</v>
      </c>
      <c r="O253">
        <v>5.03</v>
      </c>
      <c r="P253">
        <v>3.54</v>
      </c>
      <c r="Q253">
        <v>2.78</v>
      </c>
      <c r="R253">
        <v>2.75</v>
      </c>
      <c r="S253">
        <v>3</v>
      </c>
    </row>
    <row r="254" spans="1:19" x14ac:dyDescent="0.25">
      <c r="A254" t="s">
        <v>761</v>
      </c>
      <c r="B254" s="2">
        <v>1344</v>
      </c>
      <c r="C254">
        <v>873</v>
      </c>
      <c r="D254">
        <v>462</v>
      </c>
      <c r="E254">
        <v>0</v>
      </c>
      <c r="F254">
        <v>222</v>
      </c>
      <c r="G254">
        <v>45</v>
      </c>
      <c r="H254">
        <v>325</v>
      </c>
      <c r="I254">
        <v>192</v>
      </c>
      <c r="J254" s="2">
        <v>1678</v>
      </c>
      <c r="K254" s="2">
        <v>4310</v>
      </c>
      <c r="L254" s="2">
        <v>2687</v>
      </c>
      <c r="M254" s="2">
        <v>1416</v>
      </c>
      <c r="N254" s="2">
        <v>1765</v>
      </c>
      <c r="O254" s="2">
        <v>1267</v>
      </c>
    </row>
    <row r="255" spans="1:19" x14ac:dyDescent="0.25">
      <c r="A255" t="s">
        <v>672</v>
      </c>
      <c r="B255" s="2">
        <v>-1043</v>
      </c>
      <c r="C255">
        <v>-790</v>
      </c>
      <c r="D255">
        <v>-227</v>
      </c>
      <c r="E255">
        <v>0</v>
      </c>
      <c r="F255">
        <v>-222</v>
      </c>
      <c r="G255">
        <v>-123</v>
      </c>
      <c r="H255">
        <v>-284</v>
      </c>
      <c r="I255">
        <v>-850</v>
      </c>
      <c r="J255" s="2">
        <v>-2056</v>
      </c>
      <c r="K255" s="2">
        <v>-2667</v>
      </c>
      <c r="L255" s="2">
        <v>-3722</v>
      </c>
      <c r="M255" s="2">
        <v>-1493</v>
      </c>
      <c r="N255" s="2">
        <v>-5470</v>
      </c>
      <c r="O255" s="2">
        <v>-4669.13</v>
      </c>
    </row>
    <row r="256" spans="1:19" x14ac:dyDescent="0.25">
      <c r="A256" t="s">
        <v>762</v>
      </c>
      <c r="L256">
        <v>300</v>
      </c>
      <c r="M256">
        <v>616</v>
      </c>
      <c r="N256">
        <v>80</v>
      </c>
      <c r="O256">
        <v>286</v>
      </c>
    </row>
    <row r="257" spans="1:19" x14ac:dyDescent="0.25">
      <c r="A257" t="s">
        <v>211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s="2">
        <v>-1544</v>
      </c>
      <c r="L257">
        <v>-131</v>
      </c>
      <c r="M257">
        <v>-548</v>
      </c>
      <c r="N257" s="2">
        <v>-1760</v>
      </c>
      <c r="O257">
        <v>-221.82</v>
      </c>
      <c r="P257" s="2">
        <v>-1121.5</v>
      </c>
      <c r="Q257">
        <v>0</v>
      </c>
      <c r="R257">
        <v>0</v>
      </c>
      <c r="S257">
        <v>0</v>
      </c>
    </row>
    <row r="258" spans="1:19" x14ac:dyDescent="0.25">
      <c r="A258" t="s">
        <v>212</v>
      </c>
      <c r="C258">
        <v>0</v>
      </c>
      <c r="D258">
        <v>0</v>
      </c>
      <c r="E258">
        <v>354</v>
      </c>
      <c r="F258">
        <v>59</v>
      </c>
      <c r="G258">
        <v>71</v>
      </c>
      <c r="H258">
        <v>27</v>
      </c>
      <c r="I258">
        <v>0</v>
      </c>
      <c r="J258">
        <v>-7</v>
      </c>
      <c r="K258">
        <v>-16</v>
      </c>
      <c r="L258">
        <v>-11</v>
      </c>
      <c r="M258">
        <v>-115</v>
      </c>
      <c r="N258">
        <v>10</v>
      </c>
      <c r="O258">
        <v>-783.86</v>
      </c>
    </row>
    <row r="259" spans="1:19" x14ac:dyDescent="0.25">
      <c r="A259" t="s">
        <v>213</v>
      </c>
      <c r="B259">
        <v>455</v>
      </c>
      <c r="C259">
        <v>-12</v>
      </c>
      <c r="D259">
        <v>147</v>
      </c>
      <c r="E259">
        <v>277</v>
      </c>
      <c r="F259">
        <v>-54</v>
      </c>
      <c r="G259">
        <v>-170</v>
      </c>
      <c r="H259">
        <v>-149</v>
      </c>
      <c r="I259">
        <v>-952</v>
      </c>
      <c r="J259">
        <v>-686</v>
      </c>
      <c r="K259" s="2">
        <v>1999</v>
      </c>
      <c r="L259" s="2">
        <v>-1423</v>
      </c>
      <c r="M259" s="2">
        <v>-1101</v>
      </c>
      <c r="N259" s="2">
        <v>-5533</v>
      </c>
      <c r="O259" s="2">
        <v>-6004.5</v>
      </c>
      <c r="P259" s="2">
        <v>-3303.39</v>
      </c>
      <c r="Q259" s="2">
        <v>-3535.95</v>
      </c>
      <c r="R259" s="2">
        <v>-3765.33</v>
      </c>
      <c r="S259" s="2">
        <v>-4806.0200000000004</v>
      </c>
    </row>
    <row r="260" spans="1:19" x14ac:dyDescent="0.25">
      <c r="A260" t="s">
        <v>17</v>
      </c>
    </row>
    <row r="261" spans="1:19" x14ac:dyDescent="0.25">
      <c r="A261" t="s">
        <v>214</v>
      </c>
    </row>
    <row r="262" spans="1:19" x14ac:dyDescent="0.25">
      <c r="A262" t="s">
        <v>763</v>
      </c>
      <c r="B262">
        <v>0</v>
      </c>
      <c r="C262">
        <v>40</v>
      </c>
      <c r="D262">
        <v>56</v>
      </c>
      <c r="E262" s="2">
        <v>-1343</v>
      </c>
      <c r="F262">
        <v>-40</v>
      </c>
      <c r="G262">
        <v>-41</v>
      </c>
      <c r="H262">
        <v>-473</v>
      </c>
      <c r="I262">
        <v>0</v>
      </c>
      <c r="J262">
        <v>0</v>
      </c>
      <c r="K262">
        <v>-312</v>
      </c>
      <c r="L262">
        <v>0</v>
      </c>
      <c r="M262">
        <v>-750</v>
      </c>
      <c r="N262" s="2">
        <v>1491</v>
      </c>
      <c r="O262">
        <v>-345.31</v>
      </c>
      <c r="P262">
        <v>-220</v>
      </c>
      <c r="Q262">
        <v>-10</v>
      </c>
    </row>
    <row r="263" spans="1:19" x14ac:dyDescent="0.25">
      <c r="A263" t="s">
        <v>764</v>
      </c>
      <c r="B263">
        <v>3</v>
      </c>
      <c r="C263">
        <v>4</v>
      </c>
      <c r="D263">
        <v>5</v>
      </c>
      <c r="E263">
        <v>667</v>
      </c>
      <c r="F263">
        <v>0</v>
      </c>
      <c r="G263">
        <v>70</v>
      </c>
      <c r="H263">
        <v>523</v>
      </c>
      <c r="I263">
        <v>85</v>
      </c>
      <c r="J263">
        <v>104</v>
      </c>
      <c r="K263">
        <v>167</v>
      </c>
      <c r="L263">
        <v>268</v>
      </c>
      <c r="M263">
        <v>279</v>
      </c>
      <c r="N263">
        <v>285</v>
      </c>
      <c r="O263">
        <v>102.77</v>
      </c>
      <c r="P263">
        <v>-794.85</v>
      </c>
      <c r="Q263">
        <v>-794.3</v>
      </c>
    </row>
    <row r="264" spans="1:19" x14ac:dyDescent="0.25">
      <c r="A264" t="s">
        <v>765</v>
      </c>
      <c r="G264">
        <v>-6</v>
      </c>
      <c r="H264">
        <v>0</v>
      </c>
      <c r="I264">
        <v>0</v>
      </c>
      <c r="J264" s="2">
        <v>-1762</v>
      </c>
      <c r="K264" s="2">
        <v>-3702</v>
      </c>
      <c r="L264">
        <v>-985</v>
      </c>
      <c r="M264">
        <v>-862</v>
      </c>
      <c r="N264" s="2">
        <v>-1316</v>
      </c>
      <c r="O264">
        <v>-452.86</v>
      </c>
      <c r="P264" s="2">
        <v>-1742.33</v>
      </c>
      <c r="Q264" s="2">
        <v>-2512.17</v>
      </c>
      <c r="R264" s="2">
        <v>-1331</v>
      </c>
      <c r="S264" s="2">
        <v>-1464.1</v>
      </c>
    </row>
    <row r="265" spans="1:19" x14ac:dyDescent="0.25">
      <c r="A265" t="s">
        <v>766</v>
      </c>
      <c r="B265">
        <v>3</v>
      </c>
      <c r="C265">
        <v>4</v>
      </c>
      <c r="D265">
        <v>5</v>
      </c>
      <c r="E265">
        <v>667</v>
      </c>
      <c r="F265">
        <v>0</v>
      </c>
      <c r="G265">
        <v>64</v>
      </c>
      <c r="H265">
        <v>517</v>
      </c>
      <c r="I265">
        <v>7</v>
      </c>
      <c r="J265" s="2">
        <v>-1895</v>
      </c>
      <c r="K265" s="2">
        <v>-3535</v>
      </c>
      <c r="L265" s="2">
        <v>-1144</v>
      </c>
      <c r="M265" s="2">
        <v>-1311</v>
      </c>
      <c r="N265" s="2">
        <v>-1638</v>
      </c>
      <c r="O265" s="2">
        <v>-1016.91</v>
      </c>
      <c r="P265" s="2">
        <v>-1352.88</v>
      </c>
      <c r="Q265">
        <v>-793.8</v>
      </c>
    </row>
    <row r="266" spans="1:19" x14ac:dyDescent="0.25">
      <c r="A266" t="s">
        <v>212</v>
      </c>
      <c r="B266">
        <v>10</v>
      </c>
      <c r="C266">
        <v>2</v>
      </c>
      <c r="D266">
        <v>-2</v>
      </c>
      <c r="E266">
        <v>798</v>
      </c>
      <c r="F266">
        <v>7</v>
      </c>
      <c r="G266">
        <v>5</v>
      </c>
      <c r="H266">
        <v>-1</v>
      </c>
      <c r="I266">
        <v>-1</v>
      </c>
      <c r="J266">
        <v>0</v>
      </c>
      <c r="K266">
        <v>583</v>
      </c>
      <c r="L266">
        <v>-2</v>
      </c>
      <c r="M266">
        <v>-1</v>
      </c>
      <c r="N266">
        <v>-284</v>
      </c>
      <c r="O266">
        <v>-44.1</v>
      </c>
      <c r="P266">
        <v>-240</v>
      </c>
      <c r="Q266">
        <v>-480</v>
      </c>
    </row>
    <row r="267" spans="1:19" x14ac:dyDescent="0.25">
      <c r="A267" t="s">
        <v>218</v>
      </c>
      <c r="B267">
        <v>13</v>
      </c>
      <c r="C267">
        <v>46</v>
      </c>
      <c r="D267">
        <v>59</v>
      </c>
      <c r="E267">
        <v>122</v>
      </c>
      <c r="F267">
        <v>-33</v>
      </c>
      <c r="G267">
        <v>28</v>
      </c>
      <c r="H267">
        <v>43</v>
      </c>
      <c r="I267">
        <v>6</v>
      </c>
      <c r="J267" s="2">
        <v>-1895</v>
      </c>
      <c r="K267" s="2">
        <v>-3264</v>
      </c>
      <c r="L267" s="2">
        <v>-1146</v>
      </c>
      <c r="M267" s="2">
        <v>-2062</v>
      </c>
      <c r="N267">
        <v>-431</v>
      </c>
      <c r="O267">
        <v>-630.79999999999995</v>
      </c>
      <c r="P267" s="2">
        <v>-1459.19</v>
      </c>
      <c r="Q267" s="2">
        <v>-1368.23</v>
      </c>
      <c r="R267" s="2">
        <v>-1331</v>
      </c>
      <c r="S267" s="2">
        <v>-1464.1</v>
      </c>
    </row>
    <row r="268" spans="1:19" x14ac:dyDescent="0.25">
      <c r="A268" t="s">
        <v>17</v>
      </c>
    </row>
    <row r="269" spans="1:19" x14ac:dyDescent="0.25">
      <c r="A269" t="s">
        <v>176</v>
      </c>
    </row>
    <row r="270" spans="1:19" x14ac:dyDescent="0.25">
      <c r="A270" t="s">
        <v>220</v>
      </c>
      <c r="B270">
        <v>320</v>
      </c>
      <c r="C270">
        <v>-64</v>
      </c>
      <c r="D270">
        <v>-20</v>
      </c>
      <c r="E270">
        <v>480</v>
      </c>
      <c r="F270">
        <v>-75</v>
      </c>
      <c r="G270">
        <v>-108</v>
      </c>
      <c r="H270">
        <v>387</v>
      </c>
      <c r="I270">
        <v>125</v>
      </c>
      <c r="J270">
        <v>940</v>
      </c>
      <c r="K270" s="2">
        <v>2300</v>
      </c>
      <c r="L270">
        <v>-902</v>
      </c>
      <c r="M270">
        <v>-122</v>
      </c>
      <c r="N270" s="2">
        <v>1745</v>
      </c>
      <c r="O270" s="2">
        <v>2766.24</v>
      </c>
      <c r="P270" s="2">
        <v>15240.8</v>
      </c>
      <c r="Q270" s="2">
        <v>28983.55</v>
      </c>
      <c r="R270" s="2">
        <v>45422.720000000001</v>
      </c>
      <c r="S270" s="2">
        <v>61962.62</v>
      </c>
    </row>
    <row r="271" spans="1:19" x14ac:dyDescent="0.25">
      <c r="A271" t="s">
        <v>221</v>
      </c>
      <c r="B271">
        <v>549</v>
      </c>
      <c r="C271">
        <v>869</v>
      </c>
      <c r="D271">
        <v>805</v>
      </c>
      <c r="E271">
        <v>786</v>
      </c>
      <c r="F271" s="2">
        <v>1266</v>
      </c>
      <c r="G271" s="2">
        <v>1191</v>
      </c>
      <c r="H271" s="2">
        <v>1083</v>
      </c>
      <c r="I271" s="2">
        <v>1470</v>
      </c>
      <c r="J271" s="2">
        <v>1595</v>
      </c>
      <c r="K271" s="2">
        <v>2535</v>
      </c>
      <c r="L271" s="2">
        <v>4835</v>
      </c>
      <c r="M271" s="2">
        <v>3933</v>
      </c>
      <c r="N271" s="2">
        <v>3811</v>
      </c>
      <c r="O271" s="2">
        <v>5458.82</v>
      </c>
      <c r="P271" s="2">
        <v>7668.09</v>
      </c>
      <c r="Q271" s="2">
        <v>36533.79</v>
      </c>
      <c r="R271" s="2">
        <v>158357.4</v>
      </c>
      <c r="S271" s="2">
        <v>234682.35</v>
      </c>
    </row>
    <row r="272" spans="1:19" x14ac:dyDescent="0.25">
      <c r="A272" t="s">
        <v>222</v>
      </c>
      <c r="B272">
        <v>869</v>
      </c>
      <c r="C272">
        <v>805</v>
      </c>
      <c r="D272">
        <v>785</v>
      </c>
      <c r="E272" s="2">
        <v>1266</v>
      </c>
      <c r="F272" s="2">
        <v>1191</v>
      </c>
      <c r="G272" s="2">
        <v>1083</v>
      </c>
      <c r="H272" s="2">
        <v>1470</v>
      </c>
      <c r="I272" s="2">
        <v>1595</v>
      </c>
      <c r="J272" s="2">
        <v>2535</v>
      </c>
      <c r="K272" s="2">
        <v>4835</v>
      </c>
      <c r="L272" s="2">
        <v>3933</v>
      </c>
      <c r="M272" s="2">
        <v>3811</v>
      </c>
      <c r="N272" s="2">
        <v>5556</v>
      </c>
      <c r="O272" s="2">
        <v>8118.87</v>
      </c>
      <c r="P272" s="2">
        <v>24219.29</v>
      </c>
      <c r="Q272" s="2">
        <v>53120.25</v>
      </c>
      <c r="R272" s="2">
        <v>104095.72</v>
      </c>
      <c r="S272" s="2">
        <v>171749.24</v>
      </c>
    </row>
    <row r="273" spans="1:19" x14ac:dyDescent="0.25">
      <c r="A273" t="s">
        <v>178</v>
      </c>
    </row>
    <row r="274" spans="1:19" x14ac:dyDescent="0.25">
      <c r="A274" t="s">
        <v>225</v>
      </c>
      <c r="B274">
        <v>-232</v>
      </c>
      <c r="C274">
        <v>-193</v>
      </c>
      <c r="D274">
        <v>167</v>
      </c>
      <c r="E274">
        <v>13</v>
      </c>
      <c r="F274">
        <v>-105</v>
      </c>
      <c r="G274">
        <v>-129</v>
      </c>
      <c r="H274">
        <v>276</v>
      </c>
      <c r="I274">
        <v>777</v>
      </c>
      <c r="J274" s="2">
        <v>3220</v>
      </c>
      <c r="K274" s="2">
        <v>3100</v>
      </c>
      <c r="L274" s="2">
        <v>1121</v>
      </c>
      <c r="M274" s="2">
        <v>2405</v>
      </c>
      <c r="N274" s="2">
        <v>5519</v>
      </c>
      <c r="O274" s="2">
        <v>7609.05</v>
      </c>
      <c r="P274" s="2">
        <v>17021.38</v>
      </c>
      <c r="Q274" s="2">
        <v>31653.88</v>
      </c>
      <c r="R274" s="2">
        <v>43022.71</v>
      </c>
      <c r="S274" s="2">
        <v>62268.79</v>
      </c>
    </row>
    <row r="275" spans="1:19" x14ac:dyDescent="0.25">
      <c r="A275" t="s">
        <v>228</v>
      </c>
      <c r="B275">
        <v>-4.38</v>
      </c>
      <c r="C275">
        <v>-3.51</v>
      </c>
      <c r="D275">
        <v>-8.07</v>
      </c>
      <c r="E275">
        <v>0.09</v>
      </c>
      <c r="F275">
        <v>-1.92</v>
      </c>
      <c r="G275">
        <v>-1.99</v>
      </c>
      <c r="H275">
        <v>4.0999999999999996</v>
      </c>
      <c r="I275">
        <v>7.96</v>
      </c>
      <c r="J275">
        <v>19.59</v>
      </c>
      <c r="K275">
        <v>13.2</v>
      </c>
      <c r="L275">
        <v>4.9400000000000004</v>
      </c>
      <c r="M275">
        <v>9.33</v>
      </c>
      <c r="N275">
        <v>19.440000000000001</v>
      </c>
      <c r="O275">
        <v>14.85</v>
      </c>
      <c r="P275">
        <v>18.8</v>
      </c>
      <c r="Q275">
        <v>24.36</v>
      </c>
      <c r="R275">
        <v>26.68</v>
      </c>
      <c r="S275">
        <v>29.12</v>
      </c>
    </row>
    <row r="276" spans="1:19" x14ac:dyDescent="0.25">
      <c r="A276" t="s">
        <v>767</v>
      </c>
      <c r="B276">
        <v>-0.2</v>
      </c>
      <c r="C276">
        <v>-0.13</v>
      </c>
      <c r="D276">
        <v>-0.28999999999999998</v>
      </c>
      <c r="E276">
        <v>0.1</v>
      </c>
      <c r="F276">
        <v>0.01</v>
      </c>
      <c r="G276">
        <v>0.03</v>
      </c>
      <c r="H276">
        <v>0.45</v>
      </c>
      <c r="I276">
        <v>0.9</v>
      </c>
      <c r="J276">
        <v>2.9</v>
      </c>
      <c r="K276">
        <v>2.2799999999999998</v>
      </c>
      <c r="L276">
        <v>1.03</v>
      </c>
      <c r="M276">
        <v>1.88</v>
      </c>
      <c r="N276">
        <v>4.75</v>
      </c>
      <c r="O276">
        <v>6.15</v>
      </c>
      <c r="P276">
        <v>10.56</v>
      </c>
      <c r="Q276">
        <v>17.84</v>
      </c>
      <c r="R276">
        <v>25.97</v>
      </c>
      <c r="S276">
        <v>30.6</v>
      </c>
    </row>
    <row r="277" spans="1:19" x14ac:dyDescent="0.25">
      <c r="A277" t="s">
        <v>356</v>
      </c>
      <c r="B277">
        <v>-0.2</v>
      </c>
      <c r="C277">
        <v>-0.13</v>
      </c>
      <c r="D277">
        <v>-0.28999999999999998</v>
      </c>
      <c r="E277">
        <v>0.1</v>
      </c>
      <c r="F277">
        <v>0.01</v>
      </c>
      <c r="G277">
        <v>0.03</v>
      </c>
      <c r="H277">
        <v>0.44</v>
      </c>
      <c r="I277">
        <v>0.89</v>
      </c>
      <c r="J277">
        <v>2.86</v>
      </c>
      <c r="K277">
        <v>2.27</v>
      </c>
      <c r="L277">
        <v>1.03</v>
      </c>
      <c r="M277">
        <v>1.86</v>
      </c>
      <c r="N277">
        <v>4.71</v>
      </c>
      <c r="O277">
        <v>5.0999999999999996</v>
      </c>
      <c r="P277">
        <v>11.11</v>
      </c>
      <c r="Q277">
        <v>19.8</v>
      </c>
      <c r="R277">
        <v>25.97</v>
      </c>
      <c r="S277">
        <v>30.6</v>
      </c>
    </row>
    <row r="278" spans="1:19" x14ac:dyDescent="0.25">
      <c r="A278" t="s">
        <v>229</v>
      </c>
      <c r="B278">
        <v>-2.79</v>
      </c>
      <c r="C278">
        <v>-1.78</v>
      </c>
      <c r="D278">
        <v>-5.66</v>
      </c>
      <c r="E278">
        <v>1.88</v>
      </c>
      <c r="F278">
        <v>0.23</v>
      </c>
      <c r="G278">
        <v>0.53</v>
      </c>
      <c r="H278">
        <v>7.32</v>
      </c>
      <c r="I278">
        <v>10.97</v>
      </c>
      <c r="J278">
        <v>21.43</v>
      </c>
      <c r="K278">
        <v>15.11</v>
      </c>
      <c r="L278">
        <v>7.35</v>
      </c>
      <c r="M278">
        <v>11.79</v>
      </c>
      <c r="N278">
        <v>22.26</v>
      </c>
      <c r="O278">
        <v>18.88</v>
      </c>
      <c r="P278">
        <v>23.66</v>
      </c>
      <c r="Q278">
        <v>26.73</v>
      </c>
      <c r="R278">
        <v>29.9</v>
      </c>
    </row>
    <row r="279" spans="1:19" x14ac:dyDescent="0.25">
      <c r="A279" t="s">
        <v>17</v>
      </c>
    </row>
    <row r="280" spans="1:19" x14ac:dyDescent="0.25">
      <c r="A280" t="s">
        <v>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16DF-B91C-4BC0-A467-5FCD4AD9B90A}">
  <dimension ref="A1:U270"/>
  <sheetViews>
    <sheetView workbookViewId="0">
      <selection sqref="A1:U270"/>
    </sheetView>
  </sheetViews>
  <sheetFormatPr defaultRowHeight="15" x14ac:dyDescent="0.25"/>
  <sheetData>
    <row r="1" spans="1:21" x14ac:dyDescent="0.25">
      <c r="A1" t="s">
        <v>768</v>
      </c>
    </row>
    <row r="2" spans="1:21" x14ac:dyDescent="0.25">
      <c r="A2" t="s">
        <v>769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41665</v>
      </c>
      <c r="C4" s="1">
        <v>42029</v>
      </c>
      <c r="D4" s="1">
        <v>42400</v>
      </c>
      <c r="E4" s="1">
        <v>42764</v>
      </c>
      <c r="F4" s="1">
        <v>43128</v>
      </c>
      <c r="G4" s="1">
        <v>43492</v>
      </c>
      <c r="H4" s="1">
        <v>43856</v>
      </c>
      <c r="I4" s="1">
        <v>44227</v>
      </c>
      <c r="J4" s="1">
        <v>44591</v>
      </c>
      <c r="K4" s="1">
        <v>44955</v>
      </c>
      <c r="L4" s="1">
        <v>45319</v>
      </c>
      <c r="M4" s="1">
        <v>45683</v>
      </c>
      <c r="N4" s="1">
        <v>46047</v>
      </c>
      <c r="O4" s="1">
        <v>46418</v>
      </c>
      <c r="P4" s="1">
        <v>46782</v>
      </c>
      <c r="Q4" s="1">
        <v>47146</v>
      </c>
      <c r="R4" s="1">
        <v>47510</v>
      </c>
      <c r="S4" s="1">
        <v>47874</v>
      </c>
      <c r="T4" s="1">
        <v>48238</v>
      </c>
      <c r="U4" s="1">
        <v>48609</v>
      </c>
    </row>
    <row r="5" spans="1:21" x14ac:dyDescent="0.25">
      <c r="A5" t="s">
        <v>14</v>
      </c>
    </row>
    <row r="6" spans="1:21" x14ac:dyDescent="0.25">
      <c r="A6" t="s">
        <v>15</v>
      </c>
      <c r="B6">
        <v>0.02</v>
      </c>
      <c r="C6">
        <v>0.04</v>
      </c>
      <c r="D6">
        <v>0.04</v>
      </c>
      <c r="E6">
        <v>0.08</v>
      </c>
      <c r="F6">
        <v>0.12</v>
      </c>
      <c r="G6">
        <v>0.17</v>
      </c>
      <c r="H6">
        <v>0.14000000000000001</v>
      </c>
      <c r="I6">
        <v>0.25</v>
      </c>
      <c r="J6">
        <v>0.44</v>
      </c>
      <c r="K6">
        <v>0.33</v>
      </c>
      <c r="L6">
        <v>1.3</v>
      </c>
      <c r="M6">
        <v>2.99</v>
      </c>
      <c r="N6">
        <v>4.7699999999999996</v>
      </c>
      <c r="O6">
        <v>9.3699999999999992</v>
      </c>
      <c r="P6">
        <v>15.85</v>
      </c>
      <c r="Q6">
        <v>21.39</v>
      </c>
      <c r="R6">
        <v>25.07</v>
      </c>
      <c r="S6">
        <v>28.34</v>
      </c>
    </row>
    <row r="7" spans="1:21" x14ac:dyDescent="0.25">
      <c r="A7" t="s">
        <v>16</v>
      </c>
      <c r="B7" s="2">
        <v>4130.16</v>
      </c>
      <c r="C7" s="2">
        <v>4681.51</v>
      </c>
      <c r="D7" s="2">
        <v>5010</v>
      </c>
      <c r="E7" s="2">
        <v>6910</v>
      </c>
      <c r="F7" s="2">
        <v>9714</v>
      </c>
      <c r="G7" s="2">
        <v>11716</v>
      </c>
      <c r="H7" s="2">
        <v>10918</v>
      </c>
      <c r="I7" s="2">
        <v>16675</v>
      </c>
      <c r="J7" s="2">
        <v>26914</v>
      </c>
      <c r="K7" s="2">
        <v>26974</v>
      </c>
      <c r="L7" s="2">
        <v>60922</v>
      </c>
      <c r="M7" s="2">
        <v>130497</v>
      </c>
      <c r="N7" s="2">
        <v>215938</v>
      </c>
      <c r="O7" s="2">
        <v>410830.05</v>
      </c>
      <c r="P7" s="2">
        <v>701197.52</v>
      </c>
      <c r="Q7" s="2">
        <v>930336.48</v>
      </c>
      <c r="R7" s="2">
        <v>1085326.67</v>
      </c>
      <c r="S7" s="2">
        <v>1152389.6000000001</v>
      </c>
      <c r="T7" s="2">
        <v>1269184</v>
      </c>
      <c r="U7" s="2">
        <v>1370719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530</v>
      </c>
      <c r="B10">
        <v>199</v>
      </c>
      <c r="C10">
        <v>317</v>
      </c>
      <c r="D10">
        <v>339</v>
      </c>
      <c r="E10">
        <v>830</v>
      </c>
      <c r="F10" s="2">
        <v>1932</v>
      </c>
      <c r="G10" s="2">
        <v>2932</v>
      </c>
      <c r="H10" s="2">
        <v>2983</v>
      </c>
      <c r="I10" s="2">
        <v>6696</v>
      </c>
      <c r="J10" s="2">
        <v>10613</v>
      </c>
      <c r="K10" s="2">
        <v>15005</v>
      </c>
      <c r="L10" s="2">
        <v>47525</v>
      </c>
      <c r="M10" s="2">
        <v>115186</v>
      </c>
      <c r="N10" s="2">
        <v>193737</v>
      </c>
      <c r="O10" s="2">
        <v>384669.93</v>
      </c>
      <c r="P10" s="2">
        <v>673852.29</v>
      </c>
      <c r="Q10" s="2">
        <v>901381.68</v>
      </c>
      <c r="R10" s="2">
        <v>1019621.41</v>
      </c>
      <c r="S10" s="2">
        <v>1063873.3700000001</v>
      </c>
    </row>
    <row r="11" spans="1:21" x14ac:dyDescent="0.25">
      <c r="A11" t="s">
        <v>770</v>
      </c>
      <c r="M11" s="2">
        <v>59933</v>
      </c>
      <c r="N11" s="2">
        <v>123781</v>
      </c>
      <c r="O11" s="2">
        <v>206006.26</v>
      </c>
      <c r="P11" s="2">
        <v>347340.16</v>
      </c>
      <c r="Q11" s="2">
        <v>443095.84</v>
      </c>
      <c r="R11" s="2">
        <v>515220.41</v>
      </c>
    </row>
    <row r="12" spans="1:21" x14ac:dyDescent="0.25">
      <c r="A12" t="s">
        <v>771</v>
      </c>
      <c r="M12" s="2">
        <v>55253</v>
      </c>
      <c r="N12" s="2">
        <v>69956</v>
      </c>
      <c r="O12" s="2">
        <v>178249.5</v>
      </c>
      <c r="P12" s="2">
        <v>326689.15000000002</v>
      </c>
      <c r="Q12" s="2">
        <v>443907.13</v>
      </c>
      <c r="R12" s="2">
        <v>520844.46</v>
      </c>
    </row>
    <row r="13" spans="1:21" x14ac:dyDescent="0.25">
      <c r="A13" t="s">
        <v>772</v>
      </c>
      <c r="M13" s="2">
        <v>15311</v>
      </c>
      <c r="N13" s="2">
        <v>22201</v>
      </c>
      <c r="O13" s="2">
        <v>28359.599999999999</v>
      </c>
      <c r="P13" s="2">
        <v>34271.81</v>
      </c>
      <c r="Q13" s="2">
        <v>40294.81</v>
      </c>
      <c r="R13" s="2">
        <v>46575.42</v>
      </c>
      <c r="S13" s="2">
        <v>52000.1</v>
      </c>
    </row>
    <row r="14" spans="1:21" x14ac:dyDescent="0.25">
      <c r="A14" t="s">
        <v>178</v>
      </c>
    </row>
    <row r="15" spans="1:21" x14ac:dyDescent="0.25">
      <c r="A15" t="s">
        <v>773</v>
      </c>
      <c r="L15" s="2">
        <v>38950</v>
      </c>
      <c r="M15" s="2">
        <v>102196</v>
      </c>
      <c r="N15" s="2">
        <v>162361</v>
      </c>
      <c r="O15" s="2">
        <v>307308.99</v>
      </c>
      <c r="P15" s="2">
        <v>530303.46</v>
      </c>
      <c r="Q15" s="2">
        <v>719493.19</v>
      </c>
      <c r="R15" s="2">
        <v>799542.46</v>
      </c>
      <c r="S15" s="2">
        <v>939683.52</v>
      </c>
    </row>
    <row r="16" spans="1:21" x14ac:dyDescent="0.25">
      <c r="A16" t="s">
        <v>575</v>
      </c>
      <c r="L16" s="2">
        <v>8575</v>
      </c>
      <c r="M16" s="2">
        <v>12990</v>
      </c>
      <c r="N16" s="2">
        <v>31376</v>
      </c>
      <c r="O16" s="2">
        <v>74040.990000000005</v>
      </c>
      <c r="P16" s="2">
        <v>124255.85</v>
      </c>
      <c r="Q16" s="2">
        <v>168578.78</v>
      </c>
      <c r="R16" s="2">
        <v>194746.1</v>
      </c>
      <c r="S16" s="2">
        <v>176275.98</v>
      </c>
    </row>
    <row r="17" spans="1:21" x14ac:dyDescent="0.25">
      <c r="A17" t="s">
        <v>17</v>
      </c>
    </row>
    <row r="18" spans="1:21" x14ac:dyDescent="0.25">
      <c r="A18" t="s">
        <v>30</v>
      </c>
      <c r="B18">
        <v>55.1</v>
      </c>
      <c r="C18">
        <v>55.8</v>
      </c>
      <c r="D18">
        <v>56.8</v>
      </c>
      <c r="E18">
        <v>59.2</v>
      </c>
      <c r="F18">
        <v>60.2</v>
      </c>
      <c r="G18">
        <v>61.7</v>
      </c>
      <c r="H18">
        <v>62.5</v>
      </c>
      <c r="I18">
        <v>65.599999999999994</v>
      </c>
      <c r="J18">
        <v>66.8</v>
      </c>
      <c r="K18">
        <v>59.2</v>
      </c>
      <c r="L18">
        <v>73.8</v>
      </c>
      <c r="M18">
        <v>75.5</v>
      </c>
      <c r="N18">
        <v>71.3</v>
      </c>
      <c r="O18">
        <v>73.78</v>
      </c>
      <c r="P18">
        <v>72.64</v>
      </c>
      <c r="Q18">
        <v>72.62</v>
      </c>
      <c r="R18">
        <v>72.62</v>
      </c>
      <c r="S18">
        <v>73.239999999999995</v>
      </c>
    </row>
    <row r="19" spans="1:21" x14ac:dyDescent="0.25">
      <c r="A19" t="s">
        <v>774</v>
      </c>
      <c r="B19" s="2">
        <v>1610.2</v>
      </c>
      <c r="C19" s="2">
        <v>1657</v>
      </c>
      <c r="D19" s="2">
        <v>1721</v>
      </c>
      <c r="E19" s="2">
        <v>1867</v>
      </c>
      <c r="F19" s="2">
        <v>2227</v>
      </c>
      <c r="G19" s="2">
        <v>2826</v>
      </c>
      <c r="H19" s="2">
        <v>3086</v>
      </c>
      <c r="I19" s="2">
        <v>4144</v>
      </c>
      <c r="J19" s="2">
        <v>5279</v>
      </c>
      <c r="K19" s="2">
        <v>6925</v>
      </c>
      <c r="L19" s="2">
        <v>7825</v>
      </c>
      <c r="M19" s="2">
        <v>11716</v>
      </c>
      <c r="N19" s="2">
        <v>16694</v>
      </c>
      <c r="O19" s="2">
        <v>34630</v>
      </c>
      <c r="P19" s="2">
        <v>51242.59</v>
      </c>
      <c r="Q19" s="2">
        <v>69363.92</v>
      </c>
      <c r="R19" s="2">
        <v>90430.28</v>
      </c>
    </row>
    <row r="20" spans="1:21" x14ac:dyDescent="0.25">
      <c r="A20" t="s">
        <v>29</v>
      </c>
      <c r="B20">
        <v>496.23</v>
      </c>
      <c r="C20">
        <v>954.19</v>
      </c>
      <c r="D20" s="2">
        <v>1125</v>
      </c>
      <c r="E20" s="2">
        <v>2221</v>
      </c>
      <c r="F20" s="2">
        <v>3617</v>
      </c>
      <c r="G20" s="2">
        <v>4407</v>
      </c>
      <c r="H20" s="2">
        <v>3735</v>
      </c>
      <c r="I20" s="2">
        <v>6803</v>
      </c>
      <c r="J20" s="2">
        <v>12690</v>
      </c>
      <c r="K20" s="2">
        <v>9040</v>
      </c>
      <c r="L20" s="2">
        <v>37134</v>
      </c>
      <c r="M20" s="2">
        <v>86789</v>
      </c>
      <c r="N20" s="2">
        <v>137300</v>
      </c>
      <c r="O20" s="2">
        <v>268561.40999999997</v>
      </c>
      <c r="P20" s="2">
        <v>456882.08</v>
      </c>
      <c r="Q20" s="2">
        <v>611612.5</v>
      </c>
      <c r="R20" s="2">
        <v>686845.8</v>
      </c>
      <c r="S20" s="2">
        <v>704639.8</v>
      </c>
    </row>
    <row r="21" spans="1:21" x14ac:dyDescent="0.25">
      <c r="A21" t="s">
        <v>240</v>
      </c>
      <c r="C21">
        <v>20.38</v>
      </c>
      <c r="D21">
        <v>22.46</v>
      </c>
      <c r="E21">
        <v>32.14</v>
      </c>
      <c r="F21">
        <v>37.229999999999997</v>
      </c>
      <c r="G21">
        <v>37.619999999999997</v>
      </c>
      <c r="H21">
        <v>34.21</v>
      </c>
      <c r="I21">
        <v>40.799999999999997</v>
      </c>
      <c r="J21">
        <v>47.15</v>
      </c>
      <c r="K21">
        <v>33.51</v>
      </c>
      <c r="L21">
        <v>60.95</v>
      </c>
      <c r="M21">
        <v>66.510000000000005</v>
      </c>
      <c r="N21">
        <v>63.58</v>
      </c>
      <c r="O21">
        <v>65.36</v>
      </c>
      <c r="P21">
        <v>65.19</v>
      </c>
      <c r="Q21">
        <v>65.25</v>
      </c>
      <c r="R21">
        <v>64.430000000000007</v>
      </c>
      <c r="S21">
        <v>66.37</v>
      </c>
    </row>
    <row r="22" spans="1:21" x14ac:dyDescent="0.25">
      <c r="A22" t="s">
        <v>775</v>
      </c>
      <c r="B22">
        <v>14.25</v>
      </c>
      <c r="C22">
        <v>17.11</v>
      </c>
      <c r="D22">
        <v>18.54</v>
      </c>
      <c r="E22">
        <v>26.79</v>
      </c>
      <c r="F22">
        <v>31.76</v>
      </c>
      <c r="G22">
        <v>35.36</v>
      </c>
      <c r="H22">
        <v>32.79</v>
      </c>
      <c r="I22">
        <v>37.64</v>
      </c>
      <c r="J22">
        <v>41.83</v>
      </c>
      <c r="K22">
        <v>31.02</v>
      </c>
      <c r="L22">
        <v>53.04</v>
      </c>
      <c r="M22">
        <v>56.91</v>
      </c>
      <c r="N22">
        <v>54.18</v>
      </c>
      <c r="O22">
        <v>55.49</v>
      </c>
      <c r="P22">
        <v>54.61</v>
      </c>
      <c r="Q22">
        <v>54.96</v>
      </c>
      <c r="R22">
        <v>52.67</v>
      </c>
      <c r="S22">
        <v>52.41</v>
      </c>
    </row>
    <row r="23" spans="1:21" x14ac:dyDescent="0.25">
      <c r="A23" t="s">
        <v>17</v>
      </c>
    </row>
    <row r="24" spans="1:21" x14ac:dyDescent="0.25">
      <c r="A24" t="s">
        <v>721</v>
      </c>
      <c r="B24" s="2">
        <v>1336</v>
      </c>
      <c r="C24" s="2">
        <v>1360</v>
      </c>
      <c r="D24" s="2">
        <v>1331</v>
      </c>
      <c r="E24" s="2">
        <v>1466</v>
      </c>
      <c r="F24" s="2">
        <v>1797</v>
      </c>
      <c r="G24" s="2">
        <v>2376</v>
      </c>
      <c r="H24" s="2">
        <v>2829</v>
      </c>
      <c r="I24" s="2">
        <v>3924</v>
      </c>
      <c r="J24" s="2">
        <v>5268</v>
      </c>
      <c r="K24" s="2">
        <v>7339</v>
      </c>
      <c r="L24" s="2">
        <v>8675</v>
      </c>
      <c r="M24" s="2">
        <v>12914</v>
      </c>
      <c r="N24" s="2">
        <v>18497</v>
      </c>
      <c r="O24" s="2">
        <v>29908.19</v>
      </c>
      <c r="P24" s="2">
        <v>44604.77</v>
      </c>
      <c r="Q24" s="2">
        <v>58591.81</v>
      </c>
      <c r="R24" s="2">
        <v>75790.509999999995</v>
      </c>
      <c r="S24" s="2">
        <v>83615.94</v>
      </c>
    </row>
    <row r="25" spans="1:21" x14ac:dyDescent="0.25">
      <c r="A25" t="s">
        <v>776</v>
      </c>
      <c r="B25">
        <v>32.35</v>
      </c>
      <c r="C25">
        <v>29.05</v>
      </c>
      <c r="D25">
        <v>0</v>
      </c>
      <c r="E25">
        <v>0</v>
      </c>
      <c r="F25">
        <v>18.5</v>
      </c>
      <c r="G25">
        <v>20.28</v>
      </c>
      <c r="H25">
        <v>25.91</v>
      </c>
      <c r="I25">
        <v>23.53</v>
      </c>
      <c r="J25">
        <v>19.57</v>
      </c>
      <c r="K25">
        <v>27.21</v>
      </c>
      <c r="L25">
        <v>14.24</v>
      </c>
      <c r="M25">
        <v>9.9</v>
      </c>
      <c r="N25">
        <v>8.57</v>
      </c>
      <c r="O25">
        <v>7.32</v>
      </c>
      <c r="P25">
        <v>6.43</v>
      </c>
      <c r="Q25">
        <v>6.24</v>
      </c>
      <c r="R25">
        <v>7.6</v>
      </c>
      <c r="S25">
        <v>7.9</v>
      </c>
    </row>
    <row r="26" spans="1:21" x14ac:dyDescent="0.25">
      <c r="A26" t="s">
        <v>36</v>
      </c>
      <c r="B26">
        <v>580</v>
      </c>
      <c r="C26">
        <v>784</v>
      </c>
      <c r="D26" s="2">
        <v>1089</v>
      </c>
      <c r="E26" s="2">
        <v>1496</v>
      </c>
      <c r="F26" s="2">
        <v>2909</v>
      </c>
      <c r="G26" s="2">
        <v>3143</v>
      </c>
      <c r="H26" s="2">
        <v>4272</v>
      </c>
      <c r="I26" s="2">
        <v>4694</v>
      </c>
      <c r="J26" s="2">
        <v>8132</v>
      </c>
      <c r="K26" s="2">
        <v>3808</v>
      </c>
      <c r="L26" s="2">
        <v>27021</v>
      </c>
      <c r="M26" s="2">
        <v>60853</v>
      </c>
      <c r="N26" s="2">
        <v>96676</v>
      </c>
      <c r="O26" s="2">
        <v>185234.28</v>
      </c>
      <c r="P26" s="2">
        <v>337226.43</v>
      </c>
      <c r="Q26" s="2">
        <v>487371.19</v>
      </c>
      <c r="R26" s="2">
        <v>507979.6</v>
      </c>
      <c r="S26" s="2">
        <v>632421.24</v>
      </c>
      <c r="T26" s="2">
        <v>661328</v>
      </c>
      <c r="U26" s="2">
        <v>707621</v>
      </c>
    </row>
    <row r="27" spans="1:21" x14ac:dyDescent="0.25">
      <c r="A27" t="s">
        <v>17</v>
      </c>
    </row>
    <row r="28" spans="1:21" x14ac:dyDescent="0.25">
      <c r="A28" t="s">
        <v>570</v>
      </c>
    </row>
    <row r="29" spans="1:21" x14ac:dyDescent="0.25">
      <c r="A29" t="s">
        <v>16</v>
      </c>
    </row>
    <row r="30" spans="1:21" x14ac:dyDescent="0.25">
      <c r="A30" t="s">
        <v>530</v>
      </c>
      <c r="B30">
        <v>199</v>
      </c>
      <c r="C30">
        <v>317</v>
      </c>
      <c r="D30">
        <v>339</v>
      </c>
      <c r="E30">
        <v>830</v>
      </c>
      <c r="F30" s="2">
        <v>1932</v>
      </c>
      <c r="G30" s="2">
        <v>2932</v>
      </c>
      <c r="H30" s="2">
        <v>2983</v>
      </c>
      <c r="I30" s="2">
        <v>6696</v>
      </c>
      <c r="J30" s="2">
        <v>10613</v>
      </c>
      <c r="K30" s="2">
        <v>15005</v>
      </c>
      <c r="L30" s="2">
        <v>47525</v>
      </c>
      <c r="M30" s="2">
        <v>115186</v>
      </c>
      <c r="N30" s="2">
        <v>193737</v>
      </c>
      <c r="O30" s="2">
        <v>384669.93</v>
      </c>
      <c r="P30" s="2">
        <v>673852.29</v>
      </c>
      <c r="Q30" s="2">
        <v>901381.68</v>
      </c>
      <c r="R30" s="2">
        <v>1019621.41</v>
      </c>
      <c r="S30" s="2">
        <v>1063873.3700000001</v>
      </c>
    </row>
    <row r="31" spans="1:21" x14ac:dyDescent="0.25">
      <c r="A31" t="s">
        <v>770</v>
      </c>
      <c r="M31" s="2">
        <v>59933</v>
      </c>
      <c r="N31" s="2">
        <v>123781</v>
      </c>
      <c r="O31" s="2">
        <v>206006.26</v>
      </c>
      <c r="P31" s="2">
        <v>347340.16</v>
      </c>
      <c r="Q31" s="2">
        <v>443095.84</v>
      </c>
      <c r="R31" s="2">
        <v>515220.41</v>
      </c>
    </row>
    <row r="32" spans="1:21" x14ac:dyDescent="0.25">
      <c r="A32" t="s">
        <v>771</v>
      </c>
      <c r="M32" s="2">
        <v>55253</v>
      </c>
      <c r="N32" s="2">
        <v>69956</v>
      </c>
      <c r="O32" s="2">
        <v>178249.5</v>
      </c>
      <c r="P32" s="2">
        <v>326689.15000000002</v>
      </c>
      <c r="Q32" s="2">
        <v>443907.13</v>
      </c>
      <c r="R32" s="2">
        <v>520844.46</v>
      </c>
    </row>
    <row r="33" spans="1:19" x14ac:dyDescent="0.25">
      <c r="A33" t="s">
        <v>772</v>
      </c>
      <c r="M33" s="2">
        <v>15311</v>
      </c>
      <c r="N33" s="2">
        <v>22201</v>
      </c>
      <c r="O33" s="2">
        <v>28359.599999999999</v>
      </c>
      <c r="P33" s="2">
        <v>34271.81</v>
      </c>
      <c r="Q33" s="2">
        <v>40294.81</v>
      </c>
      <c r="R33" s="2">
        <v>46575.42</v>
      </c>
      <c r="S33" s="2">
        <v>52000.1</v>
      </c>
    </row>
    <row r="34" spans="1:19" x14ac:dyDescent="0.25">
      <c r="A34" t="s">
        <v>17</v>
      </c>
    </row>
    <row r="35" spans="1:19" x14ac:dyDescent="0.25">
      <c r="A35" t="s">
        <v>727</v>
      </c>
      <c r="B35">
        <v>199</v>
      </c>
      <c r="C35">
        <v>317</v>
      </c>
      <c r="D35">
        <v>339</v>
      </c>
      <c r="E35">
        <v>830</v>
      </c>
      <c r="F35" s="2">
        <v>1932</v>
      </c>
      <c r="G35" s="2">
        <v>2932</v>
      </c>
      <c r="H35" s="2">
        <v>2983</v>
      </c>
      <c r="I35" s="2">
        <v>6696</v>
      </c>
      <c r="J35" s="2">
        <v>10613</v>
      </c>
      <c r="K35" s="2">
        <v>15005</v>
      </c>
      <c r="L35" s="2">
        <v>47525</v>
      </c>
      <c r="M35" s="2">
        <v>115186</v>
      </c>
      <c r="N35" s="2">
        <v>193737</v>
      </c>
      <c r="O35" s="2">
        <v>384669.93</v>
      </c>
      <c r="P35" s="2">
        <v>673852.29</v>
      </c>
      <c r="Q35" s="2">
        <v>901381.68</v>
      </c>
      <c r="R35" s="2">
        <v>1019621.41</v>
      </c>
      <c r="S35" s="2">
        <v>1063873.3700000001</v>
      </c>
    </row>
    <row r="36" spans="1:19" x14ac:dyDescent="0.25">
      <c r="A36" t="s">
        <v>777</v>
      </c>
      <c r="L36" s="2">
        <v>38950</v>
      </c>
      <c r="M36" s="2">
        <v>102196</v>
      </c>
      <c r="N36" s="2">
        <v>162361</v>
      </c>
      <c r="O36" s="2">
        <v>307308.99</v>
      </c>
      <c r="P36" s="2">
        <v>530303.46</v>
      </c>
      <c r="Q36" s="2">
        <v>719493.19</v>
      </c>
      <c r="R36" s="2">
        <v>799542.46</v>
      </c>
      <c r="S36" s="2">
        <v>939683.52</v>
      </c>
    </row>
    <row r="37" spans="1:19" x14ac:dyDescent="0.25">
      <c r="A37" t="s">
        <v>778</v>
      </c>
      <c r="L37" s="2">
        <v>8575</v>
      </c>
      <c r="M37" s="2">
        <v>12990</v>
      </c>
      <c r="N37" s="2">
        <v>31376</v>
      </c>
      <c r="O37" s="2">
        <v>74040.990000000005</v>
      </c>
      <c r="P37" s="2">
        <v>124255.85</v>
      </c>
      <c r="Q37" s="2">
        <v>168578.78</v>
      </c>
      <c r="R37" s="2">
        <v>194746.1</v>
      </c>
      <c r="S37" s="2">
        <v>176275.98</v>
      </c>
    </row>
    <row r="38" spans="1:19" x14ac:dyDescent="0.25">
      <c r="A38" t="s">
        <v>17</v>
      </c>
    </row>
    <row r="39" spans="1:19" x14ac:dyDescent="0.25">
      <c r="A39" t="s">
        <v>51</v>
      </c>
    </row>
    <row r="40" spans="1:19" x14ac:dyDescent="0.25">
      <c r="A40" t="s">
        <v>718</v>
      </c>
      <c r="B40" s="2">
        <v>1511</v>
      </c>
      <c r="C40" s="2">
        <v>2058</v>
      </c>
      <c r="D40" s="2">
        <v>2818</v>
      </c>
      <c r="E40" s="2">
        <v>4060</v>
      </c>
      <c r="F40" s="2">
        <v>5513</v>
      </c>
      <c r="G40" s="2">
        <v>6246</v>
      </c>
      <c r="H40" s="2">
        <v>5518</v>
      </c>
      <c r="I40" s="2">
        <v>7759</v>
      </c>
      <c r="J40" s="2">
        <v>12462</v>
      </c>
      <c r="K40" s="2">
        <v>9067</v>
      </c>
      <c r="L40" s="2">
        <v>10447</v>
      </c>
      <c r="M40" s="2">
        <v>11350</v>
      </c>
      <c r="N40" s="2">
        <v>16042</v>
      </c>
      <c r="O40" s="2">
        <v>16162.24</v>
      </c>
      <c r="P40" s="2">
        <v>17420.64</v>
      </c>
      <c r="Q40" s="2">
        <v>18350.28</v>
      </c>
      <c r="R40" s="2">
        <v>17925.36</v>
      </c>
    </row>
    <row r="41" spans="1:19" x14ac:dyDescent="0.25">
      <c r="A41" t="s">
        <v>779</v>
      </c>
      <c r="B41">
        <v>789</v>
      </c>
      <c r="C41">
        <v>795</v>
      </c>
      <c r="D41">
        <v>750</v>
      </c>
      <c r="E41">
        <v>835</v>
      </c>
      <c r="F41">
        <v>934</v>
      </c>
      <c r="G41" s="2">
        <v>1130</v>
      </c>
      <c r="H41" s="2">
        <v>1212</v>
      </c>
      <c r="I41" s="2">
        <v>1053</v>
      </c>
      <c r="J41" s="2">
        <v>2111</v>
      </c>
      <c r="K41" s="2">
        <v>1544</v>
      </c>
      <c r="L41" s="2">
        <v>1553</v>
      </c>
      <c r="M41" s="2">
        <v>1878</v>
      </c>
      <c r="N41" s="2">
        <v>3191</v>
      </c>
      <c r="O41" s="2">
        <v>6462.43</v>
      </c>
      <c r="P41" s="2">
        <v>7410.84</v>
      </c>
      <c r="Q41" s="2">
        <v>8419.98</v>
      </c>
      <c r="R41" s="2">
        <v>11881.84</v>
      </c>
    </row>
    <row r="42" spans="1:19" x14ac:dyDescent="0.25">
      <c r="A42" t="s">
        <v>780</v>
      </c>
      <c r="B42">
        <v>99</v>
      </c>
      <c r="C42">
        <v>183</v>
      </c>
      <c r="D42">
        <v>320</v>
      </c>
      <c r="E42">
        <v>487</v>
      </c>
      <c r="F42">
        <v>558</v>
      </c>
      <c r="G42">
        <v>641</v>
      </c>
      <c r="H42">
        <v>700</v>
      </c>
      <c r="I42">
        <v>536</v>
      </c>
      <c r="J42">
        <v>566</v>
      </c>
      <c r="K42">
        <v>903</v>
      </c>
      <c r="L42" s="2">
        <v>1091</v>
      </c>
      <c r="M42" s="2">
        <v>1694</v>
      </c>
      <c r="N42" s="2">
        <v>2349</v>
      </c>
      <c r="O42" s="2">
        <v>3094.06</v>
      </c>
      <c r="P42" s="2">
        <v>3845.72</v>
      </c>
      <c r="Q42" s="2">
        <v>5099.5200000000004</v>
      </c>
      <c r="R42" s="2">
        <v>19296</v>
      </c>
    </row>
    <row r="43" spans="1:19" x14ac:dyDescent="0.25">
      <c r="A43" t="s">
        <v>781</v>
      </c>
      <c r="B43" s="2">
        <v>1532</v>
      </c>
      <c r="C43" s="2">
        <v>1329</v>
      </c>
      <c r="D43">
        <v>783</v>
      </c>
      <c r="E43">
        <v>698</v>
      </c>
      <c r="F43">
        <v>777</v>
      </c>
      <c r="G43">
        <v>767</v>
      </c>
      <c r="H43">
        <v>505</v>
      </c>
      <c r="I43">
        <v>631</v>
      </c>
      <c r="J43" s="2">
        <v>1162</v>
      </c>
      <c r="K43">
        <v>455</v>
      </c>
      <c r="L43">
        <v>306</v>
      </c>
      <c r="M43">
        <v>389</v>
      </c>
      <c r="N43">
        <v>619</v>
      </c>
      <c r="O43">
        <v>883.22</v>
      </c>
      <c r="P43">
        <v>983.92</v>
      </c>
      <c r="Q43" s="2">
        <v>1047.08</v>
      </c>
      <c r="R43" s="2">
        <v>1167.6400000000001</v>
      </c>
    </row>
    <row r="44" spans="1:19" x14ac:dyDescent="0.25">
      <c r="A44" t="s">
        <v>17</v>
      </c>
    </row>
    <row r="45" spans="1:19" x14ac:dyDescent="0.25">
      <c r="A45" t="s">
        <v>58</v>
      </c>
    </row>
    <row r="46" spans="1:19" x14ac:dyDescent="0.25">
      <c r="A46" t="s">
        <v>782</v>
      </c>
    </row>
    <row r="47" spans="1:19" x14ac:dyDescent="0.25">
      <c r="A47" t="s">
        <v>60</v>
      </c>
      <c r="H47" s="2">
        <v>3279</v>
      </c>
      <c r="I47" s="2">
        <v>6841</v>
      </c>
      <c r="J47" s="2">
        <v>11046</v>
      </c>
      <c r="K47" s="2">
        <v>15068</v>
      </c>
      <c r="L47" s="2">
        <v>47405</v>
      </c>
      <c r="M47" s="2">
        <v>116193</v>
      </c>
      <c r="N47" s="2">
        <v>193479</v>
      </c>
      <c r="O47" s="2">
        <v>375285.61</v>
      </c>
      <c r="P47" s="2">
        <v>615217.66</v>
      </c>
      <c r="Q47" s="2">
        <v>841571.14</v>
      </c>
    </row>
    <row r="48" spans="1:19" x14ac:dyDescent="0.25">
      <c r="A48" t="s">
        <v>783</v>
      </c>
      <c r="H48">
        <v>751</v>
      </c>
      <c r="I48" s="2">
        <v>2548</v>
      </c>
      <c r="J48" s="2">
        <v>4598</v>
      </c>
      <c r="K48" s="2">
        <v>5083</v>
      </c>
      <c r="L48" s="2">
        <v>32016</v>
      </c>
      <c r="M48" s="2">
        <v>82875</v>
      </c>
      <c r="N48" s="2">
        <v>130141</v>
      </c>
      <c r="O48" s="2">
        <v>268534.34999999998</v>
      </c>
      <c r="P48" s="2">
        <v>457465.41</v>
      </c>
      <c r="Q48" s="2">
        <v>625585.42000000004</v>
      </c>
      <c r="R48" s="2">
        <v>714531.07</v>
      </c>
      <c r="S48" s="2">
        <v>881789.81</v>
      </c>
    </row>
    <row r="49" spans="1:18" x14ac:dyDescent="0.25">
      <c r="A49" t="s">
        <v>17</v>
      </c>
    </row>
    <row r="50" spans="1:18" x14ac:dyDescent="0.25">
      <c r="A50" t="s">
        <v>784</v>
      </c>
    </row>
    <row r="51" spans="1:18" x14ac:dyDescent="0.25">
      <c r="A51" t="s">
        <v>60</v>
      </c>
      <c r="H51" s="2">
        <v>7639</v>
      </c>
      <c r="I51" s="2">
        <v>9834</v>
      </c>
      <c r="J51" s="2">
        <v>15868</v>
      </c>
      <c r="K51" s="2">
        <v>11906</v>
      </c>
      <c r="L51" s="2">
        <v>13517</v>
      </c>
      <c r="M51" s="2">
        <v>14304</v>
      </c>
      <c r="N51" s="2">
        <v>22459</v>
      </c>
      <c r="O51" s="2">
        <v>34567.870000000003</v>
      </c>
      <c r="P51" s="2">
        <v>51785.120000000003</v>
      </c>
      <c r="Q51" s="2">
        <v>57986.64</v>
      </c>
    </row>
    <row r="52" spans="1:18" x14ac:dyDescent="0.25">
      <c r="A52" t="s">
        <v>783</v>
      </c>
      <c r="H52" s="2">
        <v>3267</v>
      </c>
      <c r="I52" s="2">
        <v>4612</v>
      </c>
      <c r="J52" s="2">
        <v>8492</v>
      </c>
      <c r="K52" s="2">
        <v>4552</v>
      </c>
      <c r="L52" s="2">
        <v>5846</v>
      </c>
      <c r="M52" s="2">
        <v>5085</v>
      </c>
      <c r="N52" s="2">
        <v>9156</v>
      </c>
      <c r="O52" s="2">
        <v>14723.57</v>
      </c>
      <c r="P52" s="2">
        <v>13331.92</v>
      </c>
      <c r="Q52" s="2">
        <v>16104.65</v>
      </c>
      <c r="R52" s="2">
        <v>14967.16</v>
      </c>
    </row>
    <row r="53" spans="1:18" x14ac:dyDescent="0.25">
      <c r="A53" t="s">
        <v>17</v>
      </c>
    </row>
    <row r="54" spans="1:18" x14ac:dyDescent="0.25">
      <c r="A54" t="s">
        <v>785</v>
      </c>
    </row>
    <row r="55" spans="1:18" x14ac:dyDescent="0.25">
      <c r="A55" t="s">
        <v>17</v>
      </c>
    </row>
    <row r="56" spans="1:18" x14ac:dyDescent="0.25">
      <c r="A56" t="s">
        <v>273</v>
      </c>
    </row>
    <row r="57" spans="1:18" x14ac:dyDescent="0.25">
      <c r="A57" t="s">
        <v>783</v>
      </c>
      <c r="B57">
        <v>-71</v>
      </c>
      <c r="C57">
        <v>-100</v>
      </c>
      <c r="D57">
        <v>-358</v>
      </c>
      <c r="E57">
        <v>-237</v>
      </c>
      <c r="F57">
        <v>-600</v>
      </c>
      <c r="G57">
        <v>-880</v>
      </c>
      <c r="H57" s="2">
        <v>-1172</v>
      </c>
      <c r="I57" s="2">
        <v>-2628</v>
      </c>
      <c r="J57" s="2">
        <v>-3049</v>
      </c>
      <c r="K57" s="2">
        <v>-5411</v>
      </c>
      <c r="L57" s="2">
        <v>-4890</v>
      </c>
      <c r="M57" s="2">
        <v>-6507</v>
      </c>
      <c r="N57" s="2">
        <v>-8910</v>
      </c>
    </row>
    <row r="58" spans="1:18" x14ac:dyDescent="0.25">
      <c r="A58" t="s">
        <v>17</v>
      </c>
    </row>
    <row r="59" spans="1:18" x14ac:dyDescent="0.25">
      <c r="A59" t="s">
        <v>51</v>
      </c>
    </row>
    <row r="60" spans="1:18" x14ac:dyDescent="0.25">
      <c r="A60" t="s">
        <v>786</v>
      </c>
    </row>
    <row r="61" spans="1:18" x14ac:dyDescent="0.25">
      <c r="A61" t="s">
        <v>60</v>
      </c>
      <c r="B61" s="2">
        <v>3468</v>
      </c>
      <c r="C61" s="2">
        <v>3839</v>
      </c>
      <c r="D61" s="2">
        <v>4187</v>
      </c>
      <c r="E61" s="2">
        <v>5822</v>
      </c>
      <c r="F61" s="2">
        <v>8137</v>
      </c>
      <c r="G61" s="2">
        <v>10175</v>
      </c>
      <c r="H61" s="2">
        <v>9465</v>
      </c>
      <c r="O61" s="2">
        <v>183900</v>
      </c>
      <c r="P61" s="2">
        <v>183900</v>
      </c>
      <c r="Q61" s="2">
        <v>183900</v>
      </c>
    </row>
    <row r="62" spans="1:18" x14ac:dyDescent="0.25">
      <c r="A62" t="s">
        <v>17</v>
      </c>
    </row>
    <row r="63" spans="1:18" x14ac:dyDescent="0.25">
      <c r="A63" t="s">
        <v>787</v>
      </c>
    </row>
    <row r="64" spans="1:18" x14ac:dyDescent="0.25">
      <c r="A64" t="s">
        <v>60</v>
      </c>
      <c r="B64">
        <v>398</v>
      </c>
      <c r="C64">
        <v>579</v>
      </c>
      <c r="D64">
        <v>559</v>
      </c>
      <c r="E64">
        <v>824</v>
      </c>
      <c r="F64" s="2">
        <v>1534</v>
      </c>
      <c r="G64" s="2">
        <v>1541</v>
      </c>
      <c r="H64" s="2">
        <v>1453</v>
      </c>
    </row>
    <row r="65" spans="1:19" x14ac:dyDescent="0.25">
      <c r="A65" t="s">
        <v>17</v>
      </c>
    </row>
    <row r="66" spans="1:19" x14ac:dyDescent="0.25">
      <c r="A66" t="s">
        <v>37</v>
      </c>
    </row>
    <row r="67" spans="1:19" x14ac:dyDescent="0.25">
      <c r="A67" t="s">
        <v>17</v>
      </c>
    </row>
    <row r="68" spans="1:19" x14ac:dyDescent="0.25">
      <c r="A68" t="s">
        <v>38</v>
      </c>
    </row>
    <row r="69" spans="1:19" x14ac:dyDescent="0.25">
      <c r="A69" t="s">
        <v>43</v>
      </c>
      <c r="B69" s="2">
        <v>8808</v>
      </c>
      <c r="C69" s="2">
        <v>9228</v>
      </c>
      <c r="D69" s="2">
        <v>9227</v>
      </c>
      <c r="E69" s="2">
        <v>7282</v>
      </c>
      <c r="F69" s="2">
        <v>8191</v>
      </c>
      <c r="G69" s="2">
        <v>13277</v>
      </c>
      <c r="H69" s="2">
        <v>13775</v>
      </c>
      <c r="I69" s="2">
        <v>18975</v>
      </c>
      <c r="J69" s="2">
        <v>22473</v>
      </c>
      <c r="K69" s="2">
        <v>26196</v>
      </c>
      <c r="L69" s="2">
        <v>29600</v>
      </c>
      <c r="M69" s="2">
        <v>36000</v>
      </c>
      <c r="N69" s="2">
        <v>42000</v>
      </c>
    </row>
    <row r="70" spans="1:19" x14ac:dyDescent="0.25">
      <c r="A70" t="s">
        <v>17</v>
      </c>
    </row>
    <row r="71" spans="1:19" x14ac:dyDescent="0.25">
      <c r="A71" t="s">
        <v>252</v>
      </c>
    </row>
    <row r="72" spans="1:19" x14ac:dyDescent="0.25">
      <c r="A72" t="s">
        <v>788</v>
      </c>
      <c r="B72">
        <v>37.58</v>
      </c>
      <c r="C72">
        <v>36.85</v>
      </c>
      <c r="D72">
        <v>37.4</v>
      </c>
      <c r="E72">
        <v>43.51</v>
      </c>
      <c r="F72">
        <v>47.4</v>
      </c>
      <c r="G72">
        <v>44.24</v>
      </c>
      <c r="H72">
        <v>55.24</v>
      </c>
      <c r="I72">
        <v>54.04</v>
      </c>
      <c r="J72">
        <v>62.89</v>
      </c>
      <c r="K72">
        <v>51.64</v>
      </c>
      <c r="L72">
        <v>59.74</v>
      </c>
      <c r="M72">
        <v>64.34</v>
      </c>
      <c r="N72">
        <v>64.84</v>
      </c>
      <c r="O72">
        <v>65.2</v>
      </c>
      <c r="P72">
        <v>61.88</v>
      </c>
      <c r="Q72">
        <v>90.8</v>
      </c>
      <c r="R72">
        <v>132.5</v>
      </c>
      <c r="S72">
        <v>132.5</v>
      </c>
    </row>
    <row r="73" spans="1:19" x14ac:dyDescent="0.25">
      <c r="A73" t="s">
        <v>789</v>
      </c>
      <c r="B73">
        <v>75.8</v>
      </c>
      <c r="C73">
        <v>84.4</v>
      </c>
      <c r="D73">
        <v>70.52</v>
      </c>
      <c r="E73">
        <v>101.52</v>
      </c>
      <c r="F73">
        <v>74.45</v>
      </c>
      <c r="G73">
        <v>126.14</v>
      </c>
      <c r="H73">
        <v>85.87</v>
      </c>
      <c r="I73">
        <v>107.89</v>
      </c>
      <c r="J73">
        <v>100.46</v>
      </c>
      <c r="K73">
        <v>161.63999999999999</v>
      </c>
      <c r="L73">
        <v>115.68</v>
      </c>
      <c r="M73">
        <v>112.42</v>
      </c>
      <c r="N73">
        <v>124.7</v>
      </c>
      <c r="O73">
        <v>116.68</v>
      </c>
      <c r="P73">
        <v>108.58</v>
      </c>
      <c r="Q73">
        <v>190.75</v>
      </c>
      <c r="R73">
        <v>282.39999999999998</v>
      </c>
      <c r="S73">
        <v>282.39999999999998</v>
      </c>
    </row>
    <row r="74" spans="1:19" x14ac:dyDescent="0.25">
      <c r="A74" t="s">
        <v>17</v>
      </c>
    </row>
    <row r="75" spans="1:19" x14ac:dyDescent="0.25">
      <c r="A75" t="s">
        <v>72</v>
      </c>
    </row>
    <row r="76" spans="1:19" x14ac:dyDescent="0.25">
      <c r="A76" t="s">
        <v>16</v>
      </c>
    </row>
    <row r="77" spans="1:19" x14ac:dyDescent="0.25">
      <c r="A77" t="s">
        <v>73</v>
      </c>
      <c r="B77">
        <v>727</v>
      </c>
      <c r="C77">
        <v>791</v>
      </c>
      <c r="D77">
        <v>643</v>
      </c>
      <c r="E77">
        <v>904</v>
      </c>
      <c r="F77" s="2">
        <v>1274</v>
      </c>
      <c r="G77" s="2">
        <v>1506</v>
      </c>
      <c r="H77">
        <v>886</v>
      </c>
      <c r="I77" s="2">
        <v>3214</v>
      </c>
      <c r="J77" s="2">
        <v>4349</v>
      </c>
      <c r="K77" s="2">
        <v>8292</v>
      </c>
      <c r="L77" s="2">
        <v>26966</v>
      </c>
      <c r="M77" s="2">
        <v>61257</v>
      </c>
      <c r="N77" s="2">
        <v>149617</v>
      </c>
      <c r="O77" s="2">
        <v>318535.58</v>
      </c>
      <c r="P77" s="2">
        <v>550335.06999999995</v>
      </c>
      <c r="Q77" s="2">
        <v>797590.34</v>
      </c>
    </row>
    <row r="78" spans="1:19" x14ac:dyDescent="0.25">
      <c r="A78" t="s">
        <v>736</v>
      </c>
      <c r="B78" s="2">
        <v>1321</v>
      </c>
      <c r="C78" s="2">
        <v>1594</v>
      </c>
      <c r="D78" s="2">
        <v>1912</v>
      </c>
      <c r="E78" s="2">
        <v>2546</v>
      </c>
      <c r="F78" s="2">
        <v>2991</v>
      </c>
      <c r="G78" s="2">
        <v>3360</v>
      </c>
      <c r="H78" s="2">
        <v>3025</v>
      </c>
      <c r="I78" s="2">
        <v>4531</v>
      </c>
      <c r="J78" s="2">
        <v>8544</v>
      </c>
      <c r="K78" s="2">
        <v>6986</v>
      </c>
      <c r="L78" s="2">
        <v>13405</v>
      </c>
      <c r="M78" s="2">
        <v>20573</v>
      </c>
      <c r="N78" s="2">
        <v>42345</v>
      </c>
      <c r="O78" s="2">
        <v>67277</v>
      </c>
      <c r="P78" s="2">
        <v>115200.31</v>
      </c>
      <c r="Q78" s="2">
        <v>154377.24</v>
      </c>
    </row>
    <row r="79" spans="1:19" x14ac:dyDescent="0.25">
      <c r="A79" t="s">
        <v>790</v>
      </c>
      <c r="B79">
        <v>794</v>
      </c>
      <c r="C79">
        <v>922</v>
      </c>
      <c r="D79">
        <v>806</v>
      </c>
      <c r="E79" s="2">
        <v>1305</v>
      </c>
      <c r="F79" s="2">
        <v>1896</v>
      </c>
      <c r="G79" s="2">
        <v>2801</v>
      </c>
      <c r="H79" s="2">
        <v>2731</v>
      </c>
      <c r="I79" s="2">
        <v>3886</v>
      </c>
      <c r="J79" s="2">
        <v>7111</v>
      </c>
      <c r="K79" s="2">
        <v>5785</v>
      </c>
      <c r="L79" s="2">
        <v>10306</v>
      </c>
      <c r="M79" s="2">
        <v>17108</v>
      </c>
      <c r="N79" s="2">
        <v>19677</v>
      </c>
      <c r="O79" s="2">
        <v>23470.79</v>
      </c>
      <c r="P79" s="2">
        <v>40214.74</v>
      </c>
      <c r="Q79" s="2">
        <v>54198.15</v>
      </c>
    </row>
    <row r="80" spans="1:19" x14ac:dyDescent="0.25">
      <c r="A80" t="s">
        <v>791</v>
      </c>
      <c r="L80" s="2">
        <v>10245</v>
      </c>
      <c r="M80" s="2">
        <v>7875</v>
      </c>
      <c r="N80" s="2">
        <v>4299</v>
      </c>
      <c r="O80" s="2">
        <v>6443.74</v>
      </c>
      <c r="P80" s="2">
        <v>11132.87</v>
      </c>
      <c r="Q80" s="2">
        <v>16134.67</v>
      </c>
    </row>
    <row r="81" spans="1:21" x14ac:dyDescent="0.25">
      <c r="A81" t="s">
        <v>17</v>
      </c>
    </row>
    <row r="82" spans="1:21" x14ac:dyDescent="0.25">
      <c r="A82" t="s">
        <v>51</v>
      </c>
    </row>
    <row r="83" spans="1:21" x14ac:dyDescent="0.25">
      <c r="A83" t="s">
        <v>16</v>
      </c>
    </row>
    <row r="84" spans="1:21" x14ac:dyDescent="0.25">
      <c r="A84" t="s">
        <v>735</v>
      </c>
      <c r="M84" s="2">
        <v>23684</v>
      </c>
      <c r="O84" s="2">
        <v>88809.64</v>
      </c>
      <c r="P84" s="2">
        <v>150973.28</v>
      </c>
      <c r="Q84" s="2">
        <v>188842.2</v>
      </c>
    </row>
    <row r="85" spans="1:21" x14ac:dyDescent="0.25">
      <c r="A85" t="s">
        <v>17</v>
      </c>
    </row>
    <row r="86" spans="1:21" x14ac:dyDescent="0.25">
      <c r="A86" t="s">
        <v>274</v>
      </c>
    </row>
    <row r="87" spans="1:21" x14ac:dyDescent="0.25">
      <c r="A87" t="s">
        <v>80</v>
      </c>
      <c r="B87" s="2">
        <v>4130.16</v>
      </c>
      <c r="C87" s="2">
        <v>4681.51</v>
      </c>
      <c r="D87" s="2">
        <v>5010</v>
      </c>
      <c r="E87" s="2">
        <v>6910</v>
      </c>
      <c r="F87" s="2">
        <v>9714</v>
      </c>
      <c r="G87" s="2">
        <v>11716</v>
      </c>
      <c r="H87" s="2">
        <v>10918</v>
      </c>
      <c r="I87" s="2">
        <v>16675</v>
      </c>
      <c r="J87" s="2">
        <v>26914</v>
      </c>
      <c r="K87" s="2">
        <v>26974</v>
      </c>
      <c r="L87" s="2">
        <v>60922</v>
      </c>
      <c r="M87" s="2">
        <v>130497</v>
      </c>
      <c r="N87" s="2">
        <v>215938</v>
      </c>
      <c r="O87" s="2">
        <v>410830.05</v>
      </c>
      <c r="P87" s="2">
        <v>701197.52</v>
      </c>
      <c r="Q87" s="2">
        <v>930336.48</v>
      </c>
      <c r="R87" s="2">
        <v>1085326.67</v>
      </c>
      <c r="S87" s="2">
        <v>1152389.6000000001</v>
      </c>
      <c r="T87" s="2">
        <v>1269184</v>
      </c>
      <c r="U87" s="2">
        <v>1370719</v>
      </c>
    </row>
    <row r="88" spans="1:21" x14ac:dyDescent="0.25">
      <c r="A88" t="s">
        <v>17</v>
      </c>
    </row>
    <row r="89" spans="1:21" x14ac:dyDescent="0.25">
      <c r="A89" t="s">
        <v>82</v>
      </c>
      <c r="M89" s="2">
        <v>31992</v>
      </c>
      <c r="N89" s="2">
        <v>61944</v>
      </c>
      <c r="O89" s="2">
        <v>108298.3</v>
      </c>
      <c r="P89" s="2">
        <v>193115.31</v>
      </c>
      <c r="Q89" s="2">
        <v>257744.72</v>
      </c>
      <c r="R89" s="2">
        <v>309578.96999999997</v>
      </c>
      <c r="S89" s="2">
        <v>304295.2</v>
      </c>
    </row>
    <row r="90" spans="1:21" x14ac:dyDescent="0.25">
      <c r="A90" t="s">
        <v>84</v>
      </c>
      <c r="B90" s="2">
        <v>2274.41</v>
      </c>
      <c r="C90" s="2">
        <v>2611</v>
      </c>
      <c r="D90" s="2">
        <v>2846</v>
      </c>
      <c r="E90" s="2">
        <v>4088</v>
      </c>
      <c r="F90" s="2">
        <v>5844</v>
      </c>
      <c r="G90" s="2">
        <v>7233</v>
      </c>
      <c r="H90" s="2">
        <v>6821</v>
      </c>
      <c r="I90" s="2">
        <v>10947</v>
      </c>
      <c r="J90" s="2">
        <v>17969</v>
      </c>
      <c r="K90" s="2">
        <v>15965</v>
      </c>
      <c r="L90" s="2">
        <v>44959</v>
      </c>
      <c r="M90" s="2">
        <v>98505</v>
      </c>
      <c r="N90" s="2">
        <v>153994</v>
      </c>
      <c r="O90" s="2">
        <v>303431.42</v>
      </c>
      <c r="P90" s="2">
        <v>510944.26</v>
      </c>
      <c r="Q90" s="2">
        <v>680678.86</v>
      </c>
      <c r="R90" s="2">
        <v>765118.31</v>
      </c>
      <c r="S90" s="2">
        <v>795211.34</v>
      </c>
    </row>
    <row r="91" spans="1:21" x14ac:dyDescent="0.25">
      <c r="A91" t="s">
        <v>85</v>
      </c>
      <c r="B91">
        <v>55.1</v>
      </c>
      <c r="C91">
        <v>55.8</v>
      </c>
      <c r="D91">
        <v>56.8</v>
      </c>
      <c r="E91">
        <v>59.2</v>
      </c>
      <c r="F91">
        <v>60.2</v>
      </c>
      <c r="G91">
        <v>61.7</v>
      </c>
      <c r="H91">
        <v>62.5</v>
      </c>
      <c r="I91">
        <v>65.599999999999994</v>
      </c>
      <c r="J91">
        <v>66.8</v>
      </c>
      <c r="K91">
        <v>59.2</v>
      </c>
      <c r="L91">
        <v>73.8</v>
      </c>
      <c r="M91">
        <v>75.5</v>
      </c>
      <c r="N91">
        <v>71.3</v>
      </c>
      <c r="O91">
        <v>73.78</v>
      </c>
      <c r="P91">
        <v>72.64</v>
      </c>
      <c r="Q91">
        <v>72.62</v>
      </c>
      <c r="R91">
        <v>72.62</v>
      </c>
      <c r="S91">
        <v>73.239999999999995</v>
      </c>
    </row>
    <row r="92" spans="1:21" x14ac:dyDescent="0.25">
      <c r="A92" t="s">
        <v>17</v>
      </c>
    </row>
    <row r="93" spans="1:21" x14ac:dyDescent="0.25">
      <c r="A93" t="s">
        <v>275</v>
      </c>
      <c r="B93" s="2">
        <v>1610.2</v>
      </c>
      <c r="C93" s="2">
        <v>1657</v>
      </c>
      <c r="D93" s="2">
        <v>1721</v>
      </c>
      <c r="E93" s="2">
        <v>1867</v>
      </c>
      <c r="F93" s="2">
        <v>2227</v>
      </c>
      <c r="G93" s="2">
        <v>2826</v>
      </c>
      <c r="H93" s="2">
        <v>3086</v>
      </c>
      <c r="I93" s="2">
        <v>4144</v>
      </c>
      <c r="J93" s="2">
        <v>5279</v>
      </c>
      <c r="K93" s="2">
        <v>6925</v>
      </c>
      <c r="L93" s="2">
        <v>7825</v>
      </c>
      <c r="M93" s="2">
        <v>11716</v>
      </c>
      <c r="N93" s="2">
        <v>16694</v>
      </c>
      <c r="O93" s="2">
        <v>34630</v>
      </c>
      <c r="P93" s="2">
        <v>51242.59</v>
      </c>
      <c r="Q93" s="2">
        <v>69363.92</v>
      </c>
      <c r="R93" s="2">
        <v>90430.28</v>
      </c>
    </row>
    <row r="94" spans="1:21" x14ac:dyDescent="0.25">
      <c r="A94" t="s">
        <v>276</v>
      </c>
      <c r="D94">
        <v>528</v>
      </c>
      <c r="E94">
        <v>565</v>
      </c>
      <c r="F94">
        <v>664</v>
      </c>
      <c r="G94">
        <v>797</v>
      </c>
      <c r="H94">
        <v>828</v>
      </c>
      <c r="I94" s="2">
        <v>1089</v>
      </c>
      <c r="J94" s="2">
        <v>1328</v>
      </c>
      <c r="K94" s="2">
        <v>1580</v>
      </c>
      <c r="L94" s="2">
        <v>1721</v>
      </c>
      <c r="M94" s="2">
        <v>2304</v>
      </c>
      <c r="N94" s="2">
        <v>3102</v>
      </c>
      <c r="O94" s="2">
        <v>5646.71</v>
      </c>
      <c r="P94" s="2">
        <v>8085.51</v>
      </c>
      <c r="Q94" s="2">
        <v>10778.46</v>
      </c>
      <c r="R94" s="2">
        <v>14869.93</v>
      </c>
      <c r="S94" s="2">
        <v>11620.51</v>
      </c>
    </row>
    <row r="95" spans="1:21" x14ac:dyDescent="0.25">
      <c r="A95" t="s">
        <v>89</v>
      </c>
      <c r="D95" s="2">
        <v>1216</v>
      </c>
      <c r="E95" s="2">
        <v>1331</v>
      </c>
      <c r="F95" s="2">
        <v>1578</v>
      </c>
      <c r="G95" s="2">
        <v>2040</v>
      </c>
      <c r="H95" s="2">
        <v>2289</v>
      </c>
      <c r="I95" s="2">
        <v>3055</v>
      </c>
      <c r="J95" s="2">
        <v>3951</v>
      </c>
      <c r="K95" s="2">
        <v>5408</v>
      </c>
      <c r="L95" s="2">
        <v>6094</v>
      </c>
      <c r="M95" s="2">
        <v>9412</v>
      </c>
      <c r="N95" s="2">
        <v>13645</v>
      </c>
      <c r="O95" s="2">
        <v>28558.23</v>
      </c>
      <c r="P95" s="2">
        <v>41847.43</v>
      </c>
      <c r="Q95" s="2">
        <v>54145.03</v>
      </c>
      <c r="R95" s="2">
        <v>65580.05</v>
      </c>
      <c r="S95" s="2">
        <v>57395.58</v>
      </c>
    </row>
    <row r="96" spans="1:21" x14ac:dyDescent="0.25">
      <c r="A96" t="s">
        <v>61</v>
      </c>
      <c r="D96">
        <v>24.27</v>
      </c>
      <c r="E96">
        <v>19.260000000000002</v>
      </c>
      <c r="F96">
        <v>16.239999999999998</v>
      </c>
      <c r="G96">
        <v>17.41</v>
      </c>
      <c r="H96">
        <v>20.97</v>
      </c>
      <c r="I96">
        <v>18.32</v>
      </c>
      <c r="J96">
        <v>14.68</v>
      </c>
      <c r="K96">
        <v>20.05</v>
      </c>
      <c r="L96">
        <v>10</v>
      </c>
      <c r="M96">
        <v>7.21</v>
      </c>
      <c r="N96">
        <v>6.32</v>
      </c>
      <c r="O96">
        <v>6.8</v>
      </c>
      <c r="P96">
        <v>5.79</v>
      </c>
      <c r="Q96">
        <v>5.6</v>
      </c>
      <c r="R96">
        <v>7.66</v>
      </c>
    </row>
    <row r="97" spans="1:21" x14ac:dyDescent="0.25">
      <c r="A97" t="s">
        <v>17</v>
      </c>
    </row>
    <row r="98" spans="1:21" x14ac:dyDescent="0.25">
      <c r="A98" t="s">
        <v>91</v>
      </c>
      <c r="B98">
        <v>496.23</v>
      </c>
      <c r="C98">
        <v>954.19</v>
      </c>
      <c r="D98" s="2">
        <v>1125</v>
      </c>
      <c r="E98" s="2">
        <v>2221</v>
      </c>
      <c r="F98" s="2">
        <v>3617</v>
      </c>
      <c r="G98" s="2">
        <v>4407</v>
      </c>
      <c r="H98" s="2">
        <v>3735</v>
      </c>
      <c r="I98" s="2">
        <v>6803</v>
      </c>
      <c r="J98" s="2">
        <v>12690</v>
      </c>
      <c r="K98" s="2">
        <v>9040</v>
      </c>
      <c r="L98" s="2">
        <v>37134</v>
      </c>
      <c r="M98" s="2">
        <v>86789</v>
      </c>
      <c r="N98" s="2">
        <v>137300</v>
      </c>
      <c r="O98" s="2">
        <v>268561.40999999997</v>
      </c>
      <c r="P98" s="2">
        <v>456882.08</v>
      </c>
      <c r="Q98" s="2">
        <v>611612.5</v>
      </c>
      <c r="R98" s="2">
        <v>686845.8</v>
      </c>
      <c r="S98" s="2">
        <v>704639.8</v>
      </c>
    </row>
    <row r="99" spans="1:21" x14ac:dyDescent="0.25">
      <c r="A99" t="s">
        <v>92</v>
      </c>
      <c r="C99">
        <v>20.38</v>
      </c>
      <c r="D99">
        <v>22.46</v>
      </c>
      <c r="E99">
        <v>32.14</v>
      </c>
      <c r="F99">
        <v>37.229999999999997</v>
      </c>
      <c r="G99">
        <v>37.619999999999997</v>
      </c>
      <c r="H99">
        <v>34.21</v>
      </c>
      <c r="I99">
        <v>40.799999999999997</v>
      </c>
      <c r="J99">
        <v>47.15</v>
      </c>
      <c r="K99">
        <v>33.51</v>
      </c>
      <c r="L99">
        <v>60.95</v>
      </c>
      <c r="M99">
        <v>66.510000000000005</v>
      </c>
      <c r="N99">
        <v>63.58</v>
      </c>
      <c r="O99">
        <v>65.36</v>
      </c>
      <c r="P99">
        <v>65.19</v>
      </c>
      <c r="Q99">
        <v>65.25</v>
      </c>
      <c r="R99">
        <v>64.430000000000007</v>
      </c>
      <c r="S99">
        <v>66.37</v>
      </c>
    </row>
    <row r="100" spans="1:21" x14ac:dyDescent="0.25">
      <c r="A100" t="s">
        <v>17</v>
      </c>
    </row>
    <row r="101" spans="1:21" x14ac:dyDescent="0.25">
      <c r="A101" t="s">
        <v>93</v>
      </c>
      <c r="B101">
        <v>166</v>
      </c>
      <c r="C101">
        <v>143</v>
      </c>
      <c r="D101">
        <v>124</v>
      </c>
      <c r="E101">
        <v>118</v>
      </c>
      <c r="F101">
        <v>144</v>
      </c>
      <c r="G101">
        <v>233</v>
      </c>
      <c r="H101">
        <v>381</v>
      </c>
      <c r="I101" s="2">
        <v>1098</v>
      </c>
      <c r="J101" s="2">
        <v>1174</v>
      </c>
      <c r="K101" s="2">
        <v>1544</v>
      </c>
      <c r="L101" s="2">
        <v>1508</v>
      </c>
      <c r="M101" s="2">
        <v>1864</v>
      </c>
      <c r="N101" s="2">
        <v>2843</v>
      </c>
      <c r="O101" s="2">
        <v>4234.26</v>
      </c>
      <c r="P101" s="2">
        <v>6010.68</v>
      </c>
      <c r="Q101" s="2">
        <v>8040.01</v>
      </c>
      <c r="R101" s="2">
        <v>10852.82</v>
      </c>
      <c r="S101" s="2">
        <v>16367.31</v>
      </c>
      <c r="T101" s="2">
        <v>10970.25</v>
      </c>
      <c r="U101" s="2">
        <v>11847.87</v>
      </c>
    </row>
    <row r="102" spans="1:21" x14ac:dyDescent="0.25">
      <c r="A102" t="s">
        <v>127</v>
      </c>
      <c r="B102">
        <v>73</v>
      </c>
      <c r="C102">
        <v>77</v>
      </c>
      <c r="D102">
        <v>73</v>
      </c>
      <c r="E102">
        <v>68</v>
      </c>
      <c r="F102">
        <v>55</v>
      </c>
      <c r="G102">
        <v>29</v>
      </c>
      <c r="H102">
        <v>25</v>
      </c>
      <c r="I102">
        <v>612</v>
      </c>
      <c r="J102">
        <v>563</v>
      </c>
      <c r="K102">
        <v>699</v>
      </c>
      <c r="L102">
        <v>614</v>
      </c>
      <c r="M102">
        <v>593</v>
      </c>
      <c r="N102">
        <v>488</v>
      </c>
      <c r="O102">
        <v>893.29</v>
      </c>
      <c r="P102" s="2">
        <v>1155.32</v>
      </c>
      <c r="Q102" s="2">
        <v>1384.22</v>
      </c>
      <c r="R102">
        <v>639.66999999999996</v>
      </c>
      <c r="S102">
        <v>605.33000000000004</v>
      </c>
    </row>
    <row r="103" spans="1:21" x14ac:dyDescent="0.25">
      <c r="A103" t="s">
        <v>17</v>
      </c>
    </row>
    <row r="104" spans="1:21" x14ac:dyDescent="0.25">
      <c r="A104" t="s">
        <v>277</v>
      </c>
      <c r="E104" s="2">
        <v>2408</v>
      </c>
      <c r="F104" s="2">
        <v>3816</v>
      </c>
      <c r="G104" s="2">
        <v>4669</v>
      </c>
      <c r="H104" s="2">
        <v>4116</v>
      </c>
      <c r="I104" s="2">
        <v>7901</v>
      </c>
      <c r="J104" s="2">
        <v>13864</v>
      </c>
      <c r="K104" s="2">
        <v>10584</v>
      </c>
      <c r="L104" s="2">
        <v>38642</v>
      </c>
      <c r="M104" s="2">
        <v>88653</v>
      </c>
      <c r="N104" s="2">
        <v>140143</v>
      </c>
      <c r="O104" s="2">
        <v>272391.84000000003</v>
      </c>
      <c r="P104" s="2">
        <v>457189.77</v>
      </c>
      <c r="Q104" s="2">
        <v>596848</v>
      </c>
      <c r="R104" s="2">
        <v>587092.5</v>
      </c>
      <c r="S104" s="2">
        <v>629954</v>
      </c>
    </row>
    <row r="105" spans="1:21" x14ac:dyDescent="0.25">
      <c r="A105" t="s">
        <v>481</v>
      </c>
      <c r="B105">
        <v>17.8</v>
      </c>
      <c r="C105">
        <v>20.91</v>
      </c>
      <c r="D105">
        <v>18.84</v>
      </c>
      <c r="E105">
        <v>30.69</v>
      </c>
      <c r="F105">
        <v>35.090000000000003</v>
      </c>
      <c r="G105">
        <v>34.700000000000003</v>
      </c>
      <c r="H105">
        <v>30.6</v>
      </c>
      <c r="I105">
        <v>34.630000000000003</v>
      </c>
      <c r="J105">
        <v>41.67</v>
      </c>
      <c r="K105">
        <v>22.1</v>
      </c>
      <c r="L105">
        <v>57.04</v>
      </c>
      <c r="M105">
        <v>64.12</v>
      </c>
      <c r="N105">
        <v>61.91</v>
      </c>
      <c r="O105">
        <v>66.16</v>
      </c>
      <c r="P105">
        <v>65.599999999999994</v>
      </c>
      <c r="Q105">
        <v>65.62</v>
      </c>
      <c r="R105">
        <v>65.5</v>
      </c>
      <c r="S105">
        <v>65.14</v>
      </c>
      <c r="T105">
        <v>65.849999999999994</v>
      </c>
      <c r="U105">
        <v>66.150000000000006</v>
      </c>
    </row>
    <row r="106" spans="1:21" x14ac:dyDescent="0.25">
      <c r="A106" t="s">
        <v>17</v>
      </c>
    </row>
    <row r="107" spans="1:21" x14ac:dyDescent="0.25">
      <c r="A107" t="s">
        <v>792</v>
      </c>
      <c r="B107">
        <v>-15.55</v>
      </c>
      <c r="C107">
        <v>-9</v>
      </c>
      <c r="D107">
        <v>-20</v>
      </c>
      <c r="E107">
        <v>8</v>
      </c>
      <c r="F107">
        <v>-7</v>
      </c>
      <c r="G107">
        <v>82</v>
      </c>
      <c r="H107">
        <v>-127</v>
      </c>
      <c r="I107">
        <v>120</v>
      </c>
      <c r="J107">
        <v>196</v>
      </c>
      <c r="K107">
        <v>-7</v>
      </c>
      <c r="L107">
        <v>-612</v>
      </c>
      <c r="M107" s="2">
        <v>1547</v>
      </c>
      <c r="N107" s="2">
        <v>-2161</v>
      </c>
      <c r="O107" s="2">
        <v>-2215.04</v>
      </c>
      <c r="P107" s="2">
        <v>-3593.84</v>
      </c>
      <c r="Q107" s="2">
        <v>-6356.6</v>
      </c>
      <c r="R107" s="2">
        <v>-6067.73</v>
      </c>
      <c r="S107" s="2">
        <v>-7718.26</v>
      </c>
    </row>
    <row r="108" spans="1:21" x14ac:dyDescent="0.25">
      <c r="A108" t="s">
        <v>483</v>
      </c>
      <c r="B108">
        <v>-7</v>
      </c>
      <c r="C108">
        <v>18</v>
      </c>
      <c r="D108">
        <v>8</v>
      </c>
      <c r="E108">
        <v>4</v>
      </c>
      <c r="F108">
        <v>-8</v>
      </c>
      <c r="G108">
        <v>-78</v>
      </c>
      <c r="H108">
        <v>-126</v>
      </c>
      <c r="I108">
        <v>127</v>
      </c>
      <c r="J108">
        <v>207</v>
      </c>
      <c r="K108">
        <v>-5</v>
      </c>
      <c r="L108">
        <v>-609</v>
      </c>
      <c r="M108" s="2">
        <v>-1539</v>
      </c>
      <c r="N108" s="2">
        <v>-2041</v>
      </c>
      <c r="O108" s="2">
        <v>-5704.02</v>
      </c>
      <c r="P108" s="2">
        <v>-5295.16</v>
      </c>
      <c r="Q108" s="2">
        <v>-8038.86</v>
      </c>
    </row>
    <row r="109" spans="1:21" x14ac:dyDescent="0.25">
      <c r="A109" t="s">
        <v>484</v>
      </c>
      <c r="B109">
        <v>10</v>
      </c>
      <c r="C109">
        <v>46</v>
      </c>
      <c r="D109">
        <v>47</v>
      </c>
      <c r="E109">
        <v>58</v>
      </c>
      <c r="F109">
        <v>61</v>
      </c>
      <c r="G109">
        <v>58</v>
      </c>
      <c r="H109">
        <v>52</v>
      </c>
      <c r="I109">
        <v>184</v>
      </c>
      <c r="J109">
        <v>236</v>
      </c>
      <c r="K109">
        <v>262</v>
      </c>
      <c r="L109">
        <v>257</v>
      </c>
      <c r="M109">
        <v>247</v>
      </c>
      <c r="N109">
        <v>259</v>
      </c>
      <c r="O109">
        <v>377.67</v>
      </c>
      <c r="P109">
        <v>590.57000000000005</v>
      </c>
      <c r="Q109">
        <v>618.41999999999996</v>
      </c>
      <c r="R109">
        <v>768.55</v>
      </c>
      <c r="S109">
        <v>599.91</v>
      </c>
    </row>
    <row r="110" spans="1:21" x14ac:dyDescent="0.25">
      <c r="A110" t="s">
        <v>398</v>
      </c>
      <c r="B110">
        <v>17</v>
      </c>
      <c r="C110">
        <v>28</v>
      </c>
      <c r="D110">
        <v>39</v>
      </c>
      <c r="E110">
        <v>54</v>
      </c>
      <c r="F110">
        <v>69</v>
      </c>
      <c r="G110">
        <v>136</v>
      </c>
      <c r="H110">
        <v>178</v>
      </c>
      <c r="I110">
        <v>57</v>
      </c>
      <c r="J110">
        <v>29</v>
      </c>
      <c r="K110">
        <v>267</v>
      </c>
      <c r="L110">
        <v>866</v>
      </c>
      <c r="M110" s="2">
        <v>1786</v>
      </c>
      <c r="N110" s="2">
        <v>2300</v>
      </c>
      <c r="O110" s="2">
        <v>2920.46</v>
      </c>
      <c r="P110" s="2">
        <v>3359.39</v>
      </c>
      <c r="Q110" s="2">
        <v>5091.3900000000003</v>
      </c>
      <c r="R110" s="2">
        <v>7476.93</v>
      </c>
      <c r="S110" s="2">
        <v>13866.42</v>
      </c>
    </row>
    <row r="111" spans="1:21" x14ac:dyDescent="0.25">
      <c r="A111" t="s">
        <v>100</v>
      </c>
      <c r="B111">
        <v>679.77</v>
      </c>
      <c r="C111">
        <v>963.52</v>
      </c>
      <c r="D111" s="2">
        <v>1121</v>
      </c>
      <c r="E111" s="2">
        <v>2234</v>
      </c>
      <c r="F111" s="2">
        <v>3624</v>
      </c>
      <c r="G111" s="2">
        <v>4489</v>
      </c>
      <c r="H111" s="2">
        <v>3862</v>
      </c>
      <c r="I111" s="2">
        <v>6683</v>
      </c>
      <c r="J111" s="2">
        <v>12494</v>
      </c>
      <c r="K111" s="2">
        <v>9047</v>
      </c>
      <c r="L111" s="2">
        <v>33818</v>
      </c>
      <c r="M111" s="2">
        <v>88336</v>
      </c>
      <c r="N111" s="2">
        <v>139461</v>
      </c>
      <c r="O111" s="2">
        <v>272906.7</v>
      </c>
      <c r="P111" s="2">
        <v>459297.92</v>
      </c>
      <c r="Q111" s="2">
        <v>613710.97</v>
      </c>
      <c r="R111" s="2">
        <v>703360.6</v>
      </c>
      <c r="S111" s="2">
        <v>703452.67</v>
      </c>
    </row>
    <row r="112" spans="1:21" x14ac:dyDescent="0.25">
      <c r="A112" t="s">
        <v>17</v>
      </c>
    </row>
    <row r="113" spans="1:19" x14ac:dyDescent="0.25">
      <c r="A113" t="s">
        <v>101</v>
      </c>
    </row>
    <row r="114" spans="1:19" x14ac:dyDescent="0.25">
      <c r="A114" t="s">
        <v>102</v>
      </c>
      <c r="C114">
        <v>16.899999999999999</v>
      </c>
      <c r="D114">
        <v>18.8</v>
      </c>
      <c r="E114">
        <v>17</v>
      </c>
      <c r="F114">
        <v>14.9</v>
      </c>
      <c r="G114">
        <v>8</v>
      </c>
      <c r="H114">
        <v>7.3</v>
      </c>
      <c r="I114">
        <v>6.1</v>
      </c>
      <c r="J114">
        <v>9.9</v>
      </c>
      <c r="K114">
        <v>7.5</v>
      </c>
      <c r="L114">
        <v>14.4</v>
      </c>
      <c r="M114">
        <v>15.9</v>
      </c>
      <c r="N114">
        <v>16.100000000000001</v>
      </c>
      <c r="O114">
        <v>16.61</v>
      </c>
      <c r="P114">
        <v>17.09</v>
      </c>
      <c r="Q114">
        <v>17.22</v>
      </c>
      <c r="R114">
        <v>17.329999999999998</v>
      </c>
      <c r="S114">
        <v>18</v>
      </c>
    </row>
    <row r="115" spans="1:19" x14ac:dyDescent="0.25">
      <c r="A115" t="s">
        <v>17</v>
      </c>
    </row>
    <row r="116" spans="1:19" x14ac:dyDescent="0.25">
      <c r="A116" t="s">
        <v>106</v>
      </c>
      <c r="B116">
        <v>588.41</v>
      </c>
      <c r="C116">
        <v>800.99</v>
      </c>
      <c r="D116">
        <v>929</v>
      </c>
      <c r="E116" s="2">
        <v>1851</v>
      </c>
      <c r="F116" s="2">
        <v>3085</v>
      </c>
      <c r="G116" s="2">
        <v>4143</v>
      </c>
      <c r="H116" s="2">
        <v>3580</v>
      </c>
      <c r="I116" s="2">
        <v>6277</v>
      </c>
      <c r="J116" s="2">
        <v>11259</v>
      </c>
      <c r="K116" s="2">
        <v>8366</v>
      </c>
      <c r="L116" s="2">
        <v>32312</v>
      </c>
      <c r="M116" s="2">
        <v>74265</v>
      </c>
      <c r="N116" s="2">
        <v>116997</v>
      </c>
      <c r="O116" s="2">
        <v>229298.67</v>
      </c>
      <c r="P116" s="2">
        <v>381586.79</v>
      </c>
      <c r="Q116" s="2">
        <v>506912.33</v>
      </c>
      <c r="R116" s="2">
        <v>567426.25</v>
      </c>
      <c r="S116" s="2">
        <v>588731.80000000005</v>
      </c>
    </row>
    <row r="117" spans="1:19" x14ac:dyDescent="0.25">
      <c r="A117" t="s">
        <v>280</v>
      </c>
      <c r="B117">
        <v>14.25</v>
      </c>
      <c r="C117">
        <v>17.11</v>
      </c>
      <c r="D117">
        <v>18.54</v>
      </c>
      <c r="E117">
        <v>26.79</v>
      </c>
      <c r="F117">
        <v>31.76</v>
      </c>
      <c r="G117">
        <v>35.36</v>
      </c>
      <c r="H117">
        <v>32.79</v>
      </c>
      <c r="I117">
        <v>37.64</v>
      </c>
      <c r="J117">
        <v>41.83</v>
      </c>
      <c r="K117">
        <v>31.02</v>
      </c>
      <c r="L117">
        <v>53.04</v>
      </c>
      <c r="M117">
        <v>56.91</v>
      </c>
      <c r="N117">
        <v>54.18</v>
      </c>
      <c r="O117">
        <v>55.49</v>
      </c>
      <c r="P117">
        <v>54.61</v>
      </c>
      <c r="Q117">
        <v>54.96</v>
      </c>
      <c r="R117">
        <v>52.67</v>
      </c>
      <c r="S117">
        <v>52.41</v>
      </c>
    </row>
    <row r="118" spans="1:19" x14ac:dyDescent="0.25">
      <c r="A118" t="s">
        <v>17</v>
      </c>
    </row>
    <row r="119" spans="1:19" x14ac:dyDescent="0.25">
      <c r="A119" t="s">
        <v>109</v>
      </c>
      <c r="B119" s="2">
        <v>23780.68</v>
      </c>
      <c r="C119" s="2">
        <v>22520</v>
      </c>
      <c r="D119" s="2">
        <v>22240</v>
      </c>
      <c r="E119" s="2">
        <v>24200</v>
      </c>
      <c r="F119" s="2">
        <v>25080</v>
      </c>
      <c r="G119" s="2">
        <v>24960</v>
      </c>
      <c r="H119" s="2">
        <v>24720</v>
      </c>
      <c r="I119" s="2">
        <v>25120</v>
      </c>
      <c r="J119" s="2">
        <v>25350</v>
      </c>
      <c r="K119" s="2">
        <v>25070</v>
      </c>
      <c r="L119" s="2">
        <v>24940</v>
      </c>
      <c r="M119" s="2">
        <v>24804</v>
      </c>
      <c r="N119" s="2">
        <v>24514</v>
      </c>
      <c r="O119" s="2">
        <v>24267.7</v>
      </c>
      <c r="P119" s="2">
        <v>24086.13</v>
      </c>
      <c r="Q119" s="2">
        <v>23867.03</v>
      </c>
      <c r="R119" s="2">
        <v>17906.96</v>
      </c>
      <c r="S119" s="2">
        <v>10789</v>
      </c>
    </row>
    <row r="120" spans="1:19" x14ac:dyDescent="0.25">
      <c r="A120" t="s">
        <v>110</v>
      </c>
      <c r="B120">
        <v>0.02</v>
      </c>
      <c r="C120">
        <v>0.04</v>
      </c>
      <c r="D120">
        <v>0.04</v>
      </c>
      <c r="E120">
        <v>0.08</v>
      </c>
      <c r="F120">
        <v>0.12</v>
      </c>
      <c r="G120">
        <v>0.17</v>
      </c>
      <c r="H120">
        <v>0.14000000000000001</v>
      </c>
      <c r="I120">
        <v>0.25</v>
      </c>
      <c r="J120">
        <v>0.44</v>
      </c>
      <c r="K120">
        <v>0.33</v>
      </c>
      <c r="L120">
        <v>1.3</v>
      </c>
      <c r="M120">
        <v>2.99</v>
      </c>
      <c r="N120">
        <v>4.7699999999999996</v>
      </c>
      <c r="O120">
        <v>9.3699999999999992</v>
      </c>
      <c r="P120">
        <v>15.85</v>
      </c>
      <c r="Q120">
        <v>21.39</v>
      </c>
      <c r="R120">
        <v>25.07</v>
      </c>
      <c r="S120">
        <v>28.34</v>
      </c>
    </row>
    <row r="121" spans="1:19" x14ac:dyDescent="0.25">
      <c r="A121" t="s">
        <v>17</v>
      </c>
    </row>
    <row r="122" spans="1:19" x14ac:dyDescent="0.25">
      <c r="A122" t="s">
        <v>281</v>
      </c>
      <c r="B122">
        <v>0.01</v>
      </c>
      <c r="C122">
        <v>0.01</v>
      </c>
      <c r="D122">
        <v>0.01</v>
      </c>
      <c r="E122">
        <v>0.01</v>
      </c>
      <c r="F122">
        <v>0.01</v>
      </c>
      <c r="G122">
        <v>0.02</v>
      </c>
      <c r="H122">
        <v>0.02</v>
      </c>
      <c r="I122">
        <v>0.02</v>
      </c>
      <c r="J122">
        <v>0.02</v>
      </c>
      <c r="K122">
        <v>0.02</v>
      </c>
      <c r="L122">
        <v>0.02</v>
      </c>
      <c r="M122">
        <v>0.03</v>
      </c>
      <c r="N122">
        <v>0.04</v>
      </c>
      <c r="O122">
        <v>0.75</v>
      </c>
      <c r="P122">
        <v>0.98</v>
      </c>
      <c r="Q122">
        <v>1.17</v>
      </c>
      <c r="R122">
        <v>2.52</v>
      </c>
      <c r="S122">
        <v>3.91</v>
      </c>
    </row>
    <row r="123" spans="1:19" x14ac:dyDescent="0.25">
      <c r="A123" t="s">
        <v>17</v>
      </c>
    </row>
    <row r="124" spans="1:19" x14ac:dyDescent="0.25">
      <c r="A124" t="s">
        <v>282</v>
      </c>
    </row>
    <row r="125" spans="1:19" x14ac:dyDescent="0.25">
      <c r="A125" t="s">
        <v>62</v>
      </c>
      <c r="B125" s="2">
        <v>1862</v>
      </c>
      <c r="C125" s="2">
        <v>2083</v>
      </c>
      <c r="D125" s="2">
        <v>2199</v>
      </c>
      <c r="E125" s="2">
        <v>2847</v>
      </c>
      <c r="F125" s="2">
        <v>3892</v>
      </c>
      <c r="G125" s="2">
        <v>4545</v>
      </c>
      <c r="H125" s="2">
        <v>4150</v>
      </c>
      <c r="I125" s="2">
        <v>6279</v>
      </c>
      <c r="J125" s="2">
        <v>9439</v>
      </c>
      <c r="K125" s="2">
        <v>11618</v>
      </c>
      <c r="L125" s="2">
        <v>16621</v>
      </c>
      <c r="M125" s="2">
        <v>32639</v>
      </c>
      <c r="N125" s="2">
        <v>62475</v>
      </c>
      <c r="O125" s="2">
        <v>108267.01</v>
      </c>
      <c r="P125" s="2">
        <v>195417.96</v>
      </c>
      <c r="Q125" s="2">
        <v>261199.51</v>
      </c>
      <c r="R125" s="2">
        <v>302222.02</v>
      </c>
      <c r="S125" s="2">
        <v>320938.94</v>
      </c>
    </row>
    <row r="126" spans="1:19" x14ac:dyDescent="0.25">
      <c r="A126" t="s">
        <v>793</v>
      </c>
      <c r="B126">
        <v>45.08</v>
      </c>
      <c r="C126">
        <v>44.49</v>
      </c>
      <c r="D126">
        <v>43.89</v>
      </c>
      <c r="E126">
        <v>41.2</v>
      </c>
      <c r="F126">
        <v>40.07</v>
      </c>
      <c r="G126">
        <v>38.79</v>
      </c>
      <c r="H126">
        <v>38.01</v>
      </c>
      <c r="I126">
        <v>37.659999999999997</v>
      </c>
      <c r="J126">
        <v>35.07</v>
      </c>
      <c r="K126">
        <v>43.07</v>
      </c>
      <c r="L126">
        <v>27.28</v>
      </c>
      <c r="M126">
        <v>25.01</v>
      </c>
      <c r="N126">
        <v>28.93</v>
      </c>
      <c r="O126">
        <v>26.25</v>
      </c>
      <c r="P126">
        <v>27.65</v>
      </c>
      <c r="Q126">
        <v>27.03</v>
      </c>
      <c r="R126">
        <v>26.5</v>
      </c>
      <c r="S126">
        <v>26.5</v>
      </c>
    </row>
    <row r="127" spans="1:19" x14ac:dyDescent="0.25">
      <c r="A127" t="s">
        <v>63</v>
      </c>
      <c r="B127" s="2">
        <v>2268</v>
      </c>
      <c r="C127" s="2">
        <v>2599</v>
      </c>
      <c r="D127" s="2">
        <v>2811</v>
      </c>
      <c r="E127" s="2">
        <v>4063</v>
      </c>
      <c r="F127" s="2">
        <v>5822</v>
      </c>
      <c r="G127" s="2">
        <v>7171</v>
      </c>
      <c r="H127" s="2">
        <v>6768</v>
      </c>
      <c r="I127" s="2">
        <v>10396</v>
      </c>
      <c r="J127" s="2">
        <v>17475</v>
      </c>
      <c r="K127" s="2">
        <v>15356</v>
      </c>
      <c r="L127" s="2">
        <v>44301</v>
      </c>
      <c r="M127" s="2">
        <v>97858</v>
      </c>
      <c r="N127" s="2">
        <v>153463</v>
      </c>
      <c r="O127" s="2">
        <v>303134.8</v>
      </c>
      <c r="P127" s="2">
        <v>507212.5</v>
      </c>
      <c r="Q127" s="2">
        <v>684205.12</v>
      </c>
      <c r="R127" s="2">
        <v>722816.38</v>
      </c>
      <c r="S127" s="2">
        <v>764165.98</v>
      </c>
    </row>
    <row r="128" spans="1:19" x14ac:dyDescent="0.25">
      <c r="A128" t="s">
        <v>64</v>
      </c>
      <c r="B128">
        <v>54.9</v>
      </c>
      <c r="C128">
        <v>55.5</v>
      </c>
      <c r="D128">
        <v>56.1</v>
      </c>
      <c r="E128">
        <v>0</v>
      </c>
      <c r="F128">
        <v>59.9</v>
      </c>
      <c r="G128">
        <v>61.2</v>
      </c>
      <c r="H128">
        <v>62</v>
      </c>
      <c r="I128">
        <v>62.3</v>
      </c>
      <c r="J128">
        <v>64.900000000000006</v>
      </c>
      <c r="K128">
        <v>56.9</v>
      </c>
      <c r="L128">
        <v>72.7</v>
      </c>
      <c r="M128">
        <v>75</v>
      </c>
      <c r="N128">
        <v>71.099999999999994</v>
      </c>
      <c r="O128">
        <v>73.760000000000005</v>
      </c>
      <c r="P128">
        <v>72.45</v>
      </c>
      <c r="Q128">
        <v>72.86</v>
      </c>
      <c r="R128">
        <v>73.5</v>
      </c>
      <c r="S128">
        <v>73.17</v>
      </c>
    </row>
    <row r="129" spans="1:21" x14ac:dyDescent="0.25">
      <c r="A129" t="s">
        <v>87</v>
      </c>
      <c r="B129" s="2">
        <v>1772</v>
      </c>
      <c r="C129" s="2">
        <v>1840</v>
      </c>
      <c r="D129" s="2">
        <v>2064</v>
      </c>
      <c r="E129" s="2">
        <v>2129</v>
      </c>
      <c r="F129" s="2">
        <v>2612</v>
      </c>
      <c r="G129" s="2">
        <v>3367</v>
      </c>
      <c r="H129" s="2">
        <v>3922</v>
      </c>
      <c r="I129" s="2">
        <v>5864</v>
      </c>
      <c r="J129" s="2">
        <v>7434</v>
      </c>
      <c r="K129" s="2">
        <v>11132</v>
      </c>
      <c r="L129" s="2">
        <v>11329</v>
      </c>
      <c r="M129" s="2">
        <v>16405</v>
      </c>
      <c r="N129" s="2">
        <v>23076</v>
      </c>
      <c r="O129" s="2">
        <v>35794.32</v>
      </c>
      <c r="P129" s="2">
        <v>53286.03</v>
      </c>
      <c r="Q129" s="2">
        <v>70656.710000000006</v>
      </c>
      <c r="R129" s="2">
        <v>88218.49</v>
      </c>
      <c r="S129" s="2">
        <v>97001.06</v>
      </c>
    </row>
    <row r="130" spans="1:21" x14ac:dyDescent="0.25">
      <c r="A130" t="s">
        <v>61</v>
      </c>
      <c r="B130">
        <v>42.91</v>
      </c>
      <c r="C130">
        <v>39.299999999999997</v>
      </c>
      <c r="D130">
        <v>41.2</v>
      </c>
      <c r="E130">
        <v>30.81</v>
      </c>
      <c r="F130">
        <v>26.89</v>
      </c>
      <c r="G130">
        <v>28.74</v>
      </c>
      <c r="H130">
        <v>35.92</v>
      </c>
      <c r="I130">
        <v>35.17</v>
      </c>
      <c r="J130">
        <v>27.62</v>
      </c>
      <c r="K130">
        <v>41.27</v>
      </c>
      <c r="L130">
        <v>18.600000000000001</v>
      </c>
      <c r="M130">
        <v>12.57</v>
      </c>
      <c r="N130">
        <v>10.69</v>
      </c>
      <c r="O130">
        <v>8.5</v>
      </c>
      <c r="P130">
        <v>7.29</v>
      </c>
      <c r="Q130">
        <v>7.19</v>
      </c>
      <c r="R130">
        <v>8.6</v>
      </c>
      <c r="S130">
        <v>8.5</v>
      </c>
    </row>
    <row r="131" spans="1:21" x14ac:dyDescent="0.25">
      <c r="A131" t="s">
        <v>593</v>
      </c>
      <c r="B131" s="2">
        <v>1336</v>
      </c>
      <c r="C131" s="2">
        <v>1360</v>
      </c>
      <c r="D131" s="2">
        <v>1331</v>
      </c>
      <c r="E131" s="2">
        <v>1466</v>
      </c>
      <c r="F131" s="2">
        <v>1797</v>
      </c>
      <c r="G131" s="2">
        <v>2376</v>
      </c>
      <c r="H131" s="2">
        <v>2829</v>
      </c>
      <c r="I131" s="2">
        <v>3924</v>
      </c>
      <c r="J131" s="2">
        <v>5268</v>
      </c>
      <c r="K131" s="2">
        <v>7339</v>
      </c>
      <c r="L131" s="2">
        <v>8675</v>
      </c>
      <c r="M131" s="2">
        <v>12914</v>
      </c>
      <c r="N131" s="2">
        <v>18497</v>
      </c>
      <c r="O131" s="2">
        <v>29908.19</v>
      </c>
      <c r="P131" s="2">
        <v>44604.77</v>
      </c>
      <c r="Q131" s="2">
        <v>58591.81</v>
      </c>
      <c r="R131" s="2">
        <v>75790.509999999995</v>
      </c>
      <c r="S131" s="2">
        <v>83615.94</v>
      </c>
    </row>
    <row r="132" spans="1:21" x14ac:dyDescent="0.25">
      <c r="A132" t="s">
        <v>76</v>
      </c>
      <c r="B132">
        <v>32.35</v>
      </c>
      <c r="C132">
        <v>29.05</v>
      </c>
      <c r="D132">
        <v>0</v>
      </c>
      <c r="E132">
        <v>0</v>
      </c>
      <c r="F132">
        <v>18.5</v>
      </c>
      <c r="G132">
        <v>20.28</v>
      </c>
      <c r="H132">
        <v>25.91</v>
      </c>
      <c r="I132">
        <v>23.53</v>
      </c>
      <c r="J132">
        <v>19.57</v>
      </c>
      <c r="K132">
        <v>27.21</v>
      </c>
      <c r="L132">
        <v>14.24</v>
      </c>
      <c r="M132">
        <v>9.9</v>
      </c>
      <c r="N132">
        <v>8.57</v>
      </c>
      <c r="O132">
        <v>7.32</v>
      </c>
      <c r="P132">
        <v>6.43</v>
      </c>
      <c r="Q132">
        <v>6.24</v>
      </c>
      <c r="R132">
        <v>7.6</v>
      </c>
      <c r="S132">
        <v>7.9</v>
      </c>
    </row>
    <row r="133" spans="1:21" x14ac:dyDescent="0.25">
      <c r="A133" t="s">
        <v>591</v>
      </c>
      <c r="B133">
        <v>436</v>
      </c>
      <c r="C133">
        <v>480</v>
      </c>
      <c r="D133">
        <v>602</v>
      </c>
      <c r="E133">
        <v>663</v>
      </c>
      <c r="F133">
        <v>815</v>
      </c>
      <c r="G133">
        <v>991</v>
      </c>
      <c r="H133" s="2">
        <v>1093</v>
      </c>
      <c r="I133" s="2">
        <v>1940</v>
      </c>
      <c r="J133" s="2">
        <v>2166</v>
      </c>
      <c r="K133" s="2">
        <v>2440</v>
      </c>
      <c r="L133" s="2">
        <v>2654</v>
      </c>
      <c r="M133" s="2">
        <v>3491</v>
      </c>
      <c r="N133" s="2">
        <v>4579</v>
      </c>
      <c r="O133" s="2">
        <v>5874.66</v>
      </c>
      <c r="P133" s="2">
        <v>8265.67</v>
      </c>
      <c r="Q133" s="2">
        <v>10622.26</v>
      </c>
      <c r="R133" s="2">
        <v>10921.34</v>
      </c>
      <c r="S133" s="2">
        <v>12634.85</v>
      </c>
    </row>
    <row r="134" spans="1:21" x14ac:dyDescent="0.25">
      <c r="A134" t="s">
        <v>76</v>
      </c>
      <c r="B134">
        <v>10.56</v>
      </c>
      <c r="C134">
        <v>10.25</v>
      </c>
      <c r="D134">
        <v>12.02</v>
      </c>
      <c r="E134">
        <v>9.59</v>
      </c>
      <c r="F134">
        <v>8.39</v>
      </c>
      <c r="G134">
        <v>8.4600000000000009</v>
      </c>
      <c r="H134">
        <v>10.01</v>
      </c>
      <c r="I134">
        <v>11.63</v>
      </c>
      <c r="J134">
        <v>8.0500000000000007</v>
      </c>
      <c r="K134">
        <v>9.0500000000000007</v>
      </c>
      <c r="L134">
        <v>4.3600000000000003</v>
      </c>
      <c r="M134">
        <v>2.68</v>
      </c>
      <c r="N134">
        <v>2.12</v>
      </c>
      <c r="O134">
        <v>1.43</v>
      </c>
      <c r="P134">
        <v>1.2</v>
      </c>
      <c r="Q134">
        <v>1.1599999999999999</v>
      </c>
      <c r="R134">
        <v>1.0900000000000001</v>
      </c>
      <c r="S134">
        <v>1.27</v>
      </c>
    </row>
    <row r="135" spans="1:21" x14ac:dyDescent="0.25">
      <c r="A135" t="s">
        <v>116</v>
      </c>
      <c r="B135">
        <v>496</v>
      </c>
      <c r="C135">
        <v>759</v>
      </c>
      <c r="D135">
        <v>747</v>
      </c>
      <c r="E135" s="2">
        <v>1934</v>
      </c>
      <c r="F135" s="2">
        <v>3210</v>
      </c>
      <c r="G135" s="2">
        <v>3804</v>
      </c>
      <c r="H135" s="2">
        <v>2846</v>
      </c>
      <c r="I135" s="2">
        <v>4532</v>
      </c>
      <c r="J135" s="2">
        <v>10041</v>
      </c>
      <c r="K135" s="2">
        <v>4224</v>
      </c>
      <c r="L135" s="2">
        <v>32972</v>
      </c>
      <c r="M135" s="2">
        <v>81453</v>
      </c>
      <c r="N135" s="2">
        <v>130387</v>
      </c>
      <c r="O135" s="2">
        <v>268391.71000000002</v>
      </c>
      <c r="P135" s="2">
        <v>450112.74</v>
      </c>
      <c r="Q135" s="2">
        <v>591215.13</v>
      </c>
      <c r="R135" s="2">
        <v>627974.48</v>
      </c>
      <c r="S135" s="2">
        <v>690129.1</v>
      </c>
      <c r="T135" s="2">
        <v>824759.65</v>
      </c>
      <c r="U135" s="2">
        <v>894852.58</v>
      </c>
    </row>
    <row r="136" spans="1:21" x14ac:dyDescent="0.25">
      <c r="A136" t="s">
        <v>269</v>
      </c>
      <c r="B136">
        <v>12.01</v>
      </c>
      <c r="C136">
        <v>16.21</v>
      </c>
      <c r="D136">
        <v>14.91</v>
      </c>
      <c r="E136">
        <v>27.99</v>
      </c>
      <c r="F136">
        <v>33.049999999999997</v>
      </c>
      <c r="G136">
        <v>32.47</v>
      </c>
      <c r="H136">
        <v>26.07</v>
      </c>
      <c r="I136">
        <v>27.18</v>
      </c>
      <c r="J136">
        <v>37.31</v>
      </c>
      <c r="K136">
        <v>15.66</v>
      </c>
      <c r="L136">
        <v>54.12</v>
      </c>
      <c r="M136">
        <v>62.42</v>
      </c>
      <c r="N136">
        <v>60.38</v>
      </c>
      <c r="O136">
        <v>65.7</v>
      </c>
      <c r="P136">
        <v>65.040000000000006</v>
      </c>
      <c r="Q136">
        <v>65.010000000000005</v>
      </c>
      <c r="R136">
        <v>63.53</v>
      </c>
      <c r="S136">
        <v>62.85</v>
      </c>
    </row>
    <row r="137" spans="1:21" x14ac:dyDescent="0.25">
      <c r="A137" t="s">
        <v>794</v>
      </c>
      <c r="B137">
        <v>-14</v>
      </c>
      <c r="C137">
        <v>4</v>
      </c>
      <c r="D137">
        <v>4</v>
      </c>
      <c r="E137">
        <v>29</v>
      </c>
      <c r="F137">
        <v>14</v>
      </c>
      <c r="G137">
        <v>-92</v>
      </c>
      <c r="H137">
        <v>-124</v>
      </c>
      <c r="I137">
        <v>123</v>
      </c>
      <c r="J137">
        <v>100</v>
      </c>
      <c r="K137">
        <v>43</v>
      </c>
      <c r="L137">
        <v>-846</v>
      </c>
      <c r="M137" s="2">
        <v>-2573</v>
      </c>
      <c r="N137" s="2">
        <v>-11063</v>
      </c>
      <c r="O137" s="2">
        <v>-28409.81</v>
      </c>
      <c r="P137" s="2">
        <v>-11608.47</v>
      </c>
      <c r="Q137" s="2">
        <v>-18468.61</v>
      </c>
      <c r="R137" s="2">
        <v>-22741.54</v>
      </c>
      <c r="S137" s="2">
        <v>-11808.26</v>
      </c>
    </row>
    <row r="138" spans="1:21" x14ac:dyDescent="0.25">
      <c r="A138" t="s">
        <v>78</v>
      </c>
      <c r="B138">
        <v>-7</v>
      </c>
      <c r="C138">
        <v>-14</v>
      </c>
      <c r="D138">
        <v>-4</v>
      </c>
      <c r="E138">
        <v>25</v>
      </c>
      <c r="F138">
        <v>22</v>
      </c>
      <c r="G138">
        <v>-14</v>
      </c>
      <c r="H138">
        <v>2</v>
      </c>
      <c r="I138">
        <v>-4</v>
      </c>
      <c r="J138">
        <v>-107</v>
      </c>
      <c r="K138">
        <v>48</v>
      </c>
      <c r="L138">
        <v>-237</v>
      </c>
      <c r="M138" s="2">
        <v>-1034</v>
      </c>
      <c r="N138" s="2">
        <v>-9022</v>
      </c>
      <c r="O138" s="2">
        <v>-23688.23</v>
      </c>
      <c r="P138" s="2">
        <v>-13339.21</v>
      </c>
      <c r="Q138" s="2">
        <v>-15168.61</v>
      </c>
      <c r="R138" s="2">
        <v>-26987.86</v>
      </c>
      <c r="S138" s="2">
        <v>-26029.58</v>
      </c>
    </row>
    <row r="139" spans="1:21" x14ac:dyDescent="0.25">
      <c r="A139" t="s">
        <v>795</v>
      </c>
      <c r="B139">
        <v>510</v>
      </c>
      <c r="C139">
        <v>755</v>
      </c>
      <c r="D139">
        <v>747</v>
      </c>
      <c r="E139" s="2">
        <v>1934</v>
      </c>
      <c r="F139" s="2">
        <v>3196</v>
      </c>
      <c r="G139" s="2">
        <v>3896</v>
      </c>
      <c r="H139" s="2">
        <v>2970</v>
      </c>
      <c r="I139" s="2">
        <v>4409</v>
      </c>
      <c r="J139" s="2">
        <v>9941</v>
      </c>
      <c r="K139" s="2">
        <v>4181</v>
      </c>
      <c r="L139" s="2">
        <v>33818</v>
      </c>
      <c r="M139" s="2">
        <v>84026</v>
      </c>
      <c r="N139" s="2">
        <v>141450</v>
      </c>
      <c r="O139" s="2">
        <v>286624.06</v>
      </c>
      <c r="P139" s="2">
        <v>463411.61</v>
      </c>
      <c r="Q139" s="2">
        <v>619071.17000000004</v>
      </c>
      <c r="R139" s="2">
        <v>673380.24</v>
      </c>
      <c r="S139" s="2">
        <v>721851.39</v>
      </c>
    </row>
    <row r="140" spans="1:21" x14ac:dyDescent="0.25">
      <c r="A140" t="s">
        <v>796</v>
      </c>
      <c r="B140">
        <v>12.35</v>
      </c>
      <c r="C140">
        <v>16.13</v>
      </c>
      <c r="D140">
        <v>14.91</v>
      </c>
      <c r="E140">
        <v>27.99</v>
      </c>
      <c r="F140">
        <v>32.9</v>
      </c>
      <c r="G140">
        <v>33.25</v>
      </c>
      <c r="H140">
        <v>27.2</v>
      </c>
      <c r="I140">
        <v>26.44</v>
      </c>
      <c r="J140">
        <v>36.94</v>
      </c>
      <c r="K140">
        <v>15.5</v>
      </c>
      <c r="L140">
        <v>55.51</v>
      </c>
      <c r="M140">
        <v>64.39</v>
      </c>
      <c r="N140">
        <v>65.5</v>
      </c>
      <c r="O140">
        <v>67.349999999999994</v>
      </c>
      <c r="P140">
        <v>65.81</v>
      </c>
      <c r="Q140">
        <v>66.11</v>
      </c>
      <c r="R140">
        <v>66.760000000000005</v>
      </c>
      <c r="S140">
        <v>65.75</v>
      </c>
    </row>
    <row r="141" spans="1:21" x14ac:dyDescent="0.25">
      <c r="A141" t="s">
        <v>797</v>
      </c>
      <c r="B141">
        <v>70</v>
      </c>
      <c r="C141">
        <v>124</v>
      </c>
      <c r="D141">
        <v>129</v>
      </c>
      <c r="E141">
        <v>239</v>
      </c>
      <c r="F141">
        <v>149</v>
      </c>
      <c r="G141">
        <v>-245</v>
      </c>
      <c r="H141">
        <v>174</v>
      </c>
      <c r="I141">
        <v>77</v>
      </c>
      <c r="J141">
        <v>189</v>
      </c>
      <c r="K141">
        <v>-187</v>
      </c>
      <c r="L141" s="2">
        <v>4058</v>
      </c>
      <c r="M141" s="2">
        <v>11146</v>
      </c>
      <c r="N141" s="2">
        <v>21383</v>
      </c>
      <c r="O141" s="2">
        <v>47541.23</v>
      </c>
      <c r="P141" s="2">
        <v>74193.77</v>
      </c>
      <c r="Q141" s="2">
        <v>96942.16</v>
      </c>
      <c r="R141" s="2">
        <v>118849.26</v>
      </c>
      <c r="S141" s="2">
        <v>121607.47</v>
      </c>
    </row>
    <row r="142" spans="1:21" x14ac:dyDescent="0.25">
      <c r="A142" t="s">
        <v>489</v>
      </c>
      <c r="B142">
        <v>13.73</v>
      </c>
      <c r="C142">
        <v>16.420000000000002</v>
      </c>
      <c r="D142">
        <v>17.27</v>
      </c>
      <c r="E142">
        <v>12.36</v>
      </c>
      <c r="F142">
        <v>4.66</v>
      </c>
      <c r="G142">
        <v>6</v>
      </c>
      <c r="H142">
        <v>5.86</v>
      </c>
      <c r="I142">
        <v>1.75</v>
      </c>
      <c r="J142">
        <v>1.9</v>
      </c>
      <c r="K142">
        <v>4.5</v>
      </c>
      <c r="L142">
        <v>12</v>
      </c>
      <c r="M142">
        <v>13.26</v>
      </c>
      <c r="N142">
        <v>15.12</v>
      </c>
      <c r="O142">
        <v>16.34</v>
      </c>
      <c r="P142">
        <v>16.45</v>
      </c>
      <c r="Q142">
        <v>16.329999999999998</v>
      </c>
      <c r="R142">
        <v>17.11</v>
      </c>
      <c r="S142">
        <v>17.14</v>
      </c>
      <c r="T142">
        <v>16.53</v>
      </c>
      <c r="U142">
        <v>16.53</v>
      </c>
    </row>
    <row r="143" spans="1:21" x14ac:dyDescent="0.25">
      <c r="A143" t="s">
        <v>121</v>
      </c>
      <c r="B143">
        <v>439.99</v>
      </c>
      <c r="C143">
        <v>630.59</v>
      </c>
      <c r="D143">
        <v>614</v>
      </c>
      <c r="E143" s="2">
        <v>1666</v>
      </c>
      <c r="F143" s="2">
        <v>3047</v>
      </c>
      <c r="G143" s="2">
        <v>4141</v>
      </c>
      <c r="H143" s="2">
        <v>2796</v>
      </c>
      <c r="I143" s="2">
        <v>4332</v>
      </c>
      <c r="J143" s="2">
        <v>9752</v>
      </c>
      <c r="K143" s="2">
        <v>4368</v>
      </c>
      <c r="L143" s="2">
        <v>29759</v>
      </c>
      <c r="M143" s="2">
        <v>72880</v>
      </c>
      <c r="N143" s="2">
        <v>120067</v>
      </c>
      <c r="O143" s="2">
        <v>238895.94</v>
      </c>
      <c r="P143" s="2">
        <v>388308.45</v>
      </c>
      <c r="Q143" s="2">
        <v>516379.15</v>
      </c>
      <c r="R143" s="2">
        <v>555566.29</v>
      </c>
      <c r="S143" s="2">
        <v>582531</v>
      </c>
    </row>
    <row r="144" spans="1:21" x14ac:dyDescent="0.25">
      <c r="A144" t="s">
        <v>122</v>
      </c>
      <c r="B144">
        <v>10.65</v>
      </c>
      <c r="C144">
        <v>13.48</v>
      </c>
      <c r="D144">
        <v>12.26</v>
      </c>
      <c r="E144">
        <v>24.11</v>
      </c>
      <c r="F144">
        <v>31.37</v>
      </c>
      <c r="G144">
        <v>35.340000000000003</v>
      </c>
      <c r="H144">
        <v>25.61</v>
      </c>
      <c r="I144">
        <v>25.98</v>
      </c>
      <c r="J144">
        <v>36.229999999999997</v>
      </c>
      <c r="K144">
        <v>16.190000000000001</v>
      </c>
      <c r="L144">
        <v>48.85</v>
      </c>
      <c r="M144">
        <v>55.85</v>
      </c>
      <c r="N144">
        <v>55.6</v>
      </c>
      <c r="O144">
        <v>59</v>
      </c>
      <c r="P144">
        <v>55.26</v>
      </c>
      <c r="Q144">
        <v>55.38</v>
      </c>
      <c r="R144">
        <v>55.3</v>
      </c>
      <c r="S144">
        <v>54.21</v>
      </c>
    </row>
    <row r="145" spans="1:19" x14ac:dyDescent="0.25">
      <c r="A145" t="s">
        <v>798</v>
      </c>
      <c r="B145" s="2">
        <v>23520</v>
      </c>
      <c r="C145" s="2">
        <v>22080</v>
      </c>
      <c r="D145" s="2">
        <v>21720</v>
      </c>
      <c r="E145" s="2">
        <v>21640</v>
      </c>
      <c r="F145" s="2">
        <v>23960</v>
      </c>
      <c r="G145" s="2">
        <v>24320</v>
      </c>
      <c r="H145" s="2">
        <v>24390</v>
      </c>
      <c r="I145" s="2">
        <v>24670</v>
      </c>
      <c r="J145" s="2">
        <v>24960</v>
      </c>
      <c r="K145" s="2">
        <v>24870</v>
      </c>
      <c r="L145" s="2">
        <v>24690</v>
      </c>
      <c r="M145" s="2">
        <v>24555</v>
      </c>
      <c r="N145" s="2">
        <v>24359</v>
      </c>
      <c r="O145" s="2">
        <v>24197.7</v>
      </c>
      <c r="P145" s="2">
        <v>24016.15</v>
      </c>
      <c r="Q145" s="2">
        <v>27925.599999999999</v>
      </c>
      <c r="R145" s="2">
        <v>34714.230000000003</v>
      </c>
      <c r="S145" s="2">
        <v>37097.11</v>
      </c>
    </row>
    <row r="146" spans="1:19" x14ac:dyDescent="0.25">
      <c r="A146" t="s">
        <v>297</v>
      </c>
      <c r="B146">
        <v>0.02</v>
      </c>
      <c r="C146">
        <v>0.03</v>
      </c>
      <c r="D146">
        <v>0.03</v>
      </c>
      <c r="E146">
        <v>0.08</v>
      </c>
      <c r="F146">
        <v>0.13</v>
      </c>
      <c r="G146">
        <v>0.17</v>
      </c>
      <c r="H146">
        <v>0.12</v>
      </c>
      <c r="I146">
        <v>0.18</v>
      </c>
      <c r="J146">
        <v>0.39</v>
      </c>
      <c r="K146">
        <v>0.18</v>
      </c>
      <c r="L146">
        <v>1.21</v>
      </c>
      <c r="M146">
        <v>2.97</v>
      </c>
      <c r="N146">
        <v>4.93</v>
      </c>
      <c r="O146">
        <v>9.66</v>
      </c>
      <c r="P146">
        <v>15.99</v>
      </c>
      <c r="Q146">
        <v>22.35</v>
      </c>
      <c r="R146">
        <v>23.6</v>
      </c>
      <c r="S146">
        <v>25.86</v>
      </c>
    </row>
    <row r="147" spans="1:19" x14ac:dyDescent="0.25">
      <c r="A147" t="s">
        <v>799</v>
      </c>
      <c r="B147" s="2">
        <v>23800</v>
      </c>
      <c r="C147" s="2">
        <v>22520</v>
      </c>
      <c r="D147" s="2">
        <v>22760</v>
      </c>
      <c r="E147" s="2">
        <v>25960</v>
      </c>
      <c r="F147" s="2">
        <v>25280</v>
      </c>
      <c r="G147" s="2">
        <v>25000</v>
      </c>
      <c r="H147" s="2">
        <v>24720</v>
      </c>
      <c r="I147" s="2">
        <v>25100</v>
      </c>
      <c r="J147" s="2">
        <v>25350</v>
      </c>
      <c r="K147" s="2">
        <v>25070</v>
      </c>
      <c r="L147" s="2">
        <v>24940</v>
      </c>
      <c r="M147" s="2">
        <v>24804</v>
      </c>
      <c r="N147" s="2">
        <v>24514</v>
      </c>
      <c r="O147" s="2">
        <v>24257.34</v>
      </c>
      <c r="P147" s="2">
        <v>24021.45</v>
      </c>
      <c r="Q147" s="2">
        <v>23779.02</v>
      </c>
      <c r="R147" s="2">
        <v>23389.95</v>
      </c>
      <c r="S147" s="2">
        <v>21005.42</v>
      </c>
    </row>
    <row r="148" spans="1:19" x14ac:dyDescent="0.25">
      <c r="A148" t="s">
        <v>124</v>
      </c>
      <c r="B148">
        <v>0.02</v>
      </c>
      <c r="C148">
        <v>0.03</v>
      </c>
      <c r="D148">
        <v>0.03</v>
      </c>
      <c r="E148">
        <v>0.06</v>
      </c>
      <c r="F148">
        <v>0.12</v>
      </c>
      <c r="G148">
        <v>0.17</v>
      </c>
      <c r="H148">
        <v>0.11</v>
      </c>
      <c r="I148">
        <v>0.17</v>
      </c>
      <c r="J148">
        <v>0.39</v>
      </c>
      <c r="K148">
        <v>0.17</v>
      </c>
      <c r="L148">
        <v>1.19</v>
      </c>
      <c r="M148">
        <v>2.94</v>
      </c>
      <c r="N148">
        <v>4.9000000000000004</v>
      </c>
      <c r="O148">
        <v>9.93</v>
      </c>
      <c r="P148">
        <v>16.13</v>
      </c>
      <c r="Q148">
        <v>21.57</v>
      </c>
      <c r="R148">
        <v>23.97</v>
      </c>
      <c r="S148">
        <v>27.19</v>
      </c>
    </row>
    <row r="149" spans="1:19" x14ac:dyDescent="0.25">
      <c r="A149" t="s">
        <v>17</v>
      </c>
    </row>
    <row r="150" spans="1:19" x14ac:dyDescent="0.25">
      <c r="A150" t="s">
        <v>125</v>
      </c>
    </row>
    <row r="151" spans="1:19" x14ac:dyDescent="0.25">
      <c r="A151" t="s">
        <v>67</v>
      </c>
      <c r="B151">
        <v>110</v>
      </c>
      <c r="C151">
        <v>140</v>
      </c>
      <c r="D151">
        <v>194</v>
      </c>
      <c r="E151">
        <v>247</v>
      </c>
      <c r="F151">
        <v>391</v>
      </c>
      <c r="G151">
        <v>557</v>
      </c>
      <c r="H151">
        <v>844</v>
      </c>
      <c r="I151" s="2">
        <v>1397</v>
      </c>
      <c r="J151" s="2">
        <v>2004</v>
      </c>
      <c r="K151" s="2">
        <v>2709</v>
      </c>
      <c r="L151" s="2">
        <v>3549</v>
      </c>
      <c r="M151" s="2">
        <v>4737</v>
      </c>
      <c r="N151" s="2">
        <v>6386</v>
      </c>
      <c r="O151" s="2">
        <v>6576.73</v>
      </c>
      <c r="P151" s="2">
        <v>9177.43</v>
      </c>
      <c r="Q151" s="2">
        <v>12787.27</v>
      </c>
      <c r="R151" s="2">
        <v>21301.599999999999</v>
      </c>
      <c r="S151" s="2">
        <v>24490.93</v>
      </c>
    </row>
    <row r="152" spans="1:19" x14ac:dyDescent="0.25">
      <c r="A152" t="s">
        <v>61</v>
      </c>
      <c r="B152">
        <v>3.3</v>
      </c>
      <c r="C152">
        <v>3.35</v>
      </c>
      <c r="D152">
        <v>4.07</v>
      </c>
      <c r="E152">
        <v>3.59</v>
      </c>
      <c r="F152">
        <v>4.03</v>
      </c>
      <c r="G152">
        <v>4.75</v>
      </c>
      <c r="H152">
        <v>7.73</v>
      </c>
      <c r="I152">
        <v>8.3800000000000008</v>
      </c>
      <c r="J152">
        <v>7.45</v>
      </c>
      <c r="K152">
        <v>10.039999999999999</v>
      </c>
      <c r="L152">
        <v>5.83</v>
      </c>
      <c r="M152">
        <v>3.63</v>
      </c>
      <c r="N152">
        <v>2.96</v>
      </c>
      <c r="O152">
        <v>3.43</v>
      </c>
      <c r="P152">
        <v>2.86</v>
      </c>
      <c r="Q152">
        <v>3.63</v>
      </c>
      <c r="R152">
        <v>7.67</v>
      </c>
      <c r="S152">
        <v>8.23</v>
      </c>
    </row>
    <row r="153" spans="1:19" x14ac:dyDescent="0.25">
      <c r="A153" t="s">
        <v>126</v>
      </c>
      <c r="B153">
        <v>11</v>
      </c>
      <c r="C153">
        <v>12</v>
      </c>
      <c r="D153">
        <v>15</v>
      </c>
      <c r="E153">
        <v>15</v>
      </c>
      <c r="F153">
        <v>21</v>
      </c>
      <c r="G153">
        <v>27</v>
      </c>
      <c r="H153">
        <v>39</v>
      </c>
      <c r="I153">
        <v>88</v>
      </c>
      <c r="J153">
        <v>141</v>
      </c>
      <c r="K153">
        <v>137</v>
      </c>
      <c r="L153">
        <v>141</v>
      </c>
      <c r="M153">
        <v>178</v>
      </c>
      <c r="N153">
        <v>261</v>
      </c>
      <c r="O153">
        <v>274.11</v>
      </c>
      <c r="P153">
        <v>474.68</v>
      </c>
      <c r="Q153">
        <v>517.86</v>
      </c>
      <c r="R153" s="2">
        <v>1032.69</v>
      </c>
      <c r="S153" s="2">
        <v>1096.48</v>
      </c>
    </row>
    <row r="154" spans="1:19" x14ac:dyDescent="0.25">
      <c r="A154" t="s">
        <v>590</v>
      </c>
      <c r="D154">
        <v>190</v>
      </c>
      <c r="E154">
        <v>233</v>
      </c>
      <c r="F154">
        <v>370</v>
      </c>
      <c r="G154">
        <v>530</v>
      </c>
      <c r="H154">
        <v>805</v>
      </c>
      <c r="I154" s="2">
        <v>1309</v>
      </c>
      <c r="J154" s="2">
        <v>1863</v>
      </c>
      <c r="K154" s="2">
        <v>2572</v>
      </c>
      <c r="L154" s="2">
        <v>3408</v>
      </c>
      <c r="M154" s="2">
        <v>4559</v>
      </c>
      <c r="N154" s="2">
        <v>6125</v>
      </c>
      <c r="O154" s="2">
        <v>4047.75</v>
      </c>
      <c r="P154" s="2">
        <v>6759.31</v>
      </c>
      <c r="Q154" s="2">
        <v>8483.27</v>
      </c>
      <c r="R154">
        <v>342.4</v>
      </c>
    </row>
    <row r="155" spans="1:19" x14ac:dyDescent="0.25">
      <c r="A155" t="s">
        <v>298</v>
      </c>
      <c r="B155">
        <v>42</v>
      </c>
      <c r="C155">
        <v>58</v>
      </c>
      <c r="D155">
        <v>74</v>
      </c>
      <c r="E155">
        <v>98</v>
      </c>
      <c r="F155">
        <v>151</v>
      </c>
      <c r="G155">
        <v>194</v>
      </c>
      <c r="H155">
        <v>265</v>
      </c>
      <c r="I155">
        <v>449</v>
      </c>
      <c r="J155">
        <v>565</v>
      </c>
      <c r="K155">
        <v>680</v>
      </c>
      <c r="L155">
        <v>876</v>
      </c>
      <c r="M155" s="2">
        <v>1136</v>
      </c>
      <c r="N155" s="2">
        <v>1449</v>
      </c>
      <c r="O155" s="2">
        <v>1545.81</v>
      </c>
      <c r="P155" s="2">
        <v>2493.4499999999998</v>
      </c>
      <c r="Q155" s="2">
        <v>2853.66</v>
      </c>
      <c r="R155" s="2">
        <v>3826.5</v>
      </c>
      <c r="S155" s="2">
        <v>4209.1499999999996</v>
      </c>
    </row>
    <row r="156" spans="1:19" x14ac:dyDescent="0.25">
      <c r="A156" t="s">
        <v>114</v>
      </c>
      <c r="B156">
        <v>83</v>
      </c>
      <c r="C156">
        <v>88</v>
      </c>
      <c r="D156">
        <v>115</v>
      </c>
      <c r="E156">
        <v>135</v>
      </c>
      <c r="F156">
        <v>219</v>
      </c>
      <c r="G156">
        <v>336</v>
      </c>
      <c r="H156">
        <v>540</v>
      </c>
      <c r="I156">
        <v>860</v>
      </c>
      <c r="J156" s="2">
        <v>1298</v>
      </c>
      <c r="K156" s="2">
        <v>1892</v>
      </c>
      <c r="L156" s="2">
        <v>2532</v>
      </c>
      <c r="M156" s="2">
        <v>3423</v>
      </c>
      <c r="N156" s="2">
        <v>4676</v>
      </c>
      <c r="O156" s="2">
        <v>5260.44</v>
      </c>
      <c r="P156" s="2">
        <v>9321.16</v>
      </c>
      <c r="Q156" s="2">
        <v>11433.2</v>
      </c>
      <c r="R156" s="2">
        <v>18690.939999999999</v>
      </c>
      <c r="S156" s="2">
        <v>20599.509999999998</v>
      </c>
    </row>
    <row r="157" spans="1:19" x14ac:dyDescent="0.25">
      <c r="A157" t="s">
        <v>800</v>
      </c>
      <c r="B157">
        <v>-21.09</v>
      </c>
      <c r="C157">
        <v>-38</v>
      </c>
      <c r="D157">
        <v>-87</v>
      </c>
      <c r="E157">
        <v>-144</v>
      </c>
      <c r="F157">
        <v>-390</v>
      </c>
      <c r="G157">
        <v>-591</v>
      </c>
      <c r="H157">
        <v>-106</v>
      </c>
      <c r="I157">
        <v>-329</v>
      </c>
      <c r="J157">
        <v>-712</v>
      </c>
      <c r="K157">
        <v>-867</v>
      </c>
      <c r="L157" s="2">
        <v>-1376</v>
      </c>
      <c r="M157" s="2">
        <v>-2925</v>
      </c>
      <c r="N157" s="2">
        <v>-1129</v>
      </c>
      <c r="O157" s="2">
        <v>3326.01</v>
      </c>
      <c r="P157" s="2">
        <v>-2380.0700000000002</v>
      </c>
      <c r="Q157" s="2">
        <v>-7509.03</v>
      </c>
    </row>
    <row r="158" spans="1:19" x14ac:dyDescent="0.25">
      <c r="A158" t="s">
        <v>801</v>
      </c>
      <c r="B158">
        <v>4.08</v>
      </c>
      <c r="C158">
        <v>0</v>
      </c>
      <c r="D158">
        <v>131</v>
      </c>
      <c r="E158">
        <v>9</v>
      </c>
      <c r="F158">
        <v>13</v>
      </c>
      <c r="G158">
        <v>11</v>
      </c>
      <c r="H158">
        <v>31</v>
      </c>
      <c r="I158">
        <v>411</v>
      </c>
      <c r="J158">
        <v>636</v>
      </c>
      <c r="K158" s="2">
        <v>1633</v>
      </c>
      <c r="L158">
        <v>106</v>
      </c>
      <c r="M158">
        <v>130</v>
      </c>
      <c r="N158">
        <v>0</v>
      </c>
      <c r="O158">
        <v>609.26</v>
      </c>
      <c r="P158">
        <v>543.54</v>
      </c>
      <c r="Q158">
        <v>591.42999999999995</v>
      </c>
      <c r="R158">
        <v>630.76</v>
      </c>
    </row>
    <row r="159" spans="1:19" x14ac:dyDescent="0.25">
      <c r="A159" t="s">
        <v>802</v>
      </c>
      <c r="B159">
        <v>-2</v>
      </c>
      <c r="C159">
        <v>-0.1</v>
      </c>
      <c r="D159">
        <v>-2</v>
      </c>
      <c r="E159">
        <v>-4</v>
      </c>
      <c r="F159">
        <v>-2</v>
      </c>
      <c r="G159">
        <v>-12</v>
      </c>
      <c r="H159">
        <v>1</v>
      </c>
      <c r="J159">
        <v>-99</v>
      </c>
      <c r="K159">
        <v>45</v>
      </c>
      <c r="L159">
        <v>-238</v>
      </c>
      <c r="M159" s="2">
        <v>-1030</v>
      </c>
      <c r="N159" s="2">
        <v>-8918</v>
      </c>
      <c r="O159" s="2">
        <v>-24714.53</v>
      </c>
      <c r="P159" s="2">
        <v>-14752.85</v>
      </c>
      <c r="Q159" s="2">
        <v>-19155.599999999999</v>
      </c>
      <c r="R159" s="2">
        <v>-21164.18</v>
      </c>
      <c r="S159" s="2">
        <v>-26029.58</v>
      </c>
    </row>
    <row r="160" spans="1:19" x14ac:dyDescent="0.25">
      <c r="A160" t="s">
        <v>803</v>
      </c>
      <c r="J160">
        <v>344</v>
      </c>
      <c r="K160">
        <v>455</v>
      </c>
      <c r="L160">
        <v>477</v>
      </c>
      <c r="M160">
        <v>472</v>
      </c>
      <c r="N160">
        <v>267</v>
      </c>
      <c r="O160">
        <v>178.71</v>
      </c>
      <c r="P160">
        <v>192.09</v>
      </c>
      <c r="Q160">
        <v>197.44</v>
      </c>
      <c r="R160">
        <v>95</v>
      </c>
      <c r="S160">
        <v>6</v>
      </c>
    </row>
    <row r="161" spans="1:19" x14ac:dyDescent="0.25">
      <c r="A161" t="s">
        <v>131</v>
      </c>
      <c r="H161">
        <v>890</v>
      </c>
      <c r="I161" s="2">
        <v>2274</v>
      </c>
      <c r="J161" s="2">
        <v>2553</v>
      </c>
      <c r="K161" s="2">
        <v>4865</v>
      </c>
      <c r="L161" s="2">
        <v>3928</v>
      </c>
      <c r="M161" s="2">
        <v>4310</v>
      </c>
      <c r="N161" s="2">
        <v>-1989</v>
      </c>
      <c r="O161" s="2">
        <v>-22604.95</v>
      </c>
      <c r="P161">
        <v>817.12</v>
      </c>
      <c r="Q161">
        <v>975.94</v>
      </c>
    </row>
    <row r="162" spans="1:19" x14ac:dyDescent="0.25">
      <c r="A162" t="s">
        <v>17</v>
      </c>
    </row>
    <row r="163" spans="1:19" x14ac:dyDescent="0.25">
      <c r="A163" t="s">
        <v>134</v>
      </c>
    </row>
    <row r="164" spans="1:19" x14ac:dyDescent="0.25">
      <c r="A164" t="s">
        <v>135</v>
      </c>
    </row>
    <row r="165" spans="1:19" x14ac:dyDescent="0.25">
      <c r="A165" t="s">
        <v>136</v>
      </c>
      <c r="B165" s="2">
        <v>5624.71</v>
      </c>
      <c r="C165" s="2">
        <v>5713</v>
      </c>
      <c r="D165" s="2">
        <v>6053</v>
      </c>
      <c r="E165" s="2">
        <v>8536</v>
      </c>
      <c r="F165" s="2">
        <v>9255</v>
      </c>
      <c r="G165" s="2">
        <v>10557</v>
      </c>
      <c r="H165" s="2">
        <v>13690</v>
      </c>
      <c r="I165" s="2">
        <v>16055</v>
      </c>
      <c r="J165" s="2">
        <v>28829</v>
      </c>
      <c r="K165" s="2">
        <v>23073</v>
      </c>
      <c r="L165" s="2">
        <v>44345</v>
      </c>
      <c r="M165" s="2">
        <v>80126</v>
      </c>
      <c r="N165" s="2">
        <v>125605</v>
      </c>
      <c r="O165" s="2">
        <v>283285.65999999997</v>
      </c>
      <c r="P165" s="2">
        <v>544948.27</v>
      </c>
      <c r="Q165" s="2">
        <v>874907.79</v>
      </c>
      <c r="R165" s="2">
        <v>1030352.13</v>
      </c>
      <c r="S165" s="2">
        <v>938104.75</v>
      </c>
    </row>
    <row r="166" spans="1:19" x14ac:dyDescent="0.25">
      <c r="A166" t="s">
        <v>804</v>
      </c>
      <c r="B166" s="2">
        <v>4671.8100000000004</v>
      </c>
      <c r="C166" s="2">
        <v>4623</v>
      </c>
      <c r="D166" s="2">
        <v>5037</v>
      </c>
      <c r="E166" s="2">
        <v>6798</v>
      </c>
      <c r="F166" s="2">
        <v>7108</v>
      </c>
      <c r="G166" s="2">
        <v>7422</v>
      </c>
      <c r="H166" s="2">
        <v>10897</v>
      </c>
      <c r="I166" s="2">
        <v>11561</v>
      </c>
      <c r="J166" s="2">
        <v>21208</v>
      </c>
      <c r="K166" s="2">
        <v>13296</v>
      </c>
      <c r="L166" s="2">
        <v>25984</v>
      </c>
      <c r="M166" s="2">
        <v>43210</v>
      </c>
      <c r="N166" s="2">
        <v>62556</v>
      </c>
      <c r="O166" s="2">
        <v>140828.72</v>
      </c>
      <c r="P166" s="2">
        <v>304923.18</v>
      </c>
      <c r="Q166" s="2">
        <v>504894.53</v>
      </c>
      <c r="R166" s="2">
        <v>833675.54</v>
      </c>
      <c r="S166" s="2">
        <v>744685.45</v>
      </c>
    </row>
    <row r="167" spans="1:19" x14ac:dyDescent="0.25">
      <c r="A167" t="s">
        <v>139</v>
      </c>
      <c r="B167" s="2">
        <v>1152</v>
      </c>
      <c r="C167">
        <v>497</v>
      </c>
      <c r="D167">
        <v>596</v>
      </c>
      <c r="E167" s="2">
        <v>1766</v>
      </c>
      <c r="F167" s="2">
        <v>4002</v>
      </c>
      <c r="G167">
        <v>782</v>
      </c>
      <c r="H167" s="2">
        <v>10896</v>
      </c>
      <c r="I167">
        <v>847</v>
      </c>
      <c r="J167" s="2">
        <v>1990</v>
      </c>
      <c r="K167" s="2">
        <v>3389</v>
      </c>
      <c r="L167" s="2">
        <v>7280</v>
      </c>
      <c r="M167" s="2">
        <v>8589</v>
      </c>
      <c r="N167" s="2">
        <v>10605</v>
      </c>
      <c r="O167" s="2">
        <v>95168.15</v>
      </c>
      <c r="P167" s="2">
        <v>281114.27</v>
      </c>
      <c r="Q167" s="2">
        <v>571633.75</v>
      </c>
      <c r="R167" s="2">
        <v>492301.69</v>
      </c>
      <c r="S167" s="2">
        <v>650252.12</v>
      </c>
    </row>
    <row r="168" spans="1:19" x14ac:dyDescent="0.25">
      <c r="A168" t="s">
        <v>805</v>
      </c>
      <c r="B168" s="2">
        <v>3520.22</v>
      </c>
      <c r="C168" s="2">
        <v>4126</v>
      </c>
      <c r="D168" s="2">
        <v>4441</v>
      </c>
      <c r="E168" s="2">
        <v>5032</v>
      </c>
      <c r="F168" s="2">
        <v>3106</v>
      </c>
      <c r="G168" s="2">
        <v>6640</v>
      </c>
      <c r="H168">
        <v>1</v>
      </c>
      <c r="I168" s="2">
        <v>10714</v>
      </c>
      <c r="J168" s="2">
        <v>19218</v>
      </c>
      <c r="K168" s="2">
        <v>9907</v>
      </c>
      <c r="L168" s="2">
        <v>18704</v>
      </c>
      <c r="M168" s="2">
        <v>34621</v>
      </c>
      <c r="N168" s="2">
        <v>51951</v>
      </c>
      <c r="O168" s="2">
        <v>88714.94</v>
      </c>
      <c r="P168" s="2">
        <v>90736.9</v>
      </c>
      <c r="Q168" s="2">
        <v>91513.79</v>
      </c>
      <c r="R168" s="2">
        <v>108002.6</v>
      </c>
      <c r="S168" s="2">
        <v>83182.25</v>
      </c>
    </row>
    <row r="169" spans="1:19" x14ac:dyDescent="0.25">
      <c r="A169" t="s">
        <v>806</v>
      </c>
      <c r="B169">
        <v>426.36</v>
      </c>
      <c r="C169">
        <v>474</v>
      </c>
      <c r="D169">
        <v>505</v>
      </c>
      <c r="E169">
        <v>826</v>
      </c>
      <c r="F169" s="2">
        <v>1265</v>
      </c>
      <c r="G169" s="2">
        <v>1424</v>
      </c>
      <c r="H169" s="2">
        <v>1657</v>
      </c>
      <c r="I169" s="2">
        <v>2429</v>
      </c>
      <c r="J169" s="2">
        <v>4650</v>
      </c>
      <c r="K169" s="2">
        <v>3827</v>
      </c>
      <c r="L169" s="2">
        <v>9999</v>
      </c>
      <c r="M169" s="2">
        <v>23065</v>
      </c>
      <c r="N169" s="2">
        <v>38466</v>
      </c>
      <c r="O169" s="2">
        <v>73027.23</v>
      </c>
      <c r="P169" s="2">
        <v>119185.4</v>
      </c>
      <c r="Q169" s="2">
        <v>151649.20000000001</v>
      </c>
      <c r="R169" s="2">
        <v>176640.35</v>
      </c>
      <c r="S169" s="2">
        <v>175674.65</v>
      </c>
    </row>
    <row r="170" spans="1:19" x14ac:dyDescent="0.25">
      <c r="A170" t="s">
        <v>302</v>
      </c>
      <c r="B170">
        <v>387.77</v>
      </c>
      <c r="C170">
        <v>483</v>
      </c>
      <c r="D170">
        <v>418</v>
      </c>
      <c r="E170">
        <v>794</v>
      </c>
      <c r="F170">
        <v>796</v>
      </c>
      <c r="G170" s="2">
        <v>1575</v>
      </c>
      <c r="H170">
        <v>979</v>
      </c>
      <c r="I170" s="2">
        <v>1826</v>
      </c>
      <c r="J170" s="2">
        <v>2605</v>
      </c>
      <c r="K170" s="2">
        <v>5159</v>
      </c>
      <c r="L170" s="2">
        <v>5282</v>
      </c>
      <c r="M170" s="2">
        <v>10080</v>
      </c>
      <c r="N170" s="2">
        <v>21403</v>
      </c>
      <c r="O170" s="2">
        <v>42384</v>
      </c>
      <c r="P170" s="2">
        <v>69977.960000000006</v>
      </c>
      <c r="Q170" s="2">
        <v>91491.39</v>
      </c>
      <c r="R170" s="2">
        <v>124538.79</v>
      </c>
      <c r="S170" s="2">
        <v>154603.53</v>
      </c>
    </row>
    <row r="171" spans="1:19" x14ac:dyDescent="0.25">
      <c r="A171" t="s">
        <v>428</v>
      </c>
      <c r="B171">
        <v>70.290000000000006</v>
      </c>
      <c r="C171">
        <v>70</v>
      </c>
      <c r="D171">
        <v>93</v>
      </c>
      <c r="E171">
        <v>118</v>
      </c>
      <c r="F171">
        <v>86</v>
      </c>
      <c r="G171">
        <v>136</v>
      </c>
      <c r="H171">
        <v>157</v>
      </c>
      <c r="I171">
        <v>239</v>
      </c>
      <c r="J171">
        <v>366</v>
      </c>
      <c r="K171">
        <v>791</v>
      </c>
      <c r="L171" s="2">
        <v>3080</v>
      </c>
      <c r="M171" s="2">
        <v>3771</v>
      </c>
      <c r="N171" s="2">
        <v>3180</v>
      </c>
      <c r="O171" s="2">
        <v>4014.72</v>
      </c>
      <c r="P171" s="2">
        <v>5298.81</v>
      </c>
      <c r="Q171" s="2">
        <v>6639.17</v>
      </c>
      <c r="R171" s="2">
        <v>5740.22</v>
      </c>
      <c r="S171" s="2">
        <v>6370.65</v>
      </c>
    </row>
    <row r="172" spans="1:19" x14ac:dyDescent="0.25">
      <c r="A172" t="s">
        <v>146</v>
      </c>
      <c r="B172" s="2">
        <v>1626.18</v>
      </c>
      <c r="C172" s="2">
        <v>1488</v>
      </c>
      <c r="D172" s="2">
        <v>1317</v>
      </c>
      <c r="E172" s="2">
        <v>1305</v>
      </c>
      <c r="F172" s="2">
        <v>1986</v>
      </c>
      <c r="G172" s="2">
        <v>2735</v>
      </c>
      <c r="H172" s="2">
        <v>3625</v>
      </c>
      <c r="I172" s="2">
        <v>12736</v>
      </c>
      <c r="J172" s="2">
        <v>15358</v>
      </c>
      <c r="K172" s="2">
        <v>18109</v>
      </c>
      <c r="L172" s="2">
        <v>21383</v>
      </c>
      <c r="M172" s="2">
        <v>31475</v>
      </c>
      <c r="N172" s="2">
        <v>81198</v>
      </c>
      <c r="O172" s="2">
        <v>123271.73</v>
      </c>
      <c r="P172" s="2">
        <v>154069.51</v>
      </c>
      <c r="Q172" s="2">
        <v>189571.3</v>
      </c>
      <c r="R172" s="2">
        <v>286061.21999999997</v>
      </c>
      <c r="S172" s="2">
        <v>337940.4</v>
      </c>
    </row>
    <row r="173" spans="1:19" x14ac:dyDescent="0.25">
      <c r="A173" t="s">
        <v>307</v>
      </c>
      <c r="B173">
        <v>582.74</v>
      </c>
      <c r="C173">
        <v>557</v>
      </c>
      <c r="D173">
        <v>466</v>
      </c>
      <c r="E173">
        <v>521</v>
      </c>
      <c r="F173">
        <v>997</v>
      </c>
      <c r="G173" s="2">
        <v>1404</v>
      </c>
      <c r="H173" s="2">
        <v>1674</v>
      </c>
      <c r="I173" s="2">
        <v>2149</v>
      </c>
      <c r="J173" s="2">
        <v>2778</v>
      </c>
      <c r="K173" s="2">
        <v>3807</v>
      </c>
      <c r="L173" s="2">
        <v>3914</v>
      </c>
      <c r="M173" s="2">
        <v>6283</v>
      </c>
      <c r="N173" s="2">
        <v>10383</v>
      </c>
      <c r="O173" s="2">
        <v>16969.68</v>
      </c>
      <c r="P173" s="2">
        <v>24871.37</v>
      </c>
      <c r="Q173" s="2">
        <v>35052.160000000003</v>
      </c>
      <c r="R173" s="2">
        <v>47745.35</v>
      </c>
      <c r="S173" s="2">
        <v>62034.76</v>
      </c>
    </row>
    <row r="174" spans="1:19" x14ac:dyDescent="0.25">
      <c r="A174" t="s">
        <v>310</v>
      </c>
      <c r="G174">
        <v>0</v>
      </c>
      <c r="H174">
        <v>618</v>
      </c>
      <c r="I174">
        <v>707</v>
      </c>
      <c r="J174">
        <v>829</v>
      </c>
      <c r="K174" s="2">
        <v>1038</v>
      </c>
      <c r="L174" s="2">
        <v>1346</v>
      </c>
      <c r="M174" s="2">
        <v>1793</v>
      </c>
      <c r="N174" s="2">
        <v>2867</v>
      </c>
      <c r="O174" s="2">
        <v>4403.8599999999997</v>
      </c>
      <c r="P174" s="2">
        <v>4854.38</v>
      </c>
      <c r="Q174" s="2">
        <v>4128.5</v>
      </c>
      <c r="R174" s="2">
        <v>4128.5</v>
      </c>
      <c r="S174" s="2">
        <v>4128.5</v>
      </c>
    </row>
    <row r="175" spans="1:19" x14ac:dyDescent="0.25">
      <c r="A175" t="s">
        <v>312</v>
      </c>
      <c r="G175">
        <v>663</v>
      </c>
      <c r="H175">
        <v>667</v>
      </c>
      <c r="I175" s="2">
        <v>6930</v>
      </c>
      <c r="J175" s="2">
        <v>6688</v>
      </c>
      <c r="K175" s="2">
        <v>6048</v>
      </c>
      <c r="L175" s="2">
        <v>5542</v>
      </c>
      <c r="M175" s="2">
        <v>5995</v>
      </c>
      <c r="N175" s="2">
        <v>24138</v>
      </c>
      <c r="O175" s="2">
        <v>24369.33</v>
      </c>
      <c r="P175" s="2">
        <v>24509.5</v>
      </c>
      <c r="Q175" s="2">
        <v>24117.67</v>
      </c>
    </row>
    <row r="176" spans="1:19" x14ac:dyDescent="0.25">
      <c r="A176" t="s">
        <v>152</v>
      </c>
      <c r="B176">
        <v>643.17999999999995</v>
      </c>
      <c r="C176">
        <v>618</v>
      </c>
      <c r="D176">
        <v>618</v>
      </c>
      <c r="E176">
        <v>618</v>
      </c>
      <c r="F176">
        <v>618</v>
      </c>
      <c r="G176">
        <v>618</v>
      </c>
      <c r="H176">
        <v>618</v>
      </c>
      <c r="I176" s="2">
        <v>4193</v>
      </c>
      <c r="J176" s="2">
        <v>4349</v>
      </c>
      <c r="K176" s="2">
        <v>4372</v>
      </c>
      <c r="L176" s="2">
        <v>4430</v>
      </c>
      <c r="M176" s="2">
        <v>5188</v>
      </c>
      <c r="N176" s="2">
        <v>20832</v>
      </c>
      <c r="O176" s="2">
        <v>21584.16</v>
      </c>
      <c r="P176" s="2">
        <v>22498.99</v>
      </c>
      <c r="Q176" s="2">
        <v>21201.61</v>
      </c>
      <c r="R176" s="2">
        <v>21043.88</v>
      </c>
      <c r="S176" s="2">
        <v>21041.4</v>
      </c>
    </row>
    <row r="177" spans="1:19" x14ac:dyDescent="0.25">
      <c r="A177" t="s">
        <v>807</v>
      </c>
      <c r="B177">
        <v>296.01</v>
      </c>
      <c r="C177">
        <v>222</v>
      </c>
      <c r="D177">
        <v>166</v>
      </c>
      <c r="E177">
        <v>104</v>
      </c>
      <c r="F177">
        <v>52</v>
      </c>
      <c r="G177">
        <v>45</v>
      </c>
      <c r="H177">
        <v>49</v>
      </c>
      <c r="I177" s="2">
        <v>2737</v>
      </c>
      <c r="J177" s="2">
        <v>2339</v>
      </c>
      <c r="K177" s="2">
        <v>1676</v>
      </c>
      <c r="L177" s="2">
        <v>1112</v>
      </c>
      <c r="M177">
        <v>807</v>
      </c>
      <c r="N177" s="2">
        <v>3306</v>
      </c>
      <c r="O177" s="2">
        <v>2948.95</v>
      </c>
      <c r="P177" s="2">
        <v>2906.09</v>
      </c>
      <c r="Q177" s="2">
        <v>2986.02</v>
      </c>
      <c r="R177" s="2">
        <v>1858.47</v>
      </c>
      <c r="S177" s="2">
        <v>1015.18</v>
      </c>
    </row>
    <row r="178" spans="1:19" x14ac:dyDescent="0.25">
      <c r="A178" t="s">
        <v>604</v>
      </c>
      <c r="G178">
        <v>560</v>
      </c>
      <c r="H178">
        <v>548</v>
      </c>
      <c r="I178">
        <v>806</v>
      </c>
      <c r="J178" s="2">
        <v>1222</v>
      </c>
      <c r="K178" s="2">
        <v>3396</v>
      </c>
      <c r="L178" s="2">
        <v>6081</v>
      </c>
      <c r="M178" s="2">
        <v>10979</v>
      </c>
      <c r="N178" s="2">
        <v>13258</v>
      </c>
      <c r="O178" s="2">
        <v>13195.91</v>
      </c>
      <c r="P178" s="2">
        <v>16449.21</v>
      </c>
      <c r="Q178" s="2">
        <v>17730.16</v>
      </c>
      <c r="R178" s="2">
        <v>12708.5</v>
      </c>
      <c r="S178" s="2">
        <v>12708.5</v>
      </c>
    </row>
    <row r="179" spans="1:19" x14ac:dyDescent="0.25">
      <c r="A179" t="s">
        <v>78</v>
      </c>
      <c r="B179">
        <v>104.25</v>
      </c>
      <c r="C179">
        <v>91</v>
      </c>
      <c r="D179">
        <v>67</v>
      </c>
      <c r="E179">
        <v>62</v>
      </c>
      <c r="F179">
        <v>319</v>
      </c>
      <c r="G179">
        <v>108</v>
      </c>
      <c r="H179">
        <v>118</v>
      </c>
      <c r="I179" s="2">
        <v>2144</v>
      </c>
      <c r="J179" s="2">
        <v>3841</v>
      </c>
      <c r="K179" s="2">
        <v>3820</v>
      </c>
      <c r="L179" s="2">
        <v>4500</v>
      </c>
      <c r="M179" s="2">
        <v>6425</v>
      </c>
      <c r="N179" s="2">
        <v>8301</v>
      </c>
      <c r="O179" s="2">
        <v>31668.69</v>
      </c>
      <c r="P179" s="2">
        <v>34119.54</v>
      </c>
      <c r="Q179" s="2">
        <v>35276.5</v>
      </c>
      <c r="R179" s="2">
        <v>47404</v>
      </c>
      <c r="S179" s="2">
        <v>47404</v>
      </c>
    </row>
    <row r="180" spans="1:19" x14ac:dyDescent="0.25">
      <c r="A180" t="s">
        <v>155</v>
      </c>
      <c r="B180" s="2">
        <v>7251</v>
      </c>
      <c r="C180" s="2">
        <v>7201</v>
      </c>
      <c r="D180" s="2">
        <v>7370</v>
      </c>
      <c r="E180" s="2">
        <v>9841</v>
      </c>
      <c r="F180" s="2">
        <v>11241</v>
      </c>
      <c r="G180" s="2">
        <v>13292</v>
      </c>
      <c r="H180" s="2">
        <v>17315</v>
      </c>
      <c r="I180" s="2">
        <v>28791</v>
      </c>
      <c r="J180" s="2">
        <v>44187</v>
      </c>
      <c r="K180" s="2">
        <v>41182</v>
      </c>
      <c r="L180" s="2">
        <v>65728</v>
      </c>
      <c r="M180" s="2">
        <v>111601</v>
      </c>
      <c r="N180" s="2">
        <v>206803</v>
      </c>
      <c r="O180" s="2">
        <v>400650.18</v>
      </c>
      <c r="P180" s="2">
        <v>684320.86</v>
      </c>
      <c r="Q180" s="2">
        <v>1030364.4</v>
      </c>
      <c r="R180" s="2">
        <v>1131774.6000000001</v>
      </c>
      <c r="S180" s="2">
        <v>1255981.2</v>
      </c>
    </row>
    <row r="181" spans="1:19" x14ac:dyDescent="0.25">
      <c r="A181" t="s">
        <v>17</v>
      </c>
    </row>
    <row r="182" spans="1:19" x14ac:dyDescent="0.25">
      <c r="A182" t="s">
        <v>156</v>
      </c>
    </row>
    <row r="183" spans="1:19" x14ac:dyDescent="0.25">
      <c r="A183" t="s">
        <v>157</v>
      </c>
      <c r="B183">
        <v>0</v>
      </c>
      <c r="C183">
        <v>896</v>
      </c>
      <c r="D183" s="2">
        <v>2351</v>
      </c>
      <c r="E183" s="2">
        <v>1788</v>
      </c>
      <c r="F183" s="2">
        <v>1153</v>
      </c>
      <c r="G183" s="2">
        <v>1329</v>
      </c>
      <c r="H183" s="2">
        <v>1784</v>
      </c>
      <c r="I183" s="2">
        <v>3925</v>
      </c>
      <c r="J183" s="2">
        <v>4335</v>
      </c>
      <c r="K183" s="2">
        <v>6563</v>
      </c>
      <c r="L183" s="2">
        <v>10631</v>
      </c>
      <c r="M183" s="2">
        <v>18047</v>
      </c>
      <c r="N183" s="2">
        <v>32163</v>
      </c>
      <c r="O183" s="2">
        <v>52052.59</v>
      </c>
      <c r="P183" s="2">
        <v>78068.31</v>
      </c>
      <c r="Q183" s="2">
        <v>96191.92</v>
      </c>
      <c r="R183" s="2">
        <v>97889.39</v>
      </c>
      <c r="S183" s="2">
        <v>98260.55</v>
      </c>
    </row>
    <row r="184" spans="1:19" x14ac:dyDescent="0.25">
      <c r="A184" t="s">
        <v>158</v>
      </c>
      <c r="B184">
        <v>324.39</v>
      </c>
      <c r="C184">
        <v>293</v>
      </c>
      <c r="D184">
        <v>296</v>
      </c>
      <c r="E184">
        <v>485</v>
      </c>
      <c r="F184">
        <v>596</v>
      </c>
      <c r="G184">
        <v>511</v>
      </c>
      <c r="H184">
        <v>687</v>
      </c>
      <c r="I184" s="2">
        <v>1149</v>
      </c>
      <c r="J184" s="2">
        <v>1783</v>
      </c>
      <c r="K184" s="2">
        <v>1193</v>
      </c>
      <c r="L184" s="2">
        <v>2699</v>
      </c>
      <c r="M184" s="2">
        <v>6310</v>
      </c>
      <c r="N184" s="2">
        <v>9812</v>
      </c>
      <c r="O184" s="2">
        <v>19696.61</v>
      </c>
      <c r="P184" s="2">
        <v>31766.14</v>
      </c>
      <c r="Q184" s="2">
        <v>40569.230000000003</v>
      </c>
      <c r="R184" s="2">
        <v>46071.66</v>
      </c>
      <c r="S184" s="2">
        <v>52675.89</v>
      </c>
    </row>
    <row r="185" spans="1:19" x14ac:dyDescent="0.25">
      <c r="A185" t="s">
        <v>313</v>
      </c>
      <c r="B185">
        <v>0</v>
      </c>
      <c r="C185">
        <v>0</v>
      </c>
      <c r="D185" s="2">
        <v>1413</v>
      </c>
      <c r="E185">
        <v>796</v>
      </c>
      <c r="F185">
        <v>15</v>
      </c>
      <c r="G185">
        <v>0</v>
      </c>
      <c r="H185">
        <v>0</v>
      </c>
      <c r="I185">
        <v>999</v>
      </c>
      <c r="J185">
        <v>0</v>
      </c>
      <c r="K185" s="2">
        <v>1250</v>
      </c>
      <c r="L185" s="2">
        <v>1250</v>
      </c>
      <c r="M185">
        <v>0</v>
      </c>
      <c r="N185">
        <v>0</v>
      </c>
      <c r="O185" s="2">
        <v>1088.6199999999999</v>
      </c>
      <c r="P185" s="2">
        <v>1374.43</v>
      </c>
      <c r="Q185" s="2">
        <v>1146.76</v>
      </c>
      <c r="R185" s="2">
        <v>1083.17</v>
      </c>
      <c r="S185" s="2">
        <v>2062.25</v>
      </c>
    </row>
    <row r="186" spans="1:19" x14ac:dyDescent="0.25">
      <c r="A186" t="s">
        <v>414</v>
      </c>
      <c r="B186">
        <v>621.11</v>
      </c>
      <c r="C186">
        <v>603</v>
      </c>
      <c r="D186">
        <v>642</v>
      </c>
      <c r="E186">
        <v>507</v>
      </c>
      <c r="F186">
        <v>542</v>
      </c>
      <c r="G186">
        <v>818</v>
      </c>
      <c r="H186" s="2">
        <v>1097</v>
      </c>
      <c r="I186" s="2">
        <v>1777</v>
      </c>
      <c r="J186" s="2">
        <v>2552</v>
      </c>
      <c r="K186" s="2">
        <v>4120</v>
      </c>
      <c r="L186" s="2">
        <v>6682</v>
      </c>
      <c r="M186" s="2">
        <v>11737</v>
      </c>
      <c r="N186" s="2">
        <v>21352</v>
      </c>
      <c r="O186" s="2">
        <v>32125.62</v>
      </c>
      <c r="P186" s="2">
        <v>43901.71</v>
      </c>
      <c r="Q186" s="2">
        <v>55156.6</v>
      </c>
      <c r="R186" s="2">
        <v>69952.83</v>
      </c>
      <c r="S186" s="2">
        <v>100639.53</v>
      </c>
    </row>
    <row r="187" spans="1:19" x14ac:dyDescent="0.25">
      <c r="A187" t="s">
        <v>164</v>
      </c>
      <c r="B187" s="2">
        <v>1849</v>
      </c>
      <c r="C187" s="2">
        <v>1887</v>
      </c>
      <c r="D187">
        <v>550</v>
      </c>
      <c r="E187" s="2">
        <v>2291</v>
      </c>
      <c r="F187" s="2">
        <v>2617</v>
      </c>
      <c r="G187" s="2">
        <v>2621</v>
      </c>
      <c r="H187" s="2">
        <v>3327</v>
      </c>
      <c r="I187" s="2">
        <v>7973</v>
      </c>
      <c r="J187" s="2">
        <v>13240</v>
      </c>
      <c r="K187" s="2">
        <v>12518</v>
      </c>
      <c r="L187" s="2">
        <v>12119</v>
      </c>
      <c r="M187" s="2">
        <v>14227</v>
      </c>
      <c r="N187" s="2">
        <v>17347</v>
      </c>
      <c r="O187" s="2">
        <v>38433.1</v>
      </c>
      <c r="P187" s="2">
        <v>39074.839999999997</v>
      </c>
      <c r="Q187" s="2">
        <v>35413.370000000003</v>
      </c>
      <c r="R187" s="2">
        <v>38523</v>
      </c>
      <c r="S187" s="2">
        <v>33273</v>
      </c>
    </row>
    <row r="188" spans="1:19" x14ac:dyDescent="0.25">
      <c r="A188" t="s">
        <v>808</v>
      </c>
      <c r="B188" s="2">
        <v>1356.38</v>
      </c>
      <c r="C188" s="2">
        <v>1384</v>
      </c>
      <c r="D188">
        <v>87</v>
      </c>
      <c r="E188" s="2">
        <v>2014</v>
      </c>
      <c r="F188" s="2">
        <v>1985</v>
      </c>
      <c r="G188" s="2">
        <v>1988</v>
      </c>
      <c r="H188" s="2">
        <v>1991</v>
      </c>
      <c r="I188" s="2">
        <v>5964</v>
      </c>
      <c r="J188" s="2">
        <v>10946</v>
      </c>
      <c r="K188" s="2">
        <v>9703</v>
      </c>
      <c r="L188" s="2">
        <v>8459</v>
      </c>
      <c r="M188" s="2">
        <v>8463</v>
      </c>
      <c r="N188" s="2">
        <v>7469</v>
      </c>
      <c r="O188" s="2">
        <v>26718.57</v>
      </c>
      <c r="P188" s="2">
        <v>26597.59</v>
      </c>
      <c r="Q188" s="2">
        <v>36401.08</v>
      </c>
      <c r="R188" s="2">
        <v>65065.33</v>
      </c>
      <c r="S188" s="2">
        <v>129464</v>
      </c>
    </row>
    <row r="189" spans="1:19" x14ac:dyDescent="0.25">
      <c r="A189" t="s">
        <v>165</v>
      </c>
      <c r="B189" s="2">
        <v>1356.38</v>
      </c>
      <c r="C189" s="2">
        <v>1384</v>
      </c>
      <c r="D189">
        <v>87</v>
      </c>
      <c r="E189" s="2">
        <v>2014</v>
      </c>
      <c r="F189" s="2">
        <v>1985</v>
      </c>
      <c r="G189" s="2">
        <v>1988</v>
      </c>
      <c r="H189" s="2">
        <v>1991</v>
      </c>
      <c r="I189" s="2">
        <v>5964</v>
      </c>
      <c r="J189" s="2">
        <v>10946</v>
      </c>
      <c r="K189" s="2">
        <v>9703</v>
      </c>
      <c r="L189" s="2">
        <v>8459</v>
      </c>
      <c r="M189" s="2">
        <v>8463</v>
      </c>
      <c r="N189" s="2">
        <v>7469</v>
      </c>
      <c r="O189" s="2">
        <v>28325.5</v>
      </c>
      <c r="P189" s="2">
        <v>28506</v>
      </c>
      <c r="Q189" s="2">
        <v>24790.23</v>
      </c>
      <c r="R189" s="2">
        <v>24637.4</v>
      </c>
      <c r="S189" s="2">
        <v>17401.669999999998</v>
      </c>
    </row>
    <row r="190" spans="1:19" x14ac:dyDescent="0.25">
      <c r="A190" t="s">
        <v>202</v>
      </c>
      <c r="H190">
        <v>561</v>
      </c>
      <c r="I190">
        <v>634</v>
      </c>
      <c r="J190">
        <v>741</v>
      </c>
      <c r="K190">
        <v>902</v>
      </c>
      <c r="L190" s="2">
        <v>1119</v>
      </c>
      <c r="M190" s="2">
        <v>1519</v>
      </c>
      <c r="N190" s="2">
        <v>2572</v>
      </c>
      <c r="O190" s="2">
        <v>4295.57</v>
      </c>
      <c r="P190" s="2">
        <v>4295.57</v>
      </c>
      <c r="Q190" s="2">
        <v>4107.55</v>
      </c>
      <c r="R190" s="2">
        <v>3778.5</v>
      </c>
      <c r="S190" s="2">
        <v>3778.5</v>
      </c>
    </row>
    <row r="191" spans="1:19" x14ac:dyDescent="0.25">
      <c r="A191" t="s">
        <v>78</v>
      </c>
      <c r="B191">
        <v>475.13</v>
      </c>
      <c r="C191">
        <v>489</v>
      </c>
      <c r="D191">
        <v>453</v>
      </c>
      <c r="E191">
        <v>271</v>
      </c>
      <c r="F191">
        <v>632</v>
      </c>
      <c r="G191">
        <v>633</v>
      </c>
      <c r="H191">
        <v>775</v>
      </c>
      <c r="I191" s="2">
        <v>1375</v>
      </c>
      <c r="J191" s="2">
        <v>1553</v>
      </c>
      <c r="K191" s="2">
        <v>1913</v>
      </c>
      <c r="L191" s="2">
        <v>2541</v>
      </c>
      <c r="M191" s="2">
        <v>4245</v>
      </c>
      <c r="N191" s="2">
        <v>7306</v>
      </c>
      <c r="O191" s="2">
        <v>10330.59</v>
      </c>
      <c r="P191" s="2">
        <v>11133.14</v>
      </c>
      <c r="Q191" s="2">
        <v>11651.94</v>
      </c>
      <c r="R191" s="2">
        <v>18515.34</v>
      </c>
      <c r="S191" s="2">
        <v>9714</v>
      </c>
    </row>
    <row r="192" spans="1:19" x14ac:dyDescent="0.25">
      <c r="A192" t="s">
        <v>167</v>
      </c>
      <c r="B192" s="2">
        <v>2794.5</v>
      </c>
      <c r="C192" s="2">
        <v>2783</v>
      </c>
      <c r="D192" s="2">
        <v>2901</v>
      </c>
      <c r="E192" s="2">
        <v>4079</v>
      </c>
      <c r="F192" s="2">
        <v>3770</v>
      </c>
      <c r="G192" s="2">
        <v>3950</v>
      </c>
      <c r="H192" s="2">
        <v>5111</v>
      </c>
      <c r="I192" s="2">
        <v>11898</v>
      </c>
      <c r="J192" s="2">
        <v>17575</v>
      </c>
      <c r="K192" s="2">
        <v>19081</v>
      </c>
      <c r="L192" s="2">
        <v>22750</v>
      </c>
      <c r="M192" s="2">
        <v>32274</v>
      </c>
      <c r="N192" s="2">
        <v>49510</v>
      </c>
      <c r="O192" s="2">
        <v>92701.42</v>
      </c>
      <c r="P192" s="2">
        <v>120603.08</v>
      </c>
      <c r="Q192" s="2">
        <v>138533.22</v>
      </c>
      <c r="R192" s="2">
        <v>144475.45000000001</v>
      </c>
      <c r="S192" s="2">
        <v>138292.15</v>
      </c>
    </row>
    <row r="193" spans="1:19" x14ac:dyDescent="0.25">
      <c r="A193" t="s">
        <v>170</v>
      </c>
      <c r="B193" s="2">
        <v>4456.3999999999996</v>
      </c>
      <c r="C193" s="2">
        <v>4418</v>
      </c>
      <c r="D193" s="2">
        <v>4469</v>
      </c>
      <c r="E193" s="2">
        <v>5762</v>
      </c>
      <c r="F193" s="2">
        <v>7471</v>
      </c>
      <c r="G193" s="2">
        <v>9342</v>
      </c>
      <c r="H193" s="2">
        <v>12204</v>
      </c>
      <c r="I193" s="2">
        <v>16893</v>
      </c>
      <c r="J193" s="2">
        <v>26612</v>
      </c>
      <c r="K193" s="2">
        <v>22101</v>
      </c>
      <c r="L193" s="2">
        <v>42978</v>
      </c>
      <c r="M193" s="2">
        <v>79327</v>
      </c>
      <c r="N193" s="2">
        <v>157293</v>
      </c>
      <c r="O193" s="2">
        <v>305274.52</v>
      </c>
      <c r="P193" s="2">
        <v>557556.09</v>
      </c>
      <c r="Q193" s="2">
        <v>882023.04</v>
      </c>
      <c r="R193" s="2">
        <v>1085722.6299999999</v>
      </c>
      <c r="S193" s="2">
        <v>1117889</v>
      </c>
    </row>
    <row r="194" spans="1:19" x14ac:dyDescent="0.25">
      <c r="A194" t="s">
        <v>171</v>
      </c>
      <c r="B194">
        <v>0.73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3</v>
      </c>
      <c r="J194">
        <v>3</v>
      </c>
      <c r="K194">
        <v>2</v>
      </c>
      <c r="L194">
        <v>2</v>
      </c>
      <c r="M194">
        <v>24</v>
      </c>
      <c r="N194">
        <v>24</v>
      </c>
      <c r="O194">
        <v>24</v>
      </c>
      <c r="P194">
        <v>24</v>
      </c>
      <c r="Q194" s="2">
        <v>-23817.5</v>
      </c>
      <c r="R194" s="2">
        <v>-92886.67</v>
      </c>
      <c r="S194" s="2">
        <v>-122220</v>
      </c>
    </row>
    <row r="195" spans="1:19" x14ac:dyDescent="0.25">
      <c r="A195" t="s">
        <v>503</v>
      </c>
      <c r="B195" s="2">
        <v>3483.34</v>
      </c>
      <c r="C195" s="2">
        <v>3855</v>
      </c>
      <c r="D195" s="2">
        <v>4170</v>
      </c>
      <c r="E195" s="2">
        <v>4708</v>
      </c>
      <c r="F195" s="2">
        <v>5351</v>
      </c>
      <c r="G195" s="2">
        <v>6051</v>
      </c>
      <c r="H195" s="2">
        <v>7045</v>
      </c>
      <c r="I195" s="2">
        <v>8719</v>
      </c>
      <c r="J195" s="2">
        <v>10385</v>
      </c>
      <c r="K195" s="2">
        <v>11971</v>
      </c>
      <c r="L195" s="2">
        <v>13132</v>
      </c>
      <c r="M195" s="2">
        <v>11237</v>
      </c>
      <c r="N195" s="2">
        <v>10118</v>
      </c>
      <c r="O195" s="2">
        <v>12025.19</v>
      </c>
      <c r="P195" s="2">
        <v>18485.04</v>
      </c>
      <c r="Q195" s="2">
        <v>19926.919999999998</v>
      </c>
      <c r="R195" s="2">
        <v>50762.61</v>
      </c>
      <c r="S195" s="2">
        <v>87535.88</v>
      </c>
    </row>
    <row r="196" spans="1:19" x14ac:dyDescent="0.25">
      <c r="A196" t="s">
        <v>325</v>
      </c>
      <c r="B196" s="2">
        <v>2537.3000000000002</v>
      </c>
      <c r="C196" s="2">
        <v>3395</v>
      </c>
      <c r="D196">
        <v>0</v>
      </c>
      <c r="E196">
        <v>0</v>
      </c>
      <c r="F196" s="2">
        <v>6650</v>
      </c>
      <c r="G196" s="2">
        <v>9263</v>
      </c>
      <c r="H196" s="2">
        <v>9814</v>
      </c>
      <c r="I196" s="2">
        <v>10756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9" x14ac:dyDescent="0.25">
      <c r="A197" t="s">
        <v>173</v>
      </c>
      <c r="B197" s="2">
        <v>3504.74</v>
      </c>
      <c r="C197" s="2">
        <v>3949</v>
      </c>
      <c r="D197" s="2">
        <v>4350</v>
      </c>
      <c r="E197" s="2">
        <v>6108</v>
      </c>
      <c r="F197" s="2">
        <v>8787</v>
      </c>
      <c r="G197" s="2">
        <v>12565</v>
      </c>
      <c r="H197" s="2">
        <v>14971</v>
      </c>
      <c r="I197" s="2">
        <v>18908</v>
      </c>
      <c r="J197" s="2">
        <v>16235</v>
      </c>
      <c r="K197" s="2">
        <v>10171</v>
      </c>
      <c r="L197" s="2">
        <v>29817</v>
      </c>
      <c r="M197" s="2">
        <v>68038</v>
      </c>
      <c r="N197" s="2">
        <v>146973</v>
      </c>
      <c r="O197" s="2">
        <v>317422.12</v>
      </c>
      <c r="P197" s="2">
        <v>588968.68000000005</v>
      </c>
      <c r="Q197" s="2">
        <v>948382.79</v>
      </c>
      <c r="R197" s="2">
        <v>1018075.63</v>
      </c>
      <c r="S197" s="2">
        <v>1190149.17</v>
      </c>
    </row>
    <row r="198" spans="1:19" x14ac:dyDescent="0.25">
      <c r="A198" t="s">
        <v>809</v>
      </c>
      <c r="B198">
        <v>4.88</v>
      </c>
      <c r="C198">
        <v>8</v>
      </c>
      <c r="D198">
        <v>-4</v>
      </c>
      <c r="E198">
        <v>-16</v>
      </c>
      <c r="F198">
        <v>-18</v>
      </c>
      <c r="G198">
        <v>-12</v>
      </c>
      <c r="H198">
        <v>1</v>
      </c>
      <c r="I198">
        <v>19</v>
      </c>
      <c r="J198">
        <v>-11</v>
      </c>
      <c r="K198">
        <v>-43</v>
      </c>
      <c r="L198">
        <v>27</v>
      </c>
      <c r="M198">
        <v>28</v>
      </c>
      <c r="N198">
        <v>178</v>
      </c>
      <c r="O198">
        <v>78.069999999999993</v>
      </c>
      <c r="P198">
        <v>76.91</v>
      </c>
      <c r="Q198" s="2">
        <v>78695.899999999994</v>
      </c>
      <c r="R198">
        <v>97.96</v>
      </c>
      <c r="S198">
        <v>106.75</v>
      </c>
    </row>
    <row r="199" spans="1:19" x14ac:dyDescent="0.25">
      <c r="A199" t="s">
        <v>326</v>
      </c>
      <c r="B199" s="2">
        <v>7251</v>
      </c>
      <c r="C199" s="2">
        <v>7201</v>
      </c>
      <c r="D199" s="2">
        <v>7370</v>
      </c>
      <c r="E199" s="2">
        <v>9841</v>
      </c>
      <c r="F199" s="2">
        <v>11241</v>
      </c>
      <c r="G199" s="2">
        <v>13292</v>
      </c>
      <c r="H199" s="2">
        <v>17315</v>
      </c>
      <c r="I199" s="2">
        <v>28791</v>
      </c>
      <c r="J199" s="2">
        <v>44187</v>
      </c>
      <c r="K199" s="2">
        <v>41182</v>
      </c>
      <c r="L199" s="2">
        <v>65728</v>
      </c>
      <c r="M199" s="2">
        <v>111601</v>
      </c>
      <c r="N199" s="2">
        <v>206803</v>
      </c>
      <c r="O199" s="2">
        <v>400650.18</v>
      </c>
      <c r="P199" s="2">
        <v>684320.86</v>
      </c>
      <c r="Q199" s="2">
        <v>1030364.4</v>
      </c>
      <c r="R199" s="2">
        <v>1131774.6000000001</v>
      </c>
      <c r="S199" s="2">
        <v>1255981.2</v>
      </c>
    </row>
    <row r="200" spans="1:19" x14ac:dyDescent="0.25">
      <c r="A200" t="s">
        <v>17</v>
      </c>
    </row>
    <row r="201" spans="1:19" x14ac:dyDescent="0.25">
      <c r="A201" t="s">
        <v>176</v>
      </c>
    </row>
    <row r="202" spans="1:19" x14ac:dyDescent="0.25">
      <c r="A202" t="s">
        <v>177</v>
      </c>
      <c r="B202" s="2">
        <v>-3295.02</v>
      </c>
      <c r="C202" s="2">
        <v>-3221.5</v>
      </c>
      <c r="D202" s="2">
        <v>-3523</v>
      </c>
      <c r="E202" s="2">
        <v>-3978</v>
      </c>
      <c r="F202" s="2">
        <v>-5108</v>
      </c>
      <c r="G202" s="2">
        <v>-5434</v>
      </c>
      <c r="H202" s="2">
        <v>-8906</v>
      </c>
      <c r="I202" s="2">
        <v>-4598</v>
      </c>
      <c r="J202" s="2">
        <v>-10262</v>
      </c>
      <c r="K202" s="2">
        <v>-2343</v>
      </c>
      <c r="L202" s="2">
        <v>-16275</v>
      </c>
      <c r="M202" s="2">
        <v>-34747</v>
      </c>
      <c r="N202" s="2">
        <v>-54088</v>
      </c>
      <c r="O202" s="2">
        <v>-145345.76999999999</v>
      </c>
      <c r="P202" s="2">
        <v>-344264</v>
      </c>
      <c r="Q202" s="2">
        <v>-629466.73</v>
      </c>
      <c r="R202" s="2">
        <v>-885311.4</v>
      </c>
      <c r="S202" s="2">
        <v>-1393375</v>
      </c>
    </row>
    <row r="203" spans="1:19" x14ac:dyDescent="0.25">
      <c r="A203" t="s">
        <v>810</v>
      </c>
      <c r="B203">
        <v>30.83</v>
      </c>
      <c r="C203">
        <v>31.72</v>
      </c>
      <c r="D203">
        <v>33.65</v>
      </c>
      <c r="E203">
        <v>15.18</v>
      </c>
      <c r="F203">
        <v>26.77</v>
      </c>
      <c r="G203">
        <v>21.28</v>
      </c>
      <c r="H203">
        <v>21.66</v>
      </c>
      <c r="I203">
        <v>45.69</v>
      </c>
      <c r="J203">
        <v>43.92</v>
      </c>
      <c r="K203">
        <v>54.44</v>
      </c>
      <c r="L203">
        <v>25.72</v>
      </c>
      <c r="M203">
        <v>12.95</v>
      </c>
      <c r="N203">
        <v>7.26</v>
      </c>
      <c r="O203">
        <v>12.81</v>
      </c>
      <c r="P203">
        <v>7.62</v>
      </c>
      <c r="Q203">
        <v>6.19</v>
      </c>
      <c r="R203">
        <v>6.19</v>
      </c>
      <c r="S203">
        <v>6.19</v>
      </c>
    </row>
    <row r="204" spans="1:19" x14ac:dyDescent="0.25">
      <c r="A204" t="s">
        <v>811</v>
      </c>
      <c r="B204">
        <v>23.57</v>
      </c>
      <c r="C204">
        <v>24.08</v>
      </c>
      <c r="D204">
        <v>25.18</v>
      </c>
      <c r="E204">
        <v>13.18</v>
      </c>
      <c r="F204">
        <v>21.12</v>
      </c>
      <c r="G204">
        <v>17.55</v>
      </c>
      <c r="H204">
        <v>17.8</v>
      </c>
      <c r="I204">
        <v>31.36</v>
      </c>
      <c r="J204">
        <v>30.52</v>
      </c>
      <c r="K204">
        <v>35.25</v>
      </c>
      <c r="L204">
        <v>20.46</v>
      </c>
      <c r="M204">
        <v>11.46</v>
      </c>
      <c r="N204">
        <v>6.76</v>
      </c>
      <c r="O204">
        <v>10.56</v>
      </c>
      <c r="P204">
        <v>6.25</v>
      </c>
      <c r="Q204">
        <v>4.58</v>
      </c>
      <c r="R204">
        <v>5.83</v>
      </c>
      <c r="S204">
        <v>5.83</v>
      </c>
    </row>
    <row r="205" spans="1:19" x14ac:dyDescent="0.25">
      <c r="A205" t="s">
        <v>178</v>
      </c>
    </row>
    <row r="206" spans="1:19" x14ac:dyDescent="0.25">
      <c r="A206" t="s">
        <v>179</v>
      </c>
      <c r="B206">
        <v>6.44</v>
      </c>
      <c r="C206">
        <v>8.73</v>
      </c>
      <c r="D206">
        <v>8.43</v>
      </c>
      <c r="E206">
        <v>19.36</v>
      </c>
      <c r="F206">
        <v>28.91</v>
      </c>
      <c r="G206">
        <v>33.76</v>
      </c>
      <c r="H206">
        <v>18.27</v>
      </c>
      <c r="I206">
        <v>18.79</v>
      </c>
      <c r="J206">
        <v>26.73</v>
      </c>
      <c r="K206">
        <v>10.23</v>
      </c>
      <c r="L206">
        <v>55.67</v>
      </c>
      <c r="M206">
        <v>82.2</v>
      </c>
      <c r="N206">
        <v>75.42</v>
      </c>
      <c r="O206">
        <v>71.02</v>
      </c>
      <c r="P206">
        <v>68.83</v>
      </c>
      <c r="Q206">
        <v>59.97</v>
      </c>
      <c r="R206">
        <v>51.06</v>
      </c>
      <c r="S206">
        <v>47.42</v>
      </c>
    </row>
    <row r="207" spans="1:19" x14ac:dyDescent="0.25">
      <c r="A207" t="s">
        <v>180</v>
      </c>
      <c r="B207">
        <v>9.48</v>
      </c>
      <c r="C207">
        <v>14.22</v>
      </c>
      <c r="D207">
        <v>13.82</v>
      </c>
      <c r="E207">
        <v>32.57</v>
      </c>
      <c r="F207">
        <v>46.05</v>
      </c>
      <c r="G207">
        <v>49.26</v>
      </c>
      <c r="H207">
        <v>25.95</v>
      </c>
      <c r="I207">
        <v>29.78</v>
      </c>
      <c r="J207">
        <v>44.83</v>
      </c>
      <c r="K207">
        <v>17.93</v>
      </c>
      <c r="L207">
        <v>91.46</v>
      </c>
      <c r="M207">
        <v>119.18</v>
      </c>
      <c r="N207">
        <v>101.49</v>
      </c>
      <c r="O207">
        <v>100.58</v>
      </c>
      <c r="P207">
        <v>83.13</v>
      </c>
      <c r="Q207">
        <v>63.67</v>
      </c>
      <c r="R207">
        <v>45.4</v>
      </c>
      <c r="S207">
        <v>36.1</v>
      </c>
    </row>
    <row r="208" spans="1:19" x14ac:dyDescent="0.25">
      <c r="A208" t="s">
        <v>506</v>
      </c>
      <c r="B208">
        <v>78.22</v>
      </c>
      <c r="C208">
        <v>76.08</v>
      </c>
      <c r="D208">
        <v>76.010000000000005</v>
      </c>
      <c r="E208">
        <v>77.48</v>
      </c>
      <c r="F208">
        <v>74.349999999999994</v>
      </c>
      <c r="G208">
        <v>94.94</v>
      </c>
      <c r="H208">
        <v>112.01</v>
      </c>
      <c r="I208">
        <v>82.87</v>
      </c>
      <c r="J208">
        <v>85.44</v>
      </c>
      <c r="K208">
        <v>121.63</v>
      </c>
      <c r="L208">
        <v>114.33</v>
      </c>
      <c r="M208">
        <v>85.66</v>
      </c>
      <c r="N208">
        <v>91.72</v>
      </c>
      <c r="O208">
        <v>98.5</v>
      </c>
      <c r="P208">
        <v>93.24</v>
      </c>
      <c r="Q208">
        <v>99.26</v>
      </c>
      <c r="R208">
        <v>121.22</v>
      </c>
      <c r="S208">
        <v>158.30000000000001</v>
      </c>
    </row>
    <row r="209" spans="1:21" x14ac:dyDescent="0.25">
      <c r="A209" t="s">
        <v>812</v>
      </c>
      <c r="B209">
        <v>9.3800000000000008</v>
      </c>
      <c r="C209">
        <v>10.4</v>
      </c>
      <c r="D209">
        <v>10.23</v>
      </c>
      <c r="E209">
        <v>10.38</v>
      </c>
      <c r="F209">
        <v>9.2899999999999991</v>
      </c>
      <c r="G209">
        <v>8.7100000000000009</v>
      </c>
      <c r="H209">
        <v>7.09</v>
      </c>
      <c r="I209">
        <v>8.16</v>
      </c>
      <c r="J209">
        <v>7.6</v>
      </c>
      <c r="K209">
        <v>6.36</v>
      </c>
      <c r="L209">
        <v>8.81</v>
      </c>
      <c r="M209">
        <v>7.89</v>
      </c>
      <c r="N209">
        <v>7.02</v>
      </c>
      <c r="O209">
        <v>6.96</v>
      </c>
      <c r="P209">
        <v>7.23</v>
      </c>
      <c r="Q209">
        <v>7.37</v>
      </c>
    </row>
    <row r="210" spans="1:21" x14ac:dyDescent="0.25">
      <c r="A210" t="s">
        <v>757</v>
      </c>
      <c r="C210">
        <v>5.69</v>
      </c>
      <c r="D210">
        <v>2.36</v>
      </c>
      <c r="E210">
        <v>4.26</v>
      </c>
      <c r="F210">
        <v>7.26</v>
      </c>
      <c r="G210">
        <v>6.66</v>
      </c>
      <c r="H210">
        <v>7.04</v>
      </c>
      <c r="I210">
        <v>3.56</v>
      </c>
      <c r="J210">
        <v>5.96</v>
      </c>
      <c r="K210">
        <v>2.61</v>
      </c>
      <c r="L210">
        <v>3.38</v>
      </c>
      <c r="M210">
        <v>3.67</v>
      </c>
      <c r="N210">
        <v>3.14</v>
      </c>
      <c r="O210">
        <v>4.58</v>
      </c>
      <c r="P210">
        <v>7.05</v>
      </c>
      <c r="Q210">
        <v>11.64</v>
      </c>
      <c r="R210">
        <v>399.94</v>
      </c>
      <c r="S210">
        <v>399.94</v>
      </c>
    </row>
    <row r="211" spans="1:21" x14ac:dyDescent="0.25">
      <c r="A211" t="s">
        <v>186</v>
      </c>
      <c r="C211">
        <v>6.38</v>
      </c>
      <c r="D211">
        <v>2.57</v>
      </c>
      <c r="E211">
        <v>4.7699999999999996</v>
      </c>
      <c r="F211">
        <v>8.0299999999999994</v>
      </c>
      <c r="G211">
        <v>7.94</v>
      </c>
      <c r="H211">
        <v>7.67</v>
      </c>
      <c r="I211">
        <v>4.09</v>
      </c>
      <c r="J211">
        <v>6.65</v>
      </c>
      <c r="K211">
        <v>3.52</v>
      </c>
      <c r="L211">
        <v>4.17</v>
      </c>
      <c r="M211">
        <v>4.4400000000000004</v>
      </c>
      <c r="N211">
        <v>3.91</v>
      </c>
      <c r="O211">
        <v>5.47</v>
      </c>
      <c r="P211">
        <v>7.81</v>
      </c>
      <c r="Q211">
        <v>12.22</v>
      </c>
      <c r="R211">
        <v>143.77000000000001</v>
      </c>
      <c r="S211">
        <v>207.99</v>
      </c>
    </row>
    <row r="212" spans="1:21" x14ac:dyDescent="0.25">
      <c r="A212" t="s">
        <v>813</v>
      </c>
      <c r="C212">
        <v>5.16</v>
      </c>
      <c r="D212">
        <v>2.14</v>
      </c>
      <c r="E212">
        <v>3.8</v>
      </c>
      <c r="F212">
        <v>6.16</v>
      </c>
      <c r="G212">
        <v>5.58</v>
      </c>
      <c r="H212">
        <v>6.11</v>
      </c>
      <c r="I212">
        <v>2.95</v>
      </c>
      <c r="J212">
        <v>4.8899999999999997</v>
      </c>
      <c r="K212">
        <v>2.0299999999999998</v>
      </c>
      <c r="L212">
        <v>2.44</v>
      </c>
      <c r="M212">
        <v>2.39</v>
      </c>
      <c r="N212">
        <v>1.94</v>
      </c>
      <c r="O212">
        <v>1.79</v>
      </c>
      <c r="P212">
        <v>1.61</v>
      </c>
      <c r="Q212">
        <v>4.67</v>
      </c>
      <c r="R212">
        <v>399.94</v>
      </c>
      <c r="S212">
        <v>399.94</v>
      </c>
    </row>
    <row r="213" spans="1:21" x14ac:dyDescent="0.25">
      <c r="A213" t="s">
        <v>333</v>
      </c>
      <c r="B213" s="2">
        <v>5624.71</v>
      </c>
      <c r="C213" s="2">
        <v>4817</v>
      </c>
      <c r="D213" s="2">
        <v>3702</v>
      </c>
      <c r="E213" s="2">
        <v>6748</v>
      </c>
      <c r="F213" s="2">
        <v>8102</v>
      </c>
      <c r="G213" s="2">
        <v>9228</v>
      </c>
      <c r="H213" s="2">
        <v>11906</v>
      </c>
      <c r="I213" s="2">
        <v>12130</v>
      </c>
      <c r="J213" s="2">
        <v>24494</v>
      </c>
      <c r="K213" s="2">
        <v>16510</v>
      </c>
      <c r="L213" s="2">
        <v>33714</v>
      </c>
      <c r="M213" s="2">
        <v>62079</v>
      </c>
      <c r="N213" s="2">
        <v>93442</v>
      </c>
      <c r="O213" s="2">
        <v>232280.81</v>
      </c>
      <c r="P213" s="2">
        <v>522920.89</v>
      </c>
      <c r="Q213" s="2">
        <v>1007788.66</v>
      </c>
      <c r="R213" s="2">
        <v>1652593.05</v>
      </c>
      <c r="S213" s="2">
        <v>839844.2</v>
      </c>
    </row>
    <row r="214" spans="1:21" x14ac:dyDescent="0.25">
      <c r="A214" t="s">
        <v>424</v>
      </c>
      <c r="B214">
        <v>0.19</v>
      </c>
      <c r="C214">
        <v>0.2</v>
      </c>
      <c r="D214">
        <v>0.2</v>
      </c>
      <c r="E214">
        <v>0.21</v>
      </c>
      <c r="F214">
        <v>0.3</v>
      </c>
      <c r="G214">
        <v>0.37</v>
      </c>
      <c r="H214">
        <v>0.49</v>
      </c>
      <c r="I214">
        <v>0.67</v>
      </c>
      <c r="J214">
        <v>1.05</v>
      </c>
      <c r="K214">
        <v>0.88</v>
      </c>
      <c r="L214">
        <v>1.72</v>
      </c>
      <c r="M214">
        <v>3.2</v>
      </c>
      <c r="N214">
        <v>6.42</v>
      </c>
      <c r="O214">
        <v>12.87</v>
      </c>
      <c r="P214">
        <v>22.37</v>
      </c>
      <c r="Q214">
        <v>41.8</v>
      </c>
      <c r="R214">
        <v>72.989999999999995</v>
      </c>
    </row>
    <row r="215" spans="1:21" x14ac:dyDescent="0.25">
      <c r="A215" t="s">
        <v>814</v>
      </c>
      <c r="B215">
        <v>0.15</v>
      </c>
      <c r="C215">
        <v>0.16</v>
      </c>
      <c r="D215">
        <v>0.17</v>
      </c>
      <c r="E215">
        <v>0.21</v>
      </c>
      <c r="F215">
        <v>0.28000000000000003</v>
      </c>
      <c r="G215">
        <v>0.36</v>
      </c>
      <c r="H215">
        <v>0.47</v>
      </c>
      <c r="I215">
        <v>0.4</v>
      </c>
      <c r="J215">
        <v>0.8</v>
      </c>
      <c r="K215">
        <v>0.65</v>
      </c>
      <c r="L215">
        <v>1.52</v>
      </c>
      <c r="M215">
        <v>3</v>
      </c>
      <c r="N215">
        <v>5.48</v>
      </c>
      <c r="O215">
        <v>11.51</v>
      </c>
      <c r="P215">
        <v>22.86</v>
      </c>
      <c r="Q215">
        <v>41.66</v>
      </c>
      <c r="R215">
        <v>72</v>
      </c>
    </row>
    <row r="216" spans="1:21" x14ac:dyDescent="0.25">
      <c r="A216" t="s">
        <v>621</v>
      </c>
      <c r="B216">
        <v>4.6500000000000004</v>
      </c>
      <c r="C216">
        <v>4.78</v>
      </c>
      <c r="D216">
        <v>4.88</v>
      </c>
      <c r="E216">
        <v>4.7</v>
      </c>
      <c r="F216">
        <v>4.9000000000000004</v>
      </c>
      <c r="G216">
        <v>3.83</v>
      </c>
      <c r="H216">
        <v>3.25</v>
      </c>
      <c r="I216">
        <v>4.4800000000000004</v>
      </c>
      <c r="J216">
        <v>4.26</v>
      </c>
      <c r="K216">
        <v>2.99</v>
      </c>
      <c r="L216">
        <v>3.18</v>
      </c>
      <c r="M216">
        <v>4.25</v>
      </c>
      <c r="N216">
        <v>3.97</v>
      </c>
      <c r="O216">
        <v>5.47</v>
      </c>
      <c r="P216">
        <v>5.63</v>
      </c>
      <c r="Q216">
        <v>9.89</v>
      </c>
      <c r="R216">
        <v>9.89</v>
      </c>
      <c r="S216">
        <v>2.2999999999999998</v>
      </c>
    </row>
    <row r="217" spans="1:21" x14ac:dyDescent="0.25">
      <c r="A217" t="s">
        <v>327</v>
      </c>
      <c r="B217">
        <v>0.6</v>
      </c>
      <c r="C217">
        <v>0.65</v>
      </c>
      <c r="D217">
        <v>0.69</v>
      </c>
      <c r="E217">
        <v>0.8</v>
      </c>
      <c r="F217">
        <v>0.92</v>
      </c>
      <c r="G217">
        <v>0.96</v>
      </c>
      <c r="H217">
        <v>0.71</v>
      </c>
      <c r="I217">
        <v>0.72</v>
      </c>
      <c r="J217">
        <v>0.74</v>
      </c>
      <c r="K217">
        <v>0.63</v>
      </c>
      <c r="L217">
        <v>1.1399999999999999</v>
      </c>
      <c r="M217">
        <v>1.47</v>
      </c>
      <c r="N217">
        <v>1.36</v>
      </c>
      <c r="O217">
        <v>1.37</v>
      </c>
      <c r="P217">
        <v>1.33</v>
      </c>
      <c r="Q217">
        <v>1.1399999999999999</v>
      </c>
    </row>
    <row r="218" spans="1:21" x14ac:dyDescent="0.25">
      <c r="A218" t="s">
        <v>17</v>
      </c>
    </row>
    <row r="219" spans="1:21" x14ac:dyDescent="0.25">
      <c r="A219" t="s">
        <v>188</v>
      </c>
    </row>
    <row r="220" spans="1:21" x14ac:dyDescent="0.25">
      <c r="A220" t="s">
        <v>189</v>
      </c>
    </row>
    <row r="221" spans="1:21" x14ac:dyDescent="0.25">
      <c r="A221" t="s">
        <v>121</v>
      </c>
      <c r="B221">
        <v>588.41</v>
      </c>
      <c r="C221">
        <v>800.99</v>
      </c>
      <c r="D221">
        <v>929</v>
      </c>
      <c r="E221" s="2">
        <v>1851</v>
      </c>
      <c r="F221" s="2">
        <v>3085</v>
      </c>
      <c r="G221" s="2">
        <v>4143</v>
      </c>
      <c r="H221" s="2">
        <v>3580</v>
      </c>
      <c r="I221" s="2">
        <v>6277</v>
      </c>
      <c r="J221" s="2">
        <v>11259</v>
      </c>
      <c r="K221" s="2">
        <v>8366</v>
      </c>
      <c r="L221" s="2">
        <v>32312</v>
      </c>
      <c r="M221" s="2">
        <v>74265</v>
      </c>
      <c r="N221" s="2">
        <v>116997</v>
      </c>
      <c r="O221" s="2">
        <v>229298.67</v>
      </c>
      <c r="P221" s="2">
        <v>381586.79</v>
      </c>
      <c r="Q221" s="2">
        <v>506912.33</v>
      </c>
      <c r="R221" s="2">
        <v>567426.25</v>
      </c>
      <c r="S221" s="2">
        <v>588731.80000000005</v>
      </c>
    </row>
    <row r="222" spans="1:21" x14ac:dyDescent="0.25">
      <c r="A222" t="s">
        <v>190</v>
      </c>
      <c r="B222">
        <v>166</v>
      </c>
      <c r="C222">
        <v>143</v>
      </c>
      <c r="D222">
        <v>124</v>
      </c>
      <c r="E222">
        <v>118</v>
      </c>
      <c r="F222">
        <v>144</v>
      </c>
      <c r="G222">
        <v>233</v>
      </c>
      <c r="H222">
        <v>381</v>
      </c>
      <c r="I222" s="2">
        <v>1098</v>
      </c>
      <c r="J222" s="2">
        <v>1174</v>
      </c>
      <c r="K222" s="2">
        <v>1544</v>
      </c>
      <c r="L222" s="2">
        <v>1508</v>
      </c>
      <c r="M222" s="2">
        <v>1864</v>
      </c>
      <c r="N222" s="2">
        <v>2843</v>
      </c>
      <c r="O222" s="2">
        <v>4234.26</v>
      </c>
      <c r="P222" s="2">
        <v>6010.68</v>
      </c>
      <c r="Q222" s="2">
        <v>8040.01</v>
      </c>
      <c r="R222" s="2">
        <v>10852.82</v>
      </c>
      <c r="S222" s="2">
        <v>16367.31</v>
      </c>
      <c r="T222" s="2">
        <v>10970.25</v>
      </c>
      <c r="U222" s="2">
        <v>11847.87</v>
      </c>
    </row>
    <row r="223" spans="1:21" x14ac:dyDescent="0.25">
      <c r="A223" t="s">
        <v>815</v>
      </c>
      <c r="B223">
        <v>5.79</v>
      </c>
      <c r="C223">
        <v>4.7</v>
      </c>
      <c r="D223">
        <v>3.93</v>
      </c>
      <c r="E223">
        <v>2.71</v>
      </c>
      <c r="F223">
        <v>2.0499999999999998</v>
      </c>
      <c r="G223">
        <v>2.2400000000000002</v>
      </c>
      <c r="H223">
        <v>3.49</v>
      </c>
      <c r="I223">
        <v>6.58</v>
      </c>
      <c r="J223">
        <v>4.3600000000000003</v>
      </c>
      <c r="K223">
        <v>5.72</v>
      </c>
      <c r="L223">
        <v>2.48</v>
      </c>
      <c r="M223">
        <v>1.43</v>
      </c>
      <c r="N223">
        <v>1.32</v>
      </c>
      <c r="O223">
        <v>1.26</v>
      </c>
      <c r="P223">
        <v>1.21</v>
      </c>
      <c r="Q223">
        <v>1.33</v>
      </c>
    </row>
    <row r="224" spans="1:21" x14ac:dyDescent="0.25">
      <c r="A224" t="s">
        <v>335</v>
      </c>
      <c r="B224">
        <v>110</v>
      </c>
      <c r="C224">
        <v>140</v>
      </c>
      <c r="D224">
        <v>194</v>
      </c>
      <c r="E224">
        <v>247</v>
      </c>
      <c r="F224">
        <v>391</v>
      </c>
      <c r="G224">
        <v>557</v>
      </c>
      <c r="H224">
        <v>844</v>
      </c>
      <c r="I224" s="2">
        <v>1397</v>
      </c>
      <c r="J224" s="2">
        <v>2004</v>
      </c>
      <c r="K224" s="2">
        <v>2709</v>
      </c>
      <c r="L224" s="2">
        <v>3549</v>
      </c>
      <c r="M224" s="2">
        <v>4737</v>
      </c>
      <c r="N224" s="2">
        <v>6386</v>
      </c>
      <c r="O224" s="2">
        <v>6576.73</v>
      </c>
      <c r="P224" s="2">
        <v>9177.43</v>
      </c>
      <c r="Q224" s="2">
        <v>12787.27</v>
      </c>
      <c r="R224" s="2">
        <v>21301.599999999999</v>
      </c>
      <c r="S224" s="2">
        <v>24490.93</v>
      </c>
    </row>
    <row r="225" spans="1:21" x14ac:dyDescent="0.25">
      <c r="A225" t="s">
        <v>546</v>
      </c>
      <c r="B225">
        <v>15</v>
      </c>
      <c r="C225">
        <v>83</v>
      </c>
      <c r="D225">
        <v>134</v>
      </c>
      <c r="E225">
        <v>197</v>
      </c>
      <c r="F225">
        <v>-359</v>
      </c>
      <c r="G225">
        <v>-315</v>
      </c>
      <c r="H225">
        <v>18</v>
      </c>
      <c r="I225">
        <v>-282</v>
      </c>
      <c r="J225">
        <v>-406</v>
      </c>
      <c r="K225" s="2">
        <v>-2164</v>
      </c>
      <c r="L225" s="2">
        <v>-2489</v>
      </c>
      <c r="M225" s="2">
        <v>-4477</v>
      </c>
      <c r="N225" s="2">
        <v>-1424</v>
      </c>
      <c r="O225">
        <v>638.76</v>
      </c>
      <c r="P225" s="2">
        <v>-4863.87</v>
      </c>
      <c r="Q225" s="2">
        <v>-6647.07</v>
      </c>
    </row>
    <row r="226" spans="1:21" x14ac:dyDescent="0.25">
      <c r="A226" t="s">
        <v>816</v>
      </c>
      <c r="B226">
        <v>21</v>
      </c>
      <c r="C226">
        <v>24</v>
      </c>
      <c r="D226">
        <v>64</v>
      </c>
      <c r="E226">
        <v>11</v>
      </c>
      <c r="F226">
        <v>20</v>
      </c>
      <c r="G226">
        <v>-45</v>
      </c>
      <c r="H226">
        <v>5</v>
      </c>
      <c r="I226">
        <v>-20</v>
      </c>
      <c r="J226">
        <v>-53</v>
      </c>
      <c r="K226" s="2">
        <v>1391</v>
      </c>
      <c r="L226">
        <v>-516</v>
      </c>
      <c r="M226" s="2">
        <v>-1532</v>
      </c>
      <c r="N226">
        <v>-287</v>
      </c>
      <c r="O226" s="2">
        <v>-4821.1499999999996</v>
      </c>
      <c r="P226" s="2">
        <v>-30252.880000000001</v>
      </c>
      <c r="Q226" s="2">
        <v>-30252.880000000001</v>
      </c>
    </row>
    <row r="227" spans="1:21" x14ac:dyDescent="0.25">
      <c r="A227" t="s">
        <v>551</v>
      </c>
      <c r="B227">
        <v>46</v>
      </c>
      <c r="C227">
        <v>-167</v>
      </c>
      <c r="D227">
        <v>7</v>
      </c>
      <c r="E227">
        <v>-679</v>
      </c>
      <c r="F227">
        <v>185</v>
      </c>
      <c r="G227">
        <v>-857</v>
      </c>
      <c r="H227">
        <v>717</v>
      </c>
      <c r="I227">
        <v>-703</v>
      </c>
      <c r="J227" s="2">
        <v>-3363</v>
      </c>
      <c r="K227" s="2">
        <v>-2459</v>
      </c>
      <c r="L227" s="2">
        <v>-4236</v>
      </c>
      <c r="M227" s="2">
        <v>-10604</v>
      </c>
      <c r="N227" s="2">
        <v>-17793</v>
      </c>
      <c r="O227" s="2">
        <v>-34610.22</v>
      </c>
      <c r="P227" s="2">
        <v>-51047.99</v>
      </c>
      <c r="Q227" s="2">
        <v>-41248.85</v>
      </c>
      <c r="R227" s="2">
        <v>51631.83</v>
      </c>
      <c r="S227" s="2">
        <v>-15639.7</v>
      </c>
      <c r="T227" s="2">
        <v>-4161.32</v>
      </c>
      <c r="U227" s="2">
        <v>2247.11</v>
      </c>
    </row>
    <row r="228" spans="1:21" x14ac:dyDescent="0.25">
      <c r="A228" t="s">
        <v>817</v>
      </c>
      <c r="B228">
        <v>110</v>
      </c>
      <c r="C228">
        <v>222</v>
      </c>
      <c r="D228">
        <v>357</v>
      </c>
      <c r="E228">
        <v>498</v>
      </c>
      <c r="F228">
        <v>71</v>
      </c>
      <c r="G228">
        <v>197</v>
      </c>
      <c r="H228">
        <v>867</v>
      </c>
      <c r="I228" s="2">
        <v>1095</v>
      </c>
      <c r="J228" s="2">
        <v>1545</v>
      </c>
      <c r="K228" s="2">
        <v>2188</v>
      </c>
      <c r="L228" s="2">
        <v>1058</v>
      </c>
      <c r="M228">
        <v>-51</v>
      </c>
      <c r="N228" s="2">
        <v>-2399</v>
      </c>
    </row>
    <row r="229" spans="1:21" x14ac:dyDescent="0.25">
      <c r="A229" t="s">
        <v>818</v>
      </c>
      <c r="B229">
        <v>29</v>
      </c>
      <c r="C229">
        <v>-49</v>
      </c>
      <c r="D229">
        <v>-32</v>
      </c>
      <c r="E229">
        <v>-321</v>
      </c>
      <c r="F229">
        <v>-440</v>
      </c>
      <c r="G229">
        <v>-149</v>
      </c>
      <c r="H229">
        <v>-233</v>
      </c>
      <c r="I229">
        <v>-550</v>
      </c>
      <c r="J229" s="2">
        <v>-2215</v>
      </c>
      <c r="K229">
        <v>822</v>
      </c>
      <c r="L229" s="2">
        <v>-6172</v>
      </c>
      <c r="M229" s="2">
        <v>-13063</v>
      </c>
      <c r="N229" s="2">
        <v>-15399</v>
      </c>
      <c r="O229" s="2">
        <v>-32714.41</v>
      </c>
      <c r="P229" s="2">
        <v>-46071.15</v>
      </c>
      <c r="Q229" s="2">
        <v>-30267.08</v>
      </c>
      <c r="R229" s="2">
        <v>-27992.37</v>
      </c>
      <c r="S229" s="2">
        <v>-10195.030000000001</v>
      </c>
    </row>
    <row r="230" spans="1:21" x14ac:dyDescent="0.25">
      <c r="A230" t="s">
        <v>340</v>
      </c>
      <c r="B230">
        <v>25</v>
      </c>
      <c r="C230">
        <v>-95</v>
      </c>
      <c r="D230">
        <v>66</v>
      </c>
      <c r="E230">
        <v>-375</v>
      </c>
      <c r="F230">
        <v>0</v>
      </c>
      <c r="G230">
        <v>-776</v>
      </c>
      <c r="H230">
        <v>597</v>
      </c>
      <c r="I230">
        <v>-524</v>
      </c>
      <c r="J230">
        <v>-774</v>
      </c>
      <c r="K230" s="2">
        <v>-2554</v>
      </c>
      <c r="L230">
        <v>-98</v>
      </c>
      <c r="M230" s="2">
        <v>-4781</v>
      </c>
      <c r="N230" s="2">
        <v>-11324</v>
      </c>
      <c r="O230" s="2">
        <v>-17113.400000000001</v>
      </c>
      <c r="P230" s="2">
        <v>-24974.44</v>
      </c>
      <c r="Q230" s="2">
        <v>-15459.46</v>
      </c>
      <c r="R230" s="2">
        <v>-14513.37</v>
      </c>
      <c r="S230" s="2">
        <v>-5068.38</v>
      </c>
    </row>
    <row r="231" spans="1:21" x14ac:dyDescent="0.25">
      <c r="A231" t="s">
        <v>201</v>
      </c>
      <c r="F231">
        <v>33</v>
      </c>
      <c r="G231">
        <v>256</v>
      </c>
      <c r="H231">
        <v>54</v>
      </c>
      <c r="I231">
        <v>290</v>
      </c>
      <c r="J231">
        <v>581</v>
      </c>
      <c r="K231" s="2">
        <v>1341</v>
      </c>
      <c r="L231" s="2">
        <v>2025</v>
      </c>
      <c r="M231" s="2">
        <v>4278</v>
      </c>
      <c r="N231" s="2">
        <v>5257</v>
      </c>
      <c r="O231" s="2">
        <v>11196.18</v>
      </c>
      <c r="P231" s="2">
        <v>23451.62</v>
      </c>
      <c r="Q231" s="2">
        <v>18959.439999999999</v>
      </c>
      <c r="R231" s="2">
        <v>8635.9</v>
      </c>
      <c r="S231" s="2">
        <v>5982.76</v>
      </c>
    </row>
    <row r="232" spans="1:21" x14ac:dyDescent="0.25">
      <c r="A232" t="s">
        <v>428</v>
      </c>
      <c r="B232">
        <v>12</v>
      </c>
      <c r="C232">
        <v>4</v>
      </c>
      <c r="D232">
        <v>-16</v>
      </c>
      <c r="E232">
        <v>-18</v>
      </c>
      <c r="F232">
        <v>21</v>
      </c>
      <c r="G232">
        <v>-55</v>
      </c>
      <c r="H232">
        <v>77</v>
      </c>
      <c r="I232">
        <v>-394</v>
      </c>
      <c r="J232" s="2">
        <v>-1715</v>
      </c>
      <c r="K232" s="2">
        <v>-1517</v>
      </c>
      <c r="L232" s="2">
        <v>-1522</v>
      </c>
      <c r="M232">
        <v>-395</v>
      </c>
      <c r="N232">
        <v>577</v>
      </c>
      <c r="O232" s="2">
        <v>-5803.53</v>
      </c>
      <c r="P232" s="2">
        <v>-7074.11</v>
      </c>
      <c r="Q232" s="2">
        <v>-3779.25</v>
      </c>
      <c r="R232" s="2">
        <v>-1359.93</v>
      </c>
      <c r="S232" s="2">
        <v>-1117.6300000000001</v>
      </c>
    </row>
    <row r="233" spans="1:21" x14ac:dyDescent="0.25">
      <c r="A233" t="s">
        <v>158</v>
      </c>
      <c r="B233">
        <v>-20</v>
      </c>
      <c r="C233">
        <v>-27</v>
      </c>
      <c r="D233">
        <v>-11</v>
      </c>
      <c r="E233">
        <v>184</v>
      </c>
      <c r="F233">
        <v>90</v>
      </c>
      <c r="G233">
        <v>-135</v>
      </c>
      <c r="H233">
        <v>194</v>
      </c>
      <c r="I233">
        <v>312</v>
      </c>
      <c r="J233">
        <v>568</v>
      </c>
      <c r="K233">
        <v>-551</v>
      </c>
      <c r="L233" s="2">
        <v>1531</v>
      </c>
      <c r="M233" s="2">
        <v>3357</v>
      </c>
      <c r="N233" s="2">
        <v>3096</v>
      </c>
      <c r="O233" s="2">
        <v>8979.3799999999992</v>
      </c>
      <c r="P233" s="2">
        <v>12587.18</v>
      </c>
      <c r="Q233" s="2">
        <v>8020.06</v>
      </c>
      <c r="R233" s="2">
        <v>6843.83</v>
      </c>
      <c r="S233" s="2">
        <v>2665.27</v>
      </c>
    </row>
    <row r="234" spans="1:21" x14ac:dyDescent="0.25">
      <c r="A234" t="s">
        <v>166</v>
      </c>
      <c r="B234">
        <v>-33</v>
      </c>
      <c r="C234">
        <v>-36</v>
      </c>
      <c r="D234">
        <v>-58</v>
      </c>
      <c r="G234">
        <v>258</v>
      </c>
      <c r="H234">
        <v>82</v>
      </c>
      <c r="I234">
        <v>163</v>
      </c>
      <c r="J234">
        <v>192</v>
      </c>
      <c r="K234">
        <v>252</v>
      </c>
      <c r="L234">
        <v>514</v>
      </c>
      <c r="M234" s="2">
        <v>1221</v>
      </c>
      <c r="N234" s="2">
        <v>1844</v>
      </c>
      <c r="O234" s="2">
        <v>1970</v>
      </c>
    </row>
    <row r="235" spans="1:21" x14ac:dyDescent="0.25">
      <c r="A235" t="s">
        <v>204</v>
      </c>
      <c r="B235">
        <v>835</v>
      </c>
      <c r="C235">
        <v>906</v>
      </c>
      <c r="D235" s="2">
        <v>1175</v>
      </c>
      <c r="E235" s="2">
        <v>1672</v>
      </c>
      <c r="F235" s="2">
        <v>3502</v>
      </c>
      <c r="G235" s="2">
        <v>3743</v>
      </c>
      <c r="H235" s="2">
        <v>4761</v>
      </c>
      <c r="I235" s="2">
        <v>5822</v>
      </c>
      <c r="J235" s="2">
        <v>9108</v>
      </c>
      <c r="K235" s="2">
        <v>5641</v>
      </c>
      <c r="L235" s="2">
        <v>28090</v>
      </c>
      <c r="M235" s="2">
        <v>64089</v>
      </c>
      <c r="N235" s="2">
        <v>102718</v>
      </c>
      <c r="O235" s="2">
        <v>198092.75</v>
      </c>
      <c r="P235" s="2">
        <v>356907.11</v>
      </c>
      <c r="Q235" s="2">
        <v>498139.69</v>
      </c>
      <c r="R235" s="2">
        <v>513738.53</v>
      </c>
      <c r="S235" s="2">
        <v>616656.13</v>
      </c>
    </row>
    <row r="236" spans="1:21" x14ac:dyDescent="0.25">
      <c r="A236" t="s">
        <v>17</v>
      </c>
    </row>
    <row r="237" spans="1:21" x14ac:dyDescent="0.25">
      <c r="A237" t="s">
        <v>205</v>
      </c>
    </row>
    <row r="238" spans="1:21" x14ac:dyDescent="0.25">
      <c r="A238" t="s">
        <v>206</v>
      </c>
      <c r="B238">
        <v>-255</v>
      </c>
      <c r="C238">
        <v>-122</v>
      </c>
      <c r="D238">
        <v>-86</v>
      </c>
      <c r="E238">
        <v>-176</v>
      </c>
      <c r="F238">
        <v>-593</v>
      </c>
      <c r="G238">
        <v>-600</v>
      </c>
      <c r="H238">
        <v>-489</v>
      </c>
      <c r="I238" s="2">
        <v>-1128</v>
      </c>
      <c r="J238">
        <v>-976</v>
      </c>
      <c r="K238" s="2">
        <v>-1833</v>
      </c>
      <c r="L238" s="2">
        <v>-1069</v>
      </c>
      <c r="M238" s="2">
        <v>-3236</v>
      </c>
      <c r="N238" s="2">
        <v>-6042</v>
      </c>
      <c r="O238" s="2">
        <v>-9518.26</v>
      </c>
      <c r="P238" s="2">
        <v>-13035.28</v>
      </c>
      <c r="Q238" s="2">
        <v>-15507.08</v>
      </c>
      <c r="R238" s="2">
        <v>-24482.67</v>
      </c>
      <c r="S238" s="2">
        <v>-28850.25</v>
      </c>
      <c r="T238" s="2">
        <v>-16564</v>
      </c>
      <c r="U238" s="2">
        <v>-13085</v>
      </c>
    </row>
    <row r="239" spans="1:21" x14ac:dyDescent="0.25">
      <c r="A239" t="s">
        <v>819</v>
      </c>
      <c r="B239">
        <v>6.17</v>
      </c>
      <c r="C239">
        <v>2.61</v>
      </c>
      <c r="D239">
        <v>1.72</v>
      </c>
      <c r="E239">
        <v>2.5499999999999998</v>
      </c>
      <c r="F239">
        <v>6.1</v>
      </c>
      <c r="G239">
        <v>5.12</v>
      </c>
      <c r="H239">
        <v>4.4800000000000004</v>
      </c>
      <c r="I239">
        <v>6.76</v>
      </c>
      <c r="J239">
        <v>3.63</v>
      </c>
      <c r="K239">
        <v>6.8</v>
      </c>
      <c r="L239">
        <v>1.75</v>
      </c>
      <c r="M239">
        <v>2.48</v>
      </c>
      <c r="N239">
        <v>2.8</v>
      </c>
      <c r="O239">
        <v>2.67</v>
      </c>
      <c r="P239">
        <v>2.5</v>
      </c>
      <c r="Q239">
        <v>2.58</v>
      </c>
      <c r="R239">
        <v>2.44</v>
      </c>
      <c r="S239">
        <v>2.35</v>
      </c>
      <c r="T239">
        <v>1.31</v>
      </c>
      <c r="U239">
        <v>0.95</v>
      </c>
    </row>
    <row r="240" spans="1:21" x14ac:dyDescent="0.25">
      <c r="A240" t="s">
        <v>516</v>
      </c>
      <c r="B240">
        <v>-17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-4</v>
      </c>
      <c r="I240" s="2">
        <v>-8524</v>
      </c>
      <c r="J240">
        <v>-263</v>
      </c>
      <c r="K240">
        <v>-49</v>
      </c>
      <c r="L240">
        <v>-83</v>
      </c>
      <c r="M240" s="2">
        <v>-1007</v>
      </c>
      <c r="N240" s="2">
        <v>-1535</v>
      </c>
      <c r="O240" s="2">
        <v>-2216.56</v>
      </c>
      <c r="P240" s="2">
        <v>-2657.61</v>
      </c>
      <c r="Q240">
        <v>-438.93</v>
      </c>
      <c r="R240">
        <v>0</v>
      </c>
      <c r="S240">
        <v>0</v>
      </c>
    </row>
    <row r="241" spans="1:21" x14ac:dyDescent="0.25">
      <c r="A241" t="s">
        <v>820</v>
      </c>
      <c r="B241">
        <v>-554</v>
      </c>
      <c r="C241">
        <v>-625</v>
      </c>
      <c r="D241">
        <v>-339</v>
      </c>
      <c r="E241">
        <v>-619</v>
      </c>
      <c r="F241" s="2">
        <v>1905</v>
      </c>
      <c r="G241" s="2">
        <v>-3488</v>
      </c>
      <c r="H241" s="2">
        <v>6648</v>
      </c>
      <c r="I241" s="2">
        <v>-9989</v>
      </c>
      <c r="J241" s="2">
        <v>-8567</v>
      </c>
      <c r="K241" s="2">
        <v>9334</v>
      </c>
      <c r="L241" s="2">
        <v>-8429</v>
      </c>
      <c r="M241" s="2">
        <v>-14885</v>
      </c>
      <c r="N241" s="2">
        <v>-14233</v>
      </c>
      <c r="O241" s="2">
        <v>-24770.13</v>
      </c>
      <c r="P241" s="2">
        <v>-23631.63</v>
      </c>
      <c r="Q241" s="2">
        <v>-20316.830000000002</v>
      </c>
    </row>
    <row r="242" spans="1:21" x14ac:dyDescent="0.25">
      <c r="A242" t="s">
        <v>821</v>
      </c>
      <c r="I242" s="2">
        <v>8792</v>
      </c>
      <c r="J242" s="2">
        <v>15197</v>
      </c>
      <c r="K242" s="2">
        <v>19425</v>
      </c>
      <c r="L242" s="2">
        <v>9732</v>
      </c>
      <c r="M242" s="2">
        <v>11195</v>
      </c>
      <c r="N242" s="2">
        <v>11226</v>
      </c>
      <c r="O242" s="2">
        <v>28385.03</v>
      </c>
    </row>
    <row r="243" spans="1:21" x14ac:dyDescent="0.25">
      <c r="A243" t="s">
        <v>210</v>
      </c>
      <c r="H243" s="2">
        <v>-1461</v>
      </c>
      <c r="I243" s="2">
        <v>-19308</v>
      </c>
      <c r="J243" s="2">
        <v>-24787</v>
      </c>
      <c r="K243" s="2">
        <v>-11897</v>
      </c>
      <c r="L243" s="2">
        <v>-18211</v>
      </c>
      <c r="M243" s="2">
        <v>-26575</v>
      </c>
      <c r="N243" s="2">
        <v>-40616</v>
      </c>
      <c r="O243" s="2">
        <v>-62808.33</v>
      </c>
      <c r="P243" s="2">
        <v>-53961.62</v>
      </c>
      <c r="Q243" s="2">
        <v>-47743.93</v>
      </c>
      <c r="R243" s="2">
        <v>-10000</v>
      </c>
      <c r="S243" s="2">
        <v>-10000</v>
      </c>
    </row>
    <row r="244" spans="1:21" x14ac:dyDescent="0.25">
      <c r="A244" t="s">
        <v>346</v>
      </c>
      <c r="B244">
        <v>-5</v>
      </c>
      <c r="C244">
        <v>-1</v>
      </c>
      <c r="D244">
        <v>18</v>
      </c>
      <c r="E244">
        <v>-5</v>
      </c>
      <c r="F244">
        <v>-36</v>
      </c>
      <c r="G244">
        <v>-9</v>
      </c>
      <c r="H244">
        <v>-10</v>
      </c>
      <c r="I244">
        <v>-34</v>
      </c>
      <c r="J244">
        <v>-24</v>
      </c>
      <c r="K244">
        <v>-77</v>
      </c>
      <c r="L244">
        <v>-985</v>
      </c>
      <c r="M244" s="2">
        <v>-1293</v>
      </c>
      <c r="N244">
        <v>0</v>
      </c>
      <c r="O244" s="2">
        <v>-18583.330000000002</v>
      </c>
    </row>
    <row r="245" spans="1:21" x14ac:dyDescent="0.25">
      <c r="A245" t="s">
        <v>212</v>
      </c>
      <c r="B245">
        <v>-559</v>
      </c>
      <c r="C245">
        <v>-626</v>
      </c>
      <c r="D245">
        <v>-321</v>
      </c>
      <c r="E245">
        <v>-624</v>
      </c>
      <c r="F245" s="2">
        <v>1869</v>
      </c>
      <c r="G245" s="2">
        <v>-3497</v>
      </c>
      <c r="H245" s="2">
        <v>6638</v>
      </c>
      <c r="I245" s="2">
        <v>-10023</v>
      </c>
      <c r="J245" s="2">
        <v>-8591</v>
      </c>
      <c r="K245" s="2">
        <v>9257</v>
      </c>
      <c r="L245" s="2">
        <v>-9414</v>
      </c>
      <c r="M245" s="2">
        <v>-16178</v>
      </c>
      <c r="N245" s="2">
        <v>-31651</v>
      </c>
      <c r="O245" s="2">
        <v>-32723.599999999999</v>
      </c>
      <c r="P245" s="2">
        <v>-19330.560000000001</v>
      </c>
      <c r="Q245" s="2">
        <v>-24490.76</v>
      </c>
      <c r="R245" s="2">
        <v>-86864.97</v>
      </c>
      <c r="S245" s="2">
        <v>28850.29</v>
      </c>
      <c r="T245" s="2">
        <v>16563.75</v>
      </c>
      <c r="U245" s="2">
        <v>13085.37</v>
      </c>
    </row>
    <row r="246" spans="1:21" x14ac:dyDescent="0.25">
      <c r="A246" t="s">
        <v>213</v>
      </c>
      <c r="B246">
        <v>-806</v>
      </c>
      <c r="C246">
        <v>-727</v>
      </c>
      <c r="D246">
        <v>-400</v>
      </c>
      <c r="E246">
        <v>-793</v>
      </c>
      <c r="F246" s="2">
        <v>1278</v>
      </c>
      <c r="G246" s="2">
        <v>-4097</v>
      </c>
      <c r="H246" s="2">
        <v>6145</v>
      </c>
      <c r="I246" s="2">
        <v>-19675</v>
      </c>
      <c r="J246" s="2">
        <v>-9830</v>
      </c>
      <c r="K246" s="2">
        <v>7375</v>
      </c>
      <c r="L246" s="2">
        <v>-10566</v>
      </c>
      <c r="M246" s="2">
        <v>-20421</v>
      </c>
      <c r="N246" s="2">
        <v>-52228</v>
      </c>
      <c r="O246" s="2">
        <v>-50823.88</v>
      </c>
      <c r="P246" s="2">
        <v>-43367.1</v>
      </c>
      <c r="Q246" s="2">
        <v>-48144.72</v>
      </c>
      <c r="R246" s="2">
        <v>-49449.1</v>
      </c>
      <c r="S246" s="2">
        <v>-41990.7</v>
      </c>
    </row>
    <row r="247" spans="1:21" x14ac:dyDescent="0.25">
      <c r="A247" t="s">
        <v>17</v>
      </c>
    </row>
    <row r="248" spans="1:21" x14ac:dyDescent="0.25">
      <c r="A248" t="s">
        <v>214</v>
      </c>
    </row>
    <row r="249" spans="1:21" x14ac:dyDescent="0.25">
      <c r="A249" t="s">
        <v>347</v>
      </c>
      <c r="B249">
        <v>-181</v>
      </c>
      <c r="C249">
        <v>-186</v>
      </c>
      <c r="D249">
        <v>-213</v>
      </c>
      <c r="E249">
        <v>-261</v>
      </c>
      <c r="F249">
        <v>-341</v>
      </c>
      <c r="G249">
        <v>-371</v>
      </c>
      <c r="H249">
        <v>-390</v>
      </c>
      <c r="I249">
        <v>-395</v>
      </c>
      <c r="J249">
        <v>-399</v>
      </c>
      <c r="K249">
        <v>-398</v>
      </c>
      <c r="L249">
        <v>-395</v>
      </c>
      <c r="M249">
        <v>-834</v>
      </c>
      <c r="N249">
        <v>-974</v>
      </c>
      <c r="O249" s="2">
        <v>-15862.12</v>
      </c>
      <c r="P249" s="2">
        <v>-24399.35</v>
      </c>
      <c r="Q249" s="2">
        <v>-29821.07</v>
      </c>
      <c r="R249" s="2">
        <v>-62711.71</v>
      </c>
      <c r="S249" s="2">
        <v>-109721.58</v>
      </c>
    </row>
    <row r="250" spans="1:21" x14ac:dyDescent="0.25">
      <c r="A250" t="s">
        <v>822</v>
      </c>
      <c r="B250" s="2">
        <v>1304</v>
      </c>
      <c r="C250">
        <v>0</v>
      </c>
      <c r="D250">
        <v>0</v>
      </c>
      <c r="E250" s="2">
        <v>1315</v>
      </c>
      <c r="F250">
        <v>-812</v>
      </c>
      <c r="G250">
        <v>-16</v>
      </c>
      <c r="H250">
        <v>0</v>
      </c>
      <c r="I250" s="2">
        <v>4968</v>
      </c>
      <c r="J250" s="2">
        <v>3977</v>
      </c>
      <c r="K250">
        <v>0</v>
      </c>
      <c r="L250" s="2">
        <v>-1250</v>
      </c>
      <c r="M250" s="2">
        <v>-1250</v>
      </c>
      <c r="N250">
        <v>0</v>
      </c>
      <c r="O250" s="2">
        <v>18896.16</v>
      </c>
      <c r="P250">
        <v>-334.44</v>
      </c>
      <c r="Q250" s="2">
        <v>-8951.0400000000009</v>
      </c>
      <c r="R250" s="2">
        <v>-2250</v>
      </c>
      <c r="S250" s="2">
        <v>-1250</v>
      </c>
    </row>
    <row r="251" spans="1:21" x14ac:dyDescent="0.25">
      <c r="A251" t="s">
        <v>766</v>
      </c>
      <c r="B251">
        <v>-733</v>
      </c>
      <c r="C251">
        <v>-642</v>
      </c>
      <c r="D251">
        <v>-457</v>
      </c>
      <c r="E251">
        <v>-572</v>
      </c>
      <c r="F251">
        <v>-770</v>
      </c>
      <c r="G251" s="2">
        <v>-1442</v>
      </c>
      <c r="H251">
        <v>149</v>
      </c>
      <c r="I251">
        <v>194</v>
      </c>
      <c r="J251">
        <v>281</v>
      </c>
      <c r="K251" s="2">
        <v>-9684</v>
      </c>
      <c r="L251" s="2">
        <v>-9130</v>
      </c>
      <c r="M251" s="2">
        <v>-33216</v>
      </c>
      <c r="N251" s="2">
        <v>-39442</v>
      </c>
      <c r="O251" s="2">
        <v>-86603.85</v>
      </c>
      <c r="P251" s="2">
        <v>-129905.27</v>
      </c>
      <c r="Q251" s="2">
        <v>-183610.38</v>
      </c>
      <c r="R251" s="2">
        <v>-255217.25</v>
      </c>
    </row>
    <row r="252" spans="1:21" x14ac:dyDescent="0.25">
      <c r="A252" t="s">
        <v>823</v>
      </c>
      <c r="B252">
        <v>-887</v>
      </c>
      <c r="C252">
        <v>-814</v>
      </c>
      <c r="D252">
        <v>-587</v>
      </c>
      <c r="E252">
        <v>-739</v>
      </c>
      <c r="F252">
        <v>-909</v>
      </c>
      <c r="G252" s="2">
        <v>-1579</v>
      </c>
      <c r="H252">
        <v>0</v>
      </c>
      <c r="I252">
        <v>0</v>
      </c>
      <c r="J252">
        <v>0</v>
      </c>
      <c r="K252" s="2">
        <v>-10039</v>
      </c>
      <c r="L252" s="2">
        <v>-9533</v>
      </c>
      <c r="M252" s="2">
        <v>-33706</v>
      </c>
      <c r="N252" s="2">
        <v>-40086</v>
      </c>
      <c r="O252" s="2">
        <v>-69242.990000000005</v>
      </c>
      <c r="P252" s="2">
        <v>-124048.54</v>
      </c>
      <c r="Q252" s="2">
        <v>-173403.95</v>
      </c>
      <c r="R252" s="2">
        <v>-333776.56</v>
      </c>
      <c r="S252" s="2">
        <v>-375500.69</v>
      </c>
    </row>
    <row r="253" spans="1:21" x14ac:dyDescent="0.25">
      <c r="A253" t="s">
        <v>824</v>
      </c>
      <c r="B253">
        <v>154</v>
      </c>
      <c r="C253">
        <v>172</v>
      </c>
      <c r="D253">
        <v>130</v>
      </c>
      <c r="E253">
        <v>167</v>
      </c>
      <c r="F253">
        <v>139</v>
      </c>
      <c r="G253">
        <v>137</v>
      </c>
      <c r="H253">
        <v>149</v>
      </c>
      <c r="I253">
        <v>194</v>
      </c>
      <c r="J253">
        <v>281</v>
      </c>
      <c r="K253">
        <v>355</v>
      </c>
      <c r="L253">
        <v>403</v>
      </c>
      <c r="M253">
        <v>490</v>
      </c>
      <c r="N253">
        <v>644</v>
      </c>
      <c r="O253" s="2">
        <v>2002.31</v>
      </c>
      <c r="P253">
        <v>0</v>
      </c>
      <c r="Q253">
        <v>0</v>
      </c>
    </row>
    <row r="254" spans="1:21" x14ac:dyDescent="0.25">
      <c r="A254" t="s">
        <v>212</v>
      </c>
      <c r="B254">
        <v>0</v>
      </c>
      <c r="C254">
        <v>-6</v>
      </c>
      <c r="D254">
        <v>-6</v>
      </c>
      <c r="E254">
        <v>-191</v>
      </c>
      <c r="F254">
        <v>-621</v>
      </c>
      <c r="G254" s="2">
        <v>-1037</v>
      </c>
      <c r="H254">
        <v>-551</v>
      </c>
      <c r="I254">
        <v>-963</v>
      </c>
      <c r="J254" s="2">
        <v>-1994</v>
      </c>
      <c r="K254" s="2">
        <v>-1535</v>
      </c>
      <c r="L254" s="2">
        <v>-2858</v>
      </c>
      <c r="M254" s="2">
        <v>-7059</v>
      </c>
      <c r="N254" s="2">
        <v>-8058</v>
      </c>
      <c r="O254" s="2">
        <v>-3665.82</v>
      </c>
      <c r="P254">
        <v>-806.54</v>
      </c>
      <c r="Q254" s="2">
        <v>-2190.69</v>
      </c>
    </row>
    <row r="255" spans="1:21" x14ac:dyDescent="0.25">
      <c r="A255" t="s">
        <v>218</v>
      </c>
      <c r="B255">
        <v>390</v>
      </c>
      <c r="C255">
        <v>-834</v>
      </c>
      <c r="D255">
        <v>-676</v>
      </c>
      <c r="E255">
        <v>291</v>
      </c>
      <c r="F255" s="2">
        <v>-2544</v>
      </c>
      <c r="G255" s="2">
        <v>-2866</v>
      </c>
      <c r="H255">
        <v>-792</v>
      </c>
      <c r="I255" s="2">
        <v>3804</v>
      </c>
      <c r="J255" s="2">
        <v>1865</v>
      </c>
      <c r="K255" s="2">
        <v>-11617</v>
      </c>
      <c r="L255" s="2">
        <v>-13633</v>
      </c>
      <c r="M255" s="2">
        <v>-42359</v>
      </c>
      <c r="N255" s="2">
        <v>-48474</v>
      </c>
      <c r="O255" s="2">
        <v>-69979.56</v>
      </c>
      <c r="P255" s="2">
        <v>-130590.56</v>
      </c>
      <c r="Q255" s="2">
        <v>-175261.96</v>
      </c>
      <c r="R255" s="2">
        <v>-307910.78000000003</v>
      </c>
      <c r="S255" s="2">
        <v>-505700.26</v>
      </c>
    </row>
    <row r="256" spans="1:21" x14ac:dyDescent="0.25">
      <c r="A256" t="s">
        <v>17</v>
      </c>
    </row>
    <row r="257" spans="1:21" x14ac:dyDescent="0.25">
      <c r="A257" t="s">
        <v>176</v>
      </c>
    </row>
    <row r="258" spans="1:21" x14ac:dyDescent="0.25">
      <c r="A258" t="s">
        <v>825</v>
      </c>
      <c r="B258" s="2">
        <v>4671.8100000000004</v>
      </c>
      <c r="C258" s="2">
        <v>4623</v>
      </c>
      <c r="D258" s="2">
        <v>5037</v>
      </c>
      <c r="E258" s="2">
        <v>6798</v>
      </c>
      <c r="F258" s="2">
        <v>7108</v>
      </c>
      <c r="G258" s="2">
        <v>7422</v>
      </c>
      <c r="H258" s="2">
        <v>10897</v>
      </c>
      <c r="I258" s="2">
        <v>11561</v>
      </c>
      <c r="J258" s="2">
        <v>21208</v>
      </c>
      <c r="K258" s="2">
        <v>13296</v>
      </c>
      <c r="L258" s="2">
        <v>25984</v>
      </c>
      <c r="M258" s="2">
        <v>43210</v>
      </c>
      <c r="N258" s="2">
        <v>62556</v>
      </c>
      <c r="O258" s="2">
        <v>140828.72</v>
      </c>
      <c r="P258" s="2">
        <v>304923.18</v>
      </c>
      <c r="Q258" s="2">
        <v>504894.53</v>
      </c>
      <c r="R258" s="2">
        <v>833675.54</v>
      </c>
      <c r="S258" s="2">
        <v>744685.45</v>
      </c>
    </row>
    <row r="259" spans="1:21" x14ac:dyDescent="0.25">
      <c r="A259" t="s">
        <v>220</v>
      </c>
      <c r="B259">
        <v>419</v>
      </c>
      <c r="C259">
        <v>-655</v>
      </c>
      <c r="D259">
        <v>99</v>
      </c>
      <c r="E259" s="2">
        <v>1170</v>
      </c>
      <c r="F259" s="2">
        <v>2236</v>
      </c>
      <c r="G259" s="2">
        <v>-3220</v>
      </c>
      <c r="H259" s="2">
        <v>10114</v>
      </c>
      <c r="I259" s="2">
        <v>-10049</v>
      </c>
      <c r="J259" s="2">
        <v>1143</v>
      </c>
      <c r="K259" s="2">
        <v>1399</v>
      </c>
      <c r="L259" s="2">
        <v>3891</v>
      </c>
      <c r="M259" s="2">
        <v>1309</v>
      </c>
      <c r="N259" s="2">
        <v>2016</v>
      </c>
      <c r="O259" s="2">
        <v>79345.8</v>
      </c>
      <c r="P259" s="2">
        <v>182238.13</v>
      </c>
      <c r="Q259" s="2">
        <v>288064.92</v>
      </c>
      <c r="R259" s="2">
        <v>275514.45</v>
      </c>
      <c r="S259" s="2">
        <v>239920.77</v>
      </c>
    </row>
    <row r="260" spans="1:21" x14ac:dyDescent="0.25">
      <c r="A260" t="s">
        <v>826</v>
      </c>
      <c r="B260">
        <v>733</v>
      </c>
      <c r="C260" s="2">
        <v>1152</v>
      </c>
      <c r="D260">
        <v>497</v>
      </c>
      <c r="E260">
        <v>596</v>
      </c>
      <c r="F260" s="2">
        <v>1766</v>
      </c>
      <c r="G260" s="2">
        <v>4002</v>
      </c>
      <c r="H260">
        <v>782</v>
      </c>
      <c r="I260" s="2">
        <v>10896</v>
      </c>
      <c r="J260">
        <v>847</v>
      </c>
      <c r="K260" s="2">
        <v>1990</v>
      </c>
      <c r="L260" s="2">
        <v>3389</v>
      </c>
      <c r="M260" s="2">
        <v>7280</v>
      </c>
      <c r="N260" s="2">
        <v>8589</v>
      </c>
      <c r="O260" s="2">
        <v>11300.23</v>
      </c>
      <c r="P260" s="2">
        <v>87513.25</v>
      </c>
      <c r="Q260" s="2">
        <v>345687.88</v>
      </c>
      <c r="R260" s="2">
        <v>877137.64</v>
      </c>
      <c r="S260" s="2">
        <v>1711231.54</v>
      </c>
    </row>
    <row r="261" spans="1:21" x14ac:dyDescent="0.25">
      <c r="A261" t="s">
        <v>827</v>
      </c>
      <c r="B261" s="2">
        <v>1152</v>
      </c>
      <c r="C261">
        <v>497</v>
      </c>
      <c r="D261">
        <v>596</v>
      </c>
      <c r="E261" s="2">
        <v>1766</v>
      </c>
      <c r="F261" s="2">
        <v>4002</v>
      </c>
      <c r="G261">
        <v>782</v>
      </c>
      <c r="H261" s="2">
        <v>10896</v>
      </c>
      <c r="I261">
        <v>847</v>
      </c>
      <c r="J261" s="2">
        <v>1990</v>
      </c>
      <c r="K261" s="2">
        <v>3389</v>
      </c>
      <c r="L261" s="2">
        <v>7280</v>
      </c>
      <c r="M261" s="2">
        <v>8589</v>
      </c>
      <c r="N261" s="2">
        <v>10605</v>
      </c>
      <c r="O261" s="2">
        <v>95168.15</v>
      </c>
      <c r="P261" s="2">
        <v>281114.27</v>
      </c>
      <c r="Q261" s="2">
        <v>571633.75</v>
      </c>
      <c r="R261" s="2">
        <v>492301.69</v>
      </c>
      <c r="S261" s="2">
        <v>650252.12</v>
      </c>
    </row>
    <row r="262" spans="1:21" x14ac:dyDescent="0.25">
      <c r="A262" t="s">
        <v>178</v>
      </c>
    </row>
    <row r="263" spans="1:21" x14ac:dyDescent="0.25">
      <c r="A263" t="s">
        <v>225</v>
      </c>
      <c r="B263">
        <v>580</v>
      </c>
      <c r="C263">
        <v>784</v>
      </c>
      <c r="D263" s="2">
        <v>1089</v>
      </c>
      <c r="E263" s="2">
        <v>1496</v>
      </c>
      <c r="F263" s="2">
        <v>2909</v>
      </c>
      <c r="G263" s="2">
        <v>3143</v>
      </c>
      <c r="H263" s="2">
        <v>4272</v>
      </c>
      <c r="I263" s="2">
        <v>4694</v>
      </c>
      <c r="J263" s="2">
        <v>8132</v>
      </c>
      <c r="K263" s="2">
        <v>3808</v>
      </c>
      <c r="L263" s="2">
        <v>27021</v>
      </c>
      <c r="M263" s="2">
        <v>60853</v>
      </c>
      <c r="N263" s="2">
        <v>96676</v>
      </c>
      <c r="O263" s="2">
        <v>185234.28</v>
      </c>
      <c r="P263" s="2">
        <v>337226.43</v>
      </c>
      <c r="Q263" s="2">
        <v>487371.19</v>
      </c>
      <c r="R263" s="2">
        <v>507979.6</v>
      </c>
      <c r="S263" s="2">
        <v>632421.24</v>
      </c>
      <c r="T263" s="2">
        <v>661328</v>
      </c>
      <c r="U263" s="2">
        <v>707621</v>
      </c>
    </row>
    <row r="264" spans="1:21" x14ac:dyDescent="0.25">
      <c r="A264" t="s">
        <v>228</v>
      </c>
      <c r="B264">
        <v>14.04</v>
      </c>
      <c r="C264">
        <v>16.739999999999998</v>
      </c>
      <c r="D264">
        <v>21.74</v>
      </c>
      <c r="E264">
        <v>21.65</v>
      </c>
      <c r="F264">
        <v>29.95</v>
      </c>
      <c r="G264">
        <v>26.83</v>
      </c>
      <c r="H264">
        <v>39.130000000000003</v>
      </c>
      <c r="I264">
        <v>28.15</v>
      </c>
      <c r="J264">
        <v>30.21</v>
      </c>
      <c r="K264">
        <v>14.12</v>
      </c>
      <c r="L264">
        <v>44.35</v>
      </c>
      <c r="M264">
        <v>46.63</v>
      </c>
      <c r="N264">
        <v>44.77</v>
      </c>
      <c r="O264">
        <v>43.86</v>
      </c>
      <c r="P264">
        <v>49.23</v>
      </c>
      <c r="Q264">
        <v>51.61</v>
      </c>
      <c r="R264">
        <v>51.65</v>
      </c>
      <c r="S264">
        <v>51.98</v>
      </c>
    </row>
    <row r="265" spans="1:21" x14ac:dyDescent="0.25">
      <c r="A265" t="s">
        <v>438</v>
      </c>
      <c r="B265">
        <v>0.02</v>
      </c>
      <c r="C265">
        <v>0.03</v>
      </c>
      <c r="D265">
        <v>0.05</v>
      </c>
      <c r="E265">
        <v>0.06</v>
      </c>
      <c r="F265">
        <v>0.12</v>
      </c>
      <c r="G265">
        <v>0.13</v>
      </c>
      <c r="H265">
        <v>0.17</v>
      </c>
      <c r="I265">
        <v>0.19</v>
      </c>
      <c r="J265">
        <v>0.32</v>
      </c>
      <c r="K265">
        <v>0.15</v>
      </c>
      <c r="L265">
        <v>1.08</v>
      </c>
      <c r="M265">
        <v>2.4500000000000002</v>
      </c>
      <c r="N265">
        <v>3.94</v>
      </c>
      <c r="O265">
        <v>7.68</v>
      </c>
      <c r="P265">
        <v>13.37</v>
      </c>
      <c r="Q265">
        <v>19.940000000000001</v>
      </c>
      <c r="R265">
        <v>26.86</v>
      </c>
      <c r="S265">
        <v>33.17</v>
      </c>
    </row>
    <row r="266" spans="1:21" x14ac:dyDescent="0.25">
      <c r="A266" t="s">
        <v>224</v>
      </c>
      <c r="B266">
        <v>0.04</v>
      </c>
      <c r="C266">
        <v>0.04</v>
      </c>
      <c r="D266">
        <v>0.05</v>
      </c>
      <c r="E266">
        <v>0.06</v>
      </c>
      <c r="F266">
        <v>0.14000000000000001</v>
      </c>
      <c r="G266">
        <v>0.15</v>
      </c>
      <c r="H266">
        <v>0.19</v>
      </c>
      <c r="I266">
        <v>0.23</v>
      </c>
      <c r="J266">
        <v>0.36</v>
      </c>
      <c r="K266">
        <v>0.23</v>
      </c>
      <c r="L266">
        <v>1.1299999999999999</v>
      </c>
      <c r="M266">
        <v>2.58</v>
      </c>
      <c r="N266">
        <v>4.1900000000000004</v>
      </c>
      <c r="O266">
        <v>8.4</v>
      </c>
      <c r="P266">
        <v>14.71</v>
      </c>
      <c r="Q266">
        <v>20.69</v>
      </c>
      <c r="R266" s="2">
        <v>187834.52</v>
      </c>
    </row>
    <row r="267" spans="1:21" x14ac:dyDescent="0.25">
      <c r="A267" t="s">
        <v>828</v>
      </c>
      <c r="B267">
        <v>789</v>
      </c>
      <c r="C267" s="2">
        <v>1073</v>
      </c>
      <c r="D267" s="2">
        <v>1168</v>
      </c>
      <c r="E267" s="2">
        <v>2351</v>
      </c>
      <c r="F267" s="2">
        <v>3317</v>
      </c>
      <c r="G267" s="2">
        <v>4600</v>
      </c>
      <c r="H267" s="2">
        <v>4044</v>
      </c>
      <c r="I267" s="2">
        <v>6525</v>
      </c>
      <c r="J267" s="2">
        <v>12471</v>
      </c>
      <c r="K267" s="2">
        <v>8100</v>
      </c>
      <c r="L267" s="2">
        <v>32326</v>
      </c>
      <c r="M267" s="2">
        <v>74693</v>
      </c>
      <c r="N267" s="2">
        <v>120511</v>
      </c>
      <c r="O267" s="2">
        <v>237215.57</v>
      </c>
      <c r="P267" s="2">
        <v>384169.38</v>
      </c>
      <c r="Q267" s="2">
        <v>521994.25</v>
      </c>
      <c r="R267" s="2">
        <v>686318.26</v>
      </c>
      <c r="S267" s="2">
        <v>754134.21</v>
      </c>
    </row>
    <row r="268" spans="1:21" x14ac:dyDescent="0.25">
      <c r="A268" t="s">
        <v>829</v>
      </c>
      <c r="B268">
        <v>20.22</v>
      </c>
      <c r="C268">
        <v>19.350000000000001</v>
      </c>
      <c r="D268">
        <v>23.45</v>
      </c>
      <c r="E268">
        <v>24.2</v>
      </c>
      <c r="F268">
        <v>36.049999999999997</v>
      </c>
      <c r="G268">
        <v>31.95</v>
      </c>
      <c r="H268">
        <v>43.61</v>
      </c>
      <c r="I268">
        <v>34.909999999999997</v>
      </c>
      <c r="J268">
        <v>33.840000000000003</v>
      </c>
      <c r="K268">
        <v>20.91</v>
      </c>
      <c r="L268">
        <v>46.11</v>
      </c>
      <c r="M268">
        <v>49.11</v>
      </c>
      <c r="N268">
        <v>47.57</v>
      </c>
      <c r="O268">
        <v>50.84</v>
      </c>
      <c r="P268">
        <v>56.39</v>
      </c>
      <c r="Q268">
        <v>55.93</v>
      </c>
    </row>
    <row r="269" spans="1:21" x14ac:dyDescent="0.25">
      <c r="A269" t="s">
        <v>17</v>
      </c>
    </row>
    <row r="270" spans="1:21" x14ac:dyDescent="0.25">
      <c r="A270" t="s">
        <v>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14D1-C269-46F7-96BE-2B0C3F52C754}">
  <dimension ref="A1:U329"/>
  <sheetViews>
    <sheetView workbookViewId="0">
      <selection sqref="A1:U329"/>
    </sheetView>
  </sheetViews>
  <sheetFormatPr defaultRowHeight="15" x14ac:dyDescent="0.25"/>
  <sheetData>
    <row r="1" spans="1:21" x14ac:dyDescent="0.25">
      <c r="A1" t="s">
        <v>830</v>
      </c>
    </row>
    <row r="2" spans="1:21" x14ac:dyDescent="0.25">
      <c r="A2" t="s">
        <v>831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110</v>
      </c>
      <c r="B6">
        <v>0.6</v>
      </c>
      <c r="C6">
        <v>1.1000000000000001</v>
      </c>
      <c r="D6">
        <v>1.29</v>
      </c>
      <c r="E6">
        <v>3.49</v>
      </c>
      <c r="F6">
        <v>6.16</v>
      </c>
      <c r="G6">
        <v>7.57</v>
      </c>
      <c r="H6">
        <v>8.56</v>
      </c>
      <c r="I6">
        <v>9.7799999999999994</v>
      </c>
      <c r="J6">
        <v>13.77</v>
      </c>
      <c r="K6">
        <v>8.59</v>
      </c>
      <c r="L6">
        <v>14.87</v>
      </c>
      <c r="M6">
        <v>23.86</v>
      </c>
      <c r="N6">
        <v>23.49</v>
      </c>
      <c r="O6">
        <v>31.25</v>
      </c>
      <c r="P6">
        <v>34.08</v>
      </c>
      <c r="Q6">
        <v>39.33</v>
      </c>
      <c r="R6">
        <v>48.04</v>
      </c>
      <c r="S6">
        <v>54.46</v>
      </c>
      <c r="T6">
        <v>64.790000000000006</v>
      </c>
      <c r="U6">
        <v>74.900000000000006</v>
      </c>
    </row>
    <row r="7" spans="1:21" x14ac:dyDescent="0.25">
      <c r="A7" t="s">
        <v>16</v>
      </c>
      <c r="B7" s="2">
        <v>7872</v>
      </c>
      <c r="C7" s="2">
        <v>12466</v>
      </c>
      <c r="D7" s="2">
        <v>17928</v>
      </c>
      <c r="E7" s="2">
        <v>27638</v>
      </c>
      <c r="F7" s="2">
        <v>40653</v>
      </c>
      <c r="G7" s="2">
        <v>55838</v>
      </c>
      <c r="H7" s="2">
        <v>70697</v>
      </c>
      <c r="I7" s="2">
        <v>85965</v>
      </c>
      <c r="J7" s="2">
        <v>117929</v>
      </c>
      <c r="K7" s="2">
        <v>116609</v>
      </c>
      <c r="L7" s="2">
        <v>134902</v>
      </c>
      <c r="M7" s="2">
        <v>164501</v>
      </c>
      <c r="N7" s="2">
        <v>200966</v>
      </c>
      <c r="O7" s="2">
        <v>254214.44</v>
      </c>
      <c r="P7" s="2">
        <v>305887.81</v>
      </c>
      <c r="Q7" s="2">
        <v>362466.98</v>
      </c>
      <c r="R7" s="2">
        <v>418647.5</v>
      </c>
      <c r="S7" s="2">
        <v>468434.68</v>
      </c>
      <c r="T7" s="2">
        <v>535884.09</v>
      </c>
      <c r="U7" s="2">
        <v>593177.25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832</v>
      </c>
      <c r="H10" s="2">
        <v>70196</v>
      </c>
      <c r="I10" s="2">
        <v>84826</v>
      </c>
      <c r="J10" s="2">
        <v>115655</v>
      </c>
      <c r="K10" s="2">
        <v>114450</v>
      </c>
      <c r="L10" s="2">
        <v>133006</v>
      </c>
      <c r="M10" s="2">
        <v>162355</v>
      </c>
      <c r="N10" s="2">
        <v>198759</v>
      </c>
      <c r="O10" s="2">
        <v>251196.92</v>
      </c>
      <c r="P10" s="2">
        <v>301323.28999999998</v>
      </c>
      <c r="Q10" s="2">
        <v>354177.91</v>
      </c>
      <c r="R10" s="2">
        <v>401245.29</v>
      </c>
      <c r="S10" s="2">
        <v>453258.75</v>
      </c>
      <c r="T10" s="2">
        <v>518799.6</v>
      </c>
      <c r="U10" s="2">
        <v>587766.79</v>
      </c>
    </row>
    <row r="11" spans="1:21" x14ac:dyDescent="0.25">
      <c r="A11" t="s">
        <v>833</v>
      </c>
      <c r="B11" s="2">
        <v>6986</v>
      </c>
      <c r="C11" s="2">
        <v>11492</v>
      </c>
      <c r="D11" s="2">
        <v>17080</v>
      </c>
      <c r="E11" s="2">
        <v>26885</v>
      </c>
      <c r="F11" s="2">
        <v>39942</v>
      </c>
      <c r="G11" s="2">
        <v>55013</v>
      </c>
      <c r="H11" s="2">
        <v>69655</v>
      </c>
      <c r="I11" s="2">
        <v>84169</v>
      </c>
      <c r="J11" s="2">
        <v>114934</v>
      </c>
      <c r="K11" s="2">
        <v>113642</v>
      </c>
      <c r="L11" s="2">
        <v>131948</v>
      </c>
      <c r="M11" s="2">
        <v>160633</v>
      </c>
      <c r="N11" s="2">
        <v>196175</v>
      </c>
      <c r="O11" s="2">
        <v>247509.75</v>
      </c>
      <c r="P11" s="2">
        <v>295915.42</v>
      </c>
      <c r="Q11" s="2">
        <v>346492.92</v>
      </c>
      <c r="R11" s="2">
        <v>395551.9</v>
      </c>
      <c r="S11" s="2">
        <v>443134.26</v>
      </c>
      <c r="T11" s="2">
        <v>515295.98</v>
      </c>
      <c r="U11" s="2">
        <v>569322.64</v>
      </c>
    </row>
    <row r="12" spans="1:21" x14ac:dyDescent="0.25">
      <c r="A12" t="s">
        <v>834</v>
      </c>
      <c r="H12">
        <v>541</v>
      </c>
      <c r="I12">
        <v>657</v>
      </c>
      <c r="J12">
        <v>721</v>
      </c>
      <c r="K12">
        <v>808</v>
      </c>
      <c r="L12" s="2">
        <v>1058</v>
      </c>
      <c r="M12" s="2">
        <v>1722</v>
      </c>
      <c r="N12" s="2">
        <v>2584</v>
      </c>
      <c r="O12" s="2">
        <v>4323.68</v>
      </c>
      <c r="P12" s="2">
        <v>7208.51</v>
      </c>
      <c r="Q12" s="2">
        <v>11975.14</v>
      </c>
      <c r="R12" s="2">
        <v>18370.63</v>
      </c>
      <c r="S12" s="2">
        <v>16958.5</v>
      </c>
      <c r="T12" s="2">
        <v>17104.28</v>
      </c>
      <c r="U12" s="2">
        <v>18444.14</v>
      </c>
    </row>
    <row r="13" spans="1:21" x14ac:dyDescent="0.25">
      <c r="A13" t="s">
        <v>835</v>
      </c>
      <c r="H13">
        <v>501</v>
      </c>
      <c r="I13" s="2">
        <v>1139</v>
      </c>
      <c r="J13" s="2">
        <v>2274</v>
      </c>
      <c r="K13" s="2">
        <v>2159</v>
      </c>
      <c r="L13" s="2">
        <v>1896</v>
      </c>
      <c r="M13" s="2">
        <v>2146</v>
      </c>
      <c r="N13" s="2">
        <v>2207</v>
      </c>
      <c r="O13" s="2">
        <v>2431.16</v>
      </c>
      <c r="P13" s="2">
        <v>2869.16</v>
      </c>
      <c r="Q13" s="2">
        <v>3524.99</v>
      </c>
      <c r="R13" s="2">
        <v>4419.3999999999996</v>
      </c>
      <c r="S13" s="2">
        <v>5404.98</v>
      </c>
      <c r="T13" s="2">
        <v>4704.5600000000004</v>
      </c>
      <c r="U13" s="2">
        <v>5505.09</v>
      </c>
    </row>
    <row r="14" spans="1:21" x14ac:dyDescent="0.25">
      <c r="A14" t="s">
        <v>17</v>
      </c>
    </row>
    <row r="15" spans="1:21" x14ac:dyDescent="0.25">
      <c r="A15" t="s">
        <v>836</v>
      </c>
      <c r="G15" s="2">
        <v>2030</v>
      </c>
      <c r="H15" s="2">
        <v>2260</v>
      </c>
      <c r="I15" s="2">
        <v>1840</v>
      </c>
      <c r="J15" s="2">
        <v>2820</v>
      </c>
      <c r="K15" s="2">
        <v>2960</v>
      </c>
      <c r="L15" s="2">
        <v>3190</v>
      </c>
      <c r="M15" s="2">
        <v>3350</v>
      </c>
      <c r="N15" s="2">
        <v>3580</v>
      </c>
      <c r="O15" s="2">
        <v>3674.84</v>
      </c>
      <c r="P15" s="2">
        <v>3788.08</v>
      </c>
      <c r="Q15" s="2">
        <v>3891.62</v>
      </c>
      <c r="R15" s="2">
        <v>3979.27</v>
      </c>
      <c r="S15" s="2">
        <v>4059.04</v>
      </c>
      <c r="T15" s="2">
        <v>4172.5200000000004</v>
      </c>
      <c r="U15" s="2">
        <v>4301.43</v>
      </c>
    </row>
    <row r="16" spans="1:21" x14ac:dyDescent="0.25">
      <c r="A16" t="s">
        <v>837</v>
      </c>
      <c r="K16">
        <v>28.88</v>
      </c>
      <c r="L16">
        <v>43.15</v>
      </c>
      <c r="M16">
        <v>49.63</v>
      </c>
      <c r="N16">
        <v>55.13</v>
      </c>
      <c r="O16">
        <v>54.13</v>
      </c>
      <c r="P16">
        <v>62.66</v>
      </c>
      <c r="Q16">
        <v>70.91</v>
      </c>
      <c r="R16">
        <v>77.27</v>
      </c>
      <c r="S16">
        <v>85.72</v>
      </c>
      <c r="T16">
        <v>89.76</v>
      </c>
      <c r="U16">
        <v>88.74</v>
      </c>
    </row>
    <row r="17" spans="1:21" x14ac:dyDescent="0.25">
      <c r="A17" t="s">
        <v>17</v>
      </c>
    </row>
    <row r="18" spans="1:21" x14ac:dyDescent="0.25">
      <c r="A18" t="s">
        <v>29</v>
      </c>
      <c r="B18" s="2">
        <v>3803</v>
      </c>
      <c r="C18" s="2">
        <v>7207</v>
      </c>
      <c r="D18" s="2">
        <v>10001</v>
      </c>
      <c r="E18" s="2">
        <v>16494</v>
      </c>
      <c r="F18" s="2">
        <v>20203</v>
      </c>
      <c r="G18" s="2">
        <v>24913</v>
      </c>
      <c r="H18" s="2">
        <v>30086</v>
      </c>
      <c r="I18" s="2">
        <v>32671</v>
      </c>
      <c r="J18" s="2">
        <v>46753</v>
      </c>
      <c r="K18" s="2">
        <v>28944</v>
      </c>
      <c r="L18" s="2">
        <v>46751</v>
      </c>
      <c r="M18" s="2">
        <v>69380</v>
      </c>
      <c r="N18" s="2">
        <v>83276</v>
      </c>
      <c r="O18" s="2">
        <v>86702.05</v>
      </c>
      <c r="P18" s="2">
        <v>103864.25</v>
      </c>
      <c r="Q18" s="2">
        <v>123390.23</v>
      </c>
      <c r="R18" s="2">
        <v>148420.1</v>
      </c>
      <c r="S18" s="2">
        <v>166917.82999999999</v>
      </c>
      <c r="T18" s="2">
        <v>202833.9</v>
      </c>
      <c r="U18" s="2">
        <v>236298.43</v>
      </c>
    </row>
    <row r="19" spans="1:21" x14ac:dyDescent="0.25">
      <c r="A19" t="s">
        <v>92</v>
      </c>
      <c r="B19">
        <v>35.619999999999997</v>
      </c>
      <c r="C19">
        <v>40.06</v>
      </c>
      <c r="D19">
        <v>34.72</v>
      </c>
      <c r="E19">
        <v>44.96</v>
      </c>
      <c r="F19">
        <v>49.7</v>
      </c>
      <c r="G19">
        <v>44.62</v>
      </c>
      <c r="H19">
        <v>33.93</v>
      </c>
      <c r="I19">
        <v>38.01</v>
      </c>
      <c r="J19">
        <v>39.65</v>
      </c>
      <c r="K19">
        <v>24.82</v>
      </c>
      <c r="L19">
        <v>34.659999999999997</v>
      </c>
      <c r="M19">
        <v>42.18</v>
      </c>
      <c r="N19">
        <v>41.44</v>
      </c>
      <c r="O19">
        <v>34.020000000000003</v>
      </c>
      <c r="P19">
        <v>33.99</v>
      </c>
      <c r="Q19">
        <v>34.04</v>
      </c>
      <c r="R19">
        <v>35.9</v>
      </c>
      <c r="S19">
        <v>36.33</v>
      </c>
      <c r="T19">
        <v>37.5</v>
      </c>
      <c r="U19">
        <v>39.49</v>
      </c>
    </row>
    <row r="20" spans="1:21" x14ac:dyDescent="0.25">
      <c r="A20" t="s">
        <v>17</v>
      </c>
    </row>
    <row r="21" spans="1:21" x14ac:dyDescent="0.25">
      <c r="A21" t="s">
        <v>242</v>
      </c>
      <c r="B21" s="2">
        <v>-1362</v>
      </c>
      <c r="C21" s="2">
        <v>-1831</v>
      </c>
      <c r="D21" s="2">
        <v>-2523</v>
      </c>
      <c r="E21" s="2">
        <v>-4491</v>
      </c>
      <c r="F21" s="2">
        <v>-6733</v>
      </c>
      <c r="G21" s="2">
        <v>-13915</v>
      </c>
      <c r="H21" s="2">
        <v>-15102</v>
      </c>
      <c r="I21" s="2">
        <v>-15163</v>
      </c>
      <c r="J21" s="2">
        <v>-18690</v>
      </c>
      <c r="K21" s="2">
        <v>-31431</v>
      </c>
      <c r="L21" s="2">
        <v>-27266</v>
      </c>
      <c r="M21" s="2">
        <v>-37256</v>
      </c>
      <c r="N21" s="2">
        <v>-69691</v>
      </c>
      <c r="O21" s="2">
        <v>-139334.47</v>
      </c>
      <c r="P21" s="2">
        <v>-198501.71</v>
      </c>
      <c r="Q21" s="2">
        <v>-215882.53</v>
      </c>
      <c r="R21" s="2">
        <v>-209473.14</v>
      </c>
      <c r="S21" s="2">
        <v>-221425.4</v>
      </c>
      <c r="T21" s="2">
        <v>-219142.55</v>
      </c>
      <c r="U21" s="2">
        <v>-200504.5</v>
      </c>
    </row>
    <row r="22" spans="1:21" x14ac:dyDescent="0.25">
      <c r="A22" t="s">
        <v>17</v>
      </c>
    </row>
    <row r="23" spans="1:21" x14ac:dyDescent="0.25">
      <c r="A23" t="s">
        <v>838</v>
      </c>
      <c r="B23">
        <v>20</v>
      </c>
      <c r="C23">
        <v>-40</v>
      </c>
      <c r="D23">
        <v>-38</v>
      </c>
      <c r="E23">
        <v>50</v>
      </c>
      <c r="F23">
        <v>15</v>
      </c>
      <c r="G23">
        <v>22</v>
      </c>
      <c r="H23">
        <v>33</v>
      </c>
      <c r="I23">
        <v>34</v>
      </c>
      <c r="J23">
        <v>10</v>
      </c>
      <c r="K23">
        <v>18</v>
      </c>
      <c r="L23">
        <v>28</v>
      </c>
      <c r="M23">
        <v>11</v>
      </c>
      <c r="N23">
        <v>12</v>
      </c>
      <c r="O23">
        <v>13.93</v>
      </c>
      <c r="P23">
        <v>10.35</v>
      </c>
      <c r="Q23">
        <v>10.01</v>
      </c>
      <c r="R23">
        <v>8.5299999999999994</v>
      </c>
      <c r="S23">
        <v>7.52</v>
      </c>
      <c r="T23">
        <v>7.17</v>
      </c>
      <c r="U23">
        <v>6.68</v>
      </c>
    </row>
    <row r="24" spans="1:21" x14ac:dyDescent="0.25">
      <c r="A24" t="s">
        <v>839</v>
      </c>
      <c r="B24">
        <v>36</v>
      </c>
      <c r="C24">
        <v>173</v>
      </c>
      <c r="D24">
        <v>140</v>
      </c>
      <c r="E24">
        <v>5</v>
      </c>
      <c r="F24">
        <v>29</v>
      </c>
      <c r="G24">
        <v>13</v>
      </c>
      <c r="H24">
        <v>-5</v>
      </c>
      <c r="I24">
        <v>-10</v>
      </c>
      <c r="J24">
        <v>24</v>
      </c>
      <c r="K24">
        <v>-16</v>
      </c>
      <c r="L24">
        <v>-9</v>
      </c>
      <c r="M24">
        <v>10</v>
      </c>
      <c r="N24">
        <v>9</v>
      </c>
      <c r="O24">
        <v>11.02</v>
      </c>
      <c r="P24">
        <v>10.210000000000001</v>
      </c>
      <c r="Q24">
        <v>8.94</v>
      </c>
      <c r="R24">
        <v>7.65</v>
      </c>
      <c r="S24">
        <v>6.46</v>
      </c>
      <c r="T24">
        <v>5.87</v>
      </c>
      <c r="U24">
        <v>5.77</v>
      </c>
    </row>
    <row r="25" spans="1:21" x14ac:dyDescent="0.25">
      <c r="A25" t="s">
        <v>17</v>
      </c>
    </row>
    <row r="26" spans="1:21" x14ac:dyDescent="0.25">
      <c r="A26" t="s">
        <v>840</v>
      </c>
      <c r="B26" s="2">
        <v>5068</v>
      </c>
      <c r="C26" s="2">
        <v>7472</v>
      </c>
      <c r="D26" s="2">
        <v>11703</v>
      </c>
      <c r="E26" s="2">
        <v>15211</v>
      </c>
      <c r="F26" s="2">
        <v>20450</v>
      </c>
      <c r="G26" s="2">
        <v>30925</v>
      </c>
      <c r="H26" s="2">
        <v>46711</v>
      </c>
      <c r="I26" s="2">
        <v>53294</v>
      </c>
      <c r="J26" s="2">
        <v>71176</v>
      </c>
      <c r="K26" s="2">
        <v>87665</v>
      </c>
      <c r="L26" s="2">
        <v>88151</v>
      </c>
      <c r="M26" s="2">
        <v>95121</v>
      </c>
      <c r="N26" s="2">
        <v>117690</v>
      </c>
      <c r="O26" s="2">
        <v>168100.95</v>
      </c>
      <c r="P26" s="2">
        <v>202719.23</v>
      </c>
      <c r="Q26" s="2">
        <v>239331.55</v>
      </c>
      <c r="R26" s="2">
        <v>266519.21000000002</v>
      </c>
      <c r="S26" s="2">
        <v>295269.26</v>
      </c>
      <c r="T26" s="2">
        <v>334202.61</v>
      </c>
      <c r="U26" s="2">
        <v>356973.59</v>
      </c>
    </row>
    <row r="27" spans="1:21" x14ac:dyDescent="0.25">
      <c r="A27" t="s">
        <v>841</v>
      </c>
      <c r="B27" s="2">
        <v>6337</v>
      </c>
      <c r="C27" s="2">
        <v>9199</v>
      </c>
      <c r="D27" s="2">
        <v>12691</v>
      </c>
      <c r="E27" s="2">
        <v>17048</v>
      </c>
      <c r="F27" s="2">
        <v>25105</v>
      </c>
      <c r="G27" s="2">
        <v>35587</v>
      </c>
      <c r="H27" s="2">
        <v>44942</v>
      </c>
      <c r="I27" s="2">
        <v>58604</v>
      </c>
      <c r="J27" s="2">
        <v>71970</v>
      </c>
      <c r="K27" s="2">
        <v>86482</v>
      </c>
      <c r="L27" s="2">
        <v>67317</v>
      </c>
      <c r="M27" s="2">
        <v>74067</v>
      </c>
      <c r="N27" s="2">
        <v>78865</v>
      </c>
      <c r="O27" s="2">
        <v>75440</v>
      </c>
      <c r="P27" s="2">
        <v>79143</v>
      </c>
      <c r="Q27" s="2">
        <v>82950</v>
      </c>
      <c r="R27" s="2">
        <v>90780</v>
      </c>
      <c r="S27" s="2">
        <v>95359</v>
      </c>
      <c r="T27" s="2">
        <v>95893</v>
      </c>
    </row>
    <row r="28" spans="1:21" x14ac:dyDescent="0.25">
      <c r="A28" t="s">
        <v>17</v>
      </c>
    </row>
    <row r="29" spans="1:21" x14ac:dyDescent="0.25">
      <c r="A29" t="s">
        <v>37</v>
      </c>
    </row>
    <row r="30" spans="1:21" x14ac:dyDescent="0.25">
      <c r="A30" t="s">
        <v>17</v>
      </c>
    </row>
    <row r="31" spans="1:21" x14ac:dyDescent="0.25">
      <c r="A31" t="s">
        <v>38</v>
      </c>
    </row>
    <row r="32" spans="1:21" x14ac:dyDescent="0.25">
      <c r="A32" t="s">
        <v>838</v>
      </c>
      <c r="B32">
        <v>20</v>
      </c>
      <c r="C32">
        <v>-40</v>
      </c>
      <c r="D32">
        <v>-38</v>
      </c>
      <c r="E32">
        <v>50</v>
      </c>
      <c r="F32">
        <v>15</v>
      </c>
      <c r="G32">
        <v>22</v>
      </c>
      <c r="H32">
        <v>33</v>
      </c>
      <c r="I32">
        <v>34</v>
      </c>
      <c r="J32">
        <v>10</v>
      </c>
      <c r="K32">
        <v>18</v>
      </c>
      <c r="L32">
        <v>28</v>
      </c>
      <c r="M32">
        <v>11</v>
      </c>
      <c r="N32">
        <v>12</v>
      </c>
      <c r="O32">
        <v>13.93</v>
      </c>
      <c r="P32">
        <v>10.35</v>
      </c>
      <c r="Q32">
        <v>10.01</v>
      </c>
      <c r="R32">
        <v>8.5299999999999994</v>
      </c>
      <c r="S32">
        <v>7.52</v>
      </c>
      <c r="T32">
        <v>7.17</v>
      </c>
      <c r="U32">
        <v>6.68</v>
      </c>
    </row>
    <row r="33" spans="1:21" x14ac:dyDescent="0.25">
      <c r="A33" t="s">
        <v>839</v>
      </c>
      <c r="B33">
        <v>36</v>
      </c>
      <c r="C33">
        <v>173</v>
      </c>
      <c r="D33">
        <v>140</v>
      </c>
      <c r="E33">
        <v>5</v>
      </c>
      <c r="F33">
        <v>29</v>
      </c>
      <c r="G33">
        <v>13</v>
      </c>
      <c r="H33">
        <v>-5</v>
      </c>
      <c r="I33">
        <v>-10</v>
      </c>
      <c r="J33">
        <v>24</v>
      </c>
      <c r="K33">
        <v>-16</v>
      </c>
      <c r="L33">
        <v>-9</v>
      </c>
      <c r="M33">
        <v>10</v>
      </c>
      <c r="N33">
        <v>9</v>
      </c>
      <c r="O33">
        <v>11.02</v>
      </c>
      <c r="P33">
        <v>10.210000000000001</v>
      </c>
      <c r="Q33">
        <v>8.94</v>
      </c>
      <c r="R33">
        <v>7.65</v>
      </c>
      <c r="S33">
        <v>6.46</v>
      </c>
      <c r="T33">
        <v>5.87</v>
      </c>
      <c r="U33">
        <v>5.77</v>
      </c>
    </row>
    <row r="34" spans="1:21" x14ac:dyDescent="0.25">
      <c r="A34" t="s">
        <v>17</v>
      </c>
    </row>
    <row r="35" spans="1:21" x14ac:dyDescent="0.25">
      <c r="A35" t="s">
        <v>836</v>
      </c>
      <c r="G35" s="2">
        <v>2030</v>
      </c>
      <c r="H35" s="2">
        <v>2260</v>
      </c>
      <c r="I35" s="2">
        <v>1840</v>
      </c>
      <c r="J35" s="2">
        <v>2820</v>
      </c>
      <c r="K35" s="2">
        <v>2960</v>
      </c>
      <c r="L35" s="2">
        <v>3190</v>
      </c>
      <c r="M35" s="2">
        <v>3350</v>
      </c>
      <c r="N35" s="2">
        <v>3580</v>
      </c>
      <c r="O35" s="2">
        <v>3674.84</v>
      </c>
      <c r="P35" s="2">
        <v>3788.08</v>
      </c>
      <c r="Q35" s="2">
        <v>3891.62</v>
      </c>
      <c r="R35" s="2">
        <v>3979.27</v>
      </c>
      <c r="S35" s="2">
        <v>4059.04</v>
      </c>
      <c r="T35" s="2">
        <v>4172.5200000000004</v>
      </c>
      <c r="U35" s="2">
        <v>4301.43</v>
      </c>
    </row>
    <row r="36" spans="1:21" x14ac:dyDescent="0.25">
      <c r="A36" t="s">
        <v>842</v>
      </c>
      <c r="K36">
        <v>28.88</v>
      </c>
      <c r="L36">
        <v>43.15</v>
      </c>
      <c r="M36">
        <v>49.63</v>
      </c>
      <c r="N36">
        <v>55.13</v>
      </c>
      <c r="O36">
        <v>54.13</v>
      </c>
      <c r="P36">
        <v>62.66</v>
      </c>
      <c r="Q36">
        <v>70.91</v>
      </c>
      <c r="R36">
        <v>77.27</v>
      </c>
      <c r="S36">
        <v>85.72</v>
      </c>
      <c r="T36">
        <v>89.76</v>
      </c>
      <c r="U36">
        <v>88.74</v>
      </c>
    </row>
    <row r="37" spans="1:21" x14ac:dyDescent="0.25">
      <c r="A37" t="s">
        <v>17</v>
      </c>
    </row>
    <row r="38" spans="1:21" x14ac:dyDescent="0.25">
      <c r="A38" t="s">
        <v>843</v>
      </c>
      <c r="B38" s="2">
        <v>6337</v>
      </c>
      <c r="C38" s="2">
        <v>9199</v>
      </c>
      <c r="D38" s="2">
        <v>12691</v>
      </c>
      <c r="E38" s="2">
        <v>17048</v>
      </c>
      <c r="F38" s="2">
        <v>25105</v>
      </c>
      <c r="G38" s="2">
        <v>35587</v>
      </c>
      <c r="H38" s="2">
        <v>44942</v>
      </c>
      <c r="I38" s="2">
        <v>58604</v>
      </c>
      <c r="J38" s="2">
        <v>71970</v>
      </c>
      <c r="K38" s="2">
        <v>86482</v>
      </c>
      <c r="L38" s="2">
        <v>67317</v>
      </c>
      <c r="M38" s="2">
        <v>74067</v>
      </c>
      <c r="N38" s="2">
        <v>78865</v>
      </c>
      <c r="O38" s="2">
        <v>75440</v>
      </c>
      <c r="P38" s="2">
        <v>79143</v>
      </c>
      <c r="Q38" s="2">
        <v>82950</v>
      </c>
      <c r="R38" s="2">
        <v>90780</v>
      </c>
      <c r="S38" s="2">
        <v>95359</v>
      </c>
      <c r="T38" s="2">
        <v>95893</v>
      </c>
    </row>
    <row r="39" spans="1:21" x14ac:dyDescent="0.25">
      <c r="A39" t="s">
        <v>844</v>
      </c>
      <c r="B39" s="2">
        <v>1242228.18</v>
      </c>
      <c r="C39" s="2">
        <v>1355147.3</v>
      </c>
      <c r="D39" s="2">
        <v>1412654.64</v>
      </c>
      <c r="E39" s="2">
        <v>1621187.24</v>
      </c>
      <c r="F39" s="2">
        <v>1619318.86</v>
      </c>
      <c r="G39" s="2">
        <v>1569056.12</v>
      </c>
      <c r="H39" s="2">
        <v>1573071.96</v>
      </c>
      <c r="I39" s="2">
        <v>1466879.39</v>
      </c>
      <c r="J39" s="2">
        <v>1638585.52</v>
      </c>
      <c r="K39" s="2">
        <v>1348361.51</v>
      </c>
      <c r="L39" s="2">
        <v>2003981.16</v>
      </c>
      <c r="M39" s="2">
        <v>2220975.6</v>
      </c>
      <c r="N39" s="2">
        <v>2548227.98</v>
      </c>
      <c r="O39" s="2">
        <v>3251571.26</v>
      </c>
      <c r="P39" s="2">
        <v>3769590.06</v>
      </c>
      <c r="Q39" s="2">
        <v>4092645.16</v>
      </c>
      <c r="R39" s="2">
        <v>5157931.28</v>
      </c>
      <c r="S39" s="2">
        <v>5677517.6500000004</v>
      </c>
      <c r="T39" s="2">
        <v>6151519.1600000001</v>
      </c>
    </row>
    <row r="40" spans="1:21" x14ac:dyDescent="0.25">
      <c r="A40" t="s">
        <v>17</v>
      </c>
    </row>
    <row r="41" spans="1:21" x14ac:dyDescent="0.25">
      <c r="A41" t="s">
        <v>845</v>
      </c>
    </row>
    <row r="42" spans="1:21" x14ac:dyDescent="0.25">
      <c r="A42" t="s">
        <v>846</v>
      </c>
    </row>
    <row r="43" spans="1:21" x14ac:dyDescent="0.25">
      <c r="A43" t="s">
        <v>847</v>
      </c>
    </row>
    <row r="44" spans="1:21" x14ac:dyDescent="0.25">
      <c r="A44" t="s">
        <v>848</v>
      </c>
    </row>
    <row r="45" spans="1:21" x14ac:dyDescent="0.25">
      <c r="A45" t="s">
        <v>849</v>
      </c>
    </row>
    <row r="46" spans="1:21" x14ac:dyDescent="0.25">
      <c r="A46" t="s">
        <v>17</v>
      </c>
    </row>
    <row r="47" spans="1:21" x14ac:dyDescent="0.25">
      <c r="A47" t="s">
        <v>850</v>
      </c>
    </row>
    <row r="48" spans="1:21" x14ac:dyDescent="0.25">
      <c r="A48" t="s">
        <v>847</v>
      </c>
    </row>
    <row r="49" spans="1:21" x14ac:dyDescent="0.25">
      <c r="A49" t="s">
        <v>848</v>
      </c>
    </row>
    <row r="50" spans="1:21" x14ac:dyDescent="0.25">
      <c r="A50" t="s">
        <v>17</v>
      </c>
    </row>
    <row r="51" spans="1:21" x14ac:dyDescent="0.25">
      <c r="A51" t="s">
        <v>16</v>
      </c>
    </row>
    <row r="52" spans="1:21" x14ac:dyDescent="0.25">
      <c r="A52" t="s">
        <v>847</v>
      </c>
      <c r="O52" s="2">
        <v>89351.37</v>
      </c>
      <c r="P52" s="2">
        <v>104386.64</v>
      </c>
      <c r="Q52" s="2">
        <v>121324.01</v>
      </c>
      <c r="R52" s="2">
        <v>143727.69</v>
      </c>
      <c r="S52" s="2">
        <v>162450.09</v>
      </c>
      <c r="T52" s="2">
        <v>191943.82</v>
      </c>
    </row>
    <row r="53" spans="1:21" x14ac:dyDescent="0.25">
      <c r="A53" t="s">
        <v>849</v>
      </c>
    </row>
    <row r="54" spans="1:21" x14ac:dyDescent="0.25">
      <c r="A54" t="s">
        <v>17</v>
      </c>
    </row>
    <row r="55" spans="1:21" x14ac:dyDescent="0.25">
      <c r="A55" t="s">
        <v>851</v>
      </c>
    </row>
    <row r="56" spans="1:21" x14ac:dyDescent="0.25">
      <c r="A56" t="s">
        <v>852</v>
      </c>
      <c r="B56" s="2">
        <v>1227</v>
      </c>
      <c r="C56" s="2">
        <v>1393</v>
      </c>
      <c r="D56" s="2">
        <v>1591</v>
      </c>
      <c r="E56" s="2">
        <v>1860</v>
      </c>
      <c r="F56" s="2">
        <v>2129</v>
      </c>
      <c r="G56" s="2">
        <v>2320</v>
      </c>
      <c r="H56" s="2">
        <v>2498</v>
      </c>
      <c r="I56" s="2">
        <v>2797</v>
      </c>
      <c r="J56" s="2">
        <v>2912</v>
      </c>
      <c r="K56" s="2">
        <v>2963</v>
      </c>
      <c r="L56" s="2">
        <v>3065</v>
      </c>
      <c r="O56" s="2">
        <v>3262.71</v>
      </c>
      <c r="P56" s="2">
        <v>3325.61</v>
      </c>
      <c r="Q56" s="2">
        <v>3385.12</v>
      </c>
      <c r="R56" s="2">
        <v>3364.7</v>
      </c>
      <c r="S56" s="2">
        <v>3402.9</v>
      </c>
      <c r="T56" s="2">
        <v>3507.06</v>
      </c>
      <c r="U56" s="2">
        <v>3651.25</v>
      </c>
    </row>
    <row r="57" spans="1:21" x14ac:dyDescent="0.25">
      <c r="A57" t="s">
        <v>583</v>
      </c>
      <c r="B57">
        <v>201</v>
      </c>
      <c r="C57">
        <v>208</v>
      </c>
      <c r="D57">
        <v>219</v>
      </c>
      <c r="E57">
        <v>231</v>
      </c>
      <c r="F57">
        <v>239</v>
      </c>
      <c r="G57">
        <v>242</v>
      </c>
      <c r="H57">
        <v>248</v>
      </c>
      <c r="I57">
        <v>258</v>
      </c>
      <c r="J57">
        <v>262</v>
      </c>
      <c r="K57">
        <v>266</v>
      </c>
      <c r="L57">
        <v>272</v>
      </c>
      <c r="O57">
        <v>281.91000000000003</v>
      </c>
      <c r="P57">
        <v>284.64</v>
      </c>
      <c r="Q57">
        <v>287.18</v>
      </c>
      <c r="R57">
        <v>287.17</v>
      </c>
      <c r="S57">
        <v>289.36</v>
      </c>
      <c r="T57">
        <v>294.39999999999998</v>
      </c>
      <c r="U57">
        <v>306.24</v>
      </c>
    </row>
    <row r="58" spans="1:21" x14ac:dyDescent="0.25">
      <c r="A58" t="s">
        <v>584</v>
      </c>
      <c r="B58">
        <v>282</v>
      </c>
      <c r="C58">
        <v>301</v>
      </c>
      <c r="D58">
        <v>323</v>
      </c>
      <c r="E58">
        <v>349</v>
      </c>
      <c r="F58">
        <v>370</v>
      </c>
      <c r="G58">
        <v>381</v>
      </c>
      <c r="H58">
        <v>394</v>
      </c>
      <c r="I58">
        <v>419</v>
      </c>
      <c r="J58">
        <v>427</v>
      </c>
      <c r="K58">
        <v>407</v>
      </c>
      <c r="L58">
        <v>408</v>
      </c>
      <c r="O58">
        <v>422.36</v>
      </c>
      <c r="P58">
        <v>425.89</v>
      </c>
      <c r="Q58">
        <v>430.18</v>
      </c>
      <c r="R58">
        <v>433.68</v>
      </c>
      <c r="S58">
        <v>438.46</v>
      </c>
      <c r="T58">
        <v>440.09</v>
      </c>
      <c r="U58">
        <v>443.8</v>
      </c>
    </row>
    <row r="59" spans="1:21" x14ac:dyDescent="0.25">
      <c r="A59" t="s">
        <v>853</v>
      </c>
      <c r="B59">
        <v>368</v>
      </c>
      <c r="C59">
        <v>449</v>
      </c>
      <c r="D59">
        <v>540</v>
      </c>
      <c r="E59">
        <v>673</v>
      </c>
      <c r="F59">
        <v>828</v>
      </c>
      <c r="G59">
        <v>947</v>
      </c>
      <c r="H59" s="2">
        <v>1038</v>
      </c>
      <c r="I59" s="2">
        <v>1199</v>
      </c>
      <c r="J59" s="2">
        <v>1278</v>
      </c>
      <c r="K59" s="2">
        <v>1312</v>
      </c>
      <c r="L59" s="2">
        <v>1367</v>
      </c>
      <c r="O59" s="2">
        <v>1470.86</v>
      </c>
      <c r="P59" s="2">
        <v>1509.82</v>
      </c>
      <c r="Q59" s="2">
        <v>1546.15</v>
      </c>
      <c r="R59" s="2">
        <v>1564.11</v>
      </c>
      <c r="S59" s="2">
        <v>1600.28</v>
      </c>
      <c r="T59" s="2">
        <v>1620.06</v>
      </c>
      <c r="U59" s="2">
        <v>1625.56</v>
      </c>
    </row>
    <row r="60" spans="1:21" x14ac:dyDescent="0.25">
      <c r="A60" t="s">
        <v>854</v>
      </c>
      <c r="B60">
        <v>376</v>
      </c>
      <c r="C60">
        <v>436</v>
      </c>
      <c r="D60">
        <v>509</v>
      </c>
      <c r="E60">
        <v>606</v>
      </c>
      <c r="F60">
        <v>692</v>
      </c>
      <c r="G60">
        <v>750</v>
      </c>
      <c r="H60">
        <v>817</v>
      </c>
      <c r="I60">
        <v>921</v>
      </c>
      <c r="J60">
        <v>945</v>
      </c>
      <c r="K60">
        <v>979</v>
      </c>
      <c r="L60" s="2">
        <v>1018</v>
      </c>
      <c r="O60" s="2">
        <v>1096.1199999999999</v>
      </c>
      <c r="P60" s="2">
        <v>1122</v>
      </c>
      <c r="Q60" s="2">
        <v>1147.33</v>
      </c>
      <c r="R60" s="2">
        <v>1147.8599999999999</v>
      </c>
      <c r="S60" s="2">
        <v>1168.52</v>
      </c>
      <c r="T60" s="2">
        <v>1198.8800000000001</v>
      </c>
      <c r="U60" s="2">
        <v>1250.04</v>
      </c>
    </row>
    <row r="61" spans="1:21" x14ac:dyDescent="0.25">
      <c r="A61" t="s">
        <v>17</v>
      </c>
    </row>
    <row r="62" spans="1:21" x14ac:dyDescent="0.25">
      <c r="A62" t="s">
        <v>855</v>
      </c>
      <c r="B62">
        <v>758</v>
      </c>
      <c r="C62">
        <v>890</v>
      </c>
      <c r="D62" s="2">
        <v>1038</v>
      </c>
      <c r="E62" s="2">
        <v>1227</v>
      </c>
      <c r="F62" s="2">
        <v>1401</v>
      </c>
      <c r="G62" s="2">
        <v>1523</v>
      </c>
      <c r="H62" s="2">
        <v>1657</v>
      </c>
      <c r="I62" s="2">
        <v>1845</v>
      </c>
      <c r="J62" s="2">
        <v>1929</v>
      </c>
      <c r="K62" s="2">
        <v>2000</v>
      </c>
      <c r="L62" s="2">
        <v>2110</v>
      </c>
      <c r="O62" s="2">
        <v>2262.9299999999998</v>
      </c>
      <c r="P62" s="2">
        <v>2307.19</v>
      </c>
      <c r="Q62" s="2">
        <v>2355.87</v>
      </c>
      <c r="R62" s="2">
        <v>2364.91</v>
      </c>
      <c r="S62" s="2">
        <v>2408.9499999999998</v>
      </c>
      <c r="T62" s="2">
        <v>2412.34</v>
      </c>
      <c r="U62" s="2">
        <v>2564.46</v>
      </c>
    </row>
    <row r="63" spans="1:21" x14ac:dyDescent="0.25">
      <c r="A63" t="s">
        <v>583</v>
      </c>
      <c r="B63">
        <v>147</v>
      </c>
      <c r="C63">
        <v>157</v>
      </c>
      <c r="D63">
        <v>169</v>
      </c>
      <c r="E63">
        <v>180</v>
      </c>
      <c r="F63">
        <v>184</v>
      </c>
      <c r="G63">
        <v>186</v>
      </c>
      <c r="H63">
        <v>190</v>
      </c>
      <c r="I63">
        <v>195</v>
      </c>
      <c r="J63">
        <v>195</v>
      </c>
      <c r="K63">
        <v>199</v>
      </c>
      <c r="L63">
        <v>205</v>
      </c>
      <c r="O63">
        <v>212.02</v>
      </c>
      <c r="P63">
        <v>213.91</v>
      </c>
      <c r="Q63">
        <v>215.88</v>
      </c>
      <c r="R63">
        <v>215.99</v>
      </c>
      <c r="S63">
        <v>217.37</v>
      </c>
      <c r="T63">
        <v>223.06</v>
      </c>
      <c r="U63">
        <v>230.51</v>
      </c>
    </row>
    <row r="64" spans="1:21" x14ac:dyDescent="0.25">
      <c r="A64" t="s">
        <v>584</v>
      </c>
      <c r="B64">
        <v>195</v>
      </c>
      <c r="C64">
        <v>217</v>
      </c>
      <c r="D64">
        <v>240</v>
      </c>
      <c r="E64">
        <v>262</v>
      </c>
      <c r="F64">
        <v>277</v>
      </c>
      <c r="G64">
        <v>282</v>
      </c>
      <c r="H64">
        <v>294</v>
      </c>
      <c r="I64">
        <v>308</v>
      </c>
      <c r="J64">
        <v>309</v>
      </c>
      <c r="K64">
        <v>304</v>
      </c>
      <c r="L64">
        <v>308</v>
      </c>
      <c r="O64">
        <v>318.86</v>
      </c>
      <c r="P64">
        <v>322.31</v>
      </c>
      <c r="Q64">
        <v>326.14</v>
      </c>
      <c r="R64">
        <v>327.05</v>
      </c>
      <c r="S64">
        <v>331.37</v>
      </c>
      <c r="T64">
        <v>341.41</v>
      </c>
      <c r="U64">
        <v>345.13</v>
      </c>
    </row>
    <row r="65" spans="1:21" x14ac:dyDescent="0.25">
      <c r="A65" t="s">
        <v>853</v>
      </c>
      <c r="B65">
        <v>200</v>
      </c>
      <c r="C65">
        <v>253</v>
      </c>
      <c r="D65">
        <v>309</v>
      </c>
      <c r="E65">
        <v>396</v>
      </c>
      <c r="F65">
        <v>499</v>
      </c>
      <c r="G65">
        <v>577</v>
      </c>
      <c r="H65">
        <v>641</v>
      </c>
      <c r="I65">
        <v>744</v>
      </c>
      <c r="J65">
        <v>806</v>
      </c>
      <c r="K65">
        <v>854</v>
      </c>
      <c r="L65">
        <v>914</v>
      </c>
      <c r="O65">
        <v>990</v>
      </c>
      <c r="P65" s="2">
        <v>1016.97</v>
      </c>
      <c r="Q65" s="2">
        <v>1041.57</v>
      </c>
      <c r="R65" s="2">
        <v>1059.49</v>
      </c>
      <c r="S65" s="2">
        <v>1087.52</v>
      </c>
      <c r="T65" s="2">
        <v>1058.44</v>
      </c>
      <c r="U65" s="2">
        <v>1105.43</v>
      </c>
    </row>
    <row r="66" spans="1:21" x14ac:dyDescent="0.25">
      <c r="A66" t="s">
        <v>854</v>
      </c>
      <c r="B66">
        <v>216</v>
      </c>
      <c r="C66">
        <v>263</v>
      </c>
      <c r="D66">
        <v>319</v>
      </c>
      <c r="E66">
        <v>388</v>
      </c>
      <c r="F66">
        <v>441</v>
      </c>
      <c r="G66">
        <v>478</v>
      </c>
      <c r="H66">
        <v>532</v>
      </c>
      <c r="I66">
        <v>598</v>
      </c>
      <c r="J66">
        <v>619</v>
      </c>
      <c r="K66">
        <v>643</v>
      </c>
      <c r="L66">
        <v>683</v>
      </c>
      <c r="O66">
        <v>735.17</v>
      </c>
      <c r="P66">
        <v>754.13</v>
      </c>
      <c r="Q66">
        <v>773.59</v>
      </c>
      <c r="R66">
        <v>777.23</v>
      </c>
      <c r="S66">
        <v>795.28</v>
      </c>
      <c r="T66">
        <v>810.26</v>
      </c>
      <c r="U66">
        <v>877.95</v>
      </c>
    </row>
    <row r="67" spans="1:21" x14ac:dyDescent="0.25">
      <c r="A67" t="s">
        <v>17</v>
      </c>
    </row>
    <row r="68" spans="1:21" x14ac:dyDescent="0.25">
      <c r="A68" t="s">
        <v>856</v>
      </c>
      <c r="C68" s="2">
        <v>1393</v>
      </c>
      <c r="G68" s="2">
        <v>2640</v>
      </c>
      <c r="H68" s="2">
        <v>2890</v>
      </c>
      <c r="I68" s="2">
        <v>3300</v>
      </c>
      <c r="J68" s="2">
        <v>3590</v>
      </c>
      <c r="K68" s="2">
        <v>3740</v>
      </c>
      <c r="L68" s="2">
        <v>3980</v>
      </c>
      <c r="O68" s="2">
        <v>6250.72</v>
      </c>
      <c r="P68" s="2">
        <v>6666.87</v>
      </c>
      <c r="Q68" s="2">
        <v>7134.55</v>
      </c>
      <c r="R68" s="2">
        <v>8429.73</v>
      </c>
      <c r="S68" s="2">
        <v>4811.0200000000004</v>
      </c>
      <c r="T68" s="2">
        <v>4729.38</v>
      </c>
      <c r="U68" s="2">
        <v>4503.51</v>
      </c>
    </row>
    <row r="69" spans="1:21" x14ac:dyDescent="0.25">
      <c r="A69" t="s">
        <v>17</v>
      </c>
    </row>
    <row r="70" spans="1:21" x14ac:dyDescent="0.25">
      <c r="A70" t="s">
        <v>857</v>
      </c>
    </row>
    <row r="71" spans="1:21" x14ac:dyDescent="0.25">
      <c r="A71" t="s">
        <v>858</v>
      </c>
      <c r="B71">
        <v>6.81</v>
      </c>
      <c r="C71">
        <v>9.4499999999999993</v>
      </c>
      <c r="D71">
        <v>11.96</v>
      </c>
      <c r="E71">
        <v>15.98</v>
      </c>
      <c r="F71">
        <v>20.21</v>
      </c>
      <c r="G71">
        <v>24.6</v>
      </c>
      <c r="H71">
        <v>28.82</v>
      </c>
      <c r="I71">
        <v>32.03</v>
      </c>
      <c r="J71">
        <v>40.96</v>
      </c>
      <c r="K71">
        <v>39.630000000000003</v>
      </c>
      <c r="L71">
        <v>44.6</v>
      </c>
      <c r="O71">
        <v>70.88</v>
      </c>
      <c r="P71">
        <v>82</v>
      </c>
      <c r="Q71">
        <v>94.22</v>
      </c>
      <c r="R71">
        <v>102.56</v>
      </c>
      <c r="S71">
        <v>114.57</v>
      </c>
      <c r="T71">
        <v>108.98</v>
      </c>
      <c r="U71">
        <v>98.25</v>
      </c>
    </row>
    <row r="72" spans="1:21" x14ac:dyDescent="0.25">
      <c r="A72" t="s">
        <v>859</v>
      </c>
      <c r="B72">
        <v>18.7</v>
      </c>
      <c r="C72">
        <v>28.68</v>
      </c>
      <c r="D72">
        <v>41.65</v>
      </c>
      <c r="E72">
        <v>62.23</v>
      </c>
      <c r="F72">
        <v>84.41</v>
      </c>
      <c r="G72">
        <v>111.97</v>
      </c>
      <c r="H72">
        <v>139.35</v>
      </c>
      <c r="I72">
        <v>163.86</v>
      </c>
      <c r="J72">
        <v>213.95</v>
      </c>
      <c r="K72">
        <v>206.44</v>
      </c>
      <c r="L72">
        <v>226.93</v>
      </c>
      <c r="O72">
        <v>381.87</v>
      </c>
      <c r="P72">
        <v>415.07</v>
      </c>
      <c r="Q72">
        <v>476.31</v>
      </c>
      <c r="R72">
        <v>542.07000000000005</v>
      </c>
      <c r="S72">
        <v>613.25</v>
      </c>
      <c r="T72">
        <v>686.53</v>
      </c>
      <c r="U72">
        <v>529.52</v>
      </c>
    </row>
    <row r="73" spans="1:21" x14ac:dyDescent="0.25">
      <c r="A73" t="s">
        <v>860</v>
      </c>
      <c r="B73">
        <v>8.0399999999999991</v>
      </c>
      <c r="C73">
        <v>11.6</v>
      </c>
      <c r="D73">
        <v>14.32</v>
      </c>
      <c r="E73">
        <v>19.399999999999999</v>
      </c>
      <c r="F73">
        <v>27.41</v>
      </c>
      <c r="G73">
        <v>36.68</v>
      </c>
      <c r="H73">
        <v>44.14</v>
      </c>
      <c r="I73">
        <v>50.95</v>
      </c>
      <c r="J73">
        <v>68.900000000000006</v>
      </c>
      <c r="K73">
        <v>62.51</v>
      </c>
      <c r="L73">
        <v>75.569999999999993</v>
      </c>
      <c r="O73">
        <v>139.85</v>
      </c>
      <c r="P73">
        <v>153.59</v>
      </c>
      <c r="Q73">
        <v>176.72</v>
      </c>
      <c r="R73">
        <v>190.52</v>
      </c>
      <c r="S73">
        <v>213.97</v>
      </c>
      <c r="T73">
        <v>243.77</v>
      </c>
      <c r="U73">
        <v>194.57</v>
      </c>
    </row>
    <row r="74" spans="1:21" x14ac:dyDescent="0.25">
      <c r="A74" t="s">
        <v>861</v>
      </c>
      <c r="B74">
        <v>3.15</v>
      </c>
      <c r="C74">
        <v>4.46</v>
      </c>
      <c r="D74">
        <v>5.45</v>
      </c>
      <c r="E74">
        <v>7.29</v>
      </c>
      <c r="F74">
        <v>8.92</v>
      </c>
      <c r="G74">
        <v>10.71</v>
      </c>
      <c r="H74">
        <v>12.63</v>
      </c>
      <c r="I74">
        <v>13.77</v>
      </c>
      <c r="J74">
        <v>17.29</v>
      </c>
      <c r="K74">
        <v>18.04</v>
      </c>
      <c r="L74">
        <v>20.04</v>
      </c>
      <c r="O74">
        <v>31.95</v>
      </c>
      <c r="P74">
        <v>34</v>
      </c>
      <c r="Q74">
        <v>37.700000000000003</v>
      </c>
      <c r="R74">
        <v>43.35</v>
      </c>
      <c r="S74">
        <v>48.05</v>
      </c>
      <c r="T74">
        <v>46.78</v>
      </c>
      <c r="U74">
        <v>40.51</v>
      </c>
    </row>
    <row r="75" spans="1:21" x14ac:dyDescent="0.25">
      <c r="A75" t="s">
        <v>862</v>
      </c>
      <c r="B75">
        <v>2.64</v>
      </c>
      <c r="C75">
        <v>3.35</v>
      </c>
      <c r="D75">
        <v>3.86</v>
      </c>
      <c r="E75">
        <v>4.66</v>
      </c>
      <c r="F75">
        <v>6.2</v>
      </c>
      <c r="G75">
        <v>7.52</v>
      </c>
      <c r="H75">
        <v>8.74</v>
      </c>
      <c r="I75">
        <v>8.76</v>
      </c>
      <c r="J75">
        <v>12.26</v>
      </c>
      <c r="K75">
        <v>13.22</v>
      </c>
      <c r="L75">
        <v>15.83</v>
      </c>
      <c r="O75">
        <v>30.23</v>
      </c>
      <c r="P75">
        <v>34.54</v>
      </c>
      <c r="Q75">
        <v>39.97</v>
      </c>
      <c r="R75">
        <v>44.12</v>
      </c>
      <c r="S75">
        <v>50.24</v>
      </c>
      <c r="T75">
        <v>60.59</v>
      </c>
      <c r="U75">
        <v>43.98</v>
      </c>
    </row>
    <row r="76" spans="1:21" x14ac:dyDescent="0.25">
      <c r="A76" t="s">
        <v>17</v>
      </c>
    </row>
    <row r="77" spans="1:21" x14ac:dyDescent="0.25">
      <c r="A77" t="s">
        <v>863</v>
      </c>
      <c r="I77">
        <v>31.37</v>
      </c>
      <c r="O77">
        <v>67.989999999999995</v>
      </c>
      <c r="P77">
        <v>79.37</v>
      </c>
      <c r="Q77">
        <v>89.89</v>
      </c>
      <c r="R77">
        <v>114.14</v>
      </c>
      <c r="S77">
        <v>126.15</v>
      </c>
      <c r="T77">
        <v>138.86000000000001</v>
      </c>
      <c r="U77">
        <v>151.04</v>
      </c>
    </row>
    <row r="78" spans="1:21" x14ac:dyDescent="0.25">
      <c r="A78" t="s">
        <v>583</v>
      </c>
      <c r="B78">
        <v>16.059999999999999</v>
      </c>
      <c r="C78">
        <v>25.84</v>
      </c>
      <c r="D78">
        <v>39.01</v>
      </c>
      <c r="E78">
        <v>59.96</v>
      </c>
      <c r="F78">
        <v>82.44</v>
      </c>
      <c r="G78">
        <v>109.78</v>
      </c>
      <c r="H78">
        <v>136.65</v>
      </c>
      <c r="I78">
        <v>159.35</v>
      </c>
      <c r="O78">
        <v>341.26</v>
      </c>
      <c r="P78">
        <v>396.75</v>
      </c>
      <c r="Q78">
        <v>452.31</v>
      </c>
      <c r="R78">
        <v>511.76</v>
      </c>
      <c r="S78">
        <v>570.67999999999995</v>
      </c>
      <c r="T78">
        <v>603.63</v>
      </c>
      <c r="U78">
        <v>173.61</v>
      </c>
    </row>
    <row r="79" spans="1:21" x14ac:dyDescent="0.25">
      <c r="A79" t="s">
        <v>584</v>
      </c>
      <c r="B79">
        <v>7.18</v>
      </c>
      <c r="C79">
        <v>10.7</v>
      </c>
      <c r="D79">
        <v>13.72</v>
      </c>
      <c r="E79">
        <v>18.93</v>
      </c>
      <c r="F79">
        <v>26.94</v>
      </c>
      <c r="G79">
        <v>36.11</v>
      </c>
      <c r="H79">
        <v>43.47</v>
      </c>
      <c r="I79">
        <v>49.93</v>
      </c>
      <c r="O79">
        <v>129.51</v>
      </c>
      <c r="P79">
        <v>152.41</v>
      </c>
      <c r="Q79">
        <v>173.85</v>
      </c>
      <c r="R79">
        <v>186.19</v>
      </c>
      <c r="S79">
        <v>206.79</v>
      </c>
      <c r="T79">
        <v>218.89</v>
      </c>
      <c r="U79">
        <v>169.99</v>
      </c>
    </row>
    <row r="80" spans="1:21" x14ac:dyDescent="0.25">
      <c r="A80" t="s">
        <v>638</v>
      </c>
      <c r="B80">
        <v>2.88</v>
      </c>
      <c r="C80">
        <v>4.2300000000000004</v>
      </c>
      <c r="D80">
        <v>5.31</v>
      </c>
      <c r="E80">
        <v>7.28</v>
      </c>
      <c r="F80">
        <v>8.8699999999999992</v>
      </c>
      <c r="G80">
        <v>10.64</v>
      </c>
      <c r="H80">
        <v>12.55</v>
      </c>
      <c r="I80">
        <v>13.62</v>
      </c>
      <c r="O80">
        <v>32.46</v>
      </c>
      <c r="P80">
        <v>38.06</v>
      </c>
      <c r="Q80">
        <v>43.24</v>
      </c>
      <c r="R80">
        <v>48.33</v>
      </c>
      <c r="S80">
        <v>53.26</v>
      </c>
      <c r="T80">
        <v>58.63</v>
      </c>
      <c r="U80">
        <v>56.99</v>
      </c>
    </row>
    <row r="81" spans="1:21" x14ac:dyDescent="0.25">
      <c r="A81" t="s">
        <v>854</v>
      </c>
      <c r="B81">
        <v>2.52</v>
      </c>
      <c r="C81">
        <v>3.26</v>
      </c>
      <c r="D81">
        <v>3.81</v>
      </c>
      <c r="E81">
        <v>4.62</v>
      </c>
      <c r="F81">
        <v>6.16</v>
      </c>
      <c r="G81">
        <v>7.48</v>
      </c>
      <c r="H81">
        <v>8.6999999999999993</v>
      </c>
      <c r="I81">
        <v>8.6999999999999993</v>
      </c>
      <c r="O81">
        <v>28.49</v>
      </c>
      <c r="P81">
        <v>33.4</v>
      </c>
      <c r="Q81">
        <v>38.25</v>
      </c>
      <c r="R81">
        <v>42.79</v>
      </c>
      <c r="S81">
        <v>49.32</v>
      </c>
      <c r="T81">
        <v>55.27</v>
      </c>
      <c r="U81">
        <v>38.700000000000003</v>
      </c>
    </row>
    <row r="82" spans="1:21" x14ac:dyDescent="0.25">
      <c r="A82" t="s">
        <v>17</v>
      </c>
    </row>
    <row r="83" spans="1:21" x14ac:dyDescent="0.25">
      <c r="A83" t="s">
        <v>864</v>
      </c>
      <c r="I83">
        <v>0.67</v>
      </c>
      <c r="O83">
        <v>2.13</v>
      </c>
      <c r="P83">
        <v>2.83</v>
      </c>
      <c r="Q83">
        <v>3.51</v>
      </c>
      <c r="R83">
        <v>3.67</v>
      </c>
      <c r="S83">
        <v>4.22</v>
      </c>
    </row>
    <row r="84" spans="1:21" x14ac:dyDescent="0.25">
      <c r="A84" t="s">
        <v>583</v>
      </c>
      <c r="B84">
        <v>2.64</v>
      </c>
      <c r="C84">
        <v>2.84</v>
      </c>
      <c r="D84">
        <v>2.64</v>
      </c>
      <c r="E84">
        <v>2.27</v>
      </c>
      <c r="F84">
        <v>1.97</v>
      </c>
      <c r="G84">
        <v>2.19</v>
      </c>
      <c r="H84">
        <v>2.7</v>
      </c>
      <c r="I84">
        <v>4.5</v>
      </c>
    </row>
    <row r="85" spans="1:21" x14ac:dyDescent="0.25">
      <c r="A85" t="s">
        <v>584</v>
      </c>
      <c r="B85">
        <v>0.86</v>
      </c>
      <c r="C85">
        <v>0.9</v>
      </c>
      <c r="D85">
        <v>0.6</v>
      </c>
      <c r="E85">
        <v>0.47</v>
      </c>
      <c r="F85">
        <v>0.47</v>
      </c>
      <c r="G85">
        <v>0.56999999999999995</v>
      </c>
      <c r="H85">
        <v>0.67</v>
      </c>
      <c r="I85">
        <v>1.01</v>
      </c>
      <c r="O85">
        <v>2.38</v>
      </c>
      <c r="P85">
        <v>2.95</v>
      </c>
      <c r="Q85">
        <v>3.59</v>
      </c>
      <c r="R85">
        <v>4.3499999999999996</v>
      </c>
      <c r="S85">
        <v>5.03</v>
      </c>
      <c r="T85">
        <v>4.97</v>
      </c>
      <c r="U85">
        <v>4.43</v>
      </c>
    </row>
    <row r="86" spans="1:21" x14ac:dyDescent="0.25">
      <c r="A86" t="s">
        <v>853</v>
      </c>
      <c r="B86">
        <v>0.27</v>
      </c>
      <c r="C86">
        <v>0.23</v>
      </c>
      <c r="D86">
        <v>0.14000000000000001</v>
      </c>
      <c r="E86">
        <v>0.1</v>
      </c>
      <c r="F86">
        <v>0.05</v>
      </c>
      <c r="G86">
        <v>7.0000000000000007E-2</v>
      </c>
      <c r="H86">
        <v>0.08</v>
      </c>
      <c r="I86">
        <v>0.15</v>
      </c>
      <c r="O86">
        <v>0.9</v>
      </c>
      <c r="P86">
        <v>1.1100000000000001</v>
      </c>
      <c r="Q86">
        <v>1.34</v>
      </c>
      <c r="R86">
        <v>1.43</v>
      </c>
      <c r="S86">
        <v>1.65</v>
      </c>
      <c r="T86">
        <v>1.78</v>
      </c>
      <c r="U86">
        <v>1.85</v>
      </c>
    </row>
    <row r="87" spans="1:21" x14ac:dyDescent="0.25">
      <c r="A87" t="s">
        <v>854</v>
      </c>
      <c r="B87">
        <v>0.12</v>
      </c>
      <c r="C87">
        <v>0.09</v>
      </c>
      <c r="D87">
        <v>0.05</v>
      </c>
      <c r="E87">
        <v>0.04</v>
      </c>
      <c r="F87">
        <v>0.04</v>
      </c>
      <c r="G87">
        <v>0.04</v>
      </c>
      <c r="H87">
        <v>0.04</v>
      </c>
      <c r="I87">
        <v>7.0000000000000007E-2</v>
      </c>
      <c r="O87">
        <v>1.65</v>
      </c>
      <c r="P87">
        <v>2.16</v>
      </c>
      <c r="Q87">
        <v>2.76</v>
      </c>
      <c r="R87">
        <v>3.15</v>
      </c>
      <c r="S87">
        <v>3.89</v>
      </c>
      <c r="T87">
        <v>5.59</v>
      </c>
      <c r="U87">
        <v>5.23</v>
      </c>
    </row>
    <row r="88" spans="1:21" x14ac:dyDescent="0.25">
      <c r="A88" t="s">
        <v>17</v>
      </c>
    </row>
    <row r="89" spans="1:21" x14ac:dyDescent="0.25">
      <c r="A89" t="s">
        <v>842</v>
      </c>
      <c r="F89">
        <v>20.21</v>
      </c>
      <c r="G89">
        <v>24.96</v>
      </c>
      <c r="H89">
        <v>25.57</v>
      </c>
      <c r="I89">
        <v>27.51</v>
      </c>
      <c r="J89">
        <v>33.68</v>
      </c>
      <c r="K89">
        <v>31.79</v>
      </c>
      <c r="M89">
        <v>49.63</v>
      </c>
      <c r="N89">
        <v>55.51</v>
      </c>
    </row>
    <row r="90" spans="1:21" x14ac:dyDescent="0.25">
      <c r="A90" t="s">
        <v>865</v>
      </c>
    </row>
    <row r="91" spans="1:21" x14ac:dyDescent="0.25">
      <c r="A91" t="s">
        <v>212</v>
      </c>
    </row>
    <row r="92" spans="1:21" x14ac:dyDescent="0.25">
      <c r="A92" t="s">
        <v>17</v>
      </c>
    </row>
    <row r="93" spans="1:21" x14ac:dyDescent="0.25">
      <c r="A93" t="s">
        <v>866</v>
      </c>
      <c r="B93" s="2">
        <v>3143.7</v>
      </c>
      <c r="C93" s="2">
        <v>7469.8</v>
      </c>
      <c r="D93" s="2">
        <v>13151.6</v>
      </c>
      <c r="E93" s="2">
        <v>22314.55</v>
      </c>
      <c r="F93" s="2">
        <v>35148.959999999999</v>
      </c>
      <c r="G93" s="2">
        <v>50611.96</v>
      </c>
      <c r="O93" s="2">
        <v>248831.92</v>
      </c>
      <c r="P93" s="2">
        <v>300462.81</v>
      </c>
      <c r="Q93" s="2">
        <v>353333.07</v>
      </c>
      <c r="R93" s="2">
        <v>405334.65</v>
      </c>
      <c r="S93" s="2">
        <v>438871.29</v>
      </c>
      <c r="T93" s="2">
        <v>473329.22</v>
      </c>
      <c r="U93" s="2">
        <v>516144.42</v>
      </c>
    </row>
    <row r="94" spans="1:21" x14ac:dyDescent="0.25">
      <c r="A94" t="s">
        <v>17</v>
      </c>
    </row>
    <row r="95" spans="1:21" x14ac:dyDescent="0.25">
      <c r="A95" t="s">
        <v>58</v>
      </c>
    </row>
    <row r="96" spans="1:21" x14ac:dyDescent="0.25">
      <c r="A96" t="s">
        <v>867</v>
      </c>
    </row>
    <row r="97" spans="1:21" x14ac:dyDescent="0.25">
      <c r="A97" t="s">
        <v>60</v>
      </c>
      <c r="H97" s="2">
        <v>70196</v>
      </c>
      <c r="I97" s="2">
        <v>84826</v>
      </c>
      <c r="J97" s="2">
        <v>115655</v>
      </c>
      <c r="K97" s="2">
        <v>114450</v>
      </c>
      <c r="L97" s="2">
        <v>133006</v>
      </c>
      <c r="M97" s="2">
        <v>162355</v>
      </c>
      <c r="N97" s="2">
        <v>198759</v>
      </c>
      <c r="O97" s="2">
        <v>251196.92</v>
      </c>
      <c r="P97" s="2">
        <v>301323.28999999998</v>
      </c>
      <c r="Q97" s="2">
        <v>354177.91</v>
      </c>
      <c r="R97" s="2">
        <v>401245.29</v>
      </c>
      <c r="S97" s="2">
        <v>453258.75</v>
      </c>
      <c r="T97" s="2">
        <v>518799.6</v>
      </c>
      <c r="U97" s="2">
        <v>587766.79</v>
      </c>
    </row>
    <row r="98" spans="1:21" x14ac:dyDescent="0.25">
      <c r="A98" t="s">
        <v>833</v>
      </c>
      <c r="B98" s="2">
        <v>6986</v>
      </c>
      <c r="C98" s="2">
        <v>11492</v>
      </c>
      <c r="D98" s="2">
        <v>17080</v>
      </c>
      <c r="E98" s="2">
        <v>26885</v>
      </c>
      <c r="F98" s="2">
        <v>39942</v>
      </c>
      <c r="G98" s="2">
        <v>55013</v>
      </c>
      <c r="H98" s="2">
        <v>69655</v>
      </c>
      <c r="I98" s="2">
        <v>84169</v>
      </c>
      <c r="J98" s="2">
        <v>114934</v>
      </c>
      <c r="K98" s="2">
        <v>113642</v>
      </c>
      <c r="L98" s="2">
        <v>131948</v>
      </c>
      <c r="M98" s="2">
        <v>160633</v>
      </c>
      <c r="N98" s="2">
        <v>196175</v>
      </c>
      <c r="O98" s="2">
        <v>247509.75</v>
      </c>
      <c r="P98" s="2">
        <v>295915.42</v>
      </c>
      <c r="Q98" s="2">
        <v>346492.92</v>
      </c>
      <c r="R98" s="2">
        <v>395551.9</v>
      </c>
      <c r="S98" s="2">
        <v>443134.26</v>
      </c>
      <c r="T98" s="2">
        <v>515295.98</v>
      </c>
      <c r="U98" s="2">
        <v>569322.64</v>
      </c>
    </row>
    <row r="99" spans="1:21" x14ac:dyDescent="0.25">
      <c r="A99" t="s">
        <v>78</v>
      </c>
      <c r="H99">
        <v>541</v>
      </c>
      <c r="I99">
        <v>657</v>
      </c>
      <c r="J99">
        <v>721</v>
      </c>
      <c r="K99">
        <v>808</v>
      </c>
      <c r="L99" s="2">
        <v>1058</v>
      </c>
      <c r="M99" s="2">
        <v>1722</v>
      </c>
      <c r="N99" s="2">
        <v>2584</v>
      </c>
      <c r="O99" s="2">
        <v>4323.68</v>
      </c>
      <c r="P99" s="2">
        <v>7208.51</v>
      </c>
      <c r="Q99" s="2">
        <v>11975.14</v>
      </c>
      <c r="R99" s="2">
        <v>18370.63</v>
      </c>
      <c r="S99" s="2">
        <v>16958.5</v>
      </c>
      <c r="T99" s="2">
        <v>17104.28</v>
      </c>
      <c r="U99" s="2">
        <v>18444.14</v>
      </c>
    </row>
    <row r="100" spans="1:21" x14ac:dyDescent="0.25">
      <c r="A100" t="s">
        <v>868</v>
      </c>
    </row>
    <row r="101" spans="1:21" x14ac:dyDescent="0.25">
      <c r="A101" t="s">
        <v>833</v>
      </c>
      <c r="B101" s="2">
        <v>7008</v>
      </c>
      <c r="C101" s="2">
        <v>11553</v>
      </c>
      <c r="D101" s="2">
        <v>18264</v>
      </c>
      <c r="E101" s="2">
        <v>27154</v>
      </c>
      <c r="F101" s="2">
        <v>39650</v>
      </c>
      <c r="G101" s="2">
        <v>54612</v>
      </c>
      <c r="H101" s="2">
        <v>69655</v>
      </c>
      <c r="I101" s="2">
        <v>84298</v>
      </c>
      <c r="J101" s="2">
        <v>113314</v>
      </c>
      <c r="K101" s="2">
        <v>119538</v>
      </c>
      <c r="L101" s="2">
        <v>131569</v>
      </c>
      <c r="M101" s="2">
        <v>161513</v>
      </c>
      <c r="N101" s="2">
        <v>196595</v>
      </c>
      <c r="O101" s="2">
        <v>246879.77</v>
      </c>
      <c r="P101" s="2">
        <v>297066.01</v>
      </c>
      <c r="Q101" s="2">
        <v>348210.52</v>
      </c>
      <c r="R101" s="2">
        <v>403019.48</v>
      </c>
      <c r="S101" s="2">
        <v>458074.32</v>
      </c>
      <c r="T101" s="2">
        <v>512513.97</v>
      </c>
      <c r="U101" s="2">
        <v>599937.21</v>
      </c>
    </row>
    <row r="102" spans="1:21" x14ac:dyDescent="0.25">
      <c r="A102" t="s">
        <v>869</v>
      </c>
      <c r="L102" s="2">
        <v>70135</v>
      </c>
      <c r="M102" s="2">
        <v>75246</v>
      </c>
      <c r="N102" s="2">
        <v>96290</v>
      </c>
      <c r="O102" s="2">
        <v>146234.84</v>
      </c>
      <c r="P102" s="2">
        <v>179621.24</v>
      </c>
      <c r="Q102" s="2">
        <v>216519.75</v>
      </c>
      <c r="R102" s="2">
        <v>234406.28</v>
      </c>
      <c r="S102" s="2">
        <v>264220.59000000003</v>
      </c>
      <c r="T102" s="2">
        <v>295551.5</v>
      </c>
      <c r="U102" s="2">
        <v>333277.07</v>
      </c>
    </row>
    <row r="103" spans="1:21" x14ac:dyDescent="0.25">
      <c r="A103" t="s">
        <v>116</v>
      </c>
      <c r="H103" s="2">
        <v>28489</v>
      </c>
      <c r="I103" s="2">
        <v>39294</v>
      </c>
      <c r="J103" s="2">
        <v>56946</v>
      </c>
      <c r="K103" s="2">
        <v>42661</v>
      </c>
      <c r="L103" s="2">
        <v>62871</v>
      </c>
      <c r="M103" s="2">
        <v>87109</v>
      </c>
      <c r="N103" s="2">
        <v>102469</v>
      </c>
      <c r="O103" s="2">
        <v>103585.35</v>
      </c>
      <c r="P103" s="2">
        <v>123674.66</v>
      </c>
      <c r="Q103" s="2">
        <v>141763.20000000001</v>
      </c>
      <c r="R103" s="2">
        <v>172695.89</v>
      </c>
      <c r="S103" s="2">
        <v>191370.18</v>
      </c>
      <c r="T103" s="2">
        <v>236033.98</v>
      </c>
      <c r="U103" s="2">
        <v>277560.58</v>
      </c>
    </row>
    <row r="104" spans="1:21" x14ac:dyDescent="0.25">
      <c r="A104" t="s">
        <v>395</v>
      </c>
      <c r="I104">
        <v>46</v>
      </c>
      <c r="J104">
        <v>49</v>
      </c>
      <c r="K104">
        <v>37</v>
      </c>
      <c r="L104">
        <v>47</v>
      </c>
      <c r="M104">
        <v>54</v>
      </c>
      <c r="N104">
        <v>52</v>
      </c>
      <c r="O104">
        <v>41.34</v>
      </c>
      <c r="P104">
        <v>39.17</v>
      </c>
      <c r="Q104">
        <v>39.159999999999997</v>
      </c>
      <c r="R104">
        <v>40.32</v>
      </c>
      <c r="S104">
        <v>39.99</v>
      </c>
      <c r="T104">
        <v>40.909999999999997</v>
      </c>
      <c r="U104">
        <v>41.63</v>
      </c>
    </row>
    <row r="105" spans="1:21" x14ac:dyDescent="0.25">
      <c r="A105" t="s">
        <v>17</v>
      </c>
    </row>
    <row r="106" spans="1:21" x14ac:dyDescent="0.25">
      <c r="A106" t="s">
        <v>870</v>
      </c>
    </row>
    <row r="107" spans="1:21" x14ac:dyDescent="0.25">
      <c r="A107" t="s">
        <v>60</v>
      </c>
      <c r="H107">
        <v>501</v>
      </c>
      <c r="I107" s="2">
        <v>1139</v>
      </c>
      <c r="J107" s="2">
        <v>2274</v>
      </c>
      <c r="K107" s="2">
        <v>2159</v>
      </c>
      <c r="L107" s="2">
        <v>1896</v>
      </c>
      <c r="M107" s="2">
        <v>2146</v>
      </c>
      <c r="N107" s="2">
        <v>2207</v>
      </c>
      <c r="O107" s="2">
        <v>2431.16</v>
      </c>
      <c r="P107" s="2">
        <v>2869.16</v>
      </c>
      <c r="Q107" s="2">
        <v>3524.99</v>
      </c>
      <c r="R107" s="2">
        <v>4419.3999999999996</v>
      </c>
      <c r="S107" s="2">
        <v>5404.98</v>
      </c>
      <c r="T107" s="2">
        <v>4704.5600000000004</v>
      </c>
      <c r="U107" s="2">
        <v>5505.09</v>
      </c>
    </row>
    <row r="108" spans="1:21" x14ac:dyDescent="0.25">
      <c r="A108" t="s">
        <v>116</v>
      </c>
      <c r="H108" s="2">
        <v>-4503</v>
      </c>
      <c r="I108" s="2">
        <v>-6623</v>
      </c>
      <c r="J108" s="2">
        <v>-10193</v>
      </c>
      <c r="K108" s="2">
        <v>-13717</v>
      </c>
      <c r="L108" s="2">
        <v>-16120</v>
      </c>
      <c r="M108" s="2">
        <v>-17729</v>
      </c>
      <c r="N108" s="2">
        <v>-19193</v>
      </c>
      <c r="O108" s="2">
        <v>-19499.96</v>
      </c>
      <c r="P108" s="2">
        <v>-19394.18</v>
      </c>
      <c r="Q108" s="2">
        <v>-16399.45</v>
      </c>
      <c r="R108" s="2">
        <v>-21289.98</v>
      </c>
      <c r="S108" s="2">
        <v>-14989.98</v>
      </c>
      <c r="T108" s="2">
        <v>-14217.64</v>
      </c>
      <c r="U108" s="2">
        <v>-13400.67</v>
      </c>
    </row>
    <row r="109" spans="1:21" x14ac:dyDescent="0.25">
      <c r="A109" t="s">
        <v>395</v>
      </c>
      <c r="I109">
        <v>-581</v>
      </c>
      <c r="J109">
        <v>-448</v>
      </c>
      <c r="K109">
        <v>-635</v>
      </c>
      <c r="L109">
        <v>-850</v>
      </c>
      <c r="M109">
        <v>-826</v>
      </c>
      <c r="N109">
        <v>-870</v>
      </c>
      <c r="O109">
        <v>-775.85</v>
      </c>
      <c r="P109">
        <v>-650.71</v>
      </c>
      <c r="Q109">
        <v>-504.91</v>
      </c>
      <c r="R109">
        <v>-390.73</v>
      </c>
      <c r="S109">
        <v>-319.22000000000003</v>
      </c>
      <c r="T109">
        <v>-280.37</v>
      </c>
      <c r="U109">
        <v>-220.1</v>
      </c>
    </row>
    <row r="110" spans="1:21" x14ac:dyDescent="0.25">
      <c r="A110" t="s">
        <v>17</v>
      </c>
    </row>
    <row r="111" spans="1:21" x14ac:dyDescent="0.25">
      <c r="A111" t="s">
        <v>72</v>
      </c>
    </row>
    <row r="112" spans="1:21" x14ac:dyDescent="0.25">
      <c r="A112" t="s">
        <v>16</v>
      </c>
    </row>
    <row r="113" spans="1:21" x14ac:dyDescent="0.25">
      <c r="A113" t="s">
        <v>871</v>
      </c>
      <c r="B113" s="2">
        <v>3695</v>
      </c>
      <c r="C113" s="2">
        <v>5865</v>
      </c>
      <c r="D113" s="2">
        <v>8913</v>
      </c>
      <c r="E113" s="2">
        <v>14098</v>
      </c>
      <c r="F113" s="2">
        <v>19949</v>
      </c>
      <c r="G113" s="2">
        <v>27018</v>
      </c>
      <c r="H113" s="2">
        <v>34158</v>
      </c>
      <c r="I113" s="2">
        <v>41724</v>
      </c>
      <c r="J113" s="2">
        <v>55582</v>
      </c>
      <c r="K113" s="2">
        <v>54591</v>
      </c>
      <c r="L113" s="2">
        <v>61245</v>
      </c>
      <c r="M113" s="2">
        <v>72063</v>
      </c>
      <c r="N113" s="2">
        <v>87199</v>
      </c>
      <c r="O113" s="2">
        <v>110883.49</v>
      </c>
      <c r="P113" s="2">
        <v>133976.87</v>
      </c>
      <c r="Q113" s="2">
        <v>158603.71</v>
      </c>
      <c r="R113" s="2">
        <v>188084.14</v>
      </c>
      <c r="S113" s="2">
        <v>215066.25</v>
      </c>
      <c r="T113" s="2">
        <v>258714.12</v>
      </c>
      <c r="U113" s="2">
        <v>291357.99</v>
      </c>
    </row>
    <row r="114" spans="1:21" x14ac:dyDescent="0.25">
      <c r="A114" t="s">
        <v>833</v>
      </c>
      <c r="C114" s="2">
        <v>5285</v>
      </c>
      <c r="G114" s="2">
        <v>26489</v>
      </c>
      <c r="H114" s="2">
        <v>33493</v>
      </c>
      <c r="I114" s="2">
        <v>40576</v>
      </c>
      <c r="J114" s="2">
        <v>53419</v>
      </c>
      <c r="K114" s="2">
        <v>52583</v>
      </c>
      <c r="L114" s="2">
        <v>59581</v>
      </c>
      <c r="M114" s="2">
        <v>70415</v>
      </c>
      <c r="N114" s="2">
        <v>85278</v>
      </c>
      <c r="O114" s="2">
        <v>108081.85</v>
      </c>
      <c r="P114" s="2">
        <v>129985.51</v>
      </c>
      <c r="Q114" s="2">
        <v>152860.37</v>
      </c>
      <c r="R114" s="2">
        <v>178737.92000000001</v>
      </c>
      <c r="S114" s="2">
        <v>202108.54</v>
      </c>
      <c r="T114" s="2">
        <v>242657.08</v>
      </c>
      <c r="U114" s="2">
        <v>266489.15999999997</v>
      </c>
    </row>
    <row r="115" spans="1:21" x14ac:dyDescent="0.25">
      <c r="A115" t="s">
        <v>872</v>
      </c>
      <c r="O115">
        <v>12.38</v>
      </c>
      <c r="P115">
        <v>10.8</v>
      </c>
      <c r="Q115">
        <v>9.3699999999999992</v>
      </c>
      <c r="R115">
        <v>8.6300000000000008</v>
      </c>
      <c r="S115">
        <v>7.08</v>
      </c>
      <c r="T115">
        <v>6.17</v>
      </c>
      <c r="U115">
        <v>5.46</v>
      </c>
    </row>
    <row r="116" spans="1:21" x14ac:dyDescent="0.25">
      <c r="A116" t="s">
        <v>873</v>
      </c>
      <c r="O116">
        <v>15.42</v>
      </c>
      <c r="P116">
        <v>10.119999999999999</v>
      </c>
      <c r="Q116">
        <v>9.0500000000000007</v>
      </c>
      <c r="R116">
        <v>6.72</v>
      </c>
      <c r="S116">
        <v>5.77</v>
      </c>
      <c r="T116">
        <v>6.86</v>
      </c>
      <c r="U116">
        <v>6.07</v>
      </c>
    </row>
    <row r="117" spans="1:21" x14ac:dyDescent="0.25">
      <c r="A117" t="s">
        <v>874</v>
      </c>
      <c r="C117">
        <v>580</v>
      </c>
      <c r="G117">
        <v>529</v>
      </c>
      <c r="H117">
        <v>665</v>
      </c>
      <c r="I117" s="2">
        <v>1148</v>
      </c>
      <c r="J117" s="2">
        <v>2163</v>
      </c>
      <c r="K117" s="2">
        <v>2008</v>
      </c>
      <c r="L117" s="2">
        <v>1664</v>
      </c>
      <c r="M117" s="2">
        <v>1648</v>
      </c>
      <c r="N117" s="2">
        <v>1921</v>
      </c>
      <c r="O117" s="2">
        <v>2531.94</v>
      </c>
      <c r="P117" s="2">
        <v>3695.98</v>
      </c>
      <c r="Q117" s="2">
        <v>5164.54</v>
      </c>
      <c r="R117" s="2">
        <v>5531.74</v>
      </c>
      <c r="S117" s="2">
        <v>6974.02</v>
      </c>
      <c r="T117" s="2">
        <v>8773.06</v>
      </c>
      <c r="U117" s="2">
        <v>10623.59</v>
      </c>
    </row>
    <row r="118" spans="1:21" x14ac:dyDescent="0.25">
      <c r="A118" t="s">
        <v>584</v>
      </c>
      <c r="B118" s="2">
        <v>2193</v>
      </c>
      <c r="C118" s="2">
        <v>3396</v>
      </c>
      <c r="D118" s="2">
        <v>4465</v>
      </c>
      <c r="E118" s="2">
        <v>6562</v>
      </c>
      <c r="F118" s="2">
        <v>9878</v>
      </c>
      <c r="G118" s="2">
        <v>13802</v>
      </c>
      <c r="H118" s="2">
        <v>17042</v>
      </c>
      <c r="I118" s="2">
        <v>20871</v>
      </c>
      <c r="J118" s="2">
        <v>29105</v>
      </c>
      <c r="K118" s="2">
        <v>25785</v>
      </c>
      <c r="L118" s="2">
        <v>30886</v>
      </c>
      <c r="M118" s="2">
        <v>38778</v>
      </c>
      <c r="N118" s="2">
        <v>47960</v>
      </c>
      <c r="O118" s="2">
        <v>60248.78</v>
      </c>
      <c r="P118" s="2">
        <v>72143.710000000006</v>
      </c>
      <c r="Q118" s="2">
        <v>84802.7</v>
      </c>
      <c r="R118" s="2">
        <v>101333.57</v>
      </c>
      <c r="S118" s="2">
        <v>116886.02</v>
      </c>
      <c r="T118" s="2">
        <v>134727.51999999999</v>
      </c>
      <c r="U118" s="2">
        <v>147574.65</v>
      </c>
    </row>
    <row r="119" spans="1:21" x14ac:dyDescent="0.25">
      <c r="A119" t="s">
        <v>833</v>
      </c>
      <c r="C119" s="2">
        <v>3131</v>
      </c>
      <c r="G119" s="2">
        <v>13592</v>
      </c>
      <c r="H119" s="2">
        <v>16780</v>
      </c>
      <c r="I119" s="2">
        <v>20455</v>
      </c>
      <c r="J119" s="2">
        <v>28573</v>
      </c>
      <c r="K119" s="2">
        <v>25335</v>
      </c>
      <c r="L119" s="2">
        <v>30417</v>
      </c>
      <c r="M119" s="2">
        <v>37974</v>
      </c>
      <c r="N119" s="2">
        <v>47163</v>
      </c>
      <c r="O119" s="2">
        <v>59444.32</v>
      </c>
      <c r="P119" s="2">
        <v>70892.039999999994</v>
      </c>
      <c r="Q119" s="2">
        <v>83219.789999999994</v>
      </c>
      <c r="R119" s="2">
        <v>98733.57</v>
      </c>
      <c r="S119" s="2">
        <v>112211.96</v>
      </c>
      <c r="T119" s="2">
        <v>128396.68</v>
      </c>
      <c r="U119" s="2">
        <v>139073.64000000001</v>
      </c>
    </row>
    <row r="120" spans="1:21" x14ac:dyDescent="0.25">
      <c r="A120" t="s">
        <v>875</v>
      </c>
      <c r="O120">
        <v>12.96</v>
      </c>
      <c r="P120">
        <v>9.17</v>
      </c>
      <c r="Q120">
        <v>8.07</v>
      </c>
      <c r="R120">
        <v>7.79</v>
      </c>
      <c r="S120">
        <v>7.37</v>
      </c>
      <c r="T120">
        <v>7.19</v>
      </c>
      <c r="U120">
        <v>7.04</v>
      </c>
    </row>
    <row r="121" spans="1:21" x14ac:dyDescent="0.25">
      <c r="A121" t="s">
        <v>876</v>
      </c>
      <c r="O121">
        <v>12.89</v>
      </c>
      <c r="P121">
        <v>12.53</v>
      </c>
      <c r="Q121">
        <v>11.38</v>
      </c>
      <c r="R121">
        <v>10.7</v>
      </c>
      <c r="S121">
        <v>9.93</v>
      </c>
      <c r="T121">
        <v>6.84</v>
      </c>
      <c r="U121">
        <v>6.18</v>
      </c>
    </row>
    <row r="122" spans="1:21" x14ac:dyDescent="0.25">
      <c r="A122" t="s">
        <v>874</v>
      </c>
      <c r="C122">
        <v>265</v>
      </c>
      <c r="G122">
        <v>210</v>
      </c>
      <c r="H122">
        <v>262</v>
      </c>
      <c r="I122">
        <v>416</v>
      </c>
      <c r="J122">
        <v>532</v>
      </c>
      <c r="K122">
        <v>450</v>
      </c>
      <c r="L122">
        <v>469</v>
      </c>
      <c r="M122">
        <v>804</v>
      </c>
      <c r="N122">
        <v>797</v>
      </c>
      <c r="O122" s="2">
        <v>1017.94</v>
      </c>
      <c r="P122" s="2">
        <v>1400.41</v>
      </c>
      <c r="Q122" s="2">
        <v>1974.61</v>
      </c>
      <c r="R122" s="2">
        <v>2207.29</v>
      </c>
      <c r="S122" s="2">
        <v>2807.34</v>
      </c>
      <c r="T122" s="2">
        <v>3357.95</v>
      </c>
      <c r="U122" s="2">
        <v>4427.37</v>
      </c>
    </row>
    <row r="123" spans="1:21" x14ac:dyDescent="0.25">
      <c r="A123" t="s">
        <v>638</v>
      </c>
      <c r="B123" s="2">
        <v>1063</v>
      </c>
      <c r="C123" s="2">
        <v>1831</v>
      </c>
      <c r="D123" s="2">
        <v>2720</v>
      </c>
      <c r="E123" s="2">
        <v>4390</v>
      </c>
      <c r="F123" s="2">
        <v>6763</v>
      </c>
      <c r="G123" s="2">
        <v>9588</v>
      </c>
      <c r="H123" s="2">
        <v>12626</v>
      </c>
      <c r="I123" s="2">
        <v>15621</v>
      </c>
      <c r="J123" s="2">
        <v>21684</v>
      </c>
      <c r="K123" s="2">
        <v>23499</v>
      </c>
      <c r="L123" s="2">
        <v>26915</v>
      </c>
      <c r="M123" s="2">
        <v>32834</v>
      </c>
      <c r="N123" s="2">
        <v>39260</v>
      </c>
      <c r="O123" s="2">
        <v>48198.38</v>
      </c>
      <c r="P123" s="2">
        <v>58246.35</v>
      </c>
      <c r="Q123" s="2">
        <v>68850.399999999994</v>
      </c>
      <c r="R123" s="2">
        <v>76486.960000000006</v>
      </c>
      <c r="S123" s="2">
        <v>86740.34</v>
      </c>
      <c r="T123" s="2">
        <v>91828.38</v>
      </c>
      <c r="U123" s="2">
        <v>102788.99</v>
      </c>
    </row>
    <row r="124" spans="1:21" x14ac:dyDescent="0.25">
      <c r="A124" t="s">
        <v>833</v>
      </c>
      <c r="C124" s="2">
        <v>1741</v>
      </c>
      <c r="G124" s="2">
        <v>9525</v>
      </c>
      <c r="H124" s="2">
        <v>12540</v>
      </c>
      <c r="I124" s="2">
        <v>15453</v>
      </c>
      <c r="J124" s="2">
        <v>21468</v>
      </c>
      <c r="K124" s="2">
        <v>23181</v>
      </c>
      <c r="L124" s="2">
        <v>26473</v>
      </c>
      <c r="M124" s="2">
        <v>32121</v>
      </c>
      <c r="N124" s="2">
        <v>38285</v>
      </c>
      <c r="O124" s="2">
        <v>46320.35</v>
      </c>
      <c r="P124" s="2">
        <v>55562.27</v>
      </c>
      <c r="Q124" s="2">
        <v>64850.89</v>
      </c>
      <c r="R124" s="2">
        <v>71935.58</v>
      </c>
      <c r="S124" s="2">
        <v>78105.960000000006</v>
      </c>
      <c r="T124" s="2">
        <v>87658.39</v>
      </c>
      <c r="U124" s="2">
        <v>96679.61</v>
      </c>
    </row>
    <row r="125" spans="1:21" x14ac:dyDescent="0.25">
      <c r="A125" t="s">
        <v>877</v>
      </c>
      <c r="O125">
        <v>16.100000000000001</v>
      </c>
      <c r="P125">
        <v>11.79</v>
      </c>
      <c r="Q125">
        <v>10.18</v>
      </c>
      <c r="R125">
        <v>7.25</v>
      </c>
      <c r="S125">
        <v>6.71</v>
      </c>
      <c r="T125">
        <v>4.84</v>
      </c>
      <c r="U125">
        <v>3.68</v>
      </c>
    </row>
    <row r="126" spans="1:21" x14ac:dyDescent="0.25">
      <c r="A126" t="s">
        <v>878</v>
      </c>
      <c r="O126">
        <v>2.98</v>
      </c>
      <c r="P126">
        <v>5.91</v>
      </c>
      <c r="Q126">
        <v>5.39</v>
      </c>
      <c r="R126">
        <v>5.6</v>
      </c>
      <c r="S126">
        <v>5.1100000000000003</v>
      </c>
      <c r="T126">
        <v>5.14</v>
      </c>
      <c r="U126">
        <v>4.7300000000000004</v>
      </c>
    </row>
    <row r="127" spans="1:21" x14ac:dyDescent="0.25">
      <c r="A127" t="s">
        <v>874</v>
      </c>
      <c r="C127">
        <v>90</v>
      </c>
      <c r="G127">
        <v>63</v>
      </c>
      <c r="H127">
        <v>86</v>
      </c>
      <c r="I127">
        <v>168</v>
      </c>
      <c r="J127">
        <v>216</v>
      </c>
      <c r="K127">
        <v>318</v>
      </c>
      <c r="L127">
        <v>442</v>
      </c>
      <c r="M127">
        <v>713</v>
      </c>
      <c r="N127">
        <v>975</v>
      </c>
      <c r="O127" s="2">
        <v>1337.32</v>
      </c>
      <c r="P127" s="2">
        <v>1822.51</v>
      </c>
      <c r="Q127" s="2">
        <v>2561.4299999999998</v>
      </c>
      <c r="R127" s="2">
        <v>2754.34</v>
      </c>
      <c r="S127" s="2">
        <v>3496.32</v>
      </c>
      <c r="T127" s="2">
        <v>4671.79</v>
      </c>
      <c r="U127" s="2">
        <v>6759.58</v>
      </c>
    </row>
    <row r="128" spans="1:21" x14ac:dyDescent="0.25">
      <c r="A128" t="s">
        <v>854</v>
      </c>
      <c r="B128">
        <v>921</v>
      </c>
      <c r="C128" s="2">
        <v>1374</v>
      </c>
      <c r="D128" s="2">
        <v>1830</v>
      </c>
      <c r="E128" s="2">
        <v>2588</v>
      </c>
      <c r="F128" s="2">
        <v>4063</v>
      </c>
      <c r="G128" s="2">
        <v>5430</v>
      </c>
      <c r="H128" s="2">
        <v>6871</v>
      </c>
      <c r="I128" s="2">
        <v>7749</v>
      </c>
      <c r="J128" s="2">
        <v>11558</v>
      </c>
      <c r="K128" s="2">
        <v>12734</v>
      </c>
      <c r="L128" s="2">
        <v>15856</v>
      </c>
      <c r="M128" s="2">
        <v>20826</v>
      </c>
      <c r="N128" s="2">
        <v>26547</v>
      </c>
      <c r="O128" s="2">
        <v>34547.53</v>
      </c>
      <c r="P128" s="2">
        <v>41755.129999999997</v>
      </c>
      <c r="Q128" s="2">
        <v>50077.21</v>
      </c>
      <c r="R128" s="2">
        <v>60126.23</v>
      </c>
      <c r="S128" s="2">
        <v>70415.97</v>
      </c>
      <c r="T128" s="2">
        <v>88517.21</v>
      </c>
      <c r="U128" s="2">
        <v>94783.23</v>
      </c>
    </row>
    <row r="129" spans="1:21" x14ac:dyDescent="0.25">
      <c r="A129" t="s">
        <v>833</v>
      </c>
      <c r="C129" s="2">
        <v>1335</v>
      </c>
      <c r="E129" s="2">
        <v>2562</v>
      </c>
      <c r="G129" s="2">
        <v>5406</v>
      </c>
      <c r="H129" s="2">
        <v>6842</v>
      </c>
      <c r="I129" s="2">
        <v>7685</v>
      </c>
      <c r="J129" s="2">
        <v>11447</v>
      </c>
      <c r="K129" s="2">
        <v>12542</v>
      </c>
      <c r="L129" s="2">
        <v>15477</v>
      </c>
      <c r="M129" s="2">
        <v>20122</v>
      </c>
      <c r="N129" s="2">
        <v>25448</v>
      </c>
      <c r="O129" s="2">
        <v>33158.519999999997</v>
      </c>
      <c r="P129" s="2">
        <v>40704.129999999997</v>
      </c>
      <c r="Q129" s="2">
        <v>48888.57</v>
      </c>
      <c r="R129" s="2">
        <v>59086.2</v>
      </c>
      <c r="S129" s="2">
        <v>68483.88</v>
      </c>
      <c r="T129" s="2">
        <v>87801.97</v>
      </c>
      <c r="U129" s="2">
        <v>108682.97</v>
      </c>
    </row>
    <row r="130" spans="1:21" x14ac:dyDescent="0.25">
      <c r="A130" t="s">
        <v>879</v>
      </c>
      <c r="O130">
        <v>13</v>
      </c>
      <c r="P130">
        <v>9.5500000000000007</v>
      </c>
      <c r="Q130">
        <v>8.2100000000000009</v>
      </c>
      <c r="R130">
        <v>7.67</v>
      </c>
      <c r="S130">
        <v>7.15</v>
      </c>
      <c r="T130">
        <v>6.32</v>
      </c>
      <c r="U130">
        <v>5.76</v>
      </c>
    </row>
    <row r="131" spans="1:21" x14ac:dyDescent="0.25">
      <c r="A131" t="s">
        <v>880</v>
      </c>
      <c r="O131">
        <v>17</v>
      </c>
      <c r="P131">
        <v>12.22</v>
      </c>
      <c r="Q131">
        <v>10.65</v>
      </c>
      <c r="R131">
        <v>8.83</v>
      </c>
      <c r="S131">
        <v>7.86</v>
      </c>
      <c r="T131">
        <v>6.83</v>
      </c>
      <c r="U131">
        <v>6.06</v>
      </c>
    </row>
    <row r="132" spans="1:21" x14ac:dyDescent="0.25">
      <c r="A132" t="s">
        <v>874</v>
      </c>
      <c r="C132">
        <v>39</v>
      </c>
      <c r="E132">
        <v>26</v>
      </c>
      <c r="G132">
        <v>24</v>
      </c>
      <c r="H132">
        <v>29</v>
      </c>
      <c r="I132">
        <v>64</v>
      </c>
      <c r="J132">
        <v>84</v>
      </c>
      <c r="K132">
        <v>192</v>
      </c>
      <c r="L132">
        <v>379</v>
      </c>
      <c r="M132">
        <v>704</v>
      </c>
      <c r="N132" s="2">
        <v>1099</v>
      </c>
      <c r="O132" s="2">
        <v>1794.05</v>
      </c>
      <c r="P132" s="2">
        <v>2495.0500000000002</v>
      </c>
      <c r="Q132" s="2">
        <v>3536.77</v>
      </c>
      <c r="R132" s="2">
        <v>3943.27</v>
      </c>
      <c r="S132" s="2">
        <v>5097.2299999999996</v>
      </c>
      <c r="T132" s="2">
        <v>6863.37</v>
      </c>
      <c r="U132" s="2">
        <v>9678.0499999999993</v>
      </c>
    </row>
    <row r="133" spans="1:21" x14ac:dyDescent="0.25">
      <c r="A133" t="s">
        <v>17</v>
      </c>
    </row>
    <row r="134" spans="1:21" x14ac:dyDescent="0.25">
      <c r="A134" t="s">
        <v>79</v>
      </c>
    </row>
    <row r="135" spans="1:21" x14ac:dyDescent="0.25">
      <c r="A135" t="s">
        <v>80</v>
      </c>
      <c r="B135" s="2">
        <v>7872</v>
      </c>
      <c r="C135" s="2">
        <v>12466</v>
      </c>
      <c r="D135" s="2">
        <v>17928</v>
      </c>
      <c r="E135" s="2">
        <v>27638</v>
      </c>
      <c r="F135" s="2">
        <v>40653</v>
      </c>
      <c r="G135" s="2">
        <v>55838</v>
      </c>
      <c r="H135" s="2">
        <v>70697</v>
      </c>
      <c r="I135" s="2">
        <v>85965</v>
      </c>
      <c r="J135" s="2">
        <v>117929</v>
      </c>
      <c r="K135" s="2">
        <v>116609</v>
      </c>
      <c r="L135" s="2">
        <v>134902</v>
      </c>
      <c r="M135" s="2">
        <v>164501</v>
      </c>
      <c r="N135" s="2">
        <v>200966</v>
      </c>
      <c r="O135" s="2">
        <v>254214.44</v>
      </c>
      <c r="P135" s="2">
        <v>305887.81</v>
      </c>
      <c r="Q135" s="2">
        <v>362466.98</v>
      </c>
      <c r="R135" s="2">
        <v>418647.5</v>
      </c>
      <c r="S135" s="2">
        <v>468434.68</v>
      </c>
      <c r="T135" s="2">
        <v>535884.09</v>
      </c>
      <c r="U135" s="2">
        <v>593177.25</v>
      </c>
    </row>
    <row r="136" spans="1:21" x14ac:dyDescent="0.25">
      <c r="A136" t="s">
        <v>81</v>
      </c>
      <c r="B136" s="2">
        <v>6986</v>
      </c>
      <c r="C136" s="2">
        <v>11492</v>
      </c>
      <c r="D136" s="2">
        <v>17079</v>
      </c>
      <c r="E136" s="2">
        <v>26885</v>
      </c>
      <c r="F136" s="2">
        <v>39942</v>
      </c>
      <c r="G136" s="2">
        <v>55013</v>
      </c>
      <c r="H136" s="2">
        <v>69655</v>
      </c>
      <c r="I136" s="2">
        <v>84169</v>
      </c>
      <c r="J136" s="2">
        <v>114934</v>
      </c>
      <c r="K136" s="2">
        <v>113642</v>
      </c>
      <c r="L136" s="2">
        <v>131948</v>
      </c>
      <c r="M136" s="2">
        <v>160633</v>
      </c>
      <c r="N136" s="2">
        <v>196175</v>
      </c>
      <c r="O136" s="2">
        <v>250877.94</v>
      </c>
      <c r="P136" s="2">
        <v>303991.23</v>
      </c>
      <c r="Q136" s="2">
        <v>348365.25</v>
      </c>
      <c r="R136" s="2">
        <v>396712.97</v>
      </c>
      <c r="S136" s="2">
        <v>452256.95</v>
      </c>
      <c r="T136" s="2">
        <v>495205.66</v>
      </c>
    </row>
    <row r="137" spans="1:21" x14ac:dyDescent="0.25">
      <c r="A137" t="s">
        <v>881</v>
      </c>
      <c r="B137">
        <v>886</v>
      </c>
      <c r="C137">
        <v>974</v>
      </c>
      <c r="D137">
        <v>849</v>
      </c>
      <c r="E137">
        <v>753</v>
      </c>
      <c r="F137">
        <v>711</v>
      </c>
      <c r="G137">
        <v>825</v>
      </c>
      <c r="H137" s="2">
        <v>1042</v>
      </c>
      <c r="I137" s="2">
        <v>1796</v>
      </c>
      <c r="J137" s="2">
        <v>2995</v>
      </c>
      <c r="K137" s="2">
        <v>2967</v>
      </c>
      <c r="L137" s="2">
        <v>2954</v>
      </c>
      <c r="M137" s="2">
        <v>3868</v>
      </c>
      <c r="N137" s="2">
        <v>4791</v>
      </c>
      <c r="O137" s="2">
        <v>6824.03</v>
      </c>
      <c r="P137" s="2">
        <v>10324.530000000001</v>
      </c>
      <c r="Q137" s="2">
        <v>16340.06</v>
      </c>
      <c r="R137" s="2">
        <v>22696.82</v>
      </c>
      <c r="S137" s="2">
        <v>30029.53</v>
      </c>
      <c r="T137" s="2">
        <v>26548.34</v>
      </c>
      <c r="U137" s="2">
        <v>38383.79</v>
      </c>
    </row>
    <row r="138" spans="1:21" x14ac:dyDescent="0.25">
      <c r="A138" t="s">
        <v>17</v>
      </c>
    </row>
    <row r="139" spans="1:21" x14ac:dyDescent="0.25">
      <c r="A139" t="s">
        <v>82</v>
      </c>
      <c r="B139" s="2">
        <v>1875</v>
      </c>
      <c r="C139" s="2">
        <v>2153</v>
      </c>
      <c r="D139" s="2">
        <v>2867</v>
      </c>
      <c r="E139" s="2">
        <v>3789</v>
      </c>
      <c r="F139" s="2">
        <v>5454</v>
      </c>
      <c r="G139" s="2">
        <v>9355</v>
      </c>
      <c r="H139" s="2">
        <v>12770</v>
      </c>
      <c r="I139" s="2">
        <v>16692</v>
      </c>
      <c r="J139" s="2">
        <v>22649</v>
      </c>
      <c r="K139" s="2">
        <v>25249</v>
      </c>
      <c r="L139" s="2">
        <v>25959</v>
      </c>
      <c r="M139" s="2">
        <v>30161</v>
      </c>
      <c r="N139" s="2">
        <v>36175</v>
      </c>
      <c r="O139" s="2">
        <v>49288.6</v>
      </c>
      <c r="P139" s="2">
        <v>63952.42</v>
      </c>
      <c r="Q139" s="2">
        <v>79758.61</v>
      </c>
      <c r="R139" s="2">
        <v>92105.1</v>
      </c>
      <c r="S139" s="2">
        <v>106218.33</v>
      </c>
      <c r="T139" s="2">
        <v>118066.79</v>
      </c>
      <c r="U139" s="2">
        <v>135819.64000000001</v>
      </c>
    </row>
    <row r="140" spans="1:21" x14ac:dyDescent="0.25">
      <c r="A140" t="s">
        <v>83</v>
      </c>
      <c r="B140">
        <v>23.82</v>
      </c>
      <c r="C140">
        <v>17.27</v>
      </c>
      <c r="D140">
        <v>15.99</v>
      </c>
      <c r="E140">
        <v>13.71</v>
      </c>
      <c r="F140">
        <v>13.42</v>
      </c>
      <c r="G140">
        <v>16.75</v>
      </c>
      <c r="H140">
        <v>18.059999999999999</v>
      </c>
      <c r="I140">
        <v>19.420000000000002</v>
      </c>
      <c r="J140">
        <v>19.21</v>
      </c>
      <c r="K140">
        <v>21.65</v>
      </c>
      <c r="L140">
        <v>19.239999999999998</v>
      </c>
      <c r="M140">
        <v>18.329999999999998</v>
      </c>
      <c r="N140">
        <v>18</v>
      </c>
      <c r="O140">
        <v>19.53</v>
      </c>
      <c r="P140">
        <v>21.01</v>
      </c>
      <c r="Q140">
        <v>22.1</v>
      </c>
      <c r="R140">
        <v>21.62</v>
      </c>
      <c r="S140">
        <v>22.11</v>
      </c>
      <c r="T140">
        <v>21.62</v>
      </c>
      <c r="U140">
        <v>22.66</v>
      </c>
    </row>
    <row r="141" spans="1:21" x14ac:dyDescent="0.25">
      <c r="A141" t="s">
        <v>882</v>
      </c>
      <c r="B141" s="2">
        <v>1875</v>
      </c>
      <c r="C141" s="2">
        <v>2153</v>
      </c>
      <c r="D141" s="2">
        <v>2867</v>
      </c>
      <c r="E141" s="2">
        <v>3789</v>
      </c>
      <c r="F141" s="2">
        <v>5454</v>
      </c>
      <c r="G141" s="2">
        <v>9355</v>
      </c>
      <c r="H141" s="2">
        <v>12770</v>
      </c>
      <c r="I141" s="2">
        <v>16692</v>
      </c>
      <c r="J141" s="2">
        <v>22649</v>
      </c>
      <c r="K141" s="2">
        <v>25249</v>
      </c>
      <c r="L141" s="2">
        <v>25959</v>
      </c>
      <c r="M141" s="2">
        <v>30161</v>
      </c>
      <c r="N141" s="2">
        <v>36175</v>
      </c>
      <c r="O141" s="2">
        <v>48628.58</v>
      </c>
      <c r="P141" s="2">
        <v>63712.91</v>
      </c>
      <c r="Q141" s="2">
        <v>81494.84</v>
      </c>
      <c r="R141" s="2">
        <v>88885.22</v>
      </c>
      <c r="S141" s="2">
        <v>102307.59</v>
      </c>
      <c r="T141" s="2">
        <v>112756.26</v>
      </c>
      <c r="U141" s="2">
        <v>135576.57999999999</v>
      </c>
    </row>
    <row r="142" spans="1:21" x14ac:dyDescent="0.25">
      <c r="A142" t="s">
        <v>17</v>
      </c>
    </row>
    <row r="143" spans="1:21" x14ac:dyDescent="0.25">
      <c r="A143" t="s">
        <v>84</v>
      </c>
      <c r="B143" s="2">
        <v>5997</v>
      </c>
      <c r="C143" s="2">
        <v>10313</v>
      </c>
      <c r="D143" s="2">
        <v>15061</v>
      </c>
      <c r="E143" s="2">
        <v>23849</v>
      </c>
      <c r="F143" s="2">
        <v>35199</v>
      </c>
      <c r="G143" s="2">
        <v>46483</v>
      </c>
      <c r="H143" s="2">
        <v>57927</v>
      </c>
      <c r="I143" s="2">
        <v>69273</v>
      </c>
      <c r="J143" s="2">
        <v>95280</v>
      </c>
      <c r="K143" s="2">
        <v>91360</v>
      </c>
      <c r="L143" s="2">
        <v>108943</v>
      </c>
      <c r="M143" s="2">
        <v>134340</v>
      </c>
      <c r="N143" s="2">
        <v>164791</v>
      </c>
      <c r="O143" s="2">
        <v>207317.29</v>
      </c>
      <c r="P143" s="2">
        <v>243693.33</v>
      </c>
      <c r="Q143" s="2">
        <v>278527.03000000003</v>
      </c>
      <c r="R143" s="2">
        <v>315510.55</v>
      </c>
      <c r="S143" s="2">
        <v>356164.05</v>
      </c>
      <c r="T143" s="2">
        <v>397686.13</v>
      </c>
      <c r="U143" s="2">
        <v>455906.06</v>
      </c>
    </row>
    <row r="144" spans="1:21" x14ac:dyDescent="0.25">
      <c r="A144" t="s">
        <v>85</v>
      </c>
      <c r="B144">
        <v>76.73</v>
      </c>
      <c r="C144">
        <v>83.45</v>
      </c>
      <c r="D144">
        <v>85.5</v>
      </c>
      <c r="E144">
        <v>87.47</v>
      </c>
      <c r="F144">
        <v>86.58</v>
      </c>
      <c r="G144">
        <v>83.25</v>
      </c>
      <c r="H144">
        <v>81.94</v>
      </c>
      <c r="I144">
        <v>80.58</v>
      </c>
      <c r="J144">
        <v>80.790000000000006</v>
      </c>
      <c r="K144">
        <v>78.349999999999994</v>
      </c>
      <c r="L144">
        <v>80.75</v>
      </c>
      <c r="M144">
        <v>81.67</v>
      </c>
      <c r="N144">
        <v>82</v>
      </c>
      <c r="O144">
        <v>80.81</v>
      </c>
      <c r="P144">
        <v>79.22</v>
      </c>
      <c r="Q144">
        <v>77.84</v>
      </c>
      <c r="R144">
        <v>77.540000000000006</v>
      </c>
      <c r="S144">
        <v>76.94</v>
      </c>
      <c r="T144">
        <v>76.959999999999994</v>
      </c>
      <c r="U144">
        <v>75.900000000000006</v>
      </c>
    </row>
    <row r="145" spans="1:21" x14ac:dyDescent="0.25">
      <c r="A145" t="s">
        <v>17</v>
      </c>
    </row>
    <row r="146" spans="1:21" x14ac:dyDescent="0.25">
      <c r="A146" t="s">
        <v>840</v>
      </c>
      <c r="B146" s="2">
        <v>5068</v>
      </c>
      <c r="C146" s="2">
        <v>7472</v>
      </c>
      <c r="D146" s="2">
        <v>11703</v>
      </c>
      <c r="E146" s="2">
        <v>15211</v>
      </c>
      <c r="F146" s="2">
        <v>20450</v>
      </c>
      <c r="G146" s="2">
        <v>30925</v>
      </c>
      <c r="H146" s="2">
        <v>46711</v>
      </c>
      <c r="I146" s="2">
        <v>53294</v>
      </c>
      <c r="J146" s="2">
        <v>71176</v>
      </c>
      <c r="K146" s="2">
        <v>87665</v>
      </c>
      <c r="L146" s="2">
        <v>88151</v>
      </c>
      <c r="M146" s="2">
        <v>95121</v>
      </c>
      <c r="N146" s="2">
        <v>117690</v>
      </c>
      <c r="O146" s="2">
        <v>168100.95</v>
      </c>
      <c r="P146" s="2">
        <v>202719.23</v>
      </c>
      <c r="Q146" s="2">
        <v>239331.55</v>
      </c>
      <c r="R146" s="2">
        <v>266519.21000000002</v>
      </c>
      <c r="S146" s="2">
        <v>295269.26</v>
      </c>
      <c r="T146" s="2">
        <v>334202.61</v>
      </c>
      <c r="U146" s="2">
        <v>356973.59</v>
      </c>
    </row>
    <row r="147" spans="1:21" x14ac:dyDescent="0.25">
      <c r="A147" t="s">
        <v>87</v>
      </c>
      <c r="B147" s="2">
        <v>3193</v>
      </c>
      <c r="C147" s="2">
        <v>5319</v>
      </c>
      <c r="D147" s="2">
        <v>8836</v>
      </c>
      <c r="E147" s="2">
        <v>11422</v>
      </c>
      <c r="F147" s="2">
        <v>14996</v>
      </c>
      <c r="G147" s="2">
        <v>21570</v>
      </c>
      <c r="H147" s="2">
        <v>33941</v>
      </c>
      <c r="I147" s="2">
        <v>36602</v>
      </c>
      <c r="J147" s="2">
        <v>48527</v>
      </c>
      <c r="K147" s="2">
        <v>62416</v>
      </c>
      <c r="L147" s="2">
        <v>62192</v>
      </c>
      <c r="M147" s="2">
        <v>64960</v>
      </c>
      <c r="N147" s="2">
        <v>81515</v>
      </c>
      <c r="O147" s="2">
        <v>118941.29</v>
      </c>
      <c r="P147" s="2">
        <v>137890.65</v>
      </c>
      <c r="Q147" s="2">
        <v>158406.96</v>
      </c>
      <c r="R147" s="2">
        <v>172822.38</v>
      </c>
      <c r="S147" s="2">
        <v>190263.49</v>
      </c>
      <c r="T147" s="2">
        <v>217599.04</v>
      </c>
      <c r="U147" s="2">
        <v>217304.85</v>
      </c>
    </row>
    <row r="148" spans="1:21" x14ac:dyDescent="0.25">
      <c r="A148" t="s">
        <v>61</v>
      </c>
      <c r="B148">
        <v>40.56</v>
      </c>
      <c r="C148">
        <v>42.67</v>
      </c>
      <c r="D148">
        <v>49.29</v>
      </c>
      <c r="E148">
        <v>41.33</v>
      </c>
      <c r="F148">
        <v>36.89</v>
      </c>
      <c r="G148">
        <v>38.630000000000003</v>
      </c>
      <c r="H148">
        <v>48.01</v>
      </c>
      <c r="I148">
        <v>42.58</v>
      </c>
      <c r="J148">
        <v>41.15</v>
      </c>
      <c r="K148">
        <v>53.53</v>
      </c>
      <c r="L148">
        <v>46.1</v>
      </c>
      <c r="M148">
        <v>39.49</v>
      </c>
      <c r="N148">
        <v>40.56</v>
      </c>
      <c r="O148">
        <v>46.87</v>
      </c>
      <c r="P148">
        <v>44.86</v>
      </c>
      <c r="Q148">
        <v>44.08</v>
      </c>
      <c r="R148">
        <v>42.54</v>
      </c>
      <c r="S148">
        <v>41.56</v>
      </c>
      <c r="T148">
        <v>42.1</v>
      </c>
      <c r="U148">
        <v>37.74</v>
      </c>
    </row>
    <row r="149" spans="1:21" x14ac:dyDescent="0.25">
      <c r="A149" t="s">
        <v>113</v>
      </c>
      <c r="B149">
        <v>997</v>
      </c>
      <c r="C149" s="2">
        <v>1680</v>
      </c>
      <c r="D149" s="2">
        <v>2725</v>
      </c>
      <c r="E149" s="2">
        <v>3772</v>
      </c>
      <c r="F149" s="2">
        <v>4725</v>
      </c>
      <c r="G149" s="2">
        <v>7846</v>
      </c>
      <c r="H149" s="2">
        <v>9876</v>
      </c>
      <c r="I149" s="2">
        <v>11591</v>
      </c>
      <c r="J149" s="2">
        <v>14043</v>
      </c>
      <c r="K149" s="2">
        <v>15262</v>
      </c>
      <c r="L149" s="2">
        <v>12301</v>
      </c>
      <c r="M149" s="2">
        <v>11347</v>
      </c>
      <c r="N149" s="2">
        <v>11991</v>
      </c>
      <c r="O149" s="2">
        <v>14345.01</v>
      </c>
      <c r="P149" s="2">
        <v>17191.28</v>
      </c>
      <c r="Q149" s="2">
        <v>18729.55</v>
      </c>
      <c r="R149" s="2">
        <v>20425.48</v>
      </c>
      <c r="S149" s="2">
        <v>22752.09</v>
      </c>
      <c r="T149" s="2">
        <v>25941.74</v>
      </c>
      <c r="U149" s="2">
        <v>26946.76</v>
      </c>
    </row>
    <row r="150" spans="1:21" x14ac:dyDescent="0.25">
      <c r="A150" t="s">
        <v>114</v>
      </c>
      <c r="B150" s="2">
        <v>1415</v>
      </c>
      <c r="C150" s="2">
        <v>2666</v>
      </c>
      <c r="D150" s="2">
        <v>4816</v>
      </c>
      <c r="E150" s="2">
        <v>5919</v>
      </c>
      <c r="F150" s="2">
        <v>7754</v>
      </c>
      <c r="G150" s="2">
        <v>10273</v>
      </c>
      <c r="H150" s="2">
        <v>13600</v>
      </c>
      <c r="I150" s="2">
        <v>18447</v>
      </c>
      <c r="J150" s="2">
        <v>24655</v>
      </c>
      <c r="K150" s="2">
        <v>35338</v>
      </c>
      <c r="L150" s="2">
        <v>38483</v>
      </c>
      <c r="M150" s="2">
        <v>43873</v>
      </c>
      <c r="N150" s="2">
        <v>57372</v>
      </c>
      <c r="O150" s="2">
        <v>86265.48</v>
      </c>
      <c r="P150" s="2">
        <v>101970.52</v>
      </c>
      <c r="Q150" s="2">
        <v>118153.07</v>
      </c>
      <c r="R150" s="2">
        <v>132150.82999999999</v>
      </c>
      <c r="S150" s="2">
        <v>145214.5</v>
      </c>
      <c r="T150" s="2">
        <v>161144.97</v>
      </c>
      <c r="U150" s="2">
        <v>167509.85</v>
      </c>
    </row>
    <row r="151" spans="1:21" x14ac:dyDescent="0.25">
      <c r="A151" t="s">
        <v>115</v>
      </c>
      <c r="B151">
        <v>781</v>
      </c>
      <c r="C151">
        <v>973</v>
      </c>
      <c r="D151" s="2">
        <v>1295</v>
      </c>
      <c r="E151" s="2">
        <v>1731</v>
      </c>
      <c r="F151" s="2">
        <v>2517</v>
      </c>
      <c r="G151" s="2">
        <v>3451</v>
      </c>
      <c r="H151" s="2">
        <v>10465</v>
      </c>
      <c r="I151" s="2">
        <v>6564</v>
      </c>
      <c r="J151" s="2">
        <v>9829</v>
      </c>
      <c r="K151" s="2">
        <v>11816</v>
      </c>
      <c r="L151" s="2">
        <v>11408</v>
      </c>
      <c r="M151" s="2">
        <v>9740</v>
      </c>
      <c r="N151" s="2">
        <v>12152</v>
      </c>
      <c r="O151" s="2">
        <v>17124.18</v>
      </c>
      <c r="P151" s="2">
        <v>17171.580000000002</v>
      </c>
      <c r="Q151" s="2">
        <v>18080.11</v>
      </c>
      <c r="R151" s="2">
        <v>20045.95</v>
      </c>
      <c r="S151" s="2">
        <v>21812.49</v>
      </c>
      <c r="T151" s="2">
        <v>25555.54</v>
      </c>
      <c r="U151" s="2">
        <v>26157.71</v>
      </c>
    </row>
    <row r="152" spans="1:21" x14ac:dyDescent="0.25">
      <c r="A152" t="s">
        <v>17</v>
      </c>
    </row>
    <row r="153" spans="1:21" x14ac:dyDescent="0.25">
      <c r="A153" t="s">
        <v>883</v>
      </c>
      <c r="B153" s="2">
        <v>2804</v>
      </c>
      <c r="C153" s="2">
        <v>4994</v>
      </c>
      <c r="D153" s="2">
        <v>6225</v>
      </c>
      <c r="E153" s="2">
        <v>12427</v>
      </c>
      <c r="F153" s="2">
        <v>20203</v>
      </c>
      <c r="G153" s="2">
        <v>24913</v>
      </c>
      <c r="H153" s="2">
        <v>23986</v>
      </c>
      <c r="I153" s="2">
        <v>32671</v>
      </c>
      <c r="J153" s="2">
        <v>46753</v>
      </c>
      <c r="K153" s="2">
        <v>28944</v>
      </c>
      <c r="L153" s="2">
        <v>46751</v>
      </c>
      <c r="M153" s="2">
        <v>69380</v>
      </c>
      <c r="N153" s="2">
        <v>83276</v>
      </c>
      <c r="O153" s="2">
        <v>86818.31</v>
      </c>
      <c r="P153" s="2">
        <v>104650.97</v>
      </c>
      <c r="Q153" s="2">
        <v>126026.86</v>
      </c>
      <c r="R153" s="2">
        <v>165150.10999999999</v>
      </c>
      <c r="S153" s="2">
        <v>176088.19</v>
      </c>
      <c r="T153" s="2">
        <v>191852.19</v>
      </c>
      <c r="U153" s="2">
        <v>217800.13</v>
      </c>
    </row>
    <row r="154" spans="1:21" x14ac:dyDescent="0.25">
      <c r="A154" t="s">
        <v>92</v>
      </c>
      <c r="B154">
        <v>35.619999999999997</v>
      </c>
      <c r="C154">
        <v>40.06</v>
      </c>
      <c r="D154">
        <v>34.72</v>
      </c>
      <c r="E154">
        <v>44.96</v>
      </c>
      <c r="F154">
        <v>49.7</v>
      </c>
      <c r="G154">
        <v>44.62</v>
      </c>
      <c r="H154">
        <v>33.93</v>
      </c>
      <c r="I154">
        <v>38.01</v>
      </c>
      <c r="J154">
        <v>39.65</v>
      </c>
      <c r="K154">
        <v>24.82</v>
      </c>
      <c r="L154">
        <v>34.659999999999997</v>
      </c>
      <c r="M154">
        <v>42.18</v>
      </c>
      <c r="N154">
        <v>41.44</v>
      </c>
      <c r="O154">
        <v>34.020000000000003</v>
      </c>
      <c r="P154">
        <v>33.99</v>
      </c>
      <c r="Q154">
        <v>34.04</v>
      </c>
      <c r="R154">
        <v>35.9</v>
      </c>
      <c r="S154">
        <v>36.33</v>
      </c>
      <c r="T154">
        <v>37.5</v>
      </c>
      <c r="U154">
        <v>39.49</v>
      </c>
    </row>
    <row r="155" spans="1:21" x14ac:dyDescent="0.25">
      <c r="A155" t="s">
        <v>17</v>
      </c>
    </row>
    <row r="156" spans="1:21" x14ac:dyDescent="0.25">
      <c r="A156" t="s">
        <v>93</v>
      </c>
      <c r="B156" s="2">
        <v>1011</v>
      </c>
      <c r="C156" s="2">
        <v>1243</v>
      </c>
      <c r="D156" s="2">
        <v>1945</v>
      </c>
      <c r="E156" s="2">
        <v>2342</v>
      </c>
      <c r="F156" s="2">
        <v>3025</v>
      </c>
      <c r="G156" s="2">
        <v>4315</v>
      </c>
      <c r="H156" s="2">
        <v>5741</v>
      </c>
      <c r="I156" s="2">
        <v>6862</v>
      </c>
      <c r="J156" s="2">
        <v>7967</v>
      </c>
      <c r="K156" s="2">
        <v>8686</v>
      </c>
      <c r="L156" s="2">
        <v>11178</v>
      </c>
      <c r="M156" s="2">
        <v>15498</v>
      </c>
      <c r="N156" s="2">
        <v>18616</v>
      </c>
      <c r="O156" s="2">
        <v>28594.25</v>
      </c>
      <c r="P156" s="2">
        <v>44471.29</v>
      </c>
      <c r="Q156" s="2">
        <v>64496.02</v>
      </c>
      <c r="R156" s="2">
        <v>85747.49</v>
      </c>
      <c r="S156" s="2">
        <v>103104.92</v>
      </c>
      <c r="T156" s="2">
        <v>117641.04</v>
      </c>
      <c r="U156" s="2">
        <v>137243.23000000001</v>
      </c>
    </row>
    <row r="157" spans="1:21" x14ac:dyDescent="0.25">
      <c r="A157" t="s">
        <v>83</v>
      </c>
      <c r="B157">
        <v>12.84</v>
      </c>
      <c r="C157">
        <v>9.9700000000000006</v>
      </c>
      <c r="D157">
        <v>10.85</v>
      </c>
      <c r="E157">
        <v>8.4700000000000006</v>
      </c>
      <c r="F157">
        <v>7.44</v>
      </c>
      <c r="G157">
        <v>7.73</v>
      </c>
      <c r="H157">
        <v>8.1199999999999992</v>
      </c>
      <c r="I157">
        <v>7.98</v>
      </c>
      <c r="J157">
        <v>6.76</v>
      </c>
      <c r="K157">
        <v>7.45</v>
      </c>
      <c r="L157">
        <v>8.2899999999999991</v>
      </c>
      <c r="M157">
        <v>9.42</v>
      </c>
      <c r="N157">
        <v>9.26</v>
      </c>
      <c r="O157">
        <v>11.47</v>
      </c>
      <c r="P157">
        <v>14.56</v>
      </c>
      <c r="Q157">
        <v>17.55</v>
      </c>
      <c r="R157">
        <v>19.72</v>
      </c>
      <c r="S157">
        <v>22.14</v>
      </c>
      <c r="T157">
        <v>18.21</v>
      </c>
      <c r="U157">
        <v>18.46</v>
      </c>
    </row>
    <row r="158" spans="1:21" x14ac:dyDescent="0.25">
      <c r="A158" t="s">
        <v>884</v>
      </c>
      <c r="B158">
        <v>857</v>
      </c>
      <c r="C158">
        <v>923</v>
      </c>
      <c r="D158" s="2">
        <v>1220</v>
      </c>
      <c r="E158" s="2">
        <v>1590</v>
      </c>
      <c r="F158" s="2">
        <v>2330</v>
      </c>
      <c r="G158" s="2">
        <v>3680</v>
      </c>
      <c r="H158" s="2">
        <v>5180</v>
      </c>
      <c r="I158" s="2">
        <v>6389</v>
      </c>
      <c r="J158" s="2">
        <v>7560</v>
      </c>
      <c r="K158" s="2">
        <v>8501</v>
      </c>
      <c r="L158" s="2">
        <v>11017</v>
      </c>
      <c r="M158" s="2">
        <v>15287</v>
      </c>
      <c r="N158" s="2">
        <v>18001</v>
      </c>
      <c r="O158" s="2">
        <v>27737.66</v>
      </c>
      <c r="P158" s="2">
        <v>46368.29</v>
      </c>
      <c r="Q158" s="2">
        <v>66547.77</v>
      </c>
      <c r="R158" s="2">
        <v>79569.48</v>
      </c>
      <c r="S158" s="2">
        <v>96094.34</v>
      </c>
      <c r="T158" s="2">
        <v>103273.19</v>
      </c>
      <c r="U158" s="2">
        <v>103142.14</v>
      </c>
    </row>
    <row r="159" spans="1:21" x14ac:dyDescent="0.25">
      <c r="A159" t="s">
        <v>885</v>
      </c>
      <c r="B159">
        <v>145</v>
      </c>
      <c r="C159">
        <v>319</v>
      </c>
      <c r="D159">
        <v>730</v>
      </c>
      <c r="E159">
        <v>751</v>
      </c>
      <c r="F159">
        <v>692</v>
      </c>
      <c r="G159">
        <v>640</v>
      </c>
      <c r="H159">
        <v>562</v>
      </c>
      <c r="I159">
        <v>473</v>
      </c>
      <c r="J159">
        <v>407</v>
      </c>
      <c r="K159">
        <v>185</v>
      </c>
      <c r="L159">
        <v>161</v>
      </c>
      <c r="M159">
        <v>211</v>
      </c>
      <c r="N159">
        <v>615</v>
      </c>
      <c r="O159">
        <v>965.09</v>
      </c>
      <c r="P159" s="2">
        <v>1136.28</v>
      </c>
      <c r="Q159" s="2">
        <v>1233.58</v>
      </c>
      <c r="R159" s="2">
        <v>1803.9</v>
      </c>
      <c r="S159" s="2">
        <v>2110.75</v>
      </c>
      <c r="T159" s="2">
        <v>2369.59</v>
      </c>
      <c r="U159" s="2">
        <v>2576.7800000000002</v>
      </c>
    </row>
    <row r="160" spans="1:21" x14ac:dyDescent="0.25">
      <c r="A160" t="s">
        <v>277</v>
      </c>
      <c r="B160" s="2">
        <v>4814</v>
      </c>
      <c r="C160" s="2">
        <v>8131</v>
      </c>
      <c r="D160" s="2">
        <v>11216</v>
      </c>
      <c r="E160" s="2">
        <v>18085</v>
      </c>
      <c r="F160" s="2">
        <v>26951</v>
      </c>
      <c r="G160" s="2">
        <v>33380</v>
      </c>
      <c r="H160" s="2">
        <v>40663</v>
      </c>
      <c r="I160" s="2">
        <v>46069</v>
      </c>
      <c r="J160" s="2">
        <v>63884</v>
      </c>
      <c r="K160" s="2">
        <v>37630</v>
      </c>
      <c r="L160" s="2">
        <v>57929</v>
      </c>
      <c r="M160" s="2">
        <v>84878</v>
      </c>
      <c r="N160" s="2">
        <v>101892</v>
      </c>
      <c r="O160" s="2">
        <v>121049.65</v>
      </c>
      <c r="P160" s="2">
        <v>155649.4</v>
      </c>
      <c r="Q160" s="2">
        <v>199636.95</v>
      </c>
      <c r="R160" s="2">
        <v>238854.64</v>
      </c>
      <c r="S160" s="2">
        <v>271385.90000000002</v>
      </c>
      <c r="T160" s="2">
        <v>290802.67</v>
      </c>
      <c r="U160" s="2">
        <v>307306.75</v>
      </c>
    </row>
    <row r="161" spans="1:21" x14ac:dyDescent="0.25">
      <c r="A161" t="s">
        <v>17</v>
      </c>
    </row>
    <row r="162" spans="1:21" x14ac:dyDescent="0.25">
      <c r="A162" t="s">
        <v>886</v>
      </c>
      <c r="B162">
        <v>50</v>
      </c>
      <c r="C162">
        <v>84</v>
      </c>
      <c r="D162">
        <v>31</v>
      </c>
      <c r="E162">
        <v>-91</v>
      </c>
      <c r="F162">
        <v>-391</v>
      </c>
      <c r="G162">
        <v>-448</v>
      </c>
      <c r="H162">
        <v>-826</v>
      </c>
      <c r="I162">
        <v>-509</v>
      </c>
      <c r="J162">
        <v>-531</v>
      </c>
      <c r="K162">
        <v>125</v>
      </c>
      <c r="L162">
        <v>-677</v>
      </c>
      <c r="M162" s="2">
        <v>-1283</v>
      </c>
      <c r="N162" s="2">
        <v>-2656</v>
      </c>
      <c r="O162">
        <v>816.22</v>
      </c>
      <c r="P162">
        <v>96.58</v>
      </c>
      <c r="Q162">
        <v>370.24</v>
      </c>
      <c r="R162">
        <v>-725.88</v>
      </c>
      <c r="S162">
        <v>-973.93</v>
      </c>
      <c r="T162" s="2">
        <v>-2175.33</v>
      </c>
    </row>
    <row r="163" spans="1:21" x14ac:dyDescent="0.25">
      <c r="A163" t="s">
        <v>96</v>
      </c>
      <c r="B163">
        <v>56</v>
      </c>
      <c r="C163">
        <v>23</v>
      </c>
      <c r="D163">
        <v>23</v>
      </c>
      <c r="E163">
        <v>10</v>
      </c>
      <c r="F163">
        <v>6</v>
      </c>
      <c r="G163">
        <v>9</v>
      </c>
      <c r="J163">
        <v>23</v>
      </c>
      <c r="K163">
        <v>185</v>
      </c>
      <c r="L163">
        <v>446</v>
      </c>
      <c r="M163">
        <v>715</v>
      </c>
      <c r="N163" s="2">
        <v>1165</v>
      </c>
      <c r="O163" s="2">
        <v>2595.92</v>
      </c>
      <c r="P163" s="2">
        <v>3525.72</v>
      </c>
      <c r="Q163" s="2">
        <v>4262.6499999999996</v>
      </c>
      <c r="R163" s="2">
        <v>4642.53</v>
      </c>
      <c r="S163" s="2">
        <v>6171.95</v>
      </c>
      <c r="T163" s="2">
        <v>6465.01</v>
      </c>
      <c r="U163" s="2">
        <v>1805.87</v>
      </c>
    </row>
    <row r="164" spans="1:21" x14ac:dyDescent="0.25">
      <c r="A164" t="s">
        <v>398</v>
      </c>
      <c r="B164">
        <v>19</v>
      </c>
      <c r="C164">
        <v>27</v>
      </c>
      <c r="D164">
        <v>52</v>
      </c>
      <c r="E164">
        <v>176</v>
      </c>
      <c r="F164">
        <v>398</v>
      </c>
      <c r="G164">
        <v>661</v>
      </c>
      <c r="H164">
        <v>904</v>
      </c>
      <c r="I164">
        <v>672</v>
      </c>
      <c r="J164">
        <v>461</v>
      </c>
      <c r="K164">
        <v>276</v>
      </c>
      <c r="L164" s="2">
        <v>1639</v>
      </c>
      <c r="M164" s="2">
        <v>2517</v>
      </c>
      <c r="N164" s="2">
        <v>2123</v>
      </c>
      <c r="O164" s="2">
        <v>2468.75</v>
      </c>
      <c r="P164" s="2">
        <v>2499.25</v>
      </c>
      <c r="Q164" s="2">
        <v>1995.41</v>
      </c>
      <c r="R164" s="2">
        <v>2695.17</v>
      </c>
      <c r="S164">
        <v>727.64</v>
      </c>
      <c r="T164" s="2">
        <v>1465.21</v>
      </c>
      <c r="U164" s="2">
        <v>2495.7600000000002</v>
      </c>
    </row>
    <row r="165" spans="1:21" x14ac:dyDescent="0.25">
      <c r="A165" t="s">
        <v>887</v>
      </c>
      <c r="B165">
        <v>14</v>
      </c>
      <c r="C165">
        <v>87</v>
      </c>
      <c r="D165">
        <v>-66</v>
      </c>
      <c r="E165">
        <v>86</v>
      </c>
      <c r="F165">
        <v>1</v>
      </c>
      <c r="G165">
        <v>-213</v>
      </c>
      <c r="H165">
        <v>-105</v>
      </c>
      <c r="I165">
        <v>-129</v>
      </c>
      <c r="J165">
        <v>-140</v>
      </c>
      <c r="K165">
        <v>-81</v>
      </c>
      <c r="L165">
        <v>366</v>
      </c>
      <c r="M165">
        <v>690</v>
      </c>
      <c r="N165">
        <v>-352</v>
      </c>
      <c r="O165">
        <v>405.36</v>
      </c>
    </row>
    <row r="166" spans="1:21" x14ac:dyDescent="0.25">
      <c r="A166" t="s">
        <v>485</v>
      </c>
      <c r="B166">
        <v>50</v>
      </c>
      <c r="C166">
        <v>84</v>
      </c>
      <c r="D166">
        <v>31</v>
      </c>
      <c r="E166">
        <v>-91</v>
      </c>
      <c r="F166">
        <v>-391</v>
      </c>
      <c r="G166">
        <v>-448</v>
      </c>
      <c r="H166">
        <v>-826</v>
      </c>
      <c r="I166">
        <v>-509</v>
      </c>
      <c r="J166">
        <v>-531</v>
      </c>
      <c r="K166">
        <v>125</v>
      </c>
      <c r="L166">
        <v>-677</v>
      </c>
      <c r="M166" s="2">
        <v>-1283</v>
      </c>
      <c r="N166" s="2">
        <v>-2656</v>
      </c>
      <c r="O166">
        <v>620.47</v>
      </c>
      <c r="P166">
        <v>398.04</v>
      </c>
      <c r="Q166">
        <v>786.71</v>
      </c>
      <c r="R166">
        <v>-409.14</v>
      </c>
      <c r="S166" s="2">
        <v>-1114.1199999999999</v>
      </c>
      <c r="T166" s="2">
        <v>-3056.34</v>
      </c>
      <c r="U166" s="2">
        <v>-7211.01</v>
      </c>
    </row>
    <row r="167" spans="1:21" x14ac:dyDescent="0.25">
      <c r="A167" t="s">
        <v>95</v>
      </c>
      <c r="B167">
        <v>50</v>
      </c>
      <c r="C167">
        <v>84</v>
      </c>
      <c r="D167">
        <v>31</v>
      </c>
      <c r="E167">
        <v>-91</v>
      </c>
      <c r="F167">
        <v>-391</v>
      </c>
      <c r="G167">
        <v>-448</v>
      </c>
      <c r="H167">
        <v>-826</v>
      </c>
      <c r="I167">
        <v>-509</v>
      </c>
      <c r="J167">
        <v>-531</v>
      </c>
      <c r="K167">
        <v>125</v>
      </c>
      <c r="L167">
        <v>-677</v>
      </c>
      <c r="M167" s="2">
        <v>-1283</v>
      </c>
      <c r="N167" s="2">
        <v>-2656</v>
      </c>
      <c r="O167">
        <v>963.83</v>
      </c>
      <c r="P167">
        <v>4.59</v>
      </c>
      <c r="Q167">
        <v>601.24</v>
      </c>
      <c r="R167">
        <v>-270.48</v>
      </c>
      <c r="S167">
        <v>691</v>
      </c>
      <c r="T167" s="2">
        <v>-1154.08</v>
      </c>
      <c r="U167">
        <v>835.5</v>
      </c>
    </row>
    <row r="168" spans="1:21" x14ac:dyDescent="0.25">
      <c r="A168" t="s">
        <v>100</v>
      </c>
      <c r="B168" s="2">
        <v>2754</v>
      </c>
      <c r="C168" s="2">
        <v>4910</v>
      </c>
      <c r="D168" s="2">
        <v>6194</v>
      </c>
      <c r="E168" s="2">
        <v>12518</v>
      </c>
      <c r="F168" s="2">
        <v>20594</v>
      </c>
      <c r="G168" s="2">
        <v>25361</v>
      </c>
      <c r="H168" s="2">
        <v>24812</v>
      </c>
      <c r="I168" s="2">
        <v>33180</v>
      </c>
      <c r="J168" s="2">
        <v>47284</v>
      </c>
      <c r="K168" s="2">
        <v>28819</v>
      </c>
      <c r="L168" s="2">
        <v>47428</v>
      </c>
      <c r="M168" s="2">
        <v>70663</v>
      </c>
      <c r="N168" s="2">
        <v>85932</v>
      </c>
      <c r="O168" s="2">
        <v>84106.5</v>
      </c>
      <c r="P168" s="2">
        <v>102963.66</v>
      </c>
      <c r="Q168" s="2">
        <v>121590.14</v>
      </c>
      <c r="R168" s="2">
        <v>151702.04</v>
      </c>
      <c r="S168" s="2">
        <v>175606.79</v>
      </c>
      <c r="T168" s="2">
        <v>225515.43</v>
      </c>
      <c r="U168" s="2">
        <v>254743.62</v>
      </c>
    </row>
    <row r="169" spans="1:21" x14ac:dyDescent="0.25">
      <c r="A169" t="s">
        <v>17</v>
      </c>
    </row>
    <row r="170" spans="1:21" x14ac:dyDescent="0.25">
      <c r="A170" t="s">
        <v>101</v>
      </c>
      <c r="B170" s="2">
        <v>1254</v>
      </c>
      <c r="C170" s="2">
        <v>1970</v>
      </c>
      <c r="D170" s="2">
        <v>2506</v>
      </c>
      <c r="E170" s="2">
        <v>2301</v>
      </c>
      <c r="F170" s="2">
        <v>4660</v>
      </c>
      <c r="G170" s="2">
        <v>3249</v>
      </c>
      <c r="H170" s="2">
        <v>6327</v>
      </c>
      <c r="I170" s="2">
        <v>4034</v>
      </c>
      <c r="J170" s="2">
        <v>7914</v>
      </c>
      <c r="K170" s="2">
        <v>5619</v>
      </c>
      <c r="L170" s="2">
        <v>8330</v>
      </c>
      <c r="M170" s="2">
        <v>8303</v>
      </c>
      <c r="N170" s="2">
        <v>25474</v>
      </c>
      <c r="O170" s="2">
        <v>5180.8900000000003</v>
      </c>
      <c r="P170" s="2">
        <v>15318.28</v>
      </c>
      <c r="Q170" s="2">
        <v>17718.759999999998</v>
      </c>
      <c r="R170" s="2">
        <v>21272.71</v>
      </c>
      <c r="S170" s="2">
        <v>25772.959999999999</v>
      </c>
      <c r="T170" s="2">
        <v>29792.76</v>
      </c>
      <c r="U170" s="2">
        <v>37487.06</v>
      </c>
    </row>
    <row r="171" spans="1:21" x14ac:dyDescent="0.25">
      <c r="A171" t="s">
        <v>83</v>
      </c>
      <c r="B171">
        <v>15.93</v>
      </c>
      <c r="C171">
        <v>15.8</v>
      </c>
      <c r="D171">
        <v>13.98</v>
      </c>
      <c r="E171">
        <v>8.33</v>
      </c>
      <c r="F171">
        <v>11.46</v>
      </c>
      <c r="G171">
        <v>5.82</v>
      </c>
      <c r="H171">
        <v>8.9499999999999993</v>
      </c>
      <c r="I171">
        <v>4.6900000000000004</v>
      </c>
      <c r="J171">
        <v>6.71</v>
      </c>
      <c r="K171">
        <v>4.82</v>
      </c>
      <c r="L171">
        <v>6.17</v>
      </c>
      <c r="M171">
        <v>5.05</v>
      </c>
      <c r="N171">
        <v>12.68</v>
      </c>
      <c r="O171">
        <v>2.0499999999999998</v>
      </c>
      <c r="P171">
        <v>4.84</v>
      </c>
      <c r="Q171">
        <v>4.7699999999999996</v>
      </c>
      <c r="R171">
        <v>4.87</v>
      </c>
      <c r="S171">
        <v>4.9800000000000004</v>
      </c>
      <c r="T171">
        <v>5.08</v>
      </c>
      <c r="U171">
        <v>5.16</v>
      </c>
    </row>
    <row r="172" spans="1:21" x14ac:dyDescent="0.25">
      <c r="A172" t="s">
        <v>102</v>
      </c>
      <c r="B172">
        <v>45.53</v>
      </c>
      <c r="C172">
        <v>40.119999999999997</v>
      </c>
      <c r="D172">
        <v>40.46</v>
      </c>
      <c r="E172">
        <v>18.38</v>
      </c>
      <c r="F172">
        <v>22.63</v>
      </c>
      <c r="G172">
        <v>12.81</v>
      </c>
      <c r="H172">
        <v>25.5</v>
      </c>
      <c r="I172">
        <v>12.16</v>
      </c>
      <c r="J172">
        <v>16.739999999999998</v>
      </c>
      <c r="K172">
        <v>19.5</v>
      </c>
      <c r="L172">
        <v>17.559999999999999</v>
      </c>
      <c r="M172">
        <v>11.75</v>
      </c>
      <c r="N172">
        <v>29.64</v>
      </c>
      <c r="O172">
        <v>6.46</v>
      </c>
      <c r="P172">
        <v>14.81</v>
      </c>
      <c r="Q172">
        <v>15.21</v>
      </c>
      <c r="R172">
        <v>15.39</v>
      </c>
      <c r="S172">
        <v>15.01</v>
      </c>
      <c r="T172">
        <v>14.63</v>
      </c>
      <c r="U172">
        <v>16.329999999999998</v>
      </c>
    </row>
    <row r="173" spans="1:21" x14ac:dyDescent="0.25">
      <c r="A173" t="s">
        <v>17</v>
      </c>
    </row>
    <row r="174" spans="1:21" x14ac:dyDescent="0.25">
      <c r="A174" t="s">
        <v>106</v>
      </c>
      <c r="B174" s="2">
        <v>1491</v>
      </c>
      <c r="C174" s="2">
        <v>2925</v>
      </c>
      <c r="D174" s="2">
        <v>3669</v>
      </c>
      <c r="E174" s="2">
        <v>10188</v>
      </c>
      <c r="F174" s="2">
        <v>18190</v>
      </c>
      <c r="G174" s="2">
        <v>22112</v>
      </c>
      <c r="H174" s="2">
        <v>18485</v>
      </c>
      <c r="I174" s="2">
        <v>29146</v>
      </c>
      <c r="J174" s="2">
        <v>39370</v>
      </c>
      <c r="K174" s="2">
        <v>23200</v>
      </c>
      <c r="L174" s="2">
        <v>39098</v>
      </c>
      <c r="M174" s="2">
        <v>62360</v>
      </c>
      <c r="N174" s="2">
        <v>60458</v>
      </c>
      <c r="O174" s="2">
        <v>80535.44</v>
      </c>
      <c r="P174" s="2">
        <v>87602.55</v>
      </c>
      <c r="Q174" s="2">
        <v>102532.87</v>
      </c>
      <c r="R174" s="2">
        <v>125802.1</v>
      </c>
      <c r="S174" s="2">
        <v>142711.5</v>
      </c>
      <c r="T174" s="2">
        <v>172643.1</v>
      </c>
      <c r="U174" s="2">
        <v>201226.43</v>
      </c>
    </row>
    <row r="175" spans="1:21" x14ac:dyDescent="0.25">
      <c r="A175" t="s">
        <v>280</v>
      </c>
      <c r="B175">
        <v>18.940000000000001</v>
      </c>
      <c r="C175">
        <v>23.46</v>
      </c>
      <c r="D175">
        <v>20.47</v>
      </c>
      <c r="E175">
        <v>36.86</v>
      </c>
      <c r="F175">
        <v>39.159999999999997</v>
      </c>
      <c r="G175">
        <v>39.6</v>
      </c>
      <c r="H175">
        <v>26.15</v>
      </c>
      <c r="I175">
        <v>33.9</v>
      </c>
      <c r="J175">
        <v>33.380000000000003</v>
      </c>
      <c r="K175">
        <v>19.899999999999999</v>
      </c>
      <c r="L175">
        <v>28.98</v>
      </c>
      <c r="M175">
        <v>37.909999999999997</v>
      </c>
      <c r="N175">
        <v>30.08</v>
      </c>
      <c r="O175">
        <v>31.62</v>
      </c>
      <c r="P175">
        <v>28.93</v>
      </c>
      <c r="Q175">
        <v>28.34</v>
      </c>
      <c r="R175">
        <v>30.46</v>
      </c>
      <c r="S175">
        <v>31</v>
      </c>
      <c r="T175">
        <v>32.85</v>
      </c>
      <c r="U175">
        <v>34.159999999999997</v>
      </c>
    </row>
    <row r="176" spans="1:21" x14ac:dyDescent="0.25">
      <c r="A176" t="s">
        <v>17</v>
      </c>
    </row>
    <row r="177" spans="1:21" x14ac:dyDescent="0.25">
      <c r="A177" t="s">
        <v>108</v>
      </c>
      <c r="B177" s="2">
        <v>2420</v>
      </c>
      <c r="C177" s="2">
        <v>2614</v>
      </c>
      <c r="D177" s="2">
        <v>2803</v>
      </c>
      <c r="E177" s="2">
        <v>2863</v>
      </c>
      <c r="F177" s="2">
        <v>2901</v>
      </c>
      <c r="G177" s="2">
        <v>2890</v>
      </c>
      <c r="H177" s="2">
        <v>2854</v>
      </c>
      <c r="I177" s="2">
        <v>2851</v>
      </c>
      <c r="J177" s="2">
        <v>2815</v>
      </c>
      <c r="K177" s="2">
        <v>2687</v>
      </c>
      <c r="L177" s="2">
        <v>2574</v>
      </c>
      <c r="M177" s="2">
        <v>2534</v>
      </c>
      <c r="N177" s="2">
        <v>2521</v>
      </c>
      <c r="O177" s="2">
        <v>2549.65</v>
      </c>
      <c r="P177" s="2">
        <v>2565.37</v>
      </c>
      <c r="Q177" s="2">
        <v>2591.9299999999998</v>
      </c>
      <c r="R177" s="2">
        <v>2619.79</v>
      </c>
      <c r="S177" s="2">
        <v>2621.97</v>
      </c>
      <c r="T177" s="2">
        <v>2654.57</v>
      </c>
      <c r="U177" s="2">
        <v>2676.53</v>
      </c>
    </row>
    <row r="178" spans="1:21" x14ac:dyDescent="0.25">
      <c r="A178" t="s">
        <v>888</v>
      </c>
      <c r="B178">
        <v>0.62</v>
      </c>
      <c r="C178">
        <v>1.1200000000000001</v>
      </c>
      <c r="D178">
        <v>1.31</v>
      </c>
      <c r="E178">
        <v>3.56</v>
      </c>
      <c r="F178">
        <v>5.49</v>
      </c>
      <c r="G178">
        <v>7.65</v>
      </c>
      <c r="H178">
        <v>6.48</v>
      </c>
      <c r="I178">
        <v>10.220000000000001</v>
      </c>
      <c r="J178">
        <v>13.99</v>
      </c>
      <c r="K178">
        <v>8.6300000000000008</v>
      </c>
      <c r="L178">
        <v>15.19</v>
      </c>
      <c r="M178">
        <v>24.61</v>
      </c>
      <c r="N178">
        <v>23.98</v>
      </c>
      <c r="O178">
        <v>31.02</v>
      </c>
      <c r="P178">
        <v>34.25</v>
      </c>
      <c r="Q178">
        <v>39.74</v>
      </c>
      <c r="R178">
        <v>48.67</v>
      </c>
      <c r="S178">
        <v>54.38</v>
      </c>
      <c r="T178">
        <v>69.63</v>
      </c>
      <c r="U178">
        <v>81.75</v>
      </c>
    </row>
    <row r="179" spans="1:21" x14ac:dyDescent="0.25">
      <c r="A179" t="s">
        <v>17</v>
      </c>
    </row>
    <row r="180" spans="1:21" x14ac:dyDescent="0.25">
      <c r="A180" t="s">
        <v>109</v>
      </c>
      <c r="B180" s="2">
        <v>2517</v>
      </c>
      <c r="C180" s="2">
        <v>2664</v>
      </c>
      <c r="D180" s="2">
        <v>2853</v>
      </c>
      <c r="E180" s="2">
        <v>2925</v>
      </c>
      <c r="F180" s="2">
        <v>2956</v>
      </c>
      <c r="G180" s="2">
        <v>2921</v>
      </c>
      <c r="H180" s="2">
        <v>2876</v>
      </c>
      <c r="I180" s="2">
        <v>2888</v>
      </c>
      <c r="J180" s="2">
        <v>2859</v>
      </c>
      <c r="K180" s="2">
        <v>2702</v>
      </c>
      <c r="L180" s="2">
        <v>2629</v>
      </c>
      <c r="M180" s="2">
        <v>2614</v>
      </c>
      <c r="N180" s="2">
        <v>2574</v>
      </c>
      <c r="O180" s="2">
        <v>2567.5700000000002</v>
      </c>
      <c r="P180" s="2">
        <v>2585.09</v>
      </c>
      <c r="Q180" s="2">
        <v>2606.67</v>
      </c>
      <c r="R180" s="2">
        <v>2644.77</v>
      </c>
      <c r="S180" s="2">
        <v>2652.61</v>
      </c>
      <c r="T180" s="2">
        <v>2686.71</v>
      </c>
      <c r="U180" s="2">
        <v>2718.9</v>
      </c>
    </row>
    <row r="181" spans="1:21" x14ac:dyDescent="0.25">
      <c r="A181" t="s">
        <v>110</v>
      </c>
      <c r="B181">
        <v>0.6</v>
      </c>
      <c r="C181">
        <v>1.1000000000000001</v>
      </c>
      <c r="D181">
        <v>1.29</v>
      </c>
      <c r="E181">
        <v>3.49</v>
      </c>
      <c r="F181">
        <v>6.16</v>
      </c>
      <c r="G181">
        <v>7.57</v>
      </c>
      <c r="H181">
        <v>8.56</v>
      </c>
      <c r="I181">
        <v>9.7799999999999994</v>
      </c>
      <c r="J181">
        <v>13.77</v>
      </c>
      <c r="K181">
        <v>8.59</v>
      </c>
      <c r="L181">
        <v>14.87</v>
      </c>
      <c r="M181">
        <v>23.86</v>
      </c>
      <c r="N181">
        <v>23.49</v>
      </c>
      <c r="O181">
        <v>31.25</v>
      </c>
      <c r="P181">
        <v>34.08</v>
      </c>
      <c r="Q181">
        <v>39.33</v>
      </c>
      <c r="R181">
        <v>48.04</v>
      </c>
      <c r="S181">
        <v>54.46</v>
      </c>
      <c r="T181">
        <v>64.790000000000006</v>
      </c>
      <c r="U181">
        <v>74.900000000000006</v>
      </c>
    </row>
    <row r="182" spans="1:21" x14ac:dyDescent="0.25">
      <c r="A182" t="s">
        <v>17</v>
      </c>
    </row>
    <row r="183" spans="1:21" x14ac:dyDescent="0.25">
      <c r="A183" t="s">
        <v>487</v>
      </c>
      <c r="B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2</v>
      </c>
      <c r="O183">
        <v>2.12</v>
      </c>
      <c r="P183">
        <v>2.17</v>
      </c>
      <c r="Q183">
        <v>2.2999999999999998</v>
      </c>
      <c r="R183">
        <v>2.62</v>
      </c>
      <c r="S183">
        <v>2.83</v>
      </c>
      <c r="T183">
        <v>2.25</v>
      </c>
      <c r="U183">
        <v>3.15</v>
      </c>
    </row>
    <row r="184" spans="1:21" x14ac:dyDescent="0.25">
      <c r="A184" t="s">
        <v>889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8.1300000000000008</v>
      </c>
      <c r="N184">
        <v>8.34</v>
      </c>
      <c r="O184">
        <v>7.25</v>
      </c>
      <c r="P184">
        <v>9.1999999999999993</v>
      </c>
      <c r="Q184">
        <v>9.4600000000000009</v>
      </c>
      <c r="R184">
        <v>10.51</v>
      </c>
      <c r="S184">
        <v>11.09</v>
      </c>
    </row>
    <row r="185" spans="1:21" x14ac:dyDescent="0.25">
      <c r="A185" t="s">
        <v>17</v>
      </c>
    </row>
    <row r="186" spans="1:21" x14ac:dyDescent="0.25">
      <c r="A186" t="s">
        <v>111</v>
      </c>
    </row>
    <row r="187" spans="1:21" x14ac:dyDescent="0.25">
      <c r="A187" t="s">
        <v>63</v>
      </c>
      <c r="E187" s="2">
        <v>23849</v>
      </c>
      <c r="F187" s="2">
        <v>35199</v>
      </c>
      <c r="G187" s="2">
        <v>46483</v>
      </c>
      <c r="H187" s="2">
        <v>57927</v>
      </c>
      <c r="I187" s="2">
        <v>69273</v>
      </c>
      <c r="J187" s="2">
        <v>95280</v>
      </c>
      <c r="K187" s="2">
        <v>91360</v>
      </c>
      <c r="L187" s="2">
        <v>108943</v>
      </c>
      <c r="M187" s="2">
        <v>134340</v>
      </c>
      <c r="N187" s="2">
        <v>164791</v>
      </c>
      <c r="O187" s="2">
        <v>205420.72</v>
      </c>
      <c r="P187" s="2">
        <v>241452.3</v>
      </c>
      <c r="Q187" s="2">
        <v>283209.78999999998</v>
      </c>
      <c r="R187" s="2">
        <v>328514.89</v>
      </c>
      <c r="S187" s="2">
        <v>362861.48</v>
      </c>
      <c r="T187" s="2">
        <v>418899.05</v>
      </c>
      <c r="U187" s="2">
        <v>442150.76</v>
      </c>
    </row>
    <row r="188" spans="1:21" x14ac:dyDescent="0.25">
      <c r="A188" t="s">
        <v>116</v>
      </c>
    </row>
    <row r="189" spans="1:21" x14ac:dyDescent="0.25">
      <c r="A189" t="s">
        <v>269</v>
      </c>
      <c r="B189">
        <v>64.38</v>
      </c>
      <c r="C189">
        <v>59.94</v>
      </c>
      <c r="D189">
        <v>65.28</v>
      </c>
      <c r="E189">
        <v>55.04</v>
      </c>
      <c r="F189">
        <v>50.3</v>
      </c>
      <c r="G189">
        <v>55.38</v>
      </c>
      <c r="H189">
        <v>66.069999999999993</v>
      </c>
      <c r="I189">
        <v>61.99</v>
      </c>
      <c r="J189">
        <v>60.35</v>
      </c>
      <c r="K189">
        <v>75.180000000000007</v>
      </c>
      <c r="L189">
        <v>65.34</v>
      </c>
      <c r="M189">
        <v>57.82</v>
      </c>
      <c r="N189">
        <v>58.56</v>
      </c>
      <c r="O189">
        <v>66.260000000000005</v>
      </c>
      <c r="P189">
        <v>65.209999999999994</v>
      </c>
      <c r="Q189">
        <v>64.88</v>
      </c>
      <c r="R189">
        <v>62.7</v>
      </c>
      <c r="S189">
        <v>62.45</v>
      </c>
      <c r="T189">
        <v>61.01</v>
      </c>
      <c r="U189">
        <v>58.95</v>
      </c>
    </row>
    <row r="190" spans="1:21" x14ac:dyDescent="0.25">
      <c r="A190" t="s">
        <v>117</v>
      </c>
      <c r="B190" s="2">
        <v>4721</v>
      </c>
      <c r="C190" s="2">
        <v>8074</v>
      </c>
      <c r="D190" s="2">
        <v>11139</v>
      </c>
      <c r="E190" s="2">
        <v>17987</v>
      </c>
      <c r="F190" s="2">
        <v>26951</v>
      </c>
      <c r="G190" s="2">
        <v>33380</v>
      </c>
      <c r="H190" s="2">
        <v>35702</v>
      </c>
      <c r="I190" s="2">
        <v>47460</v>
      </c>
      <c r="J190" s="2">
        <v>65424</v>
      </c>
      <c r="K190" s="2">
        <v>51479</v>
      </c>
      <c r="L190" s="2">
        <v>74047</v>
      </c>
      <c r="M190" s="2">
        <v>103927</v>
      </c>
      <c r="N190" s="2">
        <v>125117</v>
      </c>
      <c r="O190" s="2">
        <v>141406.64000000001</v>
      </c>
      <c r="P190" s="2">
        <v>179338.87</v>
      </c>
      <c r="Q190" s="2">
        <v>222231.76</v>
      </c>
      <c r="R190" s="2">
        <v>271082.15000000002</v>
      </c>
      <c r="S190" s="2">
        <v>318134.83</v>
      </c>
      <c r="T190" s="2">
        <v>361121.63</v>
      </c>
      <c r="U190" s="2">
        <v>411284.44</v>
      </c>
    </row>
    <row r="191" spans="1:21" x14ac:dyDescent="0.25">
      <c r="A191" t="s">
        <v>286</v>
      </c>
      <c r="B191">
        <v>48.46</v>
      </c>
      <c r="C191">
        <v>50.03</v>
      </c>
      <c r="D191">
        <v>45.57</v>
      </c>
      <c r="E191">
        <v>53.44</v>
      </c>
      <c r="F191">
        <v>57.14</v>
      </c>
      <c r="G191">
        <v>52.34</v>
      </c>
      <c r="H191">
        <v>43.66</v>
      </c>
      <c r="I191">
        <v>47.61</v>
      </c>
      <c r="J191">
        <v>47.71</v>
      </c>
      <c r="K191">
        <v>33.86</v>
      </c>
      <c r="L191">
        <v>44.49</v>
      </c>
      <c r="M191">
        <v>53.03</v>
      </c>
      <c r="N191">
        <v>52.09</v>
      </c>
      <c r="O191">
        <v>56.82</v>
      </c>
      <c r="P191">
        <v>58.99</v>
      </c>
      <c r="Q191">
        <v>62</v>
      </c>
      <c r="R191">
        <v>65.680000000000007</v>
      </c>
      <c r="S191">
        <v>67.81</v>
      </c>
      <c r="T191">
        <v>68.599999999999994</v>
      </c>
      <c r="U191">
        <v>71.14</v>
      </c>
    </row>
    <row r="192" spans="1:21" x14ac:dyDescent="0.25">
      <c r="A192" t="s">
        <v>795</v>
      </c>
      <c r="B192" s="2">
        <v>3753</v>
      </c>
      <c r="C192" s="2">
        <v>7123</v>
      </c>
      <c r="D192" s="2">
        <v>9970</v>
      </c>
      <c r="E192" s="2">
        <v>16585</v>
      </c>
      <c r="F192" s="2">
        <v>20594</v>
      </c>
      <c r="G192" s="2">
        <v>25361</v>
      </c>
      <c r="H192" s="2">
        <v>24812</v>
      </c>
      <c r="I192" s="2">
        <v>33180</v>
      </c>
      <c r="J192" s="2">
        <v>47284</v>
      </c>
      <c r="K192" s="2">
        <v>28819</v>
      </c>
      <c r="L192" s="2">
        <v>47428</v>
      </c>
      <c r="M192" s="2">
        <v>70663</v>
      </c>
      <c r="N192" s="2">
        <v>85932</v>
      </c>
      <c r="O192" s="2">
        <v>86129.68</v>
      </c>
      <c r="P192" s="2">
        <v>102905.89</v>
      </c>
      <c r="Q192" s="2">
        <v>121129.49</v>
      </c>
      <c r="R192" s="2">
        <v>151192.53</v>
      </c>
      <c r="S192" s="2">
        <v>168647.23</v>
      </c>
      <c r="T192" s="2">
        <v>196851.63</v>
      </c>
      <c r="U192" s="2">
        <v>233182.4</v>
      </c>
    </row>
    <row r="193" spans="1:21" x14ac:dyDescent="0.25">
      <c r="A193" t="s">
        <v>61</v>
      </c>
      <c r="B193">
        <v>34.979999999999997</v>
      </c>
      <c r="C193">
        <v>39.39</v>
      </c>
      <c r="D193">
        <v>34.549999999999997</v>
      </c>
      <c r="E193">
        <v>45.29</v>
      </c>
      <c r="F193">
        <v>50.66</v>
      </c>
      <c r="G193">
        <v>45.42</v>
      </c>
      <c r="H193">
        <v>35.1</v>
      </c>
      <c r="I193">
        <v>38.6</v>
      </c>
      <c r="J193">
        <v>40.1</v>
      </c>
      <c r="K193">
        <v>24.71</v>
      </c>
      <c r="L193">
        <v>35.159999999999997</v>
      </c>
      <c r="M193">
        <v>42.96</v>
      </c>
      <c r="N193">
        <v>42.76</v>
      </c>
      <c r="O193">
        <v>34.130000000000003</v>
      </c>
      <c r="P193">
        <v>34.75</v>
      </c>
      <c r="Q193">
        <v>34.64</v>
      </c>
      <c r="R193">
        <v>36.89</v>
      </c>
      <c r="S193">
        <v>38.24</v>
      </c>
      <c r="T193">
        <v>39.71</v>
      </c>
      <c r="U193">
        <v>41.47</v>
      </c>
    </row>
    <row r="194" spans="1:21" x14ac:dyDescent="0.25">
      <c r="A194" t="s">
        <v>121</v>
      </c>
      <c r="B194" s="2">
        <v>2202</v>
      </c>
      <c r="C194" s="2">
        <v>4713</v>
      </c>
      <c r="D194" s="2">
        <v>6518</v>
      </c>
      <c r="E194" s="2">
        <v>12368</v>
      </c>
      <c r="F194" s="2">
        <v>20609.95</v>
      </c>
      <c r="G194" s="2">
        <v>26264</v>
      </c>
      <c r="H194" s="2">
        <v>23321</v>
      </c>
      <c r="I194" s="2">
        <v>35682</v>
      </c>
      <c r="J194" s="2">
        <v>48534</v>
      </c>
      <c r="K194" s="2">
        <v>35192</v>
      </c>
      <c r="L194" s="2">
        <v>53125</v>
      </c>
      <c r="M194" s="2">
        <v>79050</v>
      </c>
      <c r="N194" s="2">
        <v>80885</v>
      </c>
      <c r="O194" s="2">
        <v>90489.47</v>
      </c>
      <c r="P194" s="2">
        <v>100204.68</v>
      </c>
      <c r="Q194" s="2">
        <v>120075.94</v>
      </c>
      <c r="R194" s="2">
        <v>135104</v>
      </c>
      <c r="S194" s="2">
        <v>172654.67</v>
      </c>
      <c r="T194" s="2">
        <v>205775.5</v>
      </c>
      <c r="U194" s="2">
        <v>236347.5</v>
      </c>
    </row>
    <row r="195" spans="1:21" x14ac:dyDescent="0.25">
      <c r="A195" t="s">
        <v>124</v>
      </c>
      <c r="B195">
        <v>0.88</v>
      </c>
      <c r="C195">
        <v>1.77</v>
      </c>
      <c r="D195">
        <v>2.2799999999999998</v>
      </c>
      <c r="E195">
        <v>4.2300000000000004</v>
      </c>
      <c r="F195">
        <v>6.97</v>
      </c>
      <c r="G195">
        <v>8.99</v>
      </c>
      <c r="H195">
        <v>8.11</v>
      </c>
      <c r="I195">
        <v>12.35</v>
      </c>
      <c r="J195">
        <v>16.98</v>
      </c>
      <c r="K195">
        <v>13.02</v>
      </c>
      <c r="L195">
        <v>20.21</v>
      </c>
      <c r="M195">
        <v>30.24</v>
      </c>
      <c r="N195">
        <v>31.42</v>
      </c>
      <c r="O195">
        <v>35.049999999999997</v>
      </c>
      <c r="P195">
        <v>38.380000000000003</v>
      </c>
      <c r="Q195">
        <v>46.69</v>
      </c>
      <c r="R195">
        <v>55.39</v>
      </c>
      <c r="S195">
        <v>62.6</v>
      </c>
      <c r="T195">
        <v>77.89</v>
      </c>
      <c r="U195">
        <v>116.66</v>
      </c>
    </row>
    <row r="196" spans="1:21" x14ac:dyDescent="0.25">
      <c r="A196" t="s">
        <v>85</v>
      </c>
      <c r="B196">
        <v>76.73</v>
      </c>
      <c r="C196">
        <v>83.45</v>
      </c>
      <c r="D196">
        <v>85.5</v>
      </c>
      <c r="E196">
        <v>87.47</v>
      </c>
      <c r="F196">
        <v>86.58</v>
      </c>
      <c r="G196">
        <v>83.25</v>
      </c>
      <c r="H196">
        <v>81.94</v>
      </c>
      <c r="I196">
        <v>80.58</v>
      </c>
      <c r="J196">
        <v>80.790000000000006</v>
      </c>
      <c r="K196">
        <v>78.349999999999994</v>
      </c>
      <c r="L196">
        <v>80.75</v>
      </c>
      <c r="M196">
        <v>81.67</v>
      </c>
      <c r="N196">
        <v>82</v>
      </c>
      <c r="O196">
        <v>80.81</v>
      </c>
      <c r="P196">
        <v>79.22</v>
      </c>
      <c r="Q196">
        <v>77.84</v>
      </c>
      <c r="R196">
        <v>77.540000000000006</v>
      </c>
      <c r="S196">
        <v>76.94</v>
      </c>
      <c r="T196">
        <v>76.959999999999994</v>
      </c>
      <c r="U196">
        <v>75.900000000000006</v>
      </c>
    </row>
    <row r="197" spans="1:21" x14ac:dyDescent="0.25">
      <c r="A197" t="s">
        <v>17</v>
      </c>
    </row>
    <row r="198" spans="1:21" x14ac:dyDescent="0.25">
      <c r="A198" t="s">
        <v>125</v>
      </c>
    </row>
    <row r="199" spans="1:21" x14ac:dyDescent="0.25">
      <c r="A199" t="s">
        <v>67</v>
      </c>
      <c r="B199">
        <v>906</v>
      </c>
      <c r="C199" s="2">
        <v>1837</v>
      </c>
      <c r="D199" s="2">
        <v>2969</v>
      </c>
      <c r="E199" s="2">
        <v>3218</v>
      </c>
      <c r="F199" s="2">
        <v>3723</v>
      </c>
      <c r="G199" s="2">
        <v>4152</v>
      </c>
      <c r="H199" s="2">
        <v>4836</v>
      </c>
      <c r="I199" s="2">
        <v>6536</v>
      </c>
      <c r="J199" s="2">
        <v>9164</v>
      </c>
      <c r="K199" s="2">
        <v>11992</v>
      </c>
      <c r="L199" s="2">
        <v>14027</v>
      </c>
      <c r="M199" s="2">
        <v>16690</v>
      </c>
      <c r="N199" s="2">
        <v>20427</v>
      </c>
      <c r="O199" s="2">
        <v>28216.29</v>
      </c>
      <c r="P199" s="2">
        <v>32281.61</v>
      </c>
      <c r="Q199" s="2">
        <v>36408.19</v>
      </c>
      <c r="R199" s="2">
        <v>41403.58</v>
      </c>
      <c r="S199" s="2">
        <v>45878.14</v>
      </c>
      <c r="T199" s="2">
        <v>51496.22</v>
      </c>
      <c r="U199" s="2">
        <v>54677.43</v>
      </c>
    </row>
    <row r="200" spans="1:21" x14ac:dyDescent="0.25">
      <c r="A200" t="s">
        <v>61</v>
      </c>
      <c r="B200">
        <v>11.51</v>
      </c>
      <c r="C200">
        <v>14.74</v>
      </c>
      <c r="D200">
        <v>16.559999999999999</v>
      </c>
      <c r="E200">
        <v>11.64</v>
      </c>
      <c r="F200">
        <v>9.16</v>
      </c>
      <c r="G200">
        <v>7.44</v>
      </c>
      <c r="H200">
        <v>6.84</v>
      </c>
      <c r="I200">
        <v>7.6</v>
      </c>
      <c r="J200">
        <v>7.77</v>
      </c>
      <c r="K200">
        <v>10.28</v>
      </c>
      <c r="L200">
        <v>10.4</v>
      </c>
      <c r="M200">
        <v>10.15</v>
      </c>
      <c r="N200">
        <v>10.16</v>
      </c>
      <c r="O200">
        <v>11.08</v>
      </c>
      <c r="P200">
        <v>10.55</v>
      </c>
      <c r="Q200">
        <v>10.29</v>
      </c>
      <c r="R200">
        <v>9.8800000000000008</v>
      </c>
      <c r="S200">
        <v>9.77</v>
      </c>
      <c r="T200">
        <v>10.01</v>
      </c>
      <c r="U200">
        <v>9.83</v>
      </c>
    </row>
    <row r="201" spans="1:21" x14ac:dyDescent="0.25">
      <c r="A201" t="s">
        <v>126</v>
      </c>
      <c r="B201">
        <v>42</v>
      </c>
      <c r="C201">
        <v>62</v>
      </c>
      <c r="D201">
        <v>81</v>
      </c>
      <c r="E201">
        <v>113</v>
      </c>
      <c r="F201">
        <v>178</v>
      </c>
      <c r="G201">
        <v>284</v>
      </c>
      <c r="H201">
        <v>377</v>
      </c>
      <c r="I201">
        <v>447</v>
      </c>
      <c r="J201">
        <v>577</v>
      </c>
      <c r="K201">
        <v>768</v>
      </c>
      <c r="L201">
        <v>740</v>
      </c>
      <c r="M201" s="2">
        <v>1055</v>
      </c>
      <c r="N201" s="2">
        <v>1124</v>
      </c>
      <c r="O201" s="2">
        <v>1341.62</v>
      </c>
      <c r="P201" s="2">
        <v>1572.55</v>
      </c>
      <c r="Q201" s="2">
        <v>1817.92</v>
      </c>
      <c r="R201" s="2">
        <v>1908.99</v>
      </c>
      <c r="S201" s="2">
        <v>2040.95</v>
      </c>
      <c r="T201" s="2">
        <v>2369.41</v>
      </c>
      <c r="U201" s="2">
        <v>2837.38</v>
      </c>
    </row>
    <row r="202" spans="1:21" x14ac:dyDescent="0.25">
      <c r="A202" t="s">
        <v>113</v>
      </c>
      <c r="B202">
        <v>133</v>
      </c>
      <c r="C202">
        <v>249</v>
      </c>
      <c r="D202">
        <v>320</v>
      </c>
      <c r="E202">
        <v>368</v>
      </c>
      <c r="F202">
        <v>436</v>
      </c>
      <c r="G202">
        <v>511</v>
      </c>
      <c r="H202">
        <v>569</v>
      </c>
      <c r="I202">
        <v>691</v>
      </c>
      <c r="J202">
        <v>837</v>
      </c>
      <c r="K202" s="2">
        <v>1004</v>
      </c>
      <c r="L202">
        <v>952</v>
      </c>
      <c r="M202" s="2">
        <v>1026</v>
      </c>
      <c r="N202">
        <v>926</v>
      </c>
      <c r="O202" s="2">
        <v>1082.74</v>
      </c>
      <c r="P202" s="2">
        <v>1277.3699999999999</v>
      </c>
      <c r="Q202" s="2">
        <v>1502.77</v>
      </c>
      <c r="R202" s="2">
        <v>1773.33</v>
      </c>
      <c r="S202" s="2">
        <v>1955.04</v>
      </c>
      <c r="T202" s="2">
        <v>2374.2199999999998</v>
      </c>
      <c r="U202" s="2">
        <v>2948.23</v>
      </c>
    </row>
    <row r="203" spans="1:21" x14ac:dyDescent="0.25">
      <c r="A203" t="s">
        <v>114</v>
      </c>
      <c r="B203">
        <v>604</v>
      </c>
      <c r="C203" s="2">
        <v>1328</v>
      </c>
      <c r="D203" s="2">
        <v>2350</v>
      </c>
      <c r="E203" s="2">
        <v>2494</v>
      </c>
      <c r="F203" s="2">
        <v>2820</v>
      </c>
      <c r="G203" s="2">
        <v>3022</v>
      </c>
      <c r="H203" s="2">
        <v>3488</v>
      </c>
      <c r="I203" s="2">
        <v>4918</v>
      </c>
      <c r="J203" s="2">
        <v>7106</v>
      </c>
      <c r="K203" s="2">
        <v>9361</v>
      </c>
      <c r="L203" s="2">
        <v>11429</v>
      </c>
      <c r="M203" s="2">
        <v>13683</v>
      </c>
      <c r="N203" s="2">
        <v>17485</v>
      </c>
      <c r="O203" s="2">
        <v>24308.560000000001</v>
      </c>
      <c r="P203" s="2">
        <v>28031.97</v>
      </c>
      <c r="Q203" s="2">
        <v>31237.02</v>
      </c>
      <c r="R203" s="2">
        <v>34546.61</v>
      </c>
      <c r="S203" s="2">
        <v>38174.42</v>
      </c>
      <c r="T203" s="2">
        <v>46743.48</v>
      </c>
      <c r="U203" s="2">
        <v>49950.82</v>
      </c>
    </row>
    <row r="204" spans="1:21" x14ac:dyDescent="0.25">
      <c r="A204" t="s">
        <v>115</v>
      </c>
      <c r="B204">
        <v>127</v>
      </c>
      <c r="C204">
        <v>198</v>
      </c>
      <c r="D204">
        <v>218</v>
      </c>
      <c r="E204">
        <v>243</v>
      </c>
      <c r="F204">
        <v>289</v>
      </c>
      <c r="G204">
        <v>335</v>
      </c>
      <c r="H204">
        <v>402</v>
      </c>
      <c r="I204">
        <v>480</v>
      </c>
      <c r="J204">
        <v>644</v>
      </c>
      <c r="K204">
        <v>859</v>
      </c>
      <c r="L204">
        <v>906</v>
      </c>
      <c r="M204">
        <v>926</v>
      </c>
      <c r="N204">
        <v>892</v>
      </c>
      <c r="O204" s="2">
        <v>1029.9100000000001</v>
      </c>
      <c r="P204" s="2">
        <v>1197.31</v>
      </c>
      <c r="Q204" s="2">
        <v>1360.62</v>
      </c>
      <c r="R204" s="2">
        <v>1533.31</v>
      </c>
      <c r="S204" s="2">
        <v>1619.39</v>
      </c>
      <c r="T204" s="2">
        <v>1843.78</v>
      </c>
      <c r="U204" s="2">
        <v>2114.48</v>
      </c>
    </row>
    <row r="205" spans="1:21" x14ac:dyDescent="0.25">
      <c r="A205" t="s">
        <v>131</v>
      </c>
    </row>
    <row r="206" spans="1:21" x14ac:dyDescent="0.25">
      <c r="A206" t="s">
        <v>890</v>
      </c>
      <c r="K206" s="2">
        <v>4611</v>
      </c>
      <c r="L206" s="2">
        <v>3452</v>
      </c>
      <c r="M206">
        <v>6</v>
      </c>
      <c r="N206">
        <v>0</v>
      </c>
      <c r="O206" s="2">
        <v>4585</v>
      </c>
      <c r="T206">
        <v>1</v>
      </c>
      <c r="U206">
        <v>1</v>
      </c>
    </row>
    <row r="207" spans="1:21" x14ac:dyDescent="0.25">
      <c r="A207" t="s">
        <v>17</v>
      </c>
    </row>
    <row r="208" spans="1:21" x14ac:dyDescent="0.25">
      <c r="A208" t="s">
        <v>176</v>
      </c>
    </row>
    <row r="209" spans="1:21" x14ac:dyDescent="0.25">
      <c r="A209" t="s">
        <v>891</v>
      </c>
      <c r="B209" s="2">
        <v>1527.23</v>
      </c>
      <c r="C209" s="2">
        <v>2990.3</v>
      </c>
      <c r="D209" s="2">
        <v>3706.46</v>
      </c>
      <c r="E209" s="2">
        <v>10142.73</v>
      </c>
      <c r="F209" s="2">
        <v>15631.48</v>
      </c>
      <c r="G209" s="2">
        <v>21721.39</v>
      </c>
      <c r="H209" s="2">
        <v>17869.63</v>
      </c>
      <c r="I209" s="2">
        <v>28698.880000000001</v>
      </c>
      <c r="J209" s="2">
        <v>38927.870000000003</v>
      </c>
      <c r="K209" s="2">
        <v>23300.63</v>
      </c>
      <c r="L209" s="2">
        <v>38539.9</v>
      </c>
      <c r="M209" s="2">
        <v>61227.75</v>
      </c>
      <c r="N209" s="2">
        <v>58589.35</v>
      </c>
      <c r="O209" s="2">
        <v>81128.66</v>
      </c>
      <c r="P209" s="2">
        <v>90004.94</v>
      </c>
      <c r="Q209" s="2">
        <v>116732.84</v>
      </c>
      <c r="R209" s="2">
        <v>152779.35</v>
      </c>
      <c r="S209" s="2">
        <v>154726.59</v>
      </c>
      <c r="T209" s="2">
        <v>175017.34</v>
      </c>
      <c r="U209" s="2">
        <v>194206.14</v>
      </c>
    </row>
    <row r="210" spans="1:21" x14ac:dyDescent="0.25">
      <c r="A210" t="s">
        <v>17</v>
      </c>
    </row>
    <row r="211" spans="1:21" x14ac:dyDescent="0.25">
      <c r="A211" t="s">
        <v>134</v>
      </c>
    </row>
    <row r="212" spans="1:21" x14ac:dyDescent="0.25">
      <c r="A212" t="s">
        <v>135</v>
      </c>
    </row>
    <row r="213" spans="1:21" x14ac:dyDescent="0.25">
      <c r="A213" t="s">
        <v>136</v>
      </c>
      <c r="B213" s="2">
        <v>13070</v>
      </c>
      <c r="C213" s="2">
        <v>13670</v>
      </c>
      <c r="D213" s="2">
        <v>21652</v>
      </c>
      <c r="E213" s="2">
        <v>34401</v>
      </c>
      <c r="F213" s="2">
        <v>48563</v>
      </c>
      <c r="G213" s="2">
        <v>50480</v>
      </c>
      <c r="H213" s="2">
        <v>66225</v>
      </c>
      <c r="I213" s="2">
        <v>75670</v>
      </c>
      <c r="J213" s="2">
        <v>66666</v>
      </c>
      <c r="K213" s="2">
        <v>59549</v>
      </c>
      <c r="L213" s="2">
        <v>85365</v>
      </c>
      <c r="M213" s="2">
        <v>100045</v>
      </c>
      <c r="N213" s="2">
        <v>108722</v>
      </c>
      <c r="O213" s="2">
        <v>114015.54</v>
      </c>
      <c r="P213" s="2">
        <v>102557</v>
      </c>
      <c r="Q213" s="2">
        <v>111889.2</v>
      </c>
      <c r="R213" s="2">
        <v>124333.16</v>
      </c>
      <c r="S213" s="2">
        <v>146659.54</v>
      </c>
      <c r="T213" s="2">
        <v>238327.13</v>
      </c>
      <c r="U213" s="2">
        <v>363385.67</v>
      </c>
    </row>
    <row r="214" spans="1:21" x14ac:dyDescent="0.25">
      <c r="A214" t="s">
        <v>892</v>
      </c>
      <c r="B214" s="2">
        <v>11449</v>
      </c>
      <c r="C214" s="2">
        <v>11199</v>
      </c>
      <c r="D214" s="2">
        <v>18434</v>
      </c>
      <c r="E214" s="2">
        <v>29449</v>
      </c>
      <c r="F214" s="2">
        <v>41711</v>
      </c>
      <c r="G214" s="2">
        <v>41114</v>
      </c>
      <c r="H214" s="2">
        <v>54855</v>
      </c>
      <c r="I214" s="2">
        <v>61954</v>
      </c>
      <c r="J214" s="2">
        <v>47998</v>
      </c>
      <c r="K214" s="2">
        <v>40738</v>
      </c>
      <c r="L214" s="2">
        <v>65403</v>
      </c>
      <c r="M214" s="2">
        <v>77815</v>
      </c>
      <c r="N214" s="2">
        <v>81592</v>
      </c>
      <c r="O214" s="2">
        <v>72350.59</v>
      </c>
      <c r="P214" s="2">
        <v>51278.97</v>
      </c>
      <c r="Q214" s="2">
        <v>59074.98</v>
      </c>
      <c r="R214" s="2">
        <v>83524.289999999994</v>
      </c>
      <c r="S214" s="2">
        <v>80810.58</v>
      </c>
      <c r="T214" s="2">
        <v>119947.95</v>
      </c>
      <c r="U214" s="2">
        <v>165541.03</v>
      </c>
    </row>
    <row r="215" spans="1:21" x14ac:dyDescent="0.25">
      <c r="A215" t="s">
        <v>139</v>
      </c>
      <c r="B215" s="2">
        <v>3323</v>
      </c>
      <c r="C215" s="2">
        <v>4315</v>
      </c>
      <c r="D215" s="2">
        <v>4907</v>
      </c>
      <c r="E215" s="2">
        <v>8903</v>
      </c>
      <c r="F215" s="2">
        <v>8079</v>
      </c>
      <c r="G215" s="2">
        <v>10019</v>
      </c>
      <c r="H215" s="2">
        <v>19079</v>
      </c>
      <c r="I215" s="2">
        <v>17576</v>
      </c>
      <c r="J215" s="2">
        <v>16601</v>
      </c>
      <c r="K215" s="2">
        <v>14681</v>
      </c>
      <c r="L215" s="2">
        <v>41862</v>
      </c>
      <c r="M215" s="2">
        <v>43889</v>
      </c>
      <c r="N215" s="2">
        <v>35873</v>
      </c>
      <c r="O215" s="2">
        <v>21046.01</v>
      </c>
      <c r="P215" s="2">
        <v>10318.129999999999</v>
      </c>
      <c r="Q215" s="2">
        <v>11240.9</v>
      </c>
      <c r="R215" s="2">
        <v>28228.85</v>
      </c>
      <c r="S215" s="2">
        <v>46601.24</v>
      </c>
      <c r="T215" s="2">
        <v>140178.12</v>
      </c>
      <c r="U215" s="2">
        <v>264099.34000000003</v>
      </c>
    </row>
    <row r="216" spans="1:21" x14ac:dyDescent="0.25">
      <c r="A216" t="s">
        <v>805</v>
      </c>
      <c r="B216" s="2">
        <v>8126</v>
      </c>
      <c r="C216" s="2">
        <v>6884</v>
      </c>
      <c r="D216" s="2">
        <v>13527</v>
      </c>
      <c r="E216" s="2">
        <v>20546</v>
      </c>
      <c r="F216" s="2">
        <v>33632</v>
      </c>
      <c r="G216" s="2">
        <v>31095</v>
      </c>
      <c r="H216" s="2">
        <v>35776</v>
      </c>
      <c r="I216" s="2">
        <v>44378</v>
      </c>
      <c r="J216" s="2">
        <v>31397</v>
      </c>
      <c r="K216" s="2">
        <v>26057</v>
      </c>
      <c r="L216" s="2">
        <v>23541</v>
      </c>
      <c r="M216" s="2">
        <v>33926</v>
      </c>
      <c r="N216" s="2">
        <v>45719</v>
      </c>
      <c r="O216" s="2">
        <v>59006.57</v>
      </c>
      <c r="P216" s="2">
        <v>56171.61</v>
      </c>
      <c r="Q216" s="2">
        <v>59634.82</v>
      </c>
      <c r="R216" s="2">
        <v>57964.75</v>
      </c>
      <c r="S216" s="2">
        <v>58280.33</v>
      </c>
      <c r="T216" s="2">
        <v>58507.79</v>
      </c>
      <c r="U216" s="2">
        <v>56293.4</v>
      </c>
    </row>
    <row r="217" spans="1:21" x14ac:dyDescent="0.25">
      <c r="A217" t="s">
        <v>806</v>
      </c>
      <c r="B217" s="2">
        <v>1109</v>
      </c>
      <c r="C217" s="2">
        <v>1678</v>
      </c>
      <c r="D217" s="2">
        <v>2559</v>
      </c>
      <c r="E217" s="2">
        <v>3993</v>
      </c>
      <c r="F217" s="2">
        <v>5832</v>
      </c>
      <c r="G217" s="2">
        <v>7587</v>
      </c>
      <c r="H217" s="2">
        <v>9518</v>
      </c>
      <c r="I217" s="2">
        <v>11335</v>
      </c>
      <c r="J217" s="2">
        <v>14039</v>
      </c>
      <c r="K217" s="2">
        <v>13466</v>
      </c>
      <c r="L217" s="2">
        <v>16169</v>
      </c>
      <c r="M217" s="2">
        <v>16994</v>
      </c>
      <c r="N217" s="2">
        <v>19769</v>
      </c>
      <c r="O217" s="2">
        <v>23469.13</v>
      </c>
      <c r="P217" s="2">
        <v>27486.82</v>
      </c>
      <c r="Q217" s="2">
        <v>31305.26</v>
      </c>
      <c r="R217" s="2">
        <v>32834.29</v>
      </c>
      <c r="S217" s="2">
        <v>36514.15</v>
      </c>
      <c r="T217" s="2">
        <v>36392.660000000003</v>
      </c>
      <c r="U217" s="2">
        <v>42438.11</v>
      </c>
    </row>
    <row r="218" spans="1:21" x14ac:dyDescent="0.25">
      <c r="A218" t="s">
        <v>145</v>
      </c>
      <c r="B218">
        <v>512</v>
      </c>
      <c r="C218">
        <v>793</v>
      </c>
      <c r="D218">
        <v>659</v>
      </c>
      <c r="E218">
        <v>959</v>
      </c>
      <c r="F218" s="2">
        <v>1020</v>
      </c>
      <c r="G218" s="2">
        <v>1779</v>
      </c>
      <c r="H218" s="2">
        <v>1852</v>
      </c>
      <c r="I218" s="2">
        <v>2381</v>
      </c>
      <c r="J218" s="2">
        <v>4629</v>
      </c>
      <c r="K218" s="2">
        <v>5345</v>
      </c>
      <c r="L218" s="2">
        <v>3793</v>
      </c>
      <c r="M218" s="2">
        <v>5236</v>
      </c>
      <c r="N218" s="2">
        <v>7361</v>
      </c>
      <c r="O218" s="2">
        <v>11578.67</v>
      </c>
      <c r="P218" s="2">
        <v>12492.14</v>
      </c>
      <c r="Q218" s="2">
        <v>13646.2</v>
      </c>
      <c r="R218" s="2">
        <v>12901.63</v>
      </c>
      <c r="S218" s="2">
        <v>13583.72</v>
      </c>
      <c r="T218" s="2">
        <v>14950.02</v>
      </c>
      <c r="U218" s="2">
        <v>16638.64</v>
      </c>
    </row>
    <row r="219" spans="1:21" x14ac:dyDescent="0.25">
      <c r="A219" t="s">
        <v>146</v>
      </c>
      <c r="B219" s="2">
        <v>4825</v>
      </c>
      <c r="C219" s="2">
        <v>26514</v>
      </c>
      <c r="D219" s="2">
        <v>27755</v>
      </c>
      <c r="E219" s="2">
        <v>30560</v>
      </c>
      <c r="F219" s="2">
        <v>35961</v>
      </c>
      <c r="G219" s="2">
        <v>46854</v>
      </c>
      <c r="H219" s="2">
        <v>67151</v>
      </c>
      <c r="I219" s="2">
        <v>83646</v>
      </c>
      <c r="J219" s="2">
        <v>99321</v>
      </c>
      <c r="K219" s="2">
        <v>126178</v>
      </c>
      <c r="L219" s="2">
        <v>144258</v>
      </c>
      <c r="M219" s="2">
        <v>176009</v>
      </c>
      <c r="N219" s="2">
        <v>257299</v>
      </c>
      <c r="O219" s="2">
        <v>362446.51</v>
      </c>
      <c r="P219" s="2">
        <v>510736.5</v>
      </c>
      <c r="Q219" s="2">
        <v>694397.97</v>
      </c>
      <c r="R219" s="2">
        <v>800253.59</v>
      </c>
      <c r="S219" s="2">
        <v>910169.29</v>
      </c>
      <c r="T219" s="2">
        <v>897407.27</v>
      </c>
      <c r="U219" s="2">
        <v>937642.9</v>
      </c>
    </row>
    <row r="220" spans="1:21" x14ac:dyDescent="0.25">
      <c r="A220" t="s">
        <v>893</v>
      </c>
      <c r="B220" s="2">
        <v>2882</v>
      </c>
      <c r="C220" s="2">
        <v>3967</v>
      </c>
      <c r="D220" s="2">
        <v>5687</v>
      </c>
      <c r="E220" s="2">
        <v>8591</v>
      </c>
      <c r="F220" s="2">
        <v>13721</v>
      </c>
      <c r="G220" s="2">
        <v>24683</v>
      </c>
      <c r="H220" s="2">
        <v>35323</v>
      </c>
      <c r="I220" s="2">
        <v>45633</v>
      </c>
      <c r="J220" s="2">
        <v>57809</v>
      </c>
      <c r="K220" s="2">
        <v>79518</v>
      </c>
      <c r="L220" s="2">
        <v>96587</v>
      </c>
      <c r="M220" s="2">
        <v>121346</v>
      </c>
      <c r="N220" s="2">
        <v>176400</v>
      </c>
      <c r="O220" s="2">
        <v>289380.12</v>
      </c>
      <c r="P220" s="2">
        <v>435881.84</v>
      </c>
      <c r="Q220" s="2">
        <v>596750.43000000005</v>
      </c>
      <c r="R220" s="2">
        <v>706249.2</v>
      </c>
      <c r="S220" s="2">
        <v>846561.98</v>
      </c>
      <c r="T220" s="2">
        <v>986798.63</v>
      </c>
      <c r="U220" s="2">
        <v>1001016.61</v>
      </c>
    </row>
    <row r="221" spans="1:21" x14ac:dyDescent="0.25">
      <c r="A221" t="s">
        <v>894</v>
      </c>
      <c r="B221" s="2">
        <v>4142</v>
      </c>
      <c r="C221" s="2">
        <v>5784</v>
      </c>
      <c r="D221" s="2">
        <v>7819</v>
      </c>
      <c r="E221" s="2">
        <v>11803</v>
      </c>
      <c r="F221" s="2">
        <v>18337</v>
      </c>
      <c r="G221" s="2">
        <v>31573</v>
      </c>
      <c r="H221" s="2">
        <v>45986</v>
      </c>
      <c r="I221" s="2">
        <v>61051</v>
      </c>
      <c r="J221" s="2">
        <v>77889</v>
      </c>
      <c r="K221" s="2">
        <v>104493</v>
      </c>
      <c r="L221" s="2">
        <v>129721</v>
      </c>
      <c r="M221" s="2">
        <v>164663</v>
      </c>
      <c r="N221" s="2">
        <v>233726</v>
      </c>
      <c r="O221" s="2">
        <v>371103.78</v>
      </c>
      <c r="P221" s="2">
        <v>581193.06000000006</v>
      </c>
      <c r="Q221" s="2">
        <v>795753.45</v>
      </c>
      <c r="R221" s="2">
        <v>929323.06</v>
      </c>
      <c r="S221" s="2">
        <v>1208680.92</v>
      </c>
      <c r="T221" s="2">
        <v>1388077.23</v>
      </c>
      <c r="U221" s="2">
        <v>1079622.5</v>
      </c>
    </row>
    <row r="222" spans="1:21" x14ac:dyDescent="0.25">
      <c r="A222" t="s">
        <v>895</v>
      </c>
      <c r="B222">
        <v>45</v>
      </c>
      <c r="C222">
        <v>153</v>
      </c>
      <c r="D222">
        <v>596</v>
      </c>
      <c r="E222">
        <v>696</v>
      </c>
      <c r="F222">
        <v>798</v>
      </c>
      <c r="G222">
        <v>899</v>
      </c>
      <c r="H222" s="2">
        <v>1097</v>
      </c>
      <c r="I222" s="2">
        <v>1326</v>
      </c>
      <c r="J222" s="2">
        <v>1688</v>
      </c>
      <c r="K222" s="2">
        <v>1874</v>
      </c>
      <c r="L222" s="2">
        <v>2080</v>
      </c>
      <c r="M222" s="2">
        <v>2561</v>
      </c>
      <c r="N222" s="2">
        <v>3687</v>
      </c>
      <c r="O222" s="2">
        <v>4809.93</v>
      </c>
      <c r="P222" s="2">
        <v>6432.17</v>
      </c>
      <c r="Q222" s="2">
        <v>8086.74</v>
      </c>
      <c r="R222" s="2">
        <v>12472.76</v>
      </c>
      <c r="S222" s="2">
        <v>16588.46</v>
      </c>
      <c r="T222" s="2">
        <v>30889.09</v>
      </c>
    </row>
    <row r="223" spans="1:21" x14ac:dyDescent="0.25">
      <c r="A223" t="s">
        <v>896</v>
      </c>
      <c r="O223" s="2">
        <v>75198.100000000006</v>
      </c>
      <c r="P223" s="2">
        <v>99988.74</v>
      </c>
      <c r="Q223" s="2">
        <v>126648.64</v>
      </c>
      <c r="R223" s="2">
        <v>148004.63</v>
      </c>
      <c r="S223" s="2">
        <v>167639.18</v>
      </c>
      <c r="T223" s="2">
        <v>272913.73</v>
      </c>
    </row>
    <row r="224" spans="1:21" x14ac:dyDescent="0.25">
      <c r="A224" t="s">
        <v>897</v>
      </c>
      <c r="B224">
        <v>203</v>
      </c>
      <c r="C224">
        <v>304</v>
      </c>
      <c r="D224">
        <v>447</v>
      </c>
      <c r="E224">
        <v>531</v>
      </c>
      <c r="F224">
        <v>959</v>
      </c>
      <c r="G224" s="2">
        <v>1841</v>
      </c>
      <c r="H224" s="2">
        <v>3112</v>
      </c>
      <c r="I224" s="2">
        <v>4321</v>
      </c>
      <c r="J224" s="2">
        <v>5795</v>
      </c>
      <c r="K224" s="2">
        <v>6522</v>
      </c>
      <c r="L224" s="2">
        <v>6972</v>
      </c>
      <c r="M224" s="2">
        <v>7293</v>
      </c>
      <c r="N224" s="2">
        <v>8346</v>
      </c>
      <c r="O224" s="2">
        <v>9552.2800000000007</v>
      </c>
      <c r="P224" s="2">
        <v>11216.15</v>
      </c>
      <c r="Q224" s="2">
        <v>12983.67</v>
      </c>
      <c r="R224" s="2">
        <v>16977.39</v>
      </c>
      <c r="S224" s="2">
        <v>20630.43</v>
      </c>
      <c r="T224" s="2">
        <v>31591.42</v>
      </c>
    </row>
    <row r="225" spans="1:21" x14ac:dyDescent="0.25">
      <c r="A225" t="s">
        <v>898</v>
      </c>
      <c r="B225">
        <v>377</v>
      </c>
      <c r="C225">
        <v>738</v>
      </c>
      <c r="D225">
        <v>622</v>
      </c>
      <c r="E225" s="2">
        <v>1890</v>
      </c>
      <c r="F225" s="2">
        <v>2992</v>
      </c>
      <c r="G225" s="2">
        <v>7228</v>
      </c>
      <c r="H225" s="2">
        <v>10099</v>
      </c>
      <c r="I225" s="2">
        <v>11288</v>
      </c>
      <c r="J225" s="2">
        <v>14687</v>
      </c>
      <c r="K225" s="2">
        <v>25052</v>
      </c>
      <c r="L225" s="2">
        <v>24269</v>
      </c>
      <c r="M225" s="2">
        <v>26802</v>
      </c>
      <c r="N225" s="2">
        <v>50521</v>
      </c>
      <c r="O225" s="2">
        <v>97527.95</v>
      </c>
      <c r="P225" s="2">
        <v>143521.57</v>
      </c>
      <c r="Q225" s="2">
        <v>181527.81</v>
      </c>
      <c r="R225" s="2">
        <v>223939.17</v>
      </c>
      <c r="S225" s="2">
        <v>286704.43</v>
      </c>
      <c r="T225" s="2">
        <v>412160.3</v>
      </c>
      <c r="U225" s="2">
        <v>198304.68</v>
      </c>
    </row>
    <row r="226" spans="1:21" x14ac:dyDescent="0.25">
      <c r="A226" t="s">
        <v>899</v>
      </c>
      <c r="B226">
        <v>95</v>
      </c>
      <c r="C226">
        <v>149</v>
      </c>
      <c r="D226">
        <v>248</v>
      </c>
      <c r="E226">
        <v>398</v>
      </c>
      <c r="F226">
        <v>681</v>
      </c>
      <c r="G226" s="2">
        <v>1187</v>
      </c>
      <c r="H226" s="2">
        <v>1813</v>
      </c>
      <c r="I226" s="2">
        <v>3917</v>
      </c>
      <c r="J226" s="2">
        <v>4764</v>
      </c>
      <c r="O226" s="2">
        <v>11322.87</v>
      </c>
      <c r="P226" s="2">
        <v>13288.27</v>
      </c>
      <c r="Q226" s="2">
        <v>15926.09</v>
      </c>
      <c r="R226" s="2">
        <v>21704.65</v>
      </c>
      <c r="S226" s="2">
        <v>32154.49</v>
      </c>
      <c r="T226" s="2">
        <v>63594.85</v>
      </c>
    </row>
    <row r="227" spans="1:21" x14ac:dyDescent="0.25">
      <c r="A227" t="s">
        <v>900</v>
      </c>
      <c r="B227" s="2">
        <v>1260</v>
      </c>
      <c r="C227" s="2">
        <v>1817</v>
      </c>
      <c r="D227" s="2">
        <v>2132</v>
      </c>
      <c r="E227" s="2">
        <v>3212</v>
      </c>
      <c r="F227" s="2">
        <v>4616</v>
      </c>
      <c r="G227" s="2">
        <v>6890</v>
      </c>
      <c r="H227" s="2">
        <v>10663</v>
      </c>
      <c r="I227" s="2">
        <v>15418</v>
      </c>
      <c r="J227" s="2">
        <v>20080</v>
      </c>
      <c r="K227" s="2">
        <v>24975</v>
      </c>
      <c r="L227" s="2">
        <v>33134</v>
      </c>
      <c r="M227" s="2">
        <v>43317</v>
      </c>
      <c r="N227" s="2">
        <v>57326</v>
      </c>
      <c r="O227" s="2">
        <v>85391.88</v>
      </c>
      <c r="P227" s="2">
        <v>141527.1</v>
      </c>
      <c r="Q227" s="2">
        <v>209595.64</v>
      </c>
      <c r="R227" s="2">
        <v>267604.09000000003</v>
      </c>
      <c r="S227" s="2">
        <v>369981.54</v>
      </c>
      <c r="T227" s="2">
        <v>360931.67</v>
      </c>
      <c r="U227" s="2">
        <v>252895.37</v>
      </c>
    </row>
    <row r="228" spans="1:21" x14ac:dyDescent="0.25">
      <c r="A228" t="s">
        <v>901</v>
      </c>
      <c r="G228">
        <v>0</v>
      </c>
      <c r="H228" s="2">
        <v>9460</v>
      </c>
      <c r="I228" s="2">
        <v>9348</v>
      </c>
      <c r="J228" s="2">
        <v>12155</v>
      </c>
      <c r="K228" s="2">
        <v>12673</v>
      </c>
      <c r="L228" s="2">
        <v>13294</v>
      </c>
      <c r="M228" s="2">
        <v>14922</v>
      </c>
      <c r="N228" s="2">
        <v>20404</v>
      </c>
      <c r="O228" s="2">
        <v>23565.08</v>
      </c>
      <c r="P228" s="2">
        <v>25008.54</v>
      </c>
      <c r="Q228" s="2">
        <v>26767.37</v>
      </c>
      <c r="R228" s="2">
        <v>25698.26</v>
      </c>
      <c r="S228" s="2">
        <v>26842.58</v>
      </c>
      <c r="T228" s="2">
        <v>26819</v>
      </c>
      <c r="U228" s="2">
        <v>28668.799999999999</v>
      </c>
    </row>
    <row r="229" spans="1:21" x14ac:dyDescent="0.25">
      <c r="A229" t="s">
        <v>902</v>
      </c>
      <c r="H229" s="2">
        <v>1635</v>
      </c>
      <c r="I229" s="2">
        <v>2295</v>
      </c>
      <c r="J229" s="2">
        <v>2840</v>
      </c>
      <c r="K229" s="2">
        <v>3353</v>
      </c>
      <c r="L229" s="2">
        <v>4185</v>
      </c>
      <c r="M229" s="2">
        <v>5384</v>
      </c>
      <c r="N229" s="2">
        <v>8187</v>
      </c>
      <c r="O229" s="2">
        <v>11465.84</v>
      </c>
      <c r="P229" s="2">
        <v>15216.49</v>
      </c>
      <c r="Q229" s="2">
        <v>19053.34</v>
      </c>
      <c r="R229" s="2">
        <v>29844.94</v>
      </c>
      <c r="S229" s="2">
        <v>37957.51</v>
      </c>
      <c r="T229" s="2">
        <v>67995.38</v>
      </c>
    </row>
    <row r="230" spans="1:21" x14ac:dyDescent="0.25">
      <c r="A230" t="s">
        <v>411</v>
      </c>
      <c r="H230">
        <v>86</v>
      </c>
      <c r="I230" s="2">
        <v>6234</v>
      </c>
      <c r="J230" s="2">
        <v>6775</v>
      </c>
      <c r="K230" s="2">
        <v>6201</v>
      </c>
      <c r="L230" s="2">
        <v>6141</v>
      </c>
      <c r="M230" s="2">
        <v>6070</v>
      </c>
      <c r="N230" s="2">
        <v>27524</v>
      </c>
      <c r="O230" s="2">
        <v>28023.54</v>
      </c>
      <c r="P230" s="2">
        <v>28268.75</v>
      </c>
      <c r="Q230" s="2">
        <v>30305.15</v>
      </c>
      <c r="R230" s="2">
        <v>31316.47</v>
      </c>
      <c r="S230" s="2">
        <v>32131.68</v>
      </c>
      <c r="T230" s="2">
        <v>35077.72</v>
      </c>
      <c r="U230" s="2">
        <v>29630.400000000001</v>
      </c>
    </row>
    <row r="231" spans="1:21" x14ac:dyDescent="0.25">
      <c r="A231" t="s">
        <v>903</v>
      </c>
      <c r="B231" s="2">
        <v>1722</v>
      </c>
      <c r="C231" s="2">
        <v>21910</v>
      </c>
      <c r="D231" s="2">
        <v>21272</v>
      </c>
      <c r="E231" s="2">
        <v>20657</v>
      </c>
      <c r="F231" s="2">
        <v>20105</v>
      </c>
      <c r="G231" s="2">
        <v>19595</v>
      </c>
      <c r="H231" s="2">
        <v>19609</v>
      </c>
      <c r="I231" s="2">
        <v>19673</v>
      </c>
      <c r="J231" s="2">
        <v>19831</v>
      </c>
      <c r="K231" s="2">
        <v>21203</v>
      </c>
      <c r="L231" s="2">
        <v>21442</v>
      </c>
      <c r="M231" s="2">
        <v>21377</v>
      </c>
      <c r="N231" s="2">
        <v>26025</v>
      </c>
      <c r="O231" s="2">
        <v>23464.37</v>
      </c>
      <c r="P231" s="2">
        <v>23369.57</v>
      </c>
      <c r="Q231" s="2">
        <v>23102.01</v>
      </c>
      <c r="R231" s="2">
        <v>23023.59</v>
      </c>
      <c r="S231" s="2">
        <v>22961.119999999999</v>
      </c>
      <c r="T231" s="2">
        <v>23532.39</v>
      </c>
      <c r="U231" s="2">
        <v>23601.74</v>
      </c>
    </row>
    <row r="232" spans="1:21" x14ac:dyDescent="0.25">
      <c r="A232" t="s">
        <v>152</v>
      </c>
      <c r="B232">
        <v>839</v>
      </c>
      <c r="C232" s="2">
        <v>17981</v>
      </c>
      <c r="D232" s="2">
        <v>18026</v>
      </c>
      <c r="E232" s="2">
        <v>18122</v>
      </c>
      <c r="F232" s="2">
        <v>18221</v>
      </c>
      <c r="G232" s="2">
        <v>18301</v>
      </c>
      <c r="H232" s="2">
        <v>18715</v>
      </c>
      <c r="I232" s="2">
        <v>19050</v>
      </c>
      <c r="J232" s="2">
        <v>19197</v>
      </c>
      <c r="K232" s="2">
        <v>20306</v>
      </c>
      <c r="L232" s="2">
        <v>20654</v>
      </c>
      <c r="M232" s="2">
        <v>20654</v>
      </c>
      <c r="N232" s="2">
        <v>24534</v>
      </c>
      <c r="O232" s="2">
        <v>23651.07</v>
      </c>
      <c r="P232" s="2">
        <v>23591.93</v>
      </c>
      <c r="Q232" s="2">
        <v>23593.19</v>
      </c>
      <c r="R232" s="2">
        <v>23631.599999999999</v>
      </c>
      <c r="S232" s="2">
        <v>23656.67</v>
      </c>
      <c r="T232" s="2">
        <v>23406</v>
      </c>
      <c r="U232" s="2">
        <v>23406</v>
      </c>
    </row>
    <row r="233" spans="1:21" x14ac:dyDescent="0.25">
      <c r="A233" t="s">
        <v>904</v>
      </c>
      <c r="B233">
        <v>883</v>
      </c>
      <c r="C233" s="2">
        <v>3929</v>
      </c>
      <c r="D233" s="2">
        <v>3246</v>
      </c>
      <c r="E233" s="2">
        <v>2535</v>
      </c>
      <c r="F233" s="2">
        <v>1884</v>
      </c>
      <c r="G233" s="2">
        <v>1294</v>
      </c>
      <c r="H233">
        <v>894</v>
      </c>
      <c r="I233">
        <v>623</v>
      </c>
      <c r="J233">
        <v>634</v>
      </c>
      <c r="K233">
        <v>897</v>
      </c>
      <c r="L233">
        <v>788</v>
      </c>
      <c r="M233">
        <v>723</v>
      </c>
      <c r="N233" s="2">
        <v>1491</v>
      </c>
      <c r="O233">
        <v>760.67</v>
      </c>
      <c r="P233">
        <v>315</v>
      </c>
      <c r="Q233">
        <v>-0.67</v>
      </c>
      <c r="R233">
        <v>-388.5</v>
      </c>
      <c r="S233">
        <v>-499.5</v>
      </c>
    </row>
    <row r="234" spans="1:21" x14ac:dyDescent="0.25">
      <c r="A234" t="s">
        <v>514</v>
      </c>
      <c r="B234">
        <v>221</v>
      </c>
      <c r="C234">
        <v>637</v>
      </c>
      <c r="D234">
        <v>796</v>
      </c>
      <c r="E234" s="2">
        <v>1312</v>
      </c>
      <c r="F234" s="2">
        <v>2135</v>
      </c>
      <c r="G234" s="2">
        <v>2576</v>
      </c>
      <c r="H234" s="2">
        <v>2673</v>
      </c>
      <c r="I234" s="2">
        <v>2758</v>
      </c>
      <c r="J234" s="2">
        <v>2751</v>
      </c>
      <c r="K234" s="2">
        <v>6583</v>
      </c>
      <c r="L234" s="2">
        <v>6794</v>
      </c>
      <c r="M234" s="2">
        <v>12294</v>
      </c>
      <c r="N234" s="2">
        <v>6946</v>
      </c>
      <c r="O234" s="2">
        <v>18005.310000000001</v>
      </c>
      <c r="P234" s="2">
        <v>18239.32</v>
      </c>
      <c r="Q234" s="2">
        <v>17565.740000000002</v>
      </c>
      <c r="R234" s="2">
        <v>17054.3</v>
      </c>
      <c r="S234" s="2">
        <v>16589.669999999998</v>
      </c>
      <c r="T234" s="2">
        <v>18534.86</v>
      </c>
      <c r="U234" s="2">
        <v>17998.400000000001</v>
      </c>
    </row>
    <row r="235" spans="1:21" x14ac:dyDescent="0.25">
      <c r="A235" t="s">
        <v>155</v>
      </c>
      <c r="B235" s="2">
        <v>2882</v>
      </c>
      <c r="C235" s="2">
        <v>40184</v>
      </c>
      <c r="D235" s="2">
        <v>49407</v>
      </c>
      <c r="E235" s="2">
        <v>64961</v>
      </c>
      <c r="F235" s="2">
        <v>84524</v>
      </c>
      <c r="G235" s="2">
        <v>97334</v>
      </c>
      <c r="H235" s="2">
        <v>133376</v>
      </c>
      <c r="I235" s="2">
        <v>159316</v>
      </c>
      <c r="J235" s="2">
        <v>165987</v>
      </c>
      <c r="K235" s="2">
        <v>185727</v>
      </c>
      <c r="L235" s="2">
        <v>229623</v>
      </c>
      <c r="M235" s="2">
        <v>276054</v>
      </c>
      <c r="N235" s="2">
        <v>366021</v>
      </c>
      <c r="O235" s="2">
        <v>498336.69</v>
      </c>
      <c r="P235" s="2">
        <v>635176.21</v>
      </c>
      <c r="Q235" s="2">
        <v>813712.43</v>
      </c>
      <c r="R235" s="2">
        <v>942323.88</v>
      </c>
      <c r="S235" s="2">
        <v>1111134.03</v>
      </c>
      <c r="T235" s="2">
        <v>1328622.6599999999</v>
      </c>
      <c r="U235" s="2">
        <v>1463919.31</v>
      </c>
    </row>
    <row r="236" spans="1:21" x14ac:dyDescent="0.25">
      <c r="A236" t="s">
        <v>17</v>
      </c>
    </row>
    <row r="237" spans="1:21" x14ac:dyDescent="0.25">
      <c r="A237" t="s">
        <v>156</v>
      </c>
    </row>
    <row r="238" spans="1:21" x14ac:dyDescent="0.25">
      <c r="A238" t="s">
        <v>157</v>
      </c>
      <c r="B238" s="2">
        <v>1100</v>
      </c>
      <c r="C238" s="2">
        <v>1424</v>
      </c>
      <c r="D238" s="2">
        <v>1925</v>
      </c>
      <c r="E238" s="2">
        <v>2875</v>
      </c>
      <c r="F238" s="2">
        <v>3760</v>
      </c>
      <c r="G238" s="2">
        <v>7017</v>
      </c>
      <c r="H238" s="2">
        <v>15053</v>
      </c>
      <c r="I238" s="2">
        <v>14981</v>
      </c>
      <c r="J238" s="2">
        <v>21135</v>
      </c>
      <c r="K238" s="2">
        <v>27026</v>
      </c>
      <c r="L238" s="2">
        <v>31960</v>
      </c>
      <c r="M238" s="2">
        <v>33596</v>
      </c>
      <c r="N238" s="2">
        <v>41836</v>
      </c>
      <c r="O238" s="2">
        <v>56895.66</v>
      </c>
      <c r="P238" s="2">
        <v>68938.16</v>
      </c>
      <c r="Q238" s="2">
        <v>82980.2</v>
      </c>
      <c r="R238" s="2">
        <v>74857.509999999995</v>
      </c>
      <c r="S238" s="2">
        <v>83004.600000000006</v>
      </c>
      <c r="T238" s="2">
        <v>93934.46</v>
      </c>
      <c r="U238" s="2">
        <v>95003.35</v>
      </c>
    </row>
    <row r="239" spans="1:21" x14ac:dyDescent="0.25">
      <c r="A239" t="s">
        <v>158</v>
      </c>
      <c r="B239">
        <v>87</v>
      </c>
      <c r="C239">
        <v>176</v>
      </c>
      <c r="D239">
        <v>196</v>
      </c>
      <c r="E239">
        <v>302</v>
      </c>
      <c r="F239">
        <v>380</v>
      </c>
      <c r="G239">
        <v>820</v>
      </c>
      <c r="H239" s="2">
        <v>1363</v>
      </c>
      <c r="I239" s="2">
        <v>1331</v>
      </c>
      <c r="J239" s="2">
        <v>4083</v>
      </c>
      <c r="K239" s="2">
        <v>4990</v>
      </c>
      <c r="L239" s="2">
        <v>4849</v>
      </c>
      <c r="M239" s="2">
        <v>7687</v>
      </c>
      <c r="N239" s="2">
        <v>8894</v>
      </c>
      <c r="O239" s="2">
        <v>14095.62</v>
      </c>
      <c r="P239" s="2">
        <v>17424.57</v>
      </c>
      <c r="Q239" s="2">
        <v>21243.37</v>
      </c>
      <c r="R239" s="2">
        <v>18465.97</v>
      </c>
      <c r="S239" s="2">
        <v>20568.05</v>
      </c>
      <c r="T239" s="2">
        <v>22112.74</v>
      </c>
      <c r="U239" s="2">
        <v>21276.99</v>
      </c>
    </row>
    <row r="240" spans="1:21" x14ac:dyDescent="0.25">
      <c r="A240" t="s">
        <v>905</v>
      </c>
      <c r="B240">
        <v>181</v>
      </c>
      <c r="C240">
        <v>202</v>
      </c>
      <c r="D240">
        <v>217</v>
      </c>
      <c r="E240">
        <v>280</v>
      </c>
      <c r="F240">
        <v>390</v>
      </c>
      <c r="G240">
        <v>541</v>
      </c>
      <c r="H240">
        <v>886</v>
      </c>
      <c r="I240" s="2">
        <v>1093</v>
      </c>
      <c r="J240" s="2">
        <v>1052</v>
      </c>
      <c r="K240" s="2">
        <v>1117</v>
      </c>
      <c r="L240">
        <v>863</v>
      </c>
      <c r="O240" s="2">
        <v>1311.37</v>
      </c>
      <c r="P240" s="2">
        <v>1927.34</v>
      </c>
      <c r="Q240" s="2">
        <v>2860.06</v>
      </c>
      <c r="R240" s="2">
        <v>5311.92</v>
      </c>
      <c r="S240" s="2">
        <v>5937.52</v>
      </c>
      <c r="T240" s="2">
        <v>2425</v>
      </c>
    </row>
    <row r="241" spans="1:21" x14ac:dyDescent="0.25">
      <c r="A241" t="s">
        <v>906</v>
      </c>
      <c r="B241">
        <v>555</v>
      </c>
      <c r="C241">
        <v>866</v>
      </c>
      <c r="D241" s="2">
        <v>1449</v>
      </c>
      <c r="E241" s="2">
        <v>2203</v>
      </c>
      <c r="F241" s="2">
        <v>2892</v>
      </c>
      <c r="G241" s="2">
        <v>5509</v>
      </c>
      <c r="H241" s="2">
        <v>11735</v>
      </c>
      <c r="I241" s="2">
        <v>11152</v>
      </c>
      <c r="J241" s="2">
        <v>14312</v>
      </c>
      <c r="K241" s="2">
        <v>19552</v>
      </c>
      <c r="L241" s="2">
        <v>24625</v>
      </c>
      <c r="M241" s="2">
        <v>23891</v>
      </c>
      <c r="N241" s="2">
        <v>30421</v>
      </c>
      <c r="O241" s="2">
        <v>40454.660000000003</v>
      </c>
      <c r="P241" s="2">
        <v>47709.05</v>
      </c>
      <c r="Q241" s="2">
        <v>54382.23</v>
      </c>
      <c r="R241" s="2">
        <v>53147.08</v>
      </c>
      <c r="S241" s="2">
        <v>59226.23</v>
      </c>
      <c r="T241" s="2">
        <v>67860.649999999994</v>
      </c>
      <c r="U241" s="2">
        <v>68101.41</v>
      </c>
    </row>
    <row r="242" spans="1:21" x14ac:dyDescent="0.25">
      <c r="A242" t="s">
        <v>907</v>
      </c>
      <c r="B242">
        <v>38</v>
      </c>
      <c r="C242">
        <v>66</v>
      </c>
      <c r="D242">
        <v>56</v>
      </c>
      <c r="E242">
        <v>90</v>
      </c>
      <c r="F242">
        <v>98</v>
      </c>
      <c r="G242">
        <v>147</v>
      </c>
      <c r="H242">
        <v>269</v>
      </c>
      <c r="I242">
        <v>382</v>
      </c>
      <c r="J242">
        <v>561</v>
      </c>
      <c r="K242">
        <v>0</v>
      </c>
      <c r="L242">
        <v>0</v>
      </c>
      <c r="M242">
        <v>0</v>
      </c>
      <c r="N242">
        <v>0</v>
      </c>
      <c r="O242">
        <v>724.33</v>
      </c>
      <c r="P242">
        <v>873.37</v>
      </c>
      <c r="Q242" s="2">
        <v>1031.5</v>
      </c>
      <c r="R242" s="2">
        <v>1187.6099999999999</v>
      </c>
      <c r="S242" s="2">
        <v>1332</v>
      </c>
    </row>
    <row r="243" spans="1:21" x14ac:dyDescent="0.25">
      <c r="A243" t="s">
        <v>908</v>
      </c>
      <c r="G243">
        <v>0</v>
      </c>
      <c r="H243">
        <v>800</v>
      </c>
      <c r="I243" s="2">
        <v>1023</v>
      </c>
      <c r="J243" s="2">
        <v>1127</v>
      </c>
      <c r="K243" s="2">
        <v>1367</v>
      </c>
      <c r="L243" s="2">
        <v>1623</v>
      </c>
      <c r="M243" s="2">
        <v>1942</v>
      </c>
      <c r="N243" s="2">
        <v>2213</v>
      </c>
      <c r="O243" s="2">
        <v>2397.73</v>
      </c>
      <c r="P243" s="2">
        <v>2484.46</v>
      </c>
      <c r="Q243" s="2">
        <v>2544.88</v>
      </c>
      <c r="R243" s="2">
        <v>2311.9</v>
      </c>
      <c r="S243" s="2">
        <v>2294.66</v>
      </c>
      <c r="T243" s="2">
        <v>2256.2800000000002</v>
      </c>
      <c r="U243" s="2">
        <v>2222.91</v>
      </c>
    </row>
    <row r="244" spans="1:21" x14ac:dyDescent="0.25">
      <c r="A244" t="s">
        <v>164</v>
      </c>
      <c r="B244" s="2">
        <v>1325</v>
      </c>
      <c r="C244" s="2">
        <v>2664</v>
      </c>
      <c r="D244" s="2">
        <v>3264</v>
      </c>
      <c r="E244" s="2">
        <v>2892</v>
      </c>
      <c r="F244" s="2">
        <v>6417</v>
      </c>
      <c r="G244" s="2">
        <v>6190</v>
      </c>
      <c r="H244" s="2">
        <v>17269</v>
      </c>
      <c r="I244" s="2">
        <v>16045</v>
      </c>
      <c r="J244" s="2">
        <v>19973</v>
      </c>
      <c r="K244" s="2">
        <v>32988</v>
      </c>
      <c r="L244" s="2">
        <v>44495</v>
      </c>
      <c r="M244" s="2">
        <v>59821</v>
      </c>
      <c r="N244" s="2">
        <v>106942</v>
      </c>
      <c r="O244" s="2">
        <v>132268.88</v>
      </c>
      <c r="P244" s="2">
        <v>165424.06</v>
      </c>
      <c r="Q244" s="2">
        <v>219953.18</v>
      </c>
      <c r="R244" s="2">
        <v>132252.85999999999</v>
      </c>
      <c r="S244" s="2">
        <v>136222.35999999999</v>
      </c>
    </row>
    <row r="245" spans="1:21" x14ac:dyDescent="0.25">
      <c r="A245" t="s">
        <v>165</v>
      </c>
      <c r="B245">
        <v>0</v>
      </c>
      <c r="J245">
        <v>0</v>
      </c>
      <c r="K245" s="2">
        <v>9923</v>
      </c>
      <c r="L245" s="2">
        <v>18385</v>
      </c>
      <c r="M245" s="2">
        <v>28826</v>
      </c>
      <c r="N245" s="2">
        <v>58744</v>
      </c>
      <c r="O245" s="2">
        <v>86308.03</v>
      </c>
      <c r="P245" s="2">
        <v>103776.92</v>
      </c>
      <c r="Q245" s="2">
        <v>133287.45000000001</v>
      </c>
      <c r="R245" s="2">
        <v>117131</v>
      </c>
      <c r="S245" s="2">
        <v>119482</v>
      </c>
      <c r="T245" s="2">
        <v>134205.6</v>
      </c>
      <c r="U245" s="2">
        <v>101890.57</v>
      </c>
    </row>
    <row r="246" spans="1:21" x14ac:dyDescent="0.25">
      <c r="A246" t="s">
        <v>909</v>
      </c>
      <c r="G246">
        <v>0</v>
      </c>
      <c r="H246" s="2">
        <v>9524</v>
      </c>
      <c r="I246" s="2">
        <v>9631</v>
      </c>
      <c r="J246" s="2">
        <v>12746</v>
      </c>
      <c r="K246" s="2">
        <v>15301</v>
      </c>
      <c r="L246" s="2">
        <v>17226</v>
      </c>
      <c r="M246" s="2">
        <v>18292</v>
      </c>
      <c r="N246" s="2">
        <v>22940</v>
      </c>
      <c r="O246" s="2">
        <v>25367.05</v>
      </c>
      <c r="P246" s="2">
        <v>25067.38</v>
      </c>
      <c r="Q246" s="2">
        <v>25134.16</v>
      </c>
      <c r="R246" s="2">
        <v>25412.31</v>
      </c>
      <c r="S246" s="2">
        <v>27151.93</v>
      </c>
      <c r="T246" s="2">
        <v>28498.11</v>
      </c>
      <c r="U246" s="2">
        <v>30180.83</v>
      </c>
    </row>
    <row r="247" spans="1:21" x14ac:dyDescent="0.25">
      <c r="A247" t="s">
        <v>910</v>
      </c>
      <c r="M247" s="2">
        <v>9987</v>
      </c>
      <c r="N247" s="2">
        <v>21005</v>
      </c>
      <c r="O247" s="2">
        <v>18326</v>
      </c>
      <c r="P247" s="2">
        <v>18326</v>
      </c>
      <c r="Q247" s="2">
        <v>18326</v>
      </c>
      <c r="R247" s="2">
        <v>18326</v>
      </c>
      <c r="S247" s="2">
        <v>18326</v>
      </c>
      <c r="T247" s="2">
        <v>18326</v>
      </c>
      <c r="U247" s="2">
        <v>18326</v>
      </c>
    </row>
    <row r="248" spans="1:21" x14ac:dyDescent="0.25">
      <c r="A248" t="s">
        <v>166</v>
      </c>
      <c r="B248" s="2">
        <v>1088</v>
      </c>
      <c r="C248" s="2">
        <v>2545</v>
      </c>
      <c r="D248" s="2">
        <v>3157</v>
      </c>
      <c r="E248" s="2">
        <v>2892</v>
      </c>
      <c r="F248" s="2">
        <v>6417</v>
      </c>
      <c r="G248" s="2">
        <v>6190</v>
      </c>
      <c r="H248" s="2">
        <v>7745</v>
      </c>
      <c r="I248" s="2">
        <v>6414</v>
      </c>
      <c r="J248" s="2">
        <v>7227</v>
      </c>
      <c r="K248" s="2">
        <v>7764</v>
      </c>
      <c r="L248" s="2">
        <v>8884</v>
      </c>
      <c r="M248" s="2">
        <v>2716</v>
      </c>
      <c r="N248" s="2">
        <v>4253</v>
      </c>
      <c r="O248" s="2">
        <v>6161.97</v>
      </c>
      <c r="P248" s="2">
        <v>6595.52</v>
      </c>
      <c r="Q248" s="2">
        <v>8061.87</v>
      </c>
      <c r="R248" s="2">
        <v>1071.28</v>
      </c>
      <c r="S248" s="2">
        <v>-1568.25</v>
      </c>
      <c r="T248" s="2">
        <v>-3406.7</v>
      </c>
      <c r="U248" s="2">
        <v>-10278.07</v>
      </c>
    </row>
    <row r="249" spans="1:21" x14ac:dyDescent="0.25">
      <c r="A249" t="s">
        <v>167</v>
      </c>
      <c r="B249" s="2">
        <v>2425</v>
      </c>
      <c r="C249" s="2">
        <v>4088</v>
      </c>
      <c r="D249" s="2">
        <v>5189</v>
      </c>
      <c r="E249" s="2">
        <v>5767</v>
      </c>
      <c r="F249" s="2">
        <v>10177</v>
      </c>
      <c r="G249" s="2">
        <v>13207</v>
      </c>
      <c r="H249" s="2">
        <v>32322</v>
      </c>
      <c r="I249" s="2">
        <v>31026</v>
      </c>
      <c r="J249" s="2">
        <v>41108</v>
      </c>
      <c r="K249" s="2">
        <v>60014</v>
      </c>
      <c r="L249" s="2">
        <v>76455</v>
      </c>
      <c r="M249" s="2">
        <v>93417</v>
      </c>
      <c r="N249" s="2">
        <v>148778</v>
      </c>
      <c r="O249" s="2">
        <v>194395.03</v>
      </c>
      <c r="P249" s="2">
        <v>225110.13</v>
      </c>
      <c r="Q249" s="2">
        <v>268375.52</v>
      </c>
      <c r="R249" s="2">
        <v>243679.76</v>
      </c>
      <c r="S249" s="2">
        <v>258164.83</v>
      </c>
      <c r="T249" s="2">
        <v>298938.13</v>
      </c>
      <c r="U249" s="2">
        <v>282827.36</v>
      </c>
    </row>
    <row r="250" spans="1:21" x14ac:dyDescent="0.25">
      <c r="A250" t="s">
        <v>911</v>
      </c>
      <c r="B250" s="2">
        <v>15470</v>
      </c>
      <c r="C250" s="2">
        <v>36096</v>
      </c>
      <c r="D250" s="2">
        <v>44218</v>
      </c>
      <c r="E250" s="2">
        <v>59194</v>
      </c>
      <c r="F250" s="2">
        <v>74347</v>
      </c>
      <c r="G250" s="2">
        <v>84127</v>
      </c>
      <c r="H250" s="2">
        <v>101054</v>
      </c>
      <c r="I250" s="2">
        <v>128290</v>
      </c>
      <c r="J250" s="2">
        <v>124879</v>
      </c>
      <c r="K250" s="2">
        <v>125713</v>
      </c>
      <c r="L250" s="2">
        <v>153168</v>
      </c>
      <c r="M250" s="2">
        <v>182637</v>
      </c>
      <c r="N250" s="2">
        <v>217243</v>
      </c>
      <c r="O250" s="2">
        <v>312939.55</v>
      </c>
      <c r="P250" s="2">
        <v>422637.95</v>
      </c>
      <c r="Q250" s="2">
        <v>549652.81000000006</v>
      </c>
      <c r="R250" s="2">
        <v>703950.06</v>
      </c>
      <c r="S250" s="2">
        <v>862036.63</v>
      </c>
      <c r="T250" s="2">
        <v>1035579.67</v>
      </c>
      <c r="U250" s="2">
        <v>1160557.17</v>
      </c>
    </row>
    <row r="251" spans="1:21" x14ac:dyDescent="0.25">
      <c r="A251" t="s">
        <v>912</v>
      </c>
      <c r="B251" s="2">
        <v>12297</v>
      </c>
      <c r="C251" s="2">
        <v>30225</v>
      </c>
      <c r="D251" s="2">
        <v>34886</v>
      </c>
      <c r="E251" s="2">
        <v>38227</v>
      </c>
      <c r="F251" s="2">
        <v>40584</v>
      </c>
      <c r="G251" s="2">
        <v>42906</v>
      </c>
      <c r="H251" s="2">
        <v>45851</v>
      </c>
      <c r="I251" s="2">
        <v>50018</v>
      </c>
      <c r="J251" s="2">
        <v>55811</v>
      </c>
      <c r="K251" s="2">
        <v>64444</v>
      </c>
      <c r="L251" s="2">
        <v>73253</v>
      </c>
      <c r="M251" s="2">
        <v>83228</v>
      </c>
      <c r="N251" s="2">
        <v>95793</v>
      </c>
      <c r="O251" s="2">
        <v>114865.04</v>
      </c>
      <c r="P251" s="2">
        <v>137336.54999999999</v>
      </c>
      <c r="Q251" s="2">
        <v>170989.99</v>
      </c>
      <c r="R251" s="2">
        <v>205068.97</v>
      </c>
      <c r="S251" s="2">
        <v>229756</v>
      </c>
      <c r="T251" s="2">
        <v>236366.64</v>
      </c>
      <c r="U251" s="2">
        <v>191552.59</v>
      </c>
    </row>
    <row r="252" spans="1:21" x14ac:dyDescent="0.25">
      <c r="A252" t="s">
        <v>173</v>
      </c>
      <c r="B252" s="2">
        <v>3159</v>
      </c>
      <c r="C252" s="2">
        <v>6099</v>
      </c>
      <c r="D252" s="2">
        <v>9787</v>
      </c>
      <c r="E252" s="2">
        <v>21670</v>
      </c>
      <c r="F252" s="2">
        <v>33990</v>
      </c>
      <c r="G252" s="2">
        <v>41981</v>
      </c>
      <c r="H252" s="2">
        <v>55692</v>
      </c>
      <c r="I252" s="2">
        <v>77345</v>
      </c>
      <c r="J252" s="2">
        <v>69761</v>
      </c>
      <c r="K252" s="2">
        <v>64799</v>
      </c>
      <c r="L252" s="2">
        <v>82070</v>
      </c>
      <c r="M252" s="2">
        <v>102506</v>
      </c>
      <c r="N252" s="2">
        <v>121179</v>
      </c>
      <c r="O252" s="2">
        <v>192435.65</v>
      </c>
      <c r="P252" s="2">
        <v>277858.40000000002</v>
      </c>
      <c r="Q252" s="2">
        <v>371919.24</v>
      </c>
      <c r="R252" s="2">
        <v>497945.91</v>
      </c>
      <c r="S252" s="2">
        <v>618822.77</v>
      </c>
      <c r="T252" s="2">
        <v>824666.96</v>
      </c>
      <c r="U252" s="2">
        <v>1030850.41</v>
      </c>
    </row>
    <row r="253" spans="1:21" x14ac:dyDescent="0.25">
      <c r="A253" t="s">
        <v>913</v>
      </c>
      <c r="B253">
        <v>14</v>
      </c>
      <c r="C253">
        <v>-228</v>
      </c>
      <c r="D253">
        <v>-455</v>
      </c>
      <c r="E253">
        <v>-703</v>
      </c>
      <c r="F253">
        <v>-227</v>
      </c>
      <c r="G253">
        <v>-760</v>
      </c>
      <c r="H253">
        <v>-489</v>
      </c>
      <c r="I253">
        <v>927</v>
      </c>
      <c r="J253">
        <v>-693</v>
      </c>
      <c r="K253" s="2">
        <v>-3530</v>
      </c>
      <c r="L253" s="2">
        <v>-2155</v>
      </c>
      <c r="M253" s="2">
        <v>-3097</v>
      </c>
      <c r="N253">
        <v>271</v>
      </c>
      <c r="O253">
        <v>-557</v>
      </c>
      <c r="P253">
        <v>-557</v>
      </c>
      <c r="Q253">
        <v>-551.59</v>
      </c>
      <c r="R253">
        <v>-515.6</v>
      </c>
      <c r="S253">
        <v>-505.89</v>
      </c>
      <c r="T253">
        <v>-493.75</v>
      </c>
      <c r="U253">
        <v>-457.33</v>
      </c>
    </row>
    <row r="254" spans="1:21" x14ac:dyDescent="0.25">
      <c r="A254" t="s">
        <v>326</v>
      </c>
      <c r="B254" s="2">
        <v>2882</v>
      </c>
      <c r="C254" s="2">
        <v>40184</v>
      </c>
      <c r="D254" s="2">
        <v>49407</v>
      </c>
      <c r="E254" s="2">
        <v>64961</v>
      </c>
      <c r="F254" s="2">
        <v>84524</v>
      </c>
      <c r="G254" s="2">
        <v>97334</v>
      </c>
      <c r="H254" s="2">
        <v>133376</v>
      </c>
      <c r="I254" s="2">
        <v>159316</v>
      </c>
      <c r="J254" s="2">
        <v>165987</v>
      </c>
      <c r="K254" s="2">
        <v>185727</v>
      </c>
      <c r="L254" s="2">
        <v>229623</v>
      </c>
      <c r="M254" s="2">
        <v>276054</v>
      </c>
      <c r="N254" s="2">
        <v>366021</v>
      </c>
      <c r="O254" s="2">
        <v>498336.69</v>
      </c>
      <c r="P254" s="2">
        <v>635176.21</v>
      </c>
      <c r="Q254" s="2">
        <v>813712.43</v>
      </c>
      <c r="R254" s="2">
        <v>942323.88</v>
      </c>
      <c r="S254" s="2">
        <v>1111134.03</v>
      </c>
      <c r="T254" s="2">
        <v>1328622.6599999999</v>
      </c>
      <c r="U254" s="2">
        <v>1463919.31</v>
      </c>
    </row>
    <row r="255" spans="1:21" x14ac:dyDescent="0.25">
      <c r="A255" t="s">
        <v>17</v>
      </c>
    </row>
    <row r="256" spans="1:21" x14ac:dyDescent="0.25">
      <c r="A256" t="s">
        <v>176</v>
      </c>
    </row>
    <row r="257" spans="1:21" x14ac:dyDescent="0.25">
      <c r="A257" t="s">
        <v>914</v>
      </c>
      <c r="B257">
        <v>51.42</v>
      </c>
      <c r="C257">
        <v>49.13</v>
      </c>
      <c r="D257">
        <v>52.1</v>
      </c>
      <c r="E257">
        <v>52.88</v>
      </c>
      <c r="F257">
        <v>52.36</v>
      </c>
      <c r="G257">
        <v>49.59</v>
      </c>
      <c r="H257">
        <v>49.14</v>
      </c>
      <c r="I257">
        <v>48.26</v>
      </c>
      <c r="J257">
        <v>43.45</v>
      </c>
      <c r="K257">
        <v>42.15</v>
      </c>
      <c r="L257">
        <v>43.75</v>
      </c>
      <c r="M257">
        <v>37.81</v>
      </c>
      <c r="N257">
        <v>35.909999999999997</v>
      </c>
      <c r="O257">
        <v>32.700000000000003</v>
      </c>
      <c r="P257">
        <v>30.68</v>
      </c>
      <c r="Q257">
        <v>27.75</v>
      </c>
      <c r="R257">
        <v>27.07</v>
      </c>
      <c r="S257">
        <v>25.24</v>
      </c>
      <c r="T257">
        <v>12.78</v>
      </c>
    </row>
    <row r="258" spans="1:21" x14ac:dyDescent="0.25">
      <c r="A258" t="s">
        <v>178</v>
      </c>
    </row>
    <row r="259" spans="1:21" x14ac:dyDescent="0.25">
      <c r="A259" t="s">
        <v>505</v>
      </c>
      <c r="B259" s="2">
        <v>-10973</v>
      </c>
      <c r="C259" s="2">
        <v>-10966</v>
      </c>
      <c r="D259" s="2">
        <v>-18320</v>
      </c>
      <c r="E259" s="2">
        <v>-29449</v>
      </c>
      <c r="F259" s="2">
        <v>-41711</v>
      </c>
      <c r="G259" s="2">
        <v>-41114</v>
      </c>
      <c r="H259" s="2">
        <v>-54855</v>
      </c>
      <c r="I259" s="2">
        <v>-61954</v>
      </c>
      <c r="J259" s="2">
        <v>-47998</v>
      </c>
      <c r="K259" s="2">
        <v>-40738</v>
      </c>
      <c r="L259" s="2">
        <v>-65403</v>
      </c>
      <c r="M259" s="2">
        <v>-70597</v>
      </c>
      <c r="N259" s="2">
        <v>-77201</v>
      </c>
      <c r="O259" s="2">
        <v>23155.75</v>
      </c>
      <c r="P259" s="2">
        <v>61455.75</v>
      </c>
      <c r="Q259" s="2">
        <v>81541.820000000007</v>
      </c>
      <c r="R259" s="2">
        <v>47593</v>
      </c>
      <c r="S259" s="2">
        <v>83743.600000000006</v>
      </c>
      <c r="T259" s="2">
        <v>90055</v>
      </c>
      <c r="U259" s="2">
        <v>80280</v>
      </c>
    </row>
    <row r="260" spans="1:21" x14ac:dyDescent="0.25">
      <c r="A260" t="s">
        <v>178</v>
      </c>
    </row>
    <row r="261" spans="1:21" x14ac:dyDescent="0.25">
      <c r="A261" t="s">
        <v>915</v>
      </c>
    </row>
    <row r="262" spans="1:21" x14ac:dyDescent="0.25">
      <c r="A262" t="s">
        <v>179</v>
      </c>
      <c r="B262">
        <v>56.55</v>
      </c>
      <c r="C262">
        <v>13.58</v>
      </c>
      <c r="D262">
        <v>8.19</v>
      </c>
      <c r="E262">
        <v>17.82</v>
      </c>
      <c r="F262">
        <v>21.3</v>
      </c>
      <c r="G262">
        <v>24.32</v>
      </c>
      <c r="H262">
        <v>16.02</v>
      </c>
      <c r="I262">
        <v>19.920000000000002</v>
      </c>
      <c r="J262">
        <v>24.21</v>
      </c>
      <c r="K262">
        <v>13.19</v>
      </c>
      <c r="L262">
        <v>18.829999999999998</v>
      </c>
      <c r="M262">
        <v>24.66</v>
      </c>
      <c r="N262">
        <v>18.829999999999998</v>
      </c>
      <c r="O262">
        <v>18.7</v>
      </c>
      <c r="P262">
        <v>15.11</v>
      </c>
      <c r="Q262">
        <v>13.01</v>
      </c>
      <c r="R262">
        <v>13.88</v>
      </c>
      <c r="S262">
        <v>13.69</v>
      </c>
      <c r="T262">
        <v>14.24</v>
      </c>
      <c r="U262">
        <v>15.76</v>
      </c>
    </row>
    <row r="263" spans="1:21" x14ac:dyDescent="0.25">
      <c r="A263" t="s">
        <v>180</v>
      </c>
      <c r="B263">
        <v>10.95</v>
      </c>
      <c r="C263">
        <v>11.34</v>
      </c>
      <c r="D263">
        <v>9.14</v>
      </c>
      <c r="E263">
        <v>19.7</v>
      </c>
      <c r="F263">
        <v>23.84</v>
      </c>
      <c r="G263">
        <v>27.9</v>
      </c>
      <c r="H263">
        <v>19.96</v>
      </c>
      <c r="I263">
        <v>25.42</v>
      </c>
      <c r="J263">
        <v>31.1</v>
      </c>
      <c r="K263">
        <v>18.52</v>
      </c>
      <c r="L263">
        <v>28.04</v>
      </c>
      <c r="M263">
        <v>37.14</v>
      </c>
      <c r="N263">
        <v>30.24</v>
      </c>
      <c r="O263">
        <v>29.84</v>
      </c>
      <c r="P263">
        <v>24.1</v>
      </c>
      <c r="Q263">
        <v>21.09</v>
      </c>
      <c r="R263">
        <v>19.7</v>
      </c>
      <c r="S263">
        <v>18.14</v>
      </c>
      <c r="T263">
        <v>15.52</v>
      </c>
    </row>
    <row r="264" spans="1:21" x14ac:dyDescent="0.25">
      <c r="A264" t="s">
        <v>327</v>
      </c>
      <c r="B264">
        <v>2.99</v>
      </c>
      <c r="C264">
        <v>0.57999999999999996</v>
      </c>
      <c r="D264">
        <v>0.4</v>
      </c>
      <c r="E264">
        <v>0.48</v>
      </c>
      <c r="F264">
        <v>0.54</v>
      </c>
      <c r="G264">
        <v>0.61</v>
      </c>
      <c r="H264">
        <v>0.61</v>
      </c>
      <c r="I264">
        <v>0.59</v>
      </c>
      <c r="J264">
        <v>0.73</v>
      </c>
      <c r="K264">
        <v>0.66</v>
      </c>
      <c r="L264">
        <v>0.65</v>
      </c>
      <c r="M264">
        <v>0.65</v>
      </c>
      <c r="N264">
        <v>0.63</v>
      </c>
      <c r="O264">
        <v>0.56000000000000005</v>
      </c>
      <c r="P264">
        <v>0.47</v>
      </c>
      <c r="Q264">
        <v>0.33</v>
      </c>
    </row>
    <row r="265" spans="1:21" x14ac:dyDescent="0.25">
      <c r="A265" t="s">
        <v>916</v>
      </c>
      <c r="B265">
        <v>42.38</v>
      </c>
      <c r="C265">
        <v>40.799999999999997</v>
      </c>
      <c r="D265">
        <v>43.13</v>
      </c>
      <c r="E265">
        <v>43.38</v>
      </c>
      <c r="F265">
        <v>44.11</v>
      </c>
      <c r="G265">
        <v>43.86</v>
      </c>
      <c r="H265">
        <v>44.16</v>
      </c>
      <c r="I265">
        <v>44.39</v>
      </c>
      <c r="J265">
        <v>39.270000000000003</v>
      </c>
      <c r="K265">
        <v>43.05</v>
      </c>
      <c r="L265">
        <v>40.090000000000003</v>
      </c>
      <c r="M265">
        <v>36.89</v>
      </c>
      <c r="N265">
        <v>33.380000000000003</v>
      </c>
      <c r="O265">
        <v>34.619999999999997</v>
      </c>
      <c r="P265">
        <v>34.68</v>
      </c>
      <c r="Q265">
        <v>34.61</v>
      </c>
      <c r="R265">
        <v>34.4</v>
      </c>
      <c r="S265">
        <v>34.200000000000003</v>
      </c>
      <c r="T265">
        <v>34</v>
      </c>
      <c r="U265">
        <v>33.799999999999997</v>
      </c>
    </row>
    <row r="266" spans="1:21" x14ac:dyDescent="0.25">
      <c r="A266" t="s">
        <v>812</v>
      </c>
      <c r="B266">
        <v>42.38</v>
      </c>
      <c r="C266">
        <v>40.799999999999997</v>
      </c>
      <c r="D266">
        <v>43.13</v>
      </c>
      <c r="E266">
        <v>43.26</v>
      </c>
      <c r="F266">
        <v>44.11</v>
      </c>
      <c r="G266">
        <v>43.86</v>
      </c>
      <c r="H266">
        <v>44.16</v>
      </c>
      <c r="I266">
        <v>44.27</v>
      </c>
      <c r="J266">
        <v>39.270000000000003</v>
      </c>
      <c r="K266">
        <v>43.05</v>
      </c>
      <c r="L266">
        <v>40.090000000000003</v>
      </c>
      <c r="M266">
        <v>36.79</v>
      </c>
      <c r="N266">
        <v>33.380000000000003</v>
      </c>
      <c r="O266">
        <v>31.42</v>
      </c>
      <c r="P266">
        <v>31.28</v>
      </c>
      <c r="Q266">
        <v>30.2</v>
      </c>
      <c r="R266">
        <v>33.880000000000003</v>
      </c>
      <c r="S266">
        <v>34.04</v>
      </c>
      <c r="T266">
        <v>33.39</v>
      </c>
      <c r="U266">
        <v>33.39</v>
      </c>
    </row>
    <row r="267" spans="1:21" x14ac:dyDescent="0.25">
      <c r="A267" t="s">
        <v>186</v>
      </c>
      <c r="B267">
        <v>11.88</v>
      </c>
      <c r="C267">
        <v>9.6</v>
      </c>
      <c r="D267">
        <v>11.25</v>
      </c>
      <c r="E267">
        <v>11.97</v>
      </c>
      <c r="F267">
        <v>12.92</v>
      </c>
      <c r="G267">
        <v>7.19</v>
      </c>
      <c r="H267">
        <v>4.4000000000000004</v>
      </c>
      <c r="I267">
        <v>5.05</v>
      </c>
      <c r="J267">
        <v>3.15</v>
      </c>
      <c r="K267">
        <v>2.2000000000000002</v>
      </c>
      <c r="L267">
        <v>2.67</v>
      </c>
      <c r="M267">
        <v>2.98</v>
      </c>
      <c r="N267">
        <v>2.6</v>
      </c>
      <c r="O267">
        <v>26.86</v>
      </c>
      <c r="P267">
        <v>19.05</v>
      </c>
      <c r="Q267">
        <v>16.489999999999998</v>
      </c>
      <c r="R267">
        <v>1.04</v>
      </c>
      <c r="S267">
        <v>1.94</v>
      </c>
      <c r="T267">
        <v>2.54</v>
      </c>
      <c r="U267">
        <v>3.82</v>
      </c>
    </row>
    <row r="268" spans="1:21" x14ac:dyDescent="0.25">
      <c r="A268" t="s">
        <v>424</v>
      </c>
      <c r="B268">
        <v>6.07</v>
      </c>
      <c r="C268">
        <v>12.91</v>
      </c>
      <c r="D268">
        <v>15.54</v>
      </c>
      <c r="E268">
        <v>20.47</v>
      </c>
      <c r="F268">
        <v>25.58</v>
      </c>
      <c r="G268">
        <v>29.48</v>
      </c>
      <c r="H268">
        <v>35.43</v>
      </c>
      <c r="I268">
        <v>45.03</v>
      </c>
      <c r="J268">
        <v>45.56</v>
      </c>
      <c r="K268">
        <v>48.09</v>
      </c>
      <c r="L268">
        <v>59.81</v>
      </c>
      <c r="M268">
        <v>72.069999999999993</v>
      </c>
      <c r="N268">
        <v>85.87</v>
      </c>
      <c r="O268">
        <v>119.79</v>
      </c>
      <c r="P268">
        <v>153.31</v>
      </c>
      <c r="Q268">
        <v>194.74</v>
      </c>
      <c r="R268">
        <v>255.99</v>
      </c>
      <c r="S268">
        <v>314.02</v>
      </c>
    </row>
    <row r="269" spans="1:21" x14ac:dyDescent="0.25">
      <c r="A269" t="s">
        <v>17</v>
      </c>
    </row>
    <row r="270" spans="1:21" x14ac:dyDescent="0.25">
      <c r="A270" t="s">
        <v>917</v>
      </c>
    </row>
    <row r="271" spans="1:21" x14ac:dyDescent="0.25">
      <c r="A271" t="s">
        <v>183</v>
      </c>
      <c r="B271" s="2">
        <v>2547</v>
      </c>
      <c r="C271" s="2">
        <v>2797</v>
      </c>
      <c r="D271" s="2">
        <v>2845</v>
      </c>
      <c r="E271" s="2">
        <v>2892</v>
      </c>
      <c r="F271" s="2">
        <v>2906</v>
      </c>
      <c r="G271" s="2">
        <v>2854</v>
      </c>
      <c r="H271" s="2">
        <v>2852</v>
      </c>
      <c r="I271" s="2">
        <v>2849</v>
      </c>
      <c r="J271" s="2">
        <v>2741</v>
      </c>
      <c r="K271" s="2">
        <v>2614</v>
      </c>
      <c r="L271" s="2">
        <v>2561</v>
      </c>
      <c r="M271" s="2">
        <v>2534</v>
      </c>
      <c r="N271" s="2">
        <v>2530</v>
      </c>
    </row>
    <row r="272" spans="1:21" x14ac:dyDescent="0.25">
      <c r="A272" t="s">
        <v>330</v>
      </c>
      <c r="B272">
        <v>7.0000000000000007E-2</v>
      </c>
      <c r="C272">
        <v>7.0000000000000007E-2</v>
      </c>
      <c r="D272">
        <v>0.45</v>
      </c>
      <c r="E272">
        <v>0.11</v>
      </c>
      <c r="F272">
        <v>6.92</v>
      </c>
      <c r="G272">
        <v>79.53</v>
      </c>
      <c r="H272">
        <v>22.08</v>
      </c>
      <c r="I272">
        <v>26.72</v>
      </c>
      <c r="J272">
        <v>135.56</v>
      </c>
      <c r="K272">
        <v>160.78</v>
      </c>
      <c r="L272">
        <v>92.07</v>
      </c>
      <c r="M272">
        <v>65.260000000000005</v>
      </c>
      <c r="N272">
        <v>40.200000000000003</v>
      </c>
      <c r="P272">
        <v>12.13</v>
      </c>
      <c r="Q272">
        <v>-11.17</v>
      </c>
      <c r="R272">
        <v>6.84</v>
      </c>
      <c r="S272">
        <v>43.39</v>
      </c>
      <c r="T272">
        <v>78.25</v>
      </c>
      <c r="U272">
        <v>110.85</v>
      </c>
    </row>
    <row r="273" spans="1:21" x14ac:dyDescent="0.25">
      <c r="A273" t="s">
        <v>184</v>
      </c>
      <c r="B273">
        <v>0</v>
      </c>
      <c r="C273">
        <v>0</v>
      </c>
      <c r="D273">
        <v>0.02</v>
      </c>
      <c r="E273">
        <v>0.04</v>
      </c>
      <c r="F273" s="2">
        <v>2070</v>
      </c>
      <c r="G273" s="2">
        <v>12930</v>
      </c>
      <c r="H273" s="2">
        <v>4100</v>
      </c>
      <c r="I273" s="2">
        <v>6297.53</v>
      </c>
      <c r="J273" s="2">
        <v>44810.02</v>
      </c>
      <c r="K273" s="2">
        <v>27930</v>
      </c>
      <c r="L273" s="2">
        <v>20030</v>
      </c>
      <c r="M273" s="2">
        <v>30130</v>
      </c>
      <c r="N273" s="2">
        <v>26260</v>
      </c>
    </row>
    <row r="274" spans="1:21" x14ac:dyDescent="0.25">
      <c r="A274" t="s">
        <v>507</v>
      </c>
      <c r="B274">
        <v>0</v>
      </c>
      <c r="C274">
        <v>0</v>
      </c>
      <c r="D274">
        <v>0.04</v>
      </c>
      <c r="E274">
        <v>0.32</v>
      </c>
      <c r="F274">
        <v>298.95999999999998</v>
      </c>
      <c r="G274">
        <v>162.63</v>
      </c>
      <c r="H274">
        <v>185.7</v>
      </c>
      <c r="I274">
        <v>235.73</v>
      </c>
      <c r="J274">
        <v>330.55</v>
      </c>
      <c r="K274">
        <v>173.72</v>
      </c>
      <c r="L274">
        <v>217.55</v>
      </c>
      <c r="M274">
        <v>461.68</v>
      </c>
      <c r="N274">
        <v>653.23</v>
      </c>
    </row>
    <row r="275" spans="1:21" x14ac:dyDescent="0.25">
      <c r="A275" t="s">
        <v>17</v>
      </c>
    </row>
    <row r="276" spans="1:21" x14ac:dyDescent="0.25">
      <c r="A276" t="s">
        <v>188</v>
      </c>
    </row>
    <row r="277" spans="1:21" x14ac:dyDescent="0.25">
      <c r="A277" t="s">
        <v>189</v>
      </c>
    </row>
    <row r="278" spans="1:21" x14ac:dyDescent="0.25">
      <c r="A278" t="s">
        <v>121</v>
      </c>
      <c r="B278" s="2">
        <v>1491</v>
      </c>
      <c r="C278" s="2">
        <v>2925</v>
      </c>
      <c r="D278" s="2">
        <v>3669</v>
      </c>
      <c r="E278" s="2">
        <v>10188</v>
      </c>
      <c r="F278" s="2">
        <v>18190</v>
      </c>
      <c r="G278" s="2">
        <v>22112</v>
      </c>
      <c r="H278" s="2">
        <v>18485</v>
      </c>
      <c r="I278" s="2">
        <v>29146</v>
      </c>
      <c r="J278" s="2">
        <v>39370</v>
      </c>
      <c r="K278" s="2">
        <v>23200</v>
      </c>
      <c r="L278" s="2">
        <v>39098</v>
      </c>
      <c r="M278" s="2">
        <v>62360</v>
      </c>
      <c r="N278" s="2">
        <v>60458</v>
      </c>
      <c r="O278" s="2">
        <v>80535.44</v>
      </c>
      <c r="P278" s="2">
        <v>87602.55</v>
      </c>
      <c r="Q278" s="2">
        <v>102532.87</v>
      </c>
      <c r="R278" s="2">
        <v>125802.1</v>
      </c>
      <c r="S278" s="2">
        <v>142711.5</v>
      </c>
      <c r="T278" s="2">
        <v>172643.1</v>
      </c>
      <c r="U278" s="2">
        <v>201226.43</v>
      </c>
    </row>
    <row r="279" spans="1:21" x14ac:dyDescent="0.25">
      <c r="A279" t="s">
        <v>190</v>
      </c>
      <c r="B279" s="2">
        <v>1011</v>
      </c>
      <c r="C279" s="2">
        <v>1243</v>
      </c>
      <c r="D279" s="2">
        <v>1945</v>
      </c>
      <c r="E279" s="2">
        <v>2342</v>
      </c>
      <c r="F279" s="2">
        <v>3025</v>
      </c>
      <c r="G279" s="2">
        <v>4315</v>
      </c>
      <c r="H279" s="2">
        <v>5741</v>
      </c>
      <c r="I279" s="2">
        <v>6862</v>
      </c>
      <c r="J279" s="2">
        <v>7967</v>
      </c>
      <c r="K279" s="2">
        <v>8686</v>
      </c>
      <c r="L279" s="2">
        <v>11178</v>
      </c>
      <c r="M279" s="2">
        <v>15498</v>
      </c>
      <c r="N279" s="2">
        <v>18616</v>
      </c>
      <c r="O279" s="2">
        <v>28594.25</v>
      </c>
      <c r="P279" s="2">
        <v>44471.29</v>
      </c>
      <c r="Q279" s="2">
        <v>64496.02</v>
      </c>
      <c r="R279" s="2">
        <v>85747.49</v>
      </c>
      <c r="S279" s="2">
        <v>103104.92</v>
      </c>
      <c r="T279" s="2">
        <v>117641.04</v>
      </c>
      <c r="U279" s="2">
        <v>137243.23000000001</v>
      </c>
    </row>
    <row r="280" spans="1:21" x14ac:dyDescent="0.25">
      <c r="A280" t="s">
        <v>67</v>
      </c>
      <c r="B280">
        <v>906</v>
      </c>
      <c r="C280" s="2">
        <v>1837</v>
      </c>
      <c r="D280" s="2">
        <v>2969</v>
      </c>
      <c r="E280" s="2">
        <v>3218</v>
      </c>
      <c r="F280" s="2">
        <v>3723</v>
      </c>
      <c r="G280" s="2">
        <v>4152</v>
      </c>
      <c r="H280" s="2">
        <v>4836</v>
      </c>
      <c r="I280" s="2">
        <v>6536</v>
      </c>
      <c r="J280" s="2">
        <v>9164</v>
      </c>
      <c r="K280" s="2">
        <v>11992</v>
      </c>
      <c r="L280" s="2">
        <v>14027</v>
      </c>
      <c r="M280" s="2">
        <v>16690</v>
      </c>
      <c r="N280" s="2">
        <v>20427</v>
      </c>
      <c r="O280" s="2">
        <v>27379.27</v>
      </c>
      <c r="P280" s="2">
        <v>32385.94</v>
      </c>
      <c r="Q280" s="2">
        <v>37833.47</v>
      </c>
      <c r="R280" s="2">
        <v>42768.24</v>
      </c>
      <c r="S280" s="2">
        <v>47612.69</v>
      </c>
      <c r="T280" s="2">
        <v>55015.51</v>
      </c>
      <c r="U280" s="2">
        <v>60300.08</v>
      </c>
    </row>
    <row r="281" spans="1:21" x14ac:dyDescent="0.25">
      <c r="A281" t="s">
        <v>918</v>
      </c>
      <c r="I281">
        <v>0</v>
      </c>
      <c r="J281">
        <v>0</v>
      </c>
      <c r="K281" s="2">
        <v>2218</v>
      </c>
      <c r="L281" s="2">
        <v>2432</v>
      </c>
      <c r="M281">
        <v>383</v>
      </c>
      <c r="N281">
        <v>0</v>
      </c>
      <c r="O281">
        <v>0</v>
      </c>
    </row>
    <row r="282" spans="1:21" x14ac:dyDescent="0.25">
      <c r="A282" t="s">
        <v>546</v>
      </c>
      <c r="B282">
        <v>-37</v>
      </c>
      <c r="C282">
        <v>-210</v>
      </c>
      <c r="D282">
        <v>-795</v>
      </c>
      <c r="E282">
        <v>-457</v>
      </c>
      <c r="F282">
        <v>-377</v>
      </c>
      <c r="G282">
        <v>286</v>
      </c>
      <c r="H282">
        <v>-37</v>
      </c>
      <c r="I282" s="2">
        <v>-1192</v>
      </c>
      <c r="J282">
        <v>609</v>
      </c>
      <c r="K282" s="2">
        <v>-3286</v>
      </c>
      <c r="L282">
        <v>131</v>
      </c>
      <c r="M282" s="2">
        <v>-4738</v>
      </c>
      <c r="N282" s="2">
        <v>18738</v>
      </c>
      <c r="O282" s="2">
        <v>1562.41</v>
      </c>
      <c r="P282">
        <v>0</v>
      </c>
    </row>
    <row r="283" spans="1:21" x14ac:dyDescent="0.25">
      <c r="A283" t="s">
        <v>512</v>
      </c>
      <c r="B283">
        <v>173</v>
      </c>
      <c r="C283">
        <v>-24</v>
      </c>
      <c r="D283">
        <v>17</v>
      </c>
      <c r="E283">
        <v>30</v>
      </c>
      <c r="F283">
        <v>24</v>
      </c>
      <c r="G283">
        <v>-64</v>
      </c>
      <c r="H283">
        <v>39</v>
      </c>
      <c r="I283">
        <v>85</v>
      </c>
      <c r="J283">
        <v>105</v>
      </c>
      <c r="K283" s="2">
        <v>1519</v>
      </c>
      <c r="L283">
        <v>411</v>
      </c>
      <c r="M283">
        <v>87</v>
      </c>
      <c r="N283" s="2">
        <v>-1554</v>
      </c>
      <c r="O283">
        <v>401.4</v>
      </c>
    </row>
    <row r="284" spans="1:21" x14ac:dyDescent="0.25">
      <c r="A284" t="s">
        <v>338</v>
      </c>
    </row>
    <row r="285" spans="1:21" x14ac:dyDescent="0.25">
      <c r="A285" t="s">
        <v>141</v>
      </c>
      <c r="B285">
        <v>-378</v>
      </c>
      <c r="C285">
        <v>-610</v>
      </c>
      <c r="D285">
        <v>-973</v>
      </c>
      <c r="E285" s="2">
        <v>-1489</v>
      </c>
      <c r="F285" s="2">
        <v>-1609</v>
      </c>
      <c r="G285" s="2">
        <v>-1892</v>
      </c>
      <c r="H285" s="2">
        <v>-1961</v>
      </c>
      <c r="I285" s="2">
        <v>-1512</v>
      </c>
      <c r="J285" s="2">
        <v>-3110</v>
      </c>
      <c r="K285">
        <v>231</v>
      </c>
      <c r="L285" s="2">
        <v>-2399</v>
      </c>
      <c r="M285" s="2">
        <v>-1485</v>
      </c>
      <c r="N285" s="2">
        <v>-1815</v>
      </c>
      <c r="O285" s="2">
        <v>-4064.29</v>
      </c>
      <c r="P285" s="2">
        <v>-4370.91</v>
      </c>
      <c r="Q285" s="2">
        <v>-3940.04</v>
      </c>
      <c r="R285" s="2">
        <v>-3514.51</v>
      </c>
      <c r="S285" s="2">
        <v>-3321.97</v>
      </c>
      <c r="T285" s="2">
        <v>-3434.83</v>
      </c>
      <c r="U285" s="2">
        <v>-4679.46</v>
      </c>
    </row>
    <row r="286" spans="1:21" x14ac:dyDescent="0.25">
      <c r="A286" t="s">
        <v>428</v>
      </c>
      <c r="B286">
        <v>-45</v>
      </c>
      <c r="C286">
        <v>-123</v>
      </c>
      <c r="D286">
        <v>-144</v>
      </c>
      <c r="E286">
        <v>-159</v>
      </c>
      <c r="F286">
        <v>-192</v>
      </c>
      <c r="G286">
        <v>-690</v>
      </c>
      <c r="H286">
        <v>47</v>
      </c>
      <c r="I286">
        <v>135</v>
      </c>
      <c r="J286" s="2">
        <v>-1750</v>
      </c>
      <c r="K286">
        <v>162</v>
      </c>
      <c r="L286">
        <v>559</v>
      </c>
      <c r="M286">
        <v>-698</v>
      </c>
      <c r="N286">
        <v>-89</v>
      </c>
      <c r="O286" s="2">
        <v>-1861.9</v>
      </c>
      <c r="P286" s="2">
        <v>-1142.3</v>
      </c>
      <c r="Q286" s="2">
        <v>-1806.76</v>
      </c>
      <c r="R286" s="2">
        <v>-1559.45</v>
      </c>
      <c r="S286" s="2">
        <v>-1553.61</v>
      </c>
      <c r="T286" s="2">
        <v>-1077.26</v>
      </c>
      <c r="U286" s="2">
        <v>-1059.24</v>
      </c>
    </row>
    <row r="287" spans="1:21" x14ac:dyDescent="0.25">
      <c r="A287" t="s">
        <v>514</v>
      </c>
      <c r="B287">
        <v>-25</v>
      </c>
      <c r="C287">
        <v>-216</v>
      </c>
      <c r="D287">
        <v>-3</v>
      </c>
      <c r="E287">
        <v>14</v>
      </c>
      <c r="F287">
        <v>154</v>
      </c>
      <c r="G287">
        <v>-159</v>
      </c>
      <c r="H287">
        <v>41</v>
      </c>
      <c r="I287">
        <v>-34</v>
      </c>
      <c r="J287">
        <v>-349</v>
      </c>
      <c r="K287">
        <v>-106</v>
      </c>
      <c r="L287">
        <v>-80</v>
      </c>
      <c r="M287">
        <v>-270</v>
      </c>
      <c r="N287">
        <v>-481</v>
      </c>
      <c r="O287" s="2">
        <v>-2133.02</v>
      </c>
      <c r="P287" s="2">
        <v>-2696.06</v>
      </c>
      <c r="Q287" s="2">
        <v>-2119.37</v>
      </c>
      <c r="R287" s="2">
        <v>-1855.6</v>
      </c>
      <c r="S287" s="2">
        <v>-1697.73</v>
      </c>
      <c r="T287" s="2">
        <v>-3405.73</v>
      </c>
    </row>
    <row r="288" spans="1:21" x14ac:dyDescent="0.25">
      <c r="A288" t="s">
        <v>158</v>
      </c>
      <c r="B288">
        <v>26</v>
      </c>
      <c r="C288">
        <v>31</v>
      </c>
      <c r="D288">
        <v>18</v>
      </c>
      <c r="E288">
        <v>14</v>
      </c>
      <c r="F288">
        <v>43</v>
      </c>
      <c r="G288">
        <v>221</v>
      </c>
      <c r="H288">
        <v>113</v>
      </c>
      <c r="I288">
        <v>-17</v>
      </c>
      <c r="J288" s="2">
        <v>1436</v>
      </c>
      <c r="K288">
        <v>210</v>
      </c>
      <c r="L288">
        <v>51</v>
      </c>
      <c r="M288">
        <v>373</v>
      </c>
      <c r="N288">
        <v>-14</v>
      </c>
      <c r="O288">
        <v>-321.93</v>
      </c>
      <c r="P288" s="2">
        <v>3722.72</v>
      </c>
      <c r="Q288" s="2">
        <v>3109.96</v>
      </c>
      <c r="R288" s="2">
        <v>1283.51</v>
      </c>
      <c r="S288" s="2">
        <v>1344.63</v>
      </c>
      <c r="T288" s="2">
        <v>2212.09</v>
      </c>
      <c r="U288" s="2">
        <v>2089.3200000000002</v>
      </c>
    </row>
    <row r="289" spans="1:21" x14ac:dyDescent="0.25">
      <c r="A289" t="s">
        <v>905</v>
      </c>
      <c r="B289">
        <v>12</v>
      </c>
      <c r="C289">
        <v>-28</v>
      </c>
      <c r="D289">
        <v>17</v>
      </c>
      <c r="E289">
        <v>67</v>
      </c>
      <c r="F289">
        <v>95</v>
      </c>
      <c r="G289">
        <v>157</v>
      </c>
      <c r="H289">
        <v>348</v>
      </c>
      <c r="I289">
        <v>178</v>
      </c>
      <c r="J289">
        <v>-12</v>
      </c>
      <c r="K289">
        <v>90</v>
      </c>
      <c r="L289">
        <v>-271</v>
      </c>
      <c r="M289">
        <v>0</v>
      </c>
      <c r="N289">
        <v>0</v>
      </c>
      <c r="O289">
        <v>-139.72999999999999</v>
      </c>
      <c r="P289">
        <v>-254.73</v>
      </c>
      <c r="Q289">
        <v>-410.21</v>
      </c>
    </row>
    <row r="290" spans="1:21" x14ac:dyDescent="0.25">
      <c r="A290" t="s">
        <v>906</v>
      </c>
      <c r="B290">
        <v>-38</v>
      </c>
      <c r="C290">
        <v>328</v>
      </c>
      <c r="D290">
        <v>513</v>
      </c>
      <c r="E290" s="2">
        <v>1014</v>
      </c>
      <c r="F290">
        <v>309</v>
      </c>
      <c r="G290" s="2">
        <v>1417</v>
      </c>
      <c r="H290" s="2">
        <v>7300</v>
      </c>
      <c r="I290">
        <v>-946</v>
      </c>
      <c r="J290" s="2">
        <v>3544</v>
      </c>
      <c r="K290" s="2">
        <v>4210</v>
      </c>
      <c r="L290" s="2">
        <v>5352</v>
      </c>
      <c r="M290">
        <v>323</v>
      </c>
      <c r="N290" s="2">
        <v>1077</v>
      </c>
      <c r="O290" s="2">
        <v>8638.26</v>
      </c>
      <c r="P290" s="2">
        <v>8358.68</v>
      </c>
      <c r="Q290" s="2">
        <v>8610.09</v>
      </c>
      <c r="R290" s="2">
        <v>5672.57</v>
      </c>
      <c r="S290" s="2">
        <v>6410.4</v>
      </c>
      <c r="T290" s="2">
        <v>7504.61</v>
      </c>
      <c r="U290" s="2">
        <v>6664.14</v>
      </c>
    </row>
    <row r="291" spans="1:21" x14ac:dyDescent="0.25">
      <c r="A291" t="s">
        <v>907</v>
      </c>
      <c r="B291">
        <v>8</v>
      </c>
      <c r="C291">
        <v>10</v>
      </c>
      <c r="D291">
        <v>-9</v>
      </c>
      <c r="E291">
        <v>35</v>
      </c>
      <c r="F291">
        <v>4</v>
      </c>
      <c r="G291">
        <v>53</v>
      </c>
      <c r="H291">
        <v>123</v>
      </c>
      <c r="I291">
        <v>108</v>
      </c>
      <c r="J291">
        <v>187</v>
      </c>
      <c r="M291">
        <v>0</v>
      </c>
      <c r="N291">
        <v>0</v>
      </c>
      <c r="O291">
        <v>724.33</v>
      </c>
      <c r="P291">
        <v>149.05000000000001</v>
      </c>
      <c r="Q291">
        <v>158.13</v>
      </c>
      <c r="R291">
        <v>156.11000000000001</v>
      </c>
      <c r="S291">
        <v>144.38999999999999</v>
      </c>
    </row>
    <row r="292" spans="1:21" x14ac:dyDescent="0.25">
      <c r="A292" t="s">
        <v>166</v>
      </c>
      <c r="B292">
        <v>833</v>
      </c>
      <c r="C292">
        <v>346</v>
      </c>
      <c r="D292" s="2">
        <v>1365</v>
      </c>
      <c r="E292" s="2">
        <v>1262</v>
      </c>
      <c r="F292" s="2">
        <v>3083</v>
      </c>
      <c r="G292">
        <v>-634</v>
      </c>
      <c r="H292" s="2">
        <v>1239</v>
      </c>
      <c r="I292">
        <v>-527</v>
      </c>
      <c r="J292">
        <v>941</v>
      </c>
      <c r="K292">
        <v>886</v>
      </c>
      <c r="L292">
        <v>624</v>
      </c>
      <c r="M292" s="2">
        <v>2805</v>
      </c>
      <c r="N292">
        <v>437</v>
      </c>
      <c r="O292" s="2">
        <v>-3541.91</v>
      </c>
      <c r="P292" s="2">
        <v>2343.0100000000002</v>
      </c>
      <c r="Q292">
        <v>871.06</v>
      </c>
      <c r="R292">
        <v>-341.81</v>
      </c>
      <c r="S292">
        <v>-484.09</v>
      </c>
      <c r="T292" s="2">
        <v>-2257.6799999999998</v>
      </c>
      <c r="U292" s="2">
        <v>-6199.03</v>
      </c>
    </row>
    <row r="293" spans="1:21" x14ac:dyDescent="0.25">
      <c r="A293" t="s">
        <v>919</v>
      </c>
      <c r="B293">
        <v>82</v>
      </c>
      <c r="C293">
        <v>184</v>
      </c>
      <c r="D293">
        <v>273</v>
      </c>
      <c r="E293" s="2">
        <v>1210</v>
      </c>
      <c r="F293" s="2">
        <v>2117</v>
      </c>
      <c r="G293" s="2">
        <v>3762</v>
      </c>
      <c r="H293" s="2">
        <v>5182</v>
      </c>
      <c r="I293" s="2">
        <v>4229</v>
      </c>
      <c r="J293" s="2">
        <v>8525</v>
      </c>
      <c r="K293" s="2">
        <v>6407</v>
      </c>
      <c r="L293" s="2">
        <v>6607</v>
      </c>
      <c r="M293" s="2">
        <v>10554</v>
      </c>
      <c r="N293" s="2">
        <v>7578</v>
      </c>
      <c r="O293" s="2">
        <v>2683.37</v>
      </c>
      <c r="P293">
        <v>808.68</v>
      </c>
      <c r="Q293" s="2">
        <v>5529.74</v>
      </c>
      <c r="R293" s="2">
        <v>16066.23</v>
      </c>
      <c r="S293" s="2">
        <v>18637.64</v>
      </c>
      <c r="T293" s="2">
        <v>26515.82</v>
      </c>
      <c r="U293" s="2">
        <v>29641.62</v>
      </c>
    </row>
    <row r="294" spans="1:21" x14ac:dyDescent="0.25">
      <c r="A294" t="s">
        <v>204</v>
      </c>
      <c r="B294" s="2">
        <v>4222</v>
      </c>
      <c r="C294" s="2">
        <v>5457</v>
      </c>
      <c r="D294" s="2">
        <v>8599</v>
      </c>
      <c r="E294" s="2">
        <v>16108</v>
      </c>
      <c r="F294" s="2">
        <v>24216</v>
      </c>
      <c r="G294" s="2">
        <v>29274</v>
      </c>
      <c r="H294" s="2">
        <v>36314</v>
      </c>
      <c r="I294" s="2">
        <v>38747</v>
      </c>
      <c r="J294" s="2">
        <v>57683</v>
      </c>
      <c r="K294" s="2">
        <v>50475</v>
      </c>
      <c r="L294" s="2">
        <v>71113</v>
      </c>
      <c r="M294" s="2">
        <v>91328</v>
      </c>
      <c r="N294" s="2">
        <v>115800</v>
      </c>
      <c r="O294" s="2">
        <v>132184.29</v>
      </c>
      <c r="P294" s="2">
        <v>169712.08</v>
      </c>
      <c r="Q294" s="2">
        <v>214102.7</v>
      </c>
      <c r="R294" s="2">
        <v>255241.63</v>
      </c>
      <c r="S294" s="2">
        <v>297926.31</v>
      </c>
      <c r="T294" s="2">
        <v>354352.23</v>
      </c>
      <c r="U294" s="2">
        <v>415350.51</v>
      </c>
    </row>
    <row r="295" spans="1:21" x14ac:dyDescent="0.25">
      <c r="A295" t="s">
        <v>17</v>
      </c>
    </row>
    <row r="296" spans="1:21" x14ac:dyDescent="0.25">
      <c r="A296" t="s">
        <v>205</v>
      </c>
    </row>
    <row r="297" spans="1:21" x14ac:dyDescent="0.25">
      <c r="A297" t="s">
        <v>206</v>
      </c>
      <c r="B297" s="2">
        <v>-1362</v>
      </c>
      <c r="C297" s="2">
        <v>-1831</v>
      </c>
      <c r="D297" s="2">
        <v>-2523</v>
      </c>
      <c r="E297" s="2">
        <v>-4491</v>
      </c>
      <c r="F297" s="2">
        <v>-6733</v>
      </c>
      <c r="G297" s="2">
        <v>-13915</v>
      </c>
      <c r="H297" s="2">
        <v>-15102</v>
      </c>
      <c r="I297" s="2">
        <v>-15163</v>
      </c>
      <c r="J297" s="2">
        <v>-18690</v>
      </c>
      <c r="K297" s="2">
        <v>-31431</v>
      </c>
      <c r="L297" s="2">
        <v>-27266</v>
      </c>
      <c r="M297" s="2">
        <v>-37256</v>
      </c>
      <c r="N297" s="2">
        <v>-69691</v>
      </c>
      <c r="O297" s="2">
        <v>-139334.47</v>
      </c>
      <c r="P297" s="2">
        <v>-198501.71</v>
      </c>
      <c r="Q297" s="2">
        <v>-215882.53</v>
      </c>
      <c r="R297" s="2">
        <v>-209473.14</v>
      </c>
      <c r="S297" s="2">
        <v>-221425.4</v>
      </c>
      <c r="T297" s="2">
        <v>-219142.55</v>
      </c>
      <c r="U297" s="2">
        <v>-200504.5</v>
      </c>
    </row>
    <row r="298" spans="1:21" x14ac:dyDescent="0.25">
      <c r="A298" t="s">
        <v>61</v>
      </c>
      <c r="B298">
        <v>17.3</v>
      </c>
      <c r="C298">
        <v>14.69</v>
      </c>
      <c r="D298">
        <v>14.07</v>
      </c>
      <c r="E298">
        <v>16.25</v>
      </c>
      <c r="F298">
        <v>16.559999999999999</v>
      </c>
      <c r="G298">
        <v>24.92</v>
      </c>
      <c r="H298">
        <v>21.36</v>
      </c>
      <c r="I298">
        <v>17.64</v>
      </c>
      <c r="J298">
        <v>15.85</v>
      </c>
      <c r="K298">
        <v>26.95</v>
      </c>
      <c r="L298">
        <v>20.21</v>
      </c>
      <c r="M298">
        <v>22.65</v>
      </c>
      <c r="N298">
        <v>34.68</v>
      </c>
      <c r="O298">
        <v>51.45</v>
      </c>
      <c r="P298">
        <v>60.3</v>
      </c>
      <c r="Q298">
        <v>55.27</v>
      </c>
      <c r="R298">
        <v>52.76</v>
      </c>
      <c r="S298">
        <v>50.74</v>
      </c>
      <c r="T298">
        <v>44.85</v>
      </c>
      <c r="U298">
        <v>39.03</v>
      </c>
    </row>
    <row r="299" spans="1:21" x14ac:dyDescent="0.25">
      <c r="A299" t="s">
        <v>920</v>
      </c>
      <c r="B299" s="2">
        <v>-7433</v>
      </c>
      <c r="C299" s="2">
        <v>-9104</v>
      </c>
      <c r="D299" s="2">
        <v>-15938</v>
      </c>
      <c r="E299" s="2">
        <v>-22341</v>
      </c>
      <c r="F299" s="2">
        <v>-25682</v>
      </c>
      <c r="G299" s="2">
        <v>-14656</v>
      </c>
      <c r="H299" s="2">
        <v>-23910</v>
      </c>
      <c r="I299" s="2">
        <v>-33930</v>
      </c>
      <c r="J299" s="2">
        <v>-30407</v>
      </c>
      <c r="K299" s="2">
        <v>-9626</v>
      </c>
      <c r="L299" s="2">
        <v>-2982</v>
      </c>
      <c r="M299" s="2">
        <v>-25542</v>
      </c>
      <c r="N299" s="2">
        <v>-36929</v>
      </c>
      <c r="O299" s="2">
        <v>-76692.62</v>
      </c>
      <c r="P299" s="2">
        <v>-15000</v>
      </c>
      <c r="Q299" s="2">
        <v>-3333.33</v>
      </c>
      <c r="R299" s="2">
        <v>-5000</v>
      </c>
      <c r="S299" s="2">
        <v>-5000</v>
      </c>
      <c r="T299">
        <v>0</v>
      </c>
    </row>
    <row r="300" spans="1:21" x14ac:dyDescent="0.25">
      <c r="A300" t="s">
        <v>921</v>
      </c>
      <c r="D300" s="2">
        <v>2310</v>
      </c>
      <c r="E300" s="2">
        <v>1261</v>
      </c>
      <c r="F300" s="2">
        <v>2988</v>
      </c>
      <c r="G300" s="2">
        <v>4772</v>
      </c>
      <c r="H300" s="2">
        <v>10152</v>
      </c>
      <c r="I300" s="2">
        <v>13984</v>
      </c>
      <c r="J300" s="2">
        <v>10915</v>
      </c>
      <c r="K300" s="2">
        <v>2075</v>
      </c>
      <c r="L300">
        <v>0</v>
      </c>
      <c r="M300" s="2">
        <v>15789</v>
      </c>
      <c r="N300" s="2">
        <v>26874</v>
      </c>
      <c r="O300" s="2">
        <v>45036</v>
      </c>
      <c r="P300" s="2">
        <v>16000</v>
      </c>
      <c r="Q300" s="2">
        <v>16000</v>
      </c>
    </row>
    <row r="301" spans="1:21" x14ac:dyDescent="0.25">
      <c r="A301" t="s">
        <v>922</v>
      </c>
      <c r="B301" s="2">
        <v>6551</v>
      </c>
      <c r="C301" s="2">
        <v>10347</v>
      </c>
      <c r="D301" s="2">
        <v>6928</v>
      </c>
      <c r="E301" s="2">
        <v>13894</v>
      </c>
      <c r="F301" s="2">
        <v>9444</v>
      </c>
      <c r="G301" s="2">
        <v>12358</v>
      </c>
      <c r="H301" s="2">
        <v>9565</v>
      </c>
      <c r="I301" s="2">
        <v>11787</v>
      </c>
      <c r="J301" s="2">
        <v>31671</v>
      </c>
      <c r="K301" s="2">
        <v>11083</v>
      </c>
      <c r="L301" s="2">
        <v>6184</v>
      </c>
      <c r="M301">
        <v>0</v>
      </c>
      <c r="N301">
        <v>0</v>
      </c>
      <c r="O301" s="2">
        <v>-1452.4</v>
      </c>
    </row>
    <row r="302" spans="1:21" x14ac:dyDescent="0.25">
      <c r="A302" t="s">
        <v>923</v>
      </c>
      <c r="B302">
        <v>-368</v>
      </c>
      <c r="C302" s="2">
        <v>-4975</v>
      </c>
      <c r="D302">
        <v>-313</v>
      </c>
      <c r="E302">
        <v>-123</v>
      </c>
      <c r="F302">
        <v>-122</v>
      </c>
      <c r="G302">
        <v>-137</v>
      </c>
      <c r="H302">
        <v>-508</v>
      </c>
      <c r="I302">
        <v>-388</v>
      </c>
      <c r="J302">
        <v>-851</v>
      </c>
      <c r="K302" s="2">
        <v>-1312</v>
      </c>
      <c r="L302">
        <v>-629</v>
      </c>
      <c r="M302">
        <v>-270</v>
      </c>
      <c r="N302" s="2">
        <v>-4231</v>
      </c>
      <c r="O302">
        <v>-534</v>
      </c>
      <c r="P302">
        <v>0</v>
      </c>
      <c r="Q302">
        <v>0</v>
      </c>
    </row>
    <row r="303" spans="1:21" x14ac:dyDescent="0.25">
      <c r="A303" t="s">
        <v>346</v>
      </c>
      <c r="B303">
        <v>-11</v>
      </c>
      <c r="C303">
        <v>-350</v>
      </c>
      <c r="D303">
        <v>102</v>
      </c>
      <c r="E303">
        <v>8</v>
      </c>
      <c r="F303">
        <v>-13</v>
      </c>
      <c r="G303">
        <v>0</v>
      </c>
      <c r="H303">
        <v>0</v>
      </c>
      <c r="I303">
        <v>-36</v>
      </c>
      <c r="J303">
        <v>-284</v>
      </c>
      <c r="K303">
        <v>1</v>
      </c>
      <c r="L303">
        <v>-23</v>
      </c>
      <c r="M303">
        <v>129</v>
      </c>
      <c r="N303" s="2">
        <v>-18026</v>
      </c>
      <c r="O303">
        <v>-879.12</v>
      </c>
      <c r="P303" s="2">
        <v>-1200</v>
      </c>
      <c r="Q303" s="2">
        <v>-1200</v>
      </c>
      <c r="R303" s="2">
        <v>-1200</v>
      </c>
    </row>
    <row r="304" spans="1:21" x14ac:dyDescent="0.25">
      <c r="A304" t="s">
        <v>213</v>
      </c>
      <c r="B304" s="2">
        <v>-2624</v>
      </c>
      <c r="C304" s="2">
        <v>-5913</v>
      </c>
      <c r="D304" s="2">
        <v>-9434</v>
      </c>
      <c r="E304" s="2">
        <v>-11792</v>
      </c>
      <c r="F304" s="2">
        <v>-20118</v>
      </c>
      <c r="G304" s="2">
        <v>-11603</v>
      </c>
      <c r="H304" s="2">
        <v>-19864</v>
      </c>
      <c r="I304" s="2">
        <v>-30059</v>
      </c>
      <c r="J304" s="2">
        <v>-7570</v>
      </c>
      <c r="K304" s="2">
        <v>-28970</v>
      </c>
      <c r="L304" s="2">
        <v>-24495</v>
      </c>
      <c r="M304" s="2">
        <v>-47150</v>
      </c>
      <c r="N304" s="2">
        <v>-102003</v>
      </c>
      <c r="O304" s="2">
        <v>-151899.66</v>
      </c>
      <c r="P304" s="2">
        <v>-187779.29</v>
      </c>
      <c r="Q304" s="2">
        <v>-225159.11</v>
      </c>
      <c r="R304" s="2">
        <v>-221232.13</v>
      </c>
      <c r="S304" s="2">
        <v>-236237.69</v>
      </c>
      <c r="T304" s="2">
        <v>-242423.95</v>
      </c>
      <c r="U304" s="2">
        <v>-227244.29</v>
      </c>
    </row>
    <row r="305" spans="1:21" x14ac:dyDescent="0.25">
      <c r="A305" t="s">
        <v>17</v>
      </c>
    </row>
    <row r="306" spans="1:21" x14ac:dyDescent="0.25">
      <c r="A306" t="s">
        <v>214</v>
      </c>
    </row>
    <row r="307" spans="1:21" x14ac:dyDescent="0.25">
      <c r="A307" t="s">
        <v>347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2">
        <v>-5072</v>
      </c>
      <c r="N307" s="2">
        <v>-5324</v>
      </c>
      <c r="O307" s="2">
        <v>-5013.5200000000004</v>
      </c>
      <c r="P307" s="2">
        <v>-5291.49</v>
      </c>
      <c r="Q307" s="2">
        <v>-5164.3599999999997</v>
      </c>
      <c r="R307" s="2">
        <v>-5753.32</v>
      </c>
      <c r="S307" s="2">
        <v>-5888.71</v>
      </c>
      <c r="T307" s="2">
        <v>-6045.81</v>
      </c>
      <c r="U307" s="2">
        <v>-7009.22</v>
      </c>
    </row>
    <row r="308" spans="1:21" x14ac:dyDescent="0.25">
      <c r="A308" t="s">
        <v>924</v>
      </c>
      <c r="B308">
        <v>0</v>
      </c>
      <c r="C308">
        <v>0</v>
      </c>
      <c r="D308">
        <v>0</v>
      </c>
      <c r="E308">
        <v>0</v>
      </c>
      <c r="F308" s="2">
        <v>-5222</v>
      </c>
      <c r="G308" s="2">
        <v>-16087</v>
      </c>
      <c r="H308" s="2">
        <v>-6539</v>
      </c>
      <c r="I308" s="2">
        <v>-9836</v>
      </c>
      <c r="J308" s="2">
        <v>-50052</v>
      </c>
      <c r="K308" s="2">
        <v>-31551</v>
      </c>
      <c r="L308" s="2">
        <v>-26786</v>
      </c>
      <c r="M308" s="2">
        <v>-43895</v>
      </c>
      <c r="N308" s="2">
        <v>-44648</v>
      </c>
    </row>
    <row r="309" spans="1:21" x14ac:dyDescent="0.25">
      <c r="A309" t="s">
        <v>925</v>
      </c>
      <c r="F309" s="2">
        <v>-3246</v>
      </c>
      <c r="G309" s="2">
        <v>-3208</v>
      </c>
      <c r="H309" s="2">
        <v>-2337</v>
      </c>
      <c r="I309" s="2">
        <v>-3564</v>
      </c>
      <c r="J309" s="2">
        <v>-5515</v>
      </c>
      <c r="K309" s="2">
        <v>-3595</v>
      </c>
      <c r="L309" s="2">
        <v>-7012</v>
      </c>
      <c r="M309" s="2">
        <v>-13770</v>
      </c>
      <c r="N309" s="2">
        <v>-18400</v>
      </c>
      <c r="O309" s="2">
        <v>-10714.4</v>
      </c>
      <c r="P309" s="2">
        <v>-11645.62</v>
      </c>
      <c r="Q309" s="2">
        <v>-13195.18</v>
      </c>
      <c r="R309" s="2">
        <v>-16717.29</v>
      </c>
      <c r="S309" s="2">
        <v>-17883.27</v>
      </c>
      <c r="T309" s="2">
        <v>-22746.05</v>
      </c>
      <c r="U309" s="2">
        <v>-24861.47</v>
      </c>
    </row>
    <row r="310" spans="1:21" x14ac:dyDescent="0.25">
      <c r="A310" t="s">
        <v>711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s="2">
        <v>9921</v>
      </c>
      <c r="L310" s="2">
        <v>8455</v>
      </c>
      <c r="M310" s="2">
        <v>10432</v>
      </c>
      <c r="N310" s="2">
        <v>29906</v>
      </c>
      <c r="O310" s="2">
        <v>27954.78</v>
      </c>
      <c r="P310" s="2">
        <v>26403.43</v>
      </c>
      <c r="Q310" s="2">
        <v>34125.39</v>
      </c>
      <c r="R310" s="2">
        <v>37250</v>
      </c>
      <c r="S310" s="2">
        <v>6333.33</v>
      </c>
      <c r="T310" s="2">
        <v>12000</v>
      </c>
      <c r="U310" s="2">
        <v>-5000</v>
      </c>
    </row>
    <row r="311" spans="1:21" x14ac:dyDescent="0.25">
      <c r="A311" t="s">
        <v>926</v>
      </c>
      <c r="B311" s="2">
        <v>-1891</v>
      </c>
      <c r="C311">
        <v>-243</v>
      </c>
      <c r="D311">
        <v>-119</v>
      </c>
      <c r="E311">
        <v>-312</v>
      </c>
      <c r="F311">
        <v>0</v>
      </c>
      <c r="G311">
        <v>0</v>
      </c>
      <c r="H311">
        <v>-552</v>
      </c>
      <c r="I311">
        <v>-604</v>
      </c>
      <c r="J311">
        <v>-677</v>
      </c>
      <c r="K311">
        <v>-850</v>
      </c>
      <c r="L311" s="2">
        <v>-1058</v>
      </c>
      <c r="M311" s="2">
        <v>-1969</v>
      </c>
      <c r="N311" s="2">
        <v>-2524</v>
      </c>
      <c r="O311" s="2">
        <v>-2838.83</v>
      </c>
      <c r="P311" s="2">
        <v>-3168.67</v>
      </c>
      <c r="Q311" s="2">
        <v>-3362.02</v>
      </c>
      <c r="R311" s="2">
        <v>-3452.15</v>
      </c>
      <c r="S311" s="2">
        <v>-3560.18</v>
      </c>
      <c r="T311" s="2">
        <v>-3770.64</v>
      </c>
      <c r="U311" s="2">
        <v>-4771.21</v>
      </c>
    </row>
    <row r="312" spans="1:21" x14ac:dyDescent="0.25">
      <c r="A312" t="s">
        <v>927</v>
      </c>
      <c r="D312">
        <v>119</v>
      </c>
      <c r="E312">
        <v>312</v>
      </c>
      <c r="G312">
        <v>0</v>
      </c>
      <c r="H312">
        <v>552</v>
      </c>
      <c r="I312">
        <v>604</v>
      </c>
      <c r="J312">
        <v>677</v>
      </c>
      <c r="K312">
        <v>850</v>
      </c>
      <c r="L312" s="2">
        <v>1058</v>
      </c>
      <c r="M312" s="2">
        <v>1969</v>
      </c>
      <c r="N312" s="2">
        <v>2524</v>
      </c>
      <c r="O312" s="2">
        <v>2832.13</v>
      </c>
      <c r="P312" s="2">
        <v>3837.71</v>
      </c>
      <c r="Q312" s="2">
        <v>3800.11</v>
      </c>
      <c r="R312" s="2">
        <v>5015.72</v>
      </c>
      <c r="S312" s="2">
        <v>5088.4799999999996</v>
      </c>
      <c r="T312" s="2">
        <v>5757.76</v>
      </c>
      <c r="U312" s="2">
        <v>6638.05</v>
      </c>
    </row>
    <row r="313" spans="1:21" x14ac:dyDescent="0.25">
      <c r="A313" t="s">
        <v>928</v>
      </c>
      <c r="D313">
        <v>0</v>
      </c>
      <c r="E313">
        <v>0</v>
      </c>
      <c r="F313" s="2">
        <v>-1976</v>
      </c>
      <c r="G313" s="2">
        <v>-12879</v>
      </c>
      <c r="H313" s="2">
        <v>-4202</v>
      </c>
      <c r="I313" s="2">
        <v>-6272</v>
      </c>
      <c r="J313" s="2">
        <v>-44537</v>
      </c>
      <c r="K313" s="2">
        <v>-27956</v>
      </c>
      <c r="L313" s="2">
        <v>-19774</v>
      </c>
      <c r="M313" s="2">
        <v>-30125</v>
      </c>
      <c r="N313" s="2">
        <v>-26248</v>
      </c>
      <c r="O313" s="2">
        <v>-5073.33</v>
      </c>
      <c r="P313" s="2">
        <v>-3895.96</v>
      </c>
      <c r="Q313" s="2">
        <v>8771.2800000000007</v>
      </c>
      <c r="R313" s="2">
        <v>-8830.27</v>
      </c>
      <c r="S313" s="2">
        <v>-26938.87</v>
      </c>
      <c r="T313" s="2">
        <v>-48783.65</v>
      </c>
      <c r="U313" s="2">
        <v>-88758.84</v>
      </c>
    </row>
    <row r="314" spans="1:21" x14ac:dyDescent="0.25">
      <c r="A314" t="s">
        <v>522</v>
      </c>
      <c r="B314">
        <v>-889</v>
      </c>
      <c r="C314">
        <v>-73</v>
      </c>
      <c r="D314">
        <v>-20</v>
      </c>
      <c r="E314">
        <v>2</v>
      </c>
      <c r="F314">
        <v>-13</v>
      </c>
      <c r="G314">
        <v>515</v>
      </c>
      <c r="H314">
        <v>-208</v>
      </c>
      <c r="I314">
        <v>148</v>
      </c>
      <c r="J314">
        <v>1</v>
      </c>
      <c r="K314">
        <v>344</v>
      </c>
      <c r="L314">
        <v>-111</v>
      </c>
      <c r="M314">
        <v>-277</v>
      </c>
      <c r="N314" s="2">
        <v>2220</v>
      </c>
      <c r="O314" s="2">
        <v>-2512.6999999999998</v>
      </c>
      <c r="P314" s="2">
        <v>-2308.7600000000002</v>
      </c>
      <c r="Q314" s="2">
        <v>-3491</v>
      </c>
    </row>
    <row r="315" spans="1:21" x14ac:dyDescent="0.25">
      <c r="A315" t="s">
        <v>218</v>
      </c>
      <c r="B315">
        <v>-667</v>
      </c>
      <c r="C315" s="2">
        <v>1571</v>
      </c>
      <c r="D315" s="2">
        <v>1582</v>
      </c>
      <c r="E315">
        <v>-310</v>
      </c>
      <c r="F315" s="2">
        <v>-5235</v>
      </c>
      <c r="G315" s="2">
        <v>-15572</v>
      </c>
      <c r="H315" s="2">
        <v>-7299</v>
      </c>
      <c r="I315" s="2">
        <v>-10292</v>
      </c>
      <c r="J315" s="2">
        <v>-50728</v>
      </c>
      <c r="K315" s="2">
        <v>-22136</v>
      </c>
      <c r="L315" s="2">
        <v>-19500</v>
      </c>
      <c r="M315" s="2">
        <v>-40781</v>
      </c>
      <c r="N315" s="2">
        <v>-20370</v>
      </c>
      <c r="O315" s="2">
        <v>8517.2999999999993</v>
      </c>
      <c r="P315">
        <v>301.57</v>
      </c>
      <c r="Q315" s="2">
        <v>15597.96</v>
      </c>
      <c r="R315" s="2">
        <v>-8119.84</v>
      </c>
      <c r="S315" s="2">
        <v>-29806.47</v>
      </c>
      <c r="T315" s="2">
        <v>-51526.54</v>
      </c>
      <c r="U315" s="2">
        <v>-116630.84</v>
      </c>
    </row>
    <row r="316" spans="1:21" x14ac:dyDescent="0.25">
      <c r="A316" t="s">
        <v>17</v>
      </c>
    </row>
    <row r="317" spans="1:21" x14ac:dyDescent="0.25">
      <c r="A317" t="s">
        <v>176</v>
      </c>
    </row>
    <row r="318" spans="1:21" x14ac:dyDescent="0.25">
      <c r="A318" t="s">
        <v>219</v>
      </c>
      <c r="B318">
        <v>8</v>
      </c>
      <c r="C318">
        <v>-123</v>
      </c>
      <c r="D318">
        <v>-155</v>
      </c>
      <c r="E318">
        <v>-63</v>
      </c>
      <c r="F318">
        <v>232</v>
      </c>
      <c r="G318">
        <v>-179</v>
      </c>
      <c r="H318">
        <v>4</v>
      </c>
      <c r="I318">
        <v>279</v>
      </c>
      <c r="J318">
        <v>-474</v>
      </c>
      <c r="K318">
        <v>-638</v>
      </c>
      <c r="L318">
        <v>113</v>
      </c>
      <c r="M318">
        <v>-786</v>
      </c>
      <c r="N318">
        <v>235</v>
      </c>
      <c r="O318">
        <v>-7</v>
      </c>
      <c r="P318">
        <v>0</v>
      </c>
    </row>
    <row r="319" spans="1:21" x14ac:dyDescent="0.25">
      <c r="A319" t="s">
        <v>929</v>
      </c>
      <c r="B319">
        <v>939</v>
      </c>
      <c r="C319">
        <v>992</v>
      </c>
      <c r="D319">
        <v>592</v>
      </c>
      <c r="E319" s="2">
        <v>3943</v>
      </c>
      <c r="F319">
        <v>-905</v>
      </c>
      <c r="G319" s="2">
        <v>1920</v>
      </c>
      <c r="H319" s="2">
        <v>9155</v>
      </c>
      <c r="I319" s="2">
        <v>-1325</v>
      </c>
      <c r="J319" s="2">
        <v>-1089</v>
      </c>
      <c r="K319" s="2">
        <v>-1269</v>
      </c>
      <c r="L319" s="2">
        <v>27231</v>
      </c>
      <c r="M319" s="2">
        <v>2611</v>
      </c>
      <c r="N319" s="2">
        <v>-6338</v>
      </c>
      <c r="O319" s="2">
        <v>-8006.79</v>
      </c>
      <c r="P319" s="2">
        <v>-12266.04</v>
      </c>
      <c r="Q319" s="2">
        <v>6354.31</v>
      </c>
      <c r="R319" s="2">
        <v>40281.17</v>
      </c>
      <c r="S319" s="2">
        <v>27227.25</v>
      </c>
      <c r="T319" s="2">
        <v>23647.42</v>
      </c>
      <c r="U319" s="2">
        <v>22725.58</v>
      </c>
    </row>
    <row r="320" spans="1:21" x14ac:dyDescent="0.25">
      <c r="A320" t="s">
        <v>930</v>
      </c>
      <c r="B320" s="2">
        <v>2384</v>
      </c>
      <c r="C320" s="2">
        <v>3323</v>
      </c>
      <c r="D320" s="2">
        <v>4315</v>
      </c>
      <c r="E320" s="2">
        <v>5166</v>
      </c>
      <c r="F320" s="2">
        <v>9109</v>
      </c>
      <c r="G320" s="2">
        <v>8204</v>
      </c>
      <c r="H320" s="2">
        <v>10124</v>
      </c>
      <c r="I320" s="2">
        <v>19279</v>
      </c>
      <c r="J320" s="2">
        <v>17954</v>
      </c>
      <c r="K320" s="2">
        <v>16865</v>
      </c>
      <c r="L320" s="2">
        <v>15596</v>
      </c>
      <c r="M320" s="2">
        <v>42827</v>
      </c>
      <c r="N320" s="2">
        <v>45438</v>
      </c>
      <c r="O320" s="2">
        <v>43737.25</v>
      </c>
      <c r="P320" s="2">
        <v>27341.85</v>
      </c>
      <c r="Q320" s="2">
        <v>7440.08</v>
      </c>
      <c r="R320" s="2">
        <v>-13441.33</v>
      </c>
      <c r="S320" s="2">
        <v>15069.09</v>
      </c>
      <c r="T320" s="2">
        <v>134114.06</v>
      </c>
      <c r="U320" s="2">
        <v>324250.78999999998</v>
      </c>
    </row>
    <row r="321" spans="1:21" x14ac:dyDescent="0.25">
      <c r="A321" t="s">
        <v>931</v>
      </c>
      <c r="B321" s="2">
        <v>3323</v>
      </c>
      <c r="C321" s="2">
        <v>4315</v>
      </c>
      <c r="D321" s="2">
        <v>4907</v>
      </c>
      <c r="E321" s="2">
        <v>9109</v>
      </c>
      <c r="F321" s="2">
        <v>8204</v>
      </c>
      <c r="G321" s="2">
        <v>10124</v>
      </c>
      <c r="H321" s="2">
        <v>19279</v>
      </c>
      <c r="I321" s="2">
        <v>17954</v>
      </c>
      <c r="J321" s="2">
        <v>16865</v>
      </c>
      <c r="K321" s="2">
        <v>15596</v>
      </c>
      <c r="L321" s="2">
        <v>42827</v>
      </c>
      <c r="M321" s="2">
        <v>45438</v>
      </c>
      <c r="N321" s="2">
        <v>39100</v>
      </c>
      <c r="O321" s="2">
        <v>33303.14</v>
      </c>
      <c r="P321" s="2">
        <v>13578.03</v>
      </c>
      <c r="Q321" s="2">
        <v>14339.85</v>
      </c>
      <c r="R321" s="2">
        <v>37191.519999999997</v>
      </c>
      <c r="S321" s="2">
        <v>65674.83</v>
      </c>
      <c r="T321" s="2">
        <v>190367.91</v>
      </c>
      <c r="U321" s="2">
        <v>433215.94</v>
      </c>
    </row>
    <row r="322" spans="1:21" x14ac:dyDescent="0.25">
      <c r="A322" t="s">
        <v>178</v>
      </c>
    </row>
    <row r="323" spans="1:21" x14ac:dyDescent="0.25">
      <c r="A323" t="s">
        <v>224</v>
      </c>
      <c r="B323">
        <v>1.74</v>
      </c>
      <c r="C323">
        <v>2.09</v>
      </c>
      <c r="D323">
        <v>3.07</v>
      </c>
      <c r="E323">
        <v>5.63</v>
      </c>
      <c r="F323">
        <v>8.35</v>
      </c>
      <c r="G323">
        <v>10.130000000000001</v>
      </c>
      <c r="H323">
        <v>12.72</v>
      </c>
      <c r="I323">
        <v>13.59</v>
      </c>
      <c r="J323">
        <v>20.49</v>
      </c>
      <c r="K323">
        <v>18.78</v>
      </c>
      <c r="L323">
        <v>27.63</v>
      </c>
      <c r="M323">
        <v>36.04</v>
      </c>
      <c r="N323">
        <v>45.93</v>
      </c>
      <c r="O323">
        <v>52.42</v>
      </c>
      <c r="P323">
        <v>64.23</v>
      </c>
      <c r="Q323">
        <v>79.22</v>
      </c>
      <c r="R323">
        <v>92.14</v>
      </c>
      <c r="S323">
        <v>107.17</v>
      </c>
    </row>
    <row r="324" spans="1:21" x14ac:dyDescent="0.25">
      <c r="A324" t="s">
        <v>225</v>
      </c>
      <c r="B324" s="2">
        <v>2849</v>
      </c>
      <c r="C324" s="2">
        <v>3626</v>
      </c>
      <c r="D324" s="2">
        <v>6076</v>
      </c>
      <c r="E324" s="2">
        <v>11617</v>
      </c>
      <c r="F324" s="2">
        <v>17483</v>
      </c>
      <c r="G324" s="2">
        <v>15359</v>
      </c>
      <c r="H324" s="2">
        <v>21212</v>
      </c>
      <c r="I324" s="2">
        <v>23584</v>
      </c>
      <c r="J324" s="2">
        <v>38993</v>
      </c>
      <c r="K324" s="2">
        <v>19044</v>
      </c>
      <c r="L324" s="2">
        <v>43847</v>
      </c>
      <c r="M324" s="2">
        <v>54072</v>
      </c>
      <c r="N324" s="2">
        <v>46109</v>
      </c>
      <c r="O324" s="2">
        <v>-6311.34</v>
      </c>
      <c r="P324" s="2">
        <v>-30177.75</v>
      </c>
      <c r="Q324" s="2">
        <v>-3271.68</v>
      </c>
      <c r="R324" s="2">
        <v>41793.96</v>
      </c>
      <c r="S324" s="2">
        <v>71295.59</v>
      </c>
      <c r="T324" s="2">
        <v>120704.78</v>
      </c>
      <c r="U324" s="2">
        <v>188195.8</v>
      </c>
    </row>
    <row r="325" spans="1:21" x14ac:dyDescent="0.25">
      <c r="A325" t="s">
        <v>228</v>
      </c>
      <c r="B325">
        <v>44.07</v>
      </c>
      <c r="C325">
        <v>29.09</v>
      </c>
      <c r="D325">
        <v>33.89</v>
      </c>
      <c r="E325">
        <v>42.03</v>
      </c>
      <c r="F325">
        <v>43.01</v>
      </c>
      <c r="G325">
        <v>27.51</v>
      </c>
      <c r="H325">
        <v>30</v>
      </c>
      <c r="I325">
        <v>27.43</v>
      </c>
      <c r="J325">
        <v>33.06</v>
      </c>
      <c r="K325">
        <v>16.329999999999998</v>
      </c>
      <c r="L325">
        <v>32.5</v>
      </c>
      <c r="M325">
        <v>32.869999999999997</v>
      </c>
      <c r="N325">
        <v>22.94</v>
      </c>
      <c r="O325">
        <v>-2.38</v>
      </c>
      <c r="P325">
        <v>-15.48</v>
      </c>
      <c r="Q325">
        <v>-6.66</v>
      </c>
      <c r="R325">
        <v>4.3</v>
      </c>
      <c r="S325">
        <v>11.67</v>
      </c>
      <c r="T325">
        <v>18.899999999999999</v>
      </c>
      <c r="U325">
        <v>24.29</v>
      </c>
    </row>
    <row r="326" spans="1:21" x14ac:dyDescent="0.25">
      <c r="A326" t="s">
        <v>438</v>
      </c>
      <c r="B326">
        <v>1.38</v>
      </c>
      <c r="C326">
        <v>1.36</v>
      </c>
      <c r="D326">
        <v>2.13</v>
      </c>
      <c r="E326">
        <v>3.97</v>
      </c>
      <c r="F326">
        <v>5.91</v>
      </c>
      <c r="G326">
        <v>5.26</v>
      </c>
      <c r="H326">
        <v>7.38</v>
      </c>
      <c r="I326">
        <v>8.17</v>
      </c>
      <c r="J326">
        <v>13.64</v>
      </c>
      <c r="K326">
        <v>7.05</v>
      </c>
      <c r="L326">
        <v>16.68</v>
      </c>
      <c r="M326">
        <v>20.69</v>
      </c>
      <c r="N326">
        <v>17.91</v>
      </c>
      <c r="O326">
        <v>-2.65</v>
      </c>
      <c r="P326">
        <v>-16.170000000000002</v>
      </c>
      <c r="Q326">
        <v>-10.23</v>
      </c>
      <c r="R326">
        <v>3.77</v>
      </c>
      <c r="S326">
        <v>17.309999999999999</v>
      </c>
      <c r="T326">
        <v>26.57</v>
      </c>
      <c r="U326">
        <v>84.68</v>
      </c>
    </row>
    <row r="327" spans="1:21" x14ac:dyDescent="0.25">
      <c r="A327" t="s">
        <v>932</v>
      </c>
      <c r="B327">
        <v>61.37</v>
      </c>
      <c r="C327">
        <v>43.78</v>
      </c>
      <c r="D327">
        <v>47.96</v>
      </c>
      <c r="E327">
        <v>58.28</v>
      </c>
      <c r="F327">
        <v>59.57</v>
      </c>
      <c r="G327">
        <v>52.43</v>
      </c>
      <c r="H327">
        <v>51.37</v>
      </c>
      <c r="I327">
        <v>45.07</v>
      </c>
      <c r="J327">
        <v>48.91</v>
      </c>
      <c r="K327">
        <v>43.29</v>
      </c>
      <c r="L327">
        <v>52.71</v>
      </c>
      <c r="M327">
        <v>55.52</v>
      </c>
      <c r="N327">
        <v>57.62</v>
      </c>
      <c r="O327">
        <v>52.08</v>
      </c>
    </row>
    <row r="328" spans="1:21" x14ac:dyDescent="0.25">
      <c r="A328" t="s">
        <v>17</v>
      </c>
    </row>
    <row r="329" spans="1:21" x14ac:dyDescent="0.25">
      <c r="A329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7967-11AD-4118-B9C7-051AF0BD5396}">
  <dimension ref="A1:U371"/>
  <sheetViews>
    <sheetView workbookViewId="0">
      <selection sqref="A1:U371"/>
    </sheetView>
  </sheetViews>
  <sheetFormatPr defaultRowHeight="15" x14ac:dyDescent="0.25"/>
  <sheetData>
    <row r="1" spans="1:21" x14ac:dyDescent="0.25">
      <c r="A1" t="s">
        <v>933</v>
      </c>
    </row>
    <row r="2" spans="1:21" x14ac:dyDescent="0.25">
      <c r="A2" t="s">
        <v>934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110</v>
      </c>
      <c r="B6">
        <v>0.03</v>
      </c>
      <c r="C6">
        <v>-0.03</v>
      </c>
      <c r="D6">
        <v>0.06</v>
      </c>
      <c r="E6">
        <v>0.25</v>
      </c>
      <c r="F6">
        <v>0.23</v>
      </c>
      <c r="G6">
        <v>1.01</v>
      </c>
      <c r="H6">
        <v>1.1499999999999999</v>
      </c>
      <c r="I6">
        <v>2.09</v>
      </c>
      <c r="J6">
        <v>2.33</v>
      </c>
      <c r="K6">
        <v>0.72</v>
      </c>
      <c r="L6">
        <v>2.84</v>
      </c>
      <c r="M6">
        <v>5.53</v>
      </c>
      <c r="N6">
        <v>7.17</v>
      </c>
      <c r="O6">
        <v>12.8</v>
      </c>
      <c r="P6">
        <v>10.75</v>
      </c>
      <c r="Q6">
        <v>14.04</v>
      </c>
      <c r="R6">
        <v>16.05</v>
      </c>
      <c r="S6">
        <v>19.62</v>
      </c>
      <c r="T6">
        <v>26.4</v>
      </c>
      <c r="U6">
        <v>29.64</v>
      </c>
    </row>
    <row r="7" spans="1:21" x14ac:dyDescent="0.25">
      <c r="A7" t="s">
        <v>16</v>
      </c>
      <c r="B7" s="2">
        <v>74452</v>
      </c>
      <c r="C7" s="2">
        <v>88988</v>
      </c>
      <c r="D7" s="2">
        <v>107006</v>
      </c>
      <c r="E7" s="2">
        <v>135987</v>
      </c>
      <c r="F7" s="2">
        <v>177866</v>
      </c>
      <c r="G7" s="2">
        <v>232887</v>
      </c>
      <c r="H7" s="2">
        <v>280522</v>
      </c>
      <c r="I7" s="2">
        <v>386064</v>
      </c>
      <c r="J7" s="2">
        <v>469822</v>
      </c>
      <c r="K7" s="2">
        <v>513983</v>
      </c>
      <c r="L7" s="2">
        <v>574785</v>
      </c>
      <c r="M7" s="2">
        <v>637959</v>
      </c>
      <c r="N7" s="2">
        <v>716924</v>
      </c>
      <c r="O7" s="2">
        <v>828499.2</v>
      </c>
      <c r="P7" s="2">
        <v>949387.66</v>
      </c>
      <c r="Q7" s="2">
        <v>1091071.2</v>
      </c>
      <c r="R7" s="2">
        <v>1195738.19</v>
      </c>
      <c r="S7" s="2">
        <v>1336243.24</v>
      </c>
      <c r="T7" s="2">
        <v>1557743.18</v>
      </c>
      <c r="U7" s="2">
        <v>1662887.57</v>
      </c>
    </row>
    <row r="8" spans="1:21" x14ac:dyDescent="0.25">
      <c r="A8" t="s">
        <v>17</v>
      </c>
    </row>
    <row r="9" spans="1:21" x14ac:dyDescent="0.25">
      <c r="A9" t="s">
        <v>935</v>
      </c>
    </row>
    <row r="10" spans="1:21" x14ac:dyDescent="0.25">
      <c r="A10" t="s">
        <v>936</v>
      </c>
      <c r="O10">
        <v>59.91</v>
      </c>
      <c r="P10">
        <v>59.82</v>
      </c>
      <c r="Q10">
        <v>59.1</v>
      </c>
      <c r="R10">
        <v>59.23</v>
      </c>
      <c r="S10">
        <v>59.06</v>
      </c>
      <c r="T10">
        <v>54.01</v>
      </c>
      <c r="U10">
        <v>55.96</v>
      </c>
    </row>
    <row r="11" spans="1:21" x14ac:dyDescent="0.25">
      <c r="A11" t="s">
        <v>17</v>
      </c>
    </row>
    <row r="12" spans="1:21" x14ac:dyDescent="0.25">
      <c r="A12" t="s">
        <v>32</v>
      </c>
    </row>
    <row r="13" spans="1:21" x14ac:dyDescent="0.25">
      <c r="A13" t="s">
        <v>937</v>
      </c>
      <c r="D13" s="2">
        <v>76863</v>
      </c>
      <c r="E13" s="2">
        <v>91431</v>
      </c>
      <c r="F13" s="2">
        <v>108354</v>
      </c>
      <c r="G13" s="2">
        <v>122987</v>
      </c>
      <c r="H13" s="2">
        <v>141247</v>
      </c>
      <c r="I13" s="2">
        <v>197346</v>
      </c>
      <c r="J13" s="2">
        <v>222075</v>
      </c>
      <c r="K13" s="2">
        <v>220004</v>
      </c>
      <c r="L13" s="2">
        <v>231872</v>
      </c>
      <c r="M13" s="2">
        <v>247029</v>
      </c>
      <c r="N13" s="2">
        <v>269287</v>
      </c>
      <c r="O13" s="2">
        <v>293411.98</v>
      </c>
      <c r="P13" s="2">
        <v>314630.76</v>
      </c>
      <c r="Q13" s="2">
        <v>336275.13</v>
      </c>
      <c r="R13" s="2">
        <v>357847.54</v>
      </c>
      <c r="S13" s="2">
        <v>380072.93</v>
      </c>
      <c r="T13" s="2">
        <v>406735.49</v>
      </c>
      <c r="U13" s="2">
        <v>431075.83</v>
      </c>
    </row>
    <row r="14" spans="1:21" x14ac:dyDescent="0.25">
      <c r="A14" t="s">
        <v>938</v>
      </c>
      <c r="D14">
        <v>0</v>
      </c>
      <c r="E14">
        <v>0</v>
      </c>
      <c r="F14" s="2">
        <v>5798</v>
      </c>
      <c r="G14" s="2">
        <v>17224</v>
      </c>
      <c r="H14" s="2">
        <v>17192</v>
      </c>
      <c r="I14" s="2">
        <v>16227</v>
      </c>
      <c r="J14" s="2">
        <v>17075</v>
      </c>
      <c r="K14" s="2">
        <v>18963</v>
      </c>
      <c r="L14" s="2">
        <v>20030</v>
      </c>
      <c r="M14" s="2">
        <v>21215</v>
      </c>
      <c r="N14" s="2">
        <v>22561</v>
      </c>
      <c r="O14" s="2">
        <v>23507.56</v>
      </c>
      <c r="P14" s="2">
        <v>24605.53</v>
      </c>
      <c r="Q14" s="2">
        <v>25869.74</v>
      </c>
      <c r="R14" s="2">
        <v>26947.17</v>
      </c>
      <c r="S14" s="2">
        <v>28000.09</v>
      </c>
      <c r="T14" s="2">
        <v>28271.94</v>
      </c>
      <c r="U14" s="2">
        <v>28878.14</v>
      </c>
    </row>
    <row r="15" spans="1:21" x14ac:dyDescent="0.25">
      <c r="A15" t="s">
        <v>939</v>
      </c>
      <c r="O15">
        <v>3.92</v>
      </c>
      <c r="P15">
        <v>4.49</v>
      </c>
      <c r="Q15">
        <v>5.07</v>
      </c>
      <c r="R15">
        <v>4.0999999999999996</v>
      </c>
      <c r="S15">
        <v>3.93</v>
      </c>
      <c r="T15">
        <v>3.64</v>
      </c>
      <c r="U15">
        <v>4.17</v>
      </c>
    </row>
    <row r="16" spans="1:21" x14ac:dyDescent="0.25">
      <c r="A16" t="s">
        <v>940</v>
      </c>
      <c r="D16" s="2">
        <v>16086</v>
      </c>
      <c r="E16" s="2">
        <v>22993</v>
      </c>
      <c r="F16" s="2">
        <v>31881</v>
      </c>
      <c r="G16" s="2">
        <v>42745</v>
      </c>
      <c r="H16" s="2">
        <v>53762</v>
      </c>
      <c r="I16" s="2">
        <v>80461</v>
      </c>
      <c r="J16" s="2">
        <v>103366</v>
      </c>
      <c r="K16" s="2">
        <v>117716</v>
      </c>
      <c r="L16" s="2">
        <v>140053</v>
      </c>
      <c r="M16" s="2">
        <v>156146</v>
      </c>
      <c r="N16" s="2">
        <v>172162</v>
      </c>
      <c r="O16" s="2">
        <v>192791.52</v>
      </c>
      <c r="P16" s="2">
        <v>212298.86</v>
      </c>
      <c r="Q16" s="2">
        <v>234656.04</v>
      </c>
      <c r="R16" s="2">
        <v>259065.1</v>
      </c>
      <c r="S16" s="2">
        <v>282697.53000000003</v>
      </c>
      <c r="T16" s="2">
        <v>324791.69</v>
      </c>
      <c r="U16" s="2">
        <v>375195.25</v>
      </c>
    </row>
    <row r="17" spans="1:21" x14ac:dyDescent="0.25">
      <c r="A17" t="s">
        <v>939</v>
      </c>
      <c r="O17">
        <v>11.6</v>
      </c>
      <c r="P17">
        <v>9.89</v>
      </c>
      <c r="Q17">
        <v>9.7100000000000009</v>
      </c>
      <c r="R17">
        <v>9.67</v>
      </c>
      <c r="S17">
        <v>9.11</v>
      </c>
      <c r="T17">
        <v>8.93</v>
      </c>
      <c r="U17">
        <v>9.7899999999999991</v>
      </c>
    </row>
    <row r="18" spans="1:21" x14ac:dyDescent="0.25">
      <c r="A18" t="s">
        <v>941</v>
      </c>
      <c r="H18" s="2">
        <v>12625</v>
      </c>
      <c r="I18" s="2">
        <v>19773</v>
      </c>
      <c r="J18" s="2">
        <v>31160</v>
      </c>
      <c r="K18" s="2">
        <v>37739</v>
      </c>
      <c r="L18" s="2">
        <v>46906</v>
      </c>
      <c r="M18" s="2">
        <v>56214</v>
      </c>
      <c r="N18" s="2">
        <v>68635</v>
      </c>
      <c r="O18" s="2">
        <v>83756.3</v>
      </c>
      <c r="P18" s="2">
        <v>98439.96</v>
      </c>
      <c r="Q18" s="2">
        <v>113263.29</v>
      </c>
      <c r="R18" s="2">
        <v>129934.78</v>
      </c>
      <c r="S18" s="2">
        <v>147359.26999999999</v>
      </c>
      <c r="T18" s="2">
        <v>179326.1</v>
      </c>
      <c r="U18" s="2">
        <v>195739.03</v>
      </c>
    </row>
    <row r="19" spans="1:21" x14ac:dyDescent="0.25">
      <c r="A19" t="s">
        <v>939</v>
      </c>
      <c r="O19">
        <v>21.62</v>
      </c>
      <c r="P19">
        <v>17.97</v>
      </c>
      <c r="Q19">
        <v>15.27</v>
      </c>
      <c r="R19">
        <v>14.73</v>
      </c>
      <c r="S19">
        <v>13.79</v>
      </c>
      <c r="T19">
        <v>14.19</v>
      </c>
      <c r="U19">
        <v>12.37</v>
      </c>
    </row>
    <row r="20" spans="1:21" x14ac:dyDescent="0.25">
      <c r="A20" t="s">
        <v>942</v>
      </c>
      <c r="D20" s="2">
        <v>4467</v>
      </c>
      <c r="E20" s="2">
        <v>6394</v>
      </c>
      <c r="F20" s="2">
        <v>9721</v>
      </c>
      <c r="G20" s="2">
        <v>14168</v>
      </c>
      <c r="H20" s="2">
        <v>19210</v>
      </c>
      <c r="I20" s="2">
        <v>25207</v>
      </c>
      <c r="J20" s="2">
        <v>31768</v>
      </c>
      <c r="K20" s="2">
        <v>35218</v>
      </c>
      <c r="L20" s="2">
        <v>40209</v>
      </c>
      <c r="M20" s="2">
        <v>44374</v>
      </c>
      <c r="N20" s="2">
        <v>49619</v>
      </c>
      <c r="O20" s="2">
        <v>55513.07</v>
      </c>
      <c r="P20" s="2">
        <v>60843.63</v>
      </c>
      <c r="Q20" s="2">
        <v>66725.990000000005</v>
      </c>
      <c r="R20" s="2">
        <v>72149.69</v>
      </c>
      <c r="S20" s="2">
        <v>77984.86</v>
      </c>
      <c r="T20" s="2">
        <v>86897.600000000006</v>
      </c>
      <c r="U20" s="2">
        <v>90812.06</v>
      </c>
    </row>
    <row r="21" spans="1:21" x14ac:dyDescent="0.25">
      <c r="A21" t="s">
        <v>939</v>
      </c>
      <c r="O21">
        <v>11.64</v>
      </c>
      <c r="P21">
        <v>9.9499999999999993</v>
      </c>
      <c r="Q21">
        <v>9.69</v>
      </c>
      <c r="R21">
        <v>8.89</v>
      </c>
      <c r="S21">
        <v>8.34</v>
      </c>
      <c r="T21">
        <v>8.69</v>
      </c>
      <c r="U21">
        <v>8.35</v>
      </c>
    </row>
    <row r="22" spans="1:21" x14ac:dyDescent="0.25">
      <c r="A22" t="s">
        <v>943</v>
      </c>
      <c r="B22" s="2">
        <v>3108</v>
      </c>
      <c r="C22" s="2">
        <v>4644</v>
      </c>
      <c r="D22" s="2">
        <v>7880</v>
      </c>
      <c r="E22" s="2">
        <v>12219</v>
      </c>
      <c r="F22" s="2">
        <v>17459</v>
      </c>
      <c r="G22" s="2">
        <v>25655</v>
      </c>
      <c r="H22" s="2">
        <v>35026</v>
      </c>
      <c r="I22" s="2">
        <v>45370</v>
      </c>
      <c r="J22" s="2">
        <v>62202</v>
      </c>
      <c r="K22" s="2">
        <v>80096</v>
      </c>
      <c r="L22" s="2">
        <v>90757</v>
      </c>
      <c r="M22" s="2">
        <v>107556</v>
      </c>
      <c r="N22" s="2">
        <v>128725</v>
      </c>
      <c r="O22" s="2">
        <v>170753.38</v>
      </c>
      <c r="P22" s="2">
        <v>233845.81</v>
      </c>
      <c r="Q22" s="2">
        <v>303663.89</v>
      </c>
      <c r="R22" s="2">
        <v>361053.78</v>
      </c>
      <c r="S22" s="2">
        <v>434626.69</v>
      </c>
      <c r="T22" s="2">
        <v>554536.01</v>
      </c>
      <c r="U22" s="2">
        <v>603922.43000000005</v>
      </c>
    </row>
    <row r="23" spans="1:21" x14ac:dyDescent="0.25">
      <c r="A23" t="s">
        <v>939</v>
      </c>
      <c r="B23">
        <v>69</v>
      </c>
      <c r="C23">
        <v>49</v>
      </c>
      <c r="D23">
        <v>70</v>
      </c>
      <c r="E23">
        <v>55</v>
      </c>
      <c r="F23">
        <v>43</v>
      </c>
      <c r="G23">
        <v>47</v>
      </c>
      <c r="H23">
        <v>37</v>
      </c>
      <c r="I23">
        <v>30</v>
      </c>
      <c r="J23">
        <v>37</v>
      </c>
      <c r="K23">
        <v>29</v>
      </c>
      <c r="L23">
        <v>13</v>
      </c>
      <c r="M23">
        <v>19</v>
      </c>
      <c r="N23">
        <v>20</v>
      </c>
      <c r="O23">
        <v>35.729999999999997</v>
      </c>
      <c r="P23">
        <v>34.39</v>
      </c>
      <c r="Q23">
        <v>29.43</v>
      </c>
      <c r="R23">
        <v>22.92</v>
      </c>
      <c r="S23">
        <v>20.190000000000001</v>
      </c>
      <c r="T23">
        <v>19.64</v>
      </c>
      <c r="U23">
        <v>17.02</v>
      </c>
    </row>
    <row r="24" spans="1:21" x14ac:dyDescent="0.25">
      <c r="A24" t="s">
        <v>212</v>
      </c>
      <c r="H24" s="2">
        <v>1460</v>
      </c>
      <c r="I24" s="2">
        <v>1680</v>
      </c>
      <c r="J24" s="2">
        <v>2176</v>
      </c>
      <c r="K24" s="2">
        <v>4247</v>
      </c>
      <c r="L24" s="2">
        <v>4958</v>
      </c>
      <c r="M24" s="2">
        <v>5425</v>
      </c>
      <c r="N24" s="2">
        <v>5935</v>
      </c>
      <c r="O24" s="2">
        <v>6374.39</v>
      </c>
      <c r="P24" s="2">
        <v>7081.86</v>
      </c>
      <c r="Q24" s="2">
        <v>22025.52</v>
      </c>
      <c r="R24" s="2">
        <v>6369.33</v>
      </c>
      <c r="S24" s="2">
        <v>6315.16</v>
      </c>
      <c r="T24" s="2">
        <v>4085.31</v>
      </c>
      <c r="U24" s="2">
        <v>12071.09</v>
      </c>
    </row>
    <row r="25" spans="1:21" x14ac:dyDescent="0.25">
      <c r="A25" t="s">
        <v>939</v>
      </c>
      <c r="O25">
        <v>19.02</v>
      </c>
      <c r="P25">
        <v>6.63</v>
      </c>
      <c r="Q25">
        <v>5.76</v>
      </c>
      <c r="R25">
        <v>6.5</v>
      </c>
      <c r="S25">
        <v>6.16</v>
      </c>
      <c r="T25">
        <v>6.5</v>
      </c>
    </row>
    <row r="26" spans="1:21" x14ac:dyDescent="0.25">
      <c r="A26" t="s">
        <v>17</v>
      </c>
    </row>
    <row r="27" spans="1:21" x14ac:dyDescent="0.25">
      <c r="A27" t="s">
        <v>72</v>
      </c>
    </row>
    <row r="28" spans="1:21" x14ac:dyDescent="0.25">
      <c r="A28" t="s">
        <v>583</v>
      </c>
    </row>
    <row r="29" spans="1:21" x14ac:dyDescent="0.25">
      <c r="A29" t="s">
        <v>944</v>
      </c>
      <c r="B29" s="2">
        <v>41410</v>
      </c>
      <c r="C29" s="2">
        <v>50834</v>
      </c>
      <c r="D29" s="2">
        <v>63708</v>
      </c>
      <c r="E29" s="2">
        <v>79785</v>
      </c>
      <c r="F29" s="2">
        <v>106110</v>
      </c>
      <c r="G29" s="2">
        <v>141366</v>
      </c>
      <c r="H29" s="2">
        <v>170773</v>
      </c>
      <c r="I29" s="2">
        <v>236282</v>
      </c>
      <c r="J29" s="2">
        <v>279833</v>
      </c>
      <c r="K29" s="2">
        <v>315880</v>
      </c>
      <c r="L29" s="2">
        <v>352828</v>
      </c>
      <c r="M29" s="2">
        <v>387497</v>
      </c>
      <c r="N29" s="2">
        <v>426305</v>
      </c>
      <c r="O29" s="2">
        <v>473289.85</v>
      </c>
      <c r="P29" s="2">
        <v>518513.38</v>
      </c>
      <c r="Q29" s="2">
        <v>563241.4</v>
      </c>
      <c r="R29" s="2">
        <v>602099.22</v>
      </c>
      <c r="S29" s="2">
        <v>647300.56999999995</v>
      </c>
      <c r="T29" s="2">
        <v>729890.2</v>
      </c>
      <c r="U29" s="2">
        <v>779861.41</v>
      </c>
    </row>
    <row r="30" spans="1:21" x14ac:dyDescent="0.25">
      <c r="A30" t="s">
        <v>269</v>
      </c>
      <c r="B30">
        <v>4.2</v>
      </c>
      <c r="C30">
        <v>2.5</v>
      </c>
      <c r="D30">
        <v>2.2000000000000002</v>
      </c>
      <c r="E30">
        <v>3</v>
      </c>
      <c r="F30">
        <v>2.7</v>
      </c>
      <c r="G30">
        <v>5.0999999999999996</v>
      </c>
      <c r="H30">
        <v>4.0999999999999996</v>
      </c>
      <c r="I30">
        <v>3.7</v>
      </c>
      <c r="J30">
        <v>2.6</v>
      </c>
      <c r="K30">
        <v>-0.9</v>
      </c>
      <c r="L30">
        <v>4.2</v>
      </c>
      <c r="M30">
        <v>6.4</v>
      </c>
      <c r="N30">
        <v>6.9</v>
      </c>
      <c r="O30">
        <v>7.82</v>
      </c>
      <c r="P30">
        <v>8.68</v>
      </c>
      <c r="Q30">
        <v>9.3800000000000008</v>
      </c>
      <c r="R30">
        <v>9.65</v>
      </c>
      <c r="S30">
        <v>10.37</v>
      </c>
      <c r="T30">
        <v>11.82</v>
      </c>
      <c r="U30">
        <v>11.12</v>
      </c>
    </row>
    <row r="31" spans="1:21" x14ac:dyDescent="0.25">
      <c r="A31" t="s">
        <v>74</v>
      </c>
    </row>
    <row r="32" spans="1:21" x14ac:dyDescent="0.25">
      <c r="A32" t="s">
        <v>944</v>
      </c>
      <c r="B32" s="2">
        <v>29934</v>
      </c>
      <c r="C32" s="2">
        <v>33510</v>
      </c>
      <c r="D32" s="2">
        <v>35418</v>
      </c>
      <c r="E32" s="2">
        <v>43983</v>
      </c>
      <c r="F32" s="2">
        <v>54297</v>
      </c>
      <c r="G32" s="2">
        <v>65866</v>
      </c>
      <c r="H32" s="2">
        <v>74723</v>
      </c>
      <c r="I32" s="2">
        <v>104412</v>
      </c>
      <c r="J32" s="2">
        <v>127787</v>
      </c>
      <c r="K32" s="2">
        <v>118007</v>
      </c>
      <c r="L32" s="2">
        <v>131200</v>
      </c>
      <c r="M32" s="2">
        <v>142906</v>
      </c>
      <c r="N32" s="2">
        <v>161894</v>
      </c>
      <c r="O32" s="2">
        <v>181026.12</v>
      </c>
      <c r="P32" s="2">
        <v>197365.46</v>
      </c>
      <c r="Q32" s="2">
        <v>214358.66</v>
      </c>
      <c r="R32" s="2">
        <v>236262.25</v>
      </c>
      <c r="S32" s="2">
        <v>256402.31</v>
      </c>
      <c r="T32" s="2">
        <v>291839.93</v>
      </c>
      <c r="U32" s="2">
        <v>321322.99</v>
      </c>
    </row>
    <row r="33" spans="1:21" x14ac:dyDescent="0.25">
      <c r="A33" t="s">
        <v>269</v>
      </c>
      <c r="B33">
        <v>0.4</v>
      </c>
      <c r="C33">
        <v>-0.4</v>
      </c>
      <c r="D33">
        <v>-2</v>
      </c>
      <c r="E33">
        <v>-2.9</v>
      </c>
      <c r="F33">
        <v>-5.6</v>
      </c>
      <c r="G33">
        <v>-3.3</v>
      </c>
      <c r="H33">
        <v>-2.2999999999999998</v>
      </c>
      <c r="I33">
        <v>0.7</v>
      </c>
      <c r="J33">
        <v>-0.7</v>
      </c>
      <c r="K33">
        <v>-6.6</v>
      </c>
      <c r="L33">
        <v>-2</v>
      </c>
      <c r="M33">
        <v>2.7</v>
      </c>
      <c r="N33">
        <v>2.9</v>
      </c>
      <c r="O33">
        <v>4</v>
      </c>
      <c r="P33">
        <v>5.25</v>
      </c>
      <c r="Q33">
        <v>6.54</v>
      </c>
      <c r="R33">
        <v>9.15</v>
      </c>
      <c r="S33">
        <v>10.02</v>
      </c>
      <c r="T33">
        <v>7.72</v>
      </c>
      <c r="U33">
        <v>9.2799999999999994</v>
      </c>
    </row>
    <row r="34" spans="1:21" x14ac:dyDescent="0.25">
      <c r="A34" t="s">
        <v>17</v>
      </c>
    </row>
    <row r="35" spans="1:21" x14ac:dyDescent="0.25">
      <c r="A35" t="s">
        <v>945</v>
      </c>
      <c r="B35" s="2">
        <v>8585</v>
      </c>
      <c r="C35" s="2">
        <v>10766</v>
      </c>
      <c r="D35" s="2">
        <v>13410</v>
      </c>
      <c r="E35" s="2">
        <v>17619</v>
      </c>
      <c r="F35" s="2">
        <v>25249</v>
      </c>
      <c r="G35" s="2">
        <v>34027</v>
      </c>
      <c r="H35" s="2">
        <v>40232</v>
      </c>
      <c r="I35" s="2">
        <v>58517</v>
      </c>
      <c r="J35" s="2">
        <v>75111</v>
      </c>
      <c r="K35" s="2">
        <v>84299</v>
      </c>
      <c r="L35" s="2">
        <v>90619</v>
      </c>
      <c r="M35" s="2">
        <v>98505</v>
      </c>
      <c r="N35" s="2">
        <v>109074</v>
      </c>
      <c r="O35" s="2">
        <v>122632.41</v>
      </c>
      <c r="P35" s="2">
        <v>138105.29</v>
      </c>
      <c r="Q35" s="2">
        <v>154754.68</v>
      </c>
      <c r="R35" s="2">
        <v>176141.86</v>
      </c>
      <c r="S35" s="2">
        <v>191392.06</v>
      </c>
      <c r="T35" s="2">
        <v>224521.61</v>
      </c>
      <c r="U35" s="2">
        <v>214011</v>
      </c>
    </row>
    <row r="36" spans="1:21" x14ac:dyDescent="0.25">
      <c r="A36" t="s">
        <v>17</v>
      </c>
    </row>
    <row r="37" spans="1:21" x14ac:dyDescent="0.25">
      <c r="A37" t="s">
        <v>91</v>
      </c>
      <c r="B37">
        <v>745</v>
      </c>
      <c r="C37">
        <v>178</v>
      </c>
      <c r="D37" s="2">
        <v>2233</v>
      </c>
      <c r="E37" s="2">
        <v>4186</v>
      </c>
      <c r="F37" s="2">
        <v>4106</v>
      </c>
      <c r="G37" s="2">
        <v>12421</v>
      </c>
      <c r="H37" s="2">
        <v>14541</v>
      </c>
      <c r="I37" s="2">
        <v>22899</v>
      </c>
      <c r="J37" s="2">
        <v>24879</v>
      </c>
      <c r="K37" s="2">
        <v>12248</v>
      </c>
      <c r="L37" s="2">
        <v>36852</v>
      </c>
      <c r="M37" s="2">
        <v>68593</v>
      </c>
      <c r="N37" s="2">
        <v>79975</v>
      </c>
      <c r="O37" s="2">
        <v>110486.58</v>
      </c>
      <c r="P37" s="2">
        <v>140828.98000000001</v>
      </c>
      <c r="Q37" s="2">
        <v>179192.76</v>
      </c>
      <c r="R37" s="2">
        <v>215720.28</v>
      </c>
      <c r="S37" s="2">
        <v>260504.56</v>
      </c>
      <c r="T37" s="2">
        <v>349643.2</v>
      </c>
      <c r="U37" s="2">
        <v>380816.83</v>
      </c>
    </row>
    <row r="38" spans="1:21" x14ac:dyDescent="0.25">
      <c r="A38" t="s">
        <v>92</v>
      </c>
      <c r="B38">
        <v>1</v>
      </c>
      <c r="C38">
        <v>0.2</v>
      </c>
      <c r="D38">
        <v>2.09</v>
      </c>
      <c r="E38">
        <v>3.08</v>
      </c>
      <c r="F38">
        <v>2.31</v>
      </c>
      <c r="G38">
        <v>5.33</v>
      </c>
      <c r="H38">
        <v>5.18</v>
      </c>
      <c r="I38">
        <v>5.93</v>
      </c>
      <c r="J38">
        <v>5.3</v>
      </c>
      <c r="K38">
        <v>2.38</v>
      </c>
      <c r="L38">
        <v>6.41</v>
      </c>
      <c r="M38">
        <v>10.75</v>
      </c>
      <c r="N38">
        <v>11.16</v>
      </c>
      <c r="O38">
        <v>13.21</v>
      </c>
      <c r="P38">
        <v>14.81</v>
      </c>
      <c r="Q38">
        <v>16.510000000000002</v>
      </c>
      <c r="R38">
        <v>18.16</v>
      </c>
      <c r="S38">
        <v>19.55</v>
      </c>
      <c r="T38">
        <v>21.92</v>
      </c>
      <c r="U38">
        <v>22</v>
      </c>
    </row>
    <row r="39" spans="1:21" x14ac:dyDescent="0.25">
      <c r="A39" t="s">
        <v>17</v>
      </c>
    </row>
    <row r="40" spans="1:21" x14ac:dyDescent="0.25">
      <c r="A40" t="s">
        <v>242</v>
      </c>
      <c r="B40" s="2">
        <v>-3444</v>
      </c>
      <c r="C40" s="2">
        <v>-4893</v>
      </c>
      <c r="D40" s="2">
        <v>-5387</v>
      </c>
      <c r="E40" s="2">
        <v>-7804</v>
      </c>
      <c r="F40" s="2">
        <v>-11955</v>
      </c>
      <c r="G40" s="2">
        <v>-13427</v>
      </c>
      <c r="H40" s="2">
        <v>-16861</v>
      </c>
      <c r="I40" s="2">
        <v>-40140</v>
      </c>
      <c r="J40" s="2">
        <v>-61053</v>
      </c>
      <c r="K40" s="2">
        <v>-63645</v>
      </c>
      <c r="L40" s="2">
        <v>-52729</v>
      </c>
      <c r="M40" s="2">
        <v>-82999</v>
      </c>
      <c r="N40" s="2">
        <v>-131819</v>
      </c>
      <c r="O40" s="2">
        <v>-221567.43</v>
      </c>
      <c r="P40" s="2">
        <v>-281335.45</v>
      </c>
      <c r="Q40" s="2">
        <v>-301908.09000000003</v>
      </c>
      <c r="R40" s="2">
        <v>-281063.7</v>
      </c>
      <c r="S40" s="2">
        <v>-285329.8</v>
      </c>
      <c r="T40" s="2">
        <v>-300908.14</v>
      </c>
      <c r="U40" s="2">
        <v>-271753.59999999998</v>
      </c>
    </row>
    <row r="41" spans="1:21" x14ac:dyDescent="0.25">
      <c r="A41" t="s">
        <v>946</v>
      </c>
      <c r="B41" s="2">
        <v>-3444</v>
      </c>
      <c r="C41" s="2">
        <v>-4893</v>
      </c>
      <c r="D41" s="2">
        <v>-4589</v>
      </c>
      <c r="E41" s="2">
        <v>-6737</v>
      </c>
      <c r="F41" s="2">
        <v>-10058</v>
      </c>
      <c r="G41" s="2">
        <v>-11323</v>
      </c>
      <c r="H41" s="2">
        <v>-12689</v>
      </c>
      <c r="I41" s="2">
        <v>-35044</v>
      </c>
      <c r="J41" s="2">
        <v>-55396</v>
      </c>
      <c r="K41" s="2">
        <v>-58321</v>
      </c>
      <c r="L41" s="2">
        <v>-48133</v>
      </c>
      <c r="M41" s="2">
        <v>-77658</v>
      </c>
      <c r="N41" s="2">
        <v>-128320</v>
      </c>
      <c r="O41" s="2">
        <v>-219882.37</v>
      </c>
      <c r="P41" s="2">
        <v>-291398.17</v>
      </c>
      <c r="Q41" s="2">
        <v>-295871.26</v>
      </c>
      <c r="R41" s="2">
        <v>-307546.67</v>
      </c>
      <c r="S41" s="2">
        <v>-322740.58</v>
      </c>
      <c r="T41" s="2">
        <v>-324596.96000000002</v>
      </c>
      <c r="U41" s="2">
        <v>-240047.03</v>
      </c>
    </row>
    <row r="42" spans="1:21" x14ac:dyDescent="0.25">
      <c r="A42" t="s">
        <v>17</v>
      </c>
    </row>
    <row r="43" spans="1:21" x14ac:dyDescent="0.25">
      <c r="A43" t="s">
        <v>37</v>
      </c>
    </row>
    <row r="44" spans="1:21" x14ac:dyDescent="0.25">
      <c r="A44" t="s">
        <v>17</v>
      </c>
    </row>
    <row r="45" spans="1:21" x14ac:dyDescent="0.25">
      <c r="A45" t="s">
        <v>38</v>
      </c>
    </row>
    <row r="46" spans="1:21" x14ac:dyDescent="0.25">
      <c r="A46" t="s">
        <v>947</v>
      </c>
      <c r="O46" s="2">
        <v>305184.90999999997</v>
      </c>
      <c r="P46" s="2">
        <v>323249.94</v>
      </c>
      <c r="Q46" s="2">
        <v>334750.12</v>
      </c>
      <c r="R46" s="2">
        <v>356041.63</v>
      </c>
      <c r="S46" s="2">
        <v>375057.11</v>
      </c>
      <c r="T46" s="2">
        <v>377244.17</v>
      </c>
      <c r="U46" s="2">
        <v>395217.97</v>
      </c>
    </row>
    <row r="47" spans="1:21" x14ac:dyDescent="0.25">
      <c r="A47" t="s">
        <v>948</v>
      </c>
      <c r="O47" s="2">
        <v>5000</v>
      </c>
      <c r="P47" s="2">
        <v>5000</v>
      </c>
      <c r="Q47" s="2">
        <v>5000</v>
      </c>
      <c r="R47" s="2">
        <v>5000</v>
      </c>
      <c r="S47" s="2">
        <v>5000</v>
      </c>
    </row>
    <row r="48" spans="1:21" x14ac:dyDescent="0.25">
      <c r="A48" t="s">
        <v>17</v>
      </c>
    </row>
    <row r="49" spans="1:21" x14ac:dyDescent="0.25">
      <c r="A49" t="s">
        <v>949</v>
      </c>
      <c r="F49">
        <v>31</v>
      </c>
      <c r="G49">
        <v>30</v>
      </c>
      <c r="H49">
        <v>22</v>
      </c>
      <c r="I49">
        <v>37</v>
      </c>
      <c r="J49">
        <v>21</v>
      </c>
      <c r="K49">
        <v>13</v>
      </c>
      <c r="L49">
        <v>12</v>
      </c>
      <c r="M49">
        <v>11</v>
      </c>
      <c r="N49">
        <v>24</v>
      </c>
      <c r="O49">
        <v>15.03</v>
      </c>
      <c r="P49">
        <v>13.93</v>
      </c>
      <c r="Q49">
        <v>11.61</v>
      </c>
      <c r="R49">
        <v>11.44</v>
      </c>
      <c r="S49">
        <v>10.79</v>
      </c>
      <c r="T49">
        <v>11.29</v>
      </c>
      <c r="U49">
        <v>10.210000000000001</v>
      </c>
    </row>
    <row r="50" spans="1:21" x14ac:dyDescent="0.25">
      <c r="A50" t="s">
        <v>17</v>
      </c>
    </row>
    <row r="51" spans="1:21" x14ac:dyDescent="0.25">
      <c r="A51" t="s">
        <v>950</v>
      </c>
      <c r="B51" s="2">
        <v>6635</v>
      </c>
      <c r="C51" s="2">
        <v>8709</v>
      </c>
      <c r="D51" s="2">
        <v>11539</v>
      </c>
      <c r="E51" s="2">
        <v>16167</v>
      </c>
      <c r="F51" s="2">
        <v>21720</v>
      </c>
      <c r="G51" s="2">
        <v>27668</v>
      </c>
      <c r="H51" s="2">
        <v>37946</v>
      </c>
      <c r="I51" s="2">
        <v>61116</v>
      </c>
      <c r="J51" s="2">
        <v>76673</v>
      </c>
      <c r="K51" s="2">
        <v>83520</v>
      </c>
      <c r="L51" s="2">
        <v>89480</v>
      </c>
      <c r="M51" s="2">
        <v>95849</v>
      </c>
      <c r="N51" s="2">
        <v>205482</v>
      </c>
      <c r="O51" s="2">
        <v>115118.72</v>
      </c>
      <c r="P51" s="2">
        <v>125152.38</v>
      </c>
      <c r="Q51" s="2">
        <v>136292.88</v>
      </c>
      <c r="R51" s="2">
        <v>150917.79</v>
      </c>
      <c r="S51" s="2">
        <v>165217.45000000001</v>
      </c>
      <c r="T51" s="2">
        <v>183040.8</v>
      </c>
      <c r="U51" s="2">
        <v>195370.92</v>
      </c>
    </row>
    <row r="52" spans="1:21" x14ac:dyDescent="0.25">
      <c r="A52" t="s">
        <v>17</v>
      </c>
    </row>
    <row r="53" spans="1:21" x14ac:dyDescent="0.25">
      <c r="A53" t="s">
        <v>951</v>
      </c>
      <c r="O53" s="2">
        <v>33639.14</v>
      </c>
      <c r="P53" s="2">
        <v>36671.31</v>
      </c>
      <c r="Q53" s="2">
        <v>41315.65</v>
      </c>
      <c r="R53" s="2">
        <v>50348.54</v>
      </c>
      <c r="S53" s="2">
        <v>55851.44</v>
      </c>
      <c r="T53" s="2">
        <v>55614.95</v>
      </c>
      <c r="U53" s="2">
        <v>61176.45</v>
      </c>
    </row>
    <row r="54" spans="1:21" x14ac:dyDescent="0.25">
      <c r="A54" t="s">
        <v>952</v>
      </c>
      <c r="O54">
        <v>12.18</v>
      </c>
      <c r="P54">
        <v>10.42</v>
      </c>
      <c r="Q54">
        <v>12.98</v>
      </c>
      <c r="R54">
        <v>9</v>
      </c>
      <c r="S54">
        <v>8.6</v>
      </c>
      <c r="T54">
        <v>9.86</v>
      </c>
      <c r="U54">
        <v>9.27</v>
      </c>
    </row>
    <row r="55" spans="1:21" x14ac:dyDescent="0.25">
      <c r="A55" t="s">
        <v>953</v>
      </c>
      <c r="O55" s="2">
        <v>13606.36</v>
      </c>
      <c r="P55" s="2">
        <v>14538.99</v>
      </c>
      <c r="Q55" s="2">
        <v>16270.32</v>
      </c>
      <c r="R55" s="2">
        <v>17602.939999999999</v>
      </c>
      <c r="S55" s="2">
        <v>18822.64</v>
      </c>
      <c r="T55" s="2">
        <v>21135.18</v>
      </c>
      <c r="U55" s="2">
        <v>23095.75</v>
      </c>
    </row>
    <row r="56" spans="1:21" x14ac:dyDescent="0.25">
      <c r="A56" t="s">
        <v>954</v>
      </c>
      <c r="O56" s="2">
        <v>21694.29</v>
      </c>
      <c r="P56" s="2">
        <v>24142.400000000001</v>
      </c>
      <c r="Q56" s="2">
        <v>27648.21</v>
      </c>
      <c r="R56" s="2">
        <v>31026.400000000001</v>
      </c>
      <c r="S56" s="2">
        <v>34259.97</v>
      </c>
      <c r="T56" s="2">
        <v>34479.769999999997</v>
      </c>
      <c r="U56" s="2">
        <v>38080.69</v>
      </c>
    </row>
    <row r="57" spans="1:21" x14ac:dyDescent="0.25">
      <c r="A57" t="s">
        <v>955</v>
      </c>
      <c r="O57" s="2">
        <v>16992.25</v>
      </c>
      <c r="P57" s="2">
        <v>19066.150000000001</v>
      </c>
      <c r="Q57" s="2">
        <v>22759.52</v>
      </c>
      <c r="R57" s="2">
        <v>26086.75</v>
      </c>
      <c r="S57" s="2">
        <v>29200.05</v>
      </c>
    </row>
    <row r="58" spans="1:21" x14ac:dyDescent="0.25">
      <c r="A58" t="s">
        <v>17</v>
      </c>
    </row>
    <row r="59" spans="1:21" x14ac:dyDescent="0.25">
      <c r="A59" t="s">
        <v>935</v>
      </c>
    </row>
    <row r="60" spans="1:21" x14ac:dyDescent="0.25">
      <c r="A60" t="s">
        <v>936</v>
      </c>
      <c r="O60">
        <v>59.91</v>
      </c>
      <c r="P60">
        <v>59.82</v>
      </c>
      <c r="Q60">
        <v>59.1</v>
      </c>
      <c r="R60">
        <v>59.23</v>
      </c>
      <c r="S60">
        <v>59.06</v>
      </c>
      <c r="T60">
        <v>54.01</v>
      </c>
      <c r="U60">
        <v>55.96</v>
      </c>
    </row>
    <row r="61" spans="1:21" x14ac:dyDescent="0.25">
      <c r="A61" t="s">
        <v>17</v>
      </c>
    </row>
    <row r="62" spans="1:21" x14ac:dyDescent="0.25">
      <c r="A62" t="s">
        <v>956</v>
      </c>
      <c r="G62">
        <v>0</v>
      </c>
      <c r="O62" s="2">
        <v>978098.58</v>
      </c>
      <c r="P62" s="2">
        <v>1071171.6000000001</v>
      </c>
      <c r="Q62" s="2">
        <v>1154475.3</v>
      </c>
      <c r="R62" s="2">
        <v>1222421.23</v>
      </c>
      <c r="S62" s="2">
        <v>1310552.53</v>
      </c>
      <c r="T62" s="2">
        <v>1522296.46</v>
      </c>
      <c r="U62" s="2">
        <v>1728991.74</v>
      </c>
    </row>
    <row r="63" spans="1:21" x14ac:dyDescent="0.25">
      <c r="A63" t="s">
        <v>957</v>
      </c>
      <c r="O63" s="2">
        <v>316097.34000000003</v>
      </c>
      <c r="P63" s="2">
        <v>343514.18</v>
      </c>
      <c r="Q63" s="2">
        <v>376585.94</v>
      </c>
      <c r="R63" s="2">
        <v>400908.87</v>
      </c>
      <c r="S63" s="2">
        <v>429787.2</v>
      </c>
      <c r="T63" s="2">
        <v>467128.48</v>
      </c>
      <c r="U63" s="2">
        <v>519245.84</v>
      </c>
    </row>
    <row r="64" spans="1:21" x14ac:dyDescent="0.25">
      <c r="A64" t="s">
        <v>958</v>
      </c>
      <c r="O64" s="2">
        <v>701184.31</v>
      </c>
      <c r="P64" s="2">
        <v>777731.86</v>
      </c>
      <c r="Q64" s="2">
        <v>854096.46</v>
      </c>
      <c r="R64" s="2">
        <v>943627.66</v>
      </c>
      <c r="S64" s="2">
        <v>1039328.99</v>
      </c>
      <c r="T64" s="2">
        <v>1135022.06</v>
      </c>
      <c r="U64" s="2">
        <v>1223150.8600000001</v>
      </c>
    </row>
    <row r="65" spans="1:21" x14ac:dyDescent="0.25">
      <c r="A65" t="s">
        <v>959</v>
      </c>
      <c r="O65">
        <v>29.18</v>
      </c>
      <c r="P65">
        <v>29.48</v>
      </c>
      <c r="Q65">
        <v>29.91</v>
      </c>
      <c r="R65">
        <v>30</v>
      </c>
      <c r="S65">
        <v>30.12</v>
      </c>
      <c r="T65">
        <v>28</v>
      </c>
      <c r="U65">
        <v>26.37</v>
      </c>
    </row>
    <row r="66" spans="1:21" x14ac:dyDescent="0.25">
      <c r="A66" t="s">
        <v>17</v>
      </c>
    </row>
    <row r="67" spans="1:21" x14ac:dyDescent="0.25">
      <c r="A67" t="s">
        <v>960</v>
      </c>
    </row>
    <row r="68" spans="1:21" x14ac:dyDescent="0.25">
      <c r="A68" t="s">
        <v>583</v>
      </c>
      <c r="O68" s="2">
        <v>665341.15</v>
      </c>
      <c r="P68" s="2">
        <v>725029.53</v>
      </c>
      <c r="Q68" s="2">
        <v>785244.04</v>
      </c>
      <c r="R68" s="2">
        <v>863483.74</v>
      </c>
      <c r="S68" s="2">
        <v>900172.98</v>
      </c>
      <c r="T68" s="2">
        <v>984563.62</v>
      </c>
    </row>
    <row r="69" spans="1:21" x14ac:dyDescent="0.25">
      <c r="A69" t="s">
        <v>74</v>
      </c>
      <c r="O69" s="2">
        <v>299538.69</v>
      </c>
      <c r="P69" s="2">
        <v>324902.68</v>
      </c>
      <c r="Q69" s="2">
        <v>352464.77</v>
      </c>
      <c r="R69" s="2">
        <v>383110.56</v>
      </c>
      <c r="S69" s="2">
        <v>412059.2</v>
      </c>
      <c r="T69" s="2">
        <v>396069.91</v>
      </c>
      <c r="U69" s="2">
        <v>442613.45</v>
      </c>
    </row>
    <row r="70" spans="1:21" x14ac:dyDescent="0.25">
      <c r="A70" t="s">
        <v>17</v>
      </c>
    </row>
    <row r="71" spans="1:21" x14ac:dyDescent="0.25">
      <c r="A71" t="s">
        <v>25</v>
      </c>
      <c r="G71" s="2">
        <v>19300</v>
      </c>
      <c r="H71" s="2">
        <v>29800</v>
      </c>
      <c r="I71" s="2">
        <v>50000</v>
      </c>
      <c r="J71" s="2">
        <v>80400</v>
      </c>
      <c r="K71" s="2">
        <v>110400</v>
      </c>
      <c r="L71" s="2">
        <v>155700</v>
      </c>
      <c r="M71" s="2">
        <v>177000</v>
      </c>
      <c r="N71" s="2">
        <v>244000</v>
      </c>
      <c r="O71" s="2">
        <v>547927.6</v>
      </c>
      <c r="P71" s="2">
        <v>854842.39</v>
      </c>
      <c r="Q71" s="2">
        <v>1142931.1200000001</v>
      </c>
    </row>
    <row r="72" spans="1:21" x14ac:dyDescent="0.25">
      <c r="A72" t="s">
        <v>43</v>
      </c>
      <c r="B72" s="2">
        <v>117300</v>
      </c>
      <c r="C72" s="2">
        <v>154100</v>
      </c>
      <c r="D72" s="2">
        <v>230800</v>
      </c>
      <c r="E72" s="2">
        <v>341400</v>
      </c>
      <c r="F72" s="2">
        <v>566000</v>
      </c>
      <c r="G72" s="2">
        <v>647500</v>
      </c>
      <c r="H72" s="2">
        <v>798000</v>
      </c>
      <c r="I72" s="2">
        <v>1298000</v>
      </c>
      <c r="J72" s="2">
        <v>1608000</v>
      </c>
      <c r="K72" s="2">
        <v>1541000</v>
      </c>
      <c r="L72" s="2">
        <v>1525000</v>
      </c>
      <c r="M72" s="2">
        <v>1556000</v>
      </c>
      <c r="N72" s="2">
        <v>1576000</v>
      </c>
      <c r="O72" s="2">
        <v>1631007</v>
      </c>
      <c r="P72" s="2">
        <v>1694739</v>
      </c>
      <c r="Q72" s="2">
        <v>1771946</v>
      </c>
      <c r="R72" s="2">
        <v>1777981</v>
      </c>
      <c r="S72" s="2">
        <v>1826761</v>
      </c>
      <c r="T72" s="2">
        <v>1739311</v>
      </c>
    </row>
    <row r="73" spans="1:21" x14ac:dyDescent="0.25">
      <c r="A73" t="s">
        <v>961</v>
      </c>
      <c r="H73">
        <v>134</v>
      </c>
      <c r="I73">
        <v>160</v>
      </c>
      <c r="J73">
        <v>126</v>
      </c>
      <c r="K73">
        <v>262.8</v>
      </c>
      <c r="L73">
        <v>218.1</v>
      </c>
      <c r="M73">
        <v>126.9</v>
      </c>
      <c r="N73">
        <v>112.9</v>
      </c>
      <c r="O73">
        <v>176.03</v>
      </c>
      <c r="P73">
        <v>176.43</v>
      </c>
      <c r="Q73">
        <v>175.69</v>
      </c>
      <c r="R73">
        <v>174.69</v>
      </c>
      <c r="S73">
        <v>172.1</v>
      </c>
      <c r="T73">
        <v>167.93</v>
      </c>
      <c r="U73">
        <v>162.35</v>
      </c>
    </row>
    <row r="74" spans="1:21" x14ac:dyDescent="0.25">
      <c r="A74" t="s">
        <v>17</v>
      </c>
    </row>
    <row r="75" spans="1:21" x14ac:dyDescent="0.25">
      <c r="A75" t="s">
        <v>252</v>
      </c>
    </row>
    <row r="76" spans="1:21" x14ac:dyDescent="0.25">
      <c r="A76" t="s">
        <v>569</v>
      </c>
      <c r="B76">
        <v>8.06</v>
      </c>
      <c r="C76">
        <v>7.99</v>
      </c>
      <c r="D76">
        <v>7.73</v>
      </c>
      <c r="E76">
        <v>8.1300000000000008</v>
      </c>
      <c r="F76">
        <v>8.14</v>
      </c>
      <c r="G76">
        <v>8.3800000000000008</v>
      </c>
      <c r="H76">
        <v>8.7899999999999991</v>
      </c>
      <c r="I76">
        <v>10.53</v>
      </c>
      <c r="J76">
        <v>9.65</v>
      </c>
      <c r="K76">
        <v>8.6199999999999992</v>
      </c>
      <c r="L76">
        <v>9</v>
      </c>
      <c r="M76">
        <v>9.66</v>
      </c>
      <c r="N76">
        <v>9.83</v>
      </c>
      <c r="O76">
        <v>10.09</v>
      </c>
      <c r="P76">
        <v>15.09</v>
      </c>
      <c r="Q76">
        <v>13.54</v>
      </c>
      <c r="R76">
        <v>13.46</v>
      </c>
      <c r="S76">
        <v>13.32</v>
      </c>
      <c r="T76">
        <v>11.04</v>
      </c>
      <c r="U76">
        <v>10.95</v>
      </c>
    </row>
    <row r="77" spans="1:21" x14ac:dyDescent="0.25">
      <c r="A77" t="s">
        <v>962</v>
      </c>
      <c r="B77">
        <v>93.45</v>
      </c>
      <c r="C77">
        <v>90.6</v>
      </c>
      <c r="D77">
        <v>91.4</v>
      </c>
      <c r="E77">
        <v>93.47</v>
      </c>
      <c r="F77">
        <v>93.86</v>
      </c>
      <c r="G77">
        <v>94.72</v>
      </c>
      <c r="H77">
        <v>92.27</v>
      </c>
      <c r="I77">
        <v>92.6</v>
      </c>
      <c r="J77">
        <v>98.14</v>
      </c>
      <c r="K77">
        <v>99.39</v>
      </c>
      <c r="L77">
        <v>98.92</v>
      </c>
      <c r="M77">
        <v>100.31</v>
      </c>
      <c r="N77">
        <v>109.48</v>
      </c>
      <c r="O77">
        <v>108.89</v>
      </c>
      <c r="P77">
        <v>113.61</v>
      </c>
      <c r="Q77">
        <v>105.88</v>
      </c>
      <c r="R77">
        <v>92.69</v>
      </c>
      <c r="S77">
        <v>93.41</v>
      </c>
      <c r="T77">
        <v>43.98</v>
      </c>
      <c r="U77">
        <v>45.51</v>
      </c>
    </row>
    <row r="78" spans="1:21" x14ac:dyDescent="0.25">
      <c r="A78" t="s">
        <v>963</v>
      </c>
      <c r="B78">
        <v>1.07</v>
      </c>
      <c r="C78">
        <v>1.1200000000000001</v>
      </c>
      <c r="D78">
        <v>1.05</v>
      </c>
      <c r="E78">
        <v>1.04</v>
      </c>
      <c r="F78">
        <v>1.04</v>
      </c>
      <c r="G78">
        <v>1.1000000000000001</v>
      </c>
      <c r="H78">
        <v>1.1000000000000001</v>
      </c>
      <c r="I78">
        <v>1.05</v>
      </c>
      <c r="J78">
        <v>1.1399999999999999</v>
      </c>
      <c r="K78">
        <v>0.94</v>
      </c>
      <c r="L78">
        <v>1.05</v>
      </c>
      <c r="M78">
        <v>1.06</v>
      </c>
      <c r="N78">
        <v>1.05</v>
      </c>
      <c r="O78">
        <v>1.1399999999999999</v>
      </c>
      <c r="P78">
        <v>1.01</v>
      </c>
      <c r="Q78">
        <v>1.07</v>
      </c>
      <c r="R78">
        <v>1.1599999999999999</v>
      </c>
      <c r="S78">
        <v>1.41</v>
      </c>
      <c r="T78">
        <v>1.91</v>
      </c>
      <c r="U78">
        <v>2.4700000000000002</v>
      </c>
    </row>
    <row r="79" spans="1:21" x14ac:dyDescent="0.25">
      <c r="A79" t="s">
        <v>964</v>
      </c>
      <c r="B79">
        <v>57.22</v>
      </c>
      <c r="C79">
        <v>51.53</v>
      </c>
      <c r="D79">
        <v>52.34</v>
      </c>
      <c r="E79">
        <v>52.54</v>
      </c>
      <c r="F79">
        <v>44.08</v>
      </c>
      <c r="G79">
        <v>42.05</v>
      </c>
      <c r="H79">
        <v>38.979999999999997</v>
      </c>
      <c r="I79">
        <v>39.35</v>
      </c>
      <c r="J79">
        <v>33.83</v>
      </c>
      <c r="K79">
        <v>33.590000000000003</v>
      </c>
      <c r="L79">
        <v>31.24</v>
      </c>
      <c r="M79">
        <v>28.71</v>
      </c>
      <c r="N79">
        <v>26.65</v>
      </c>
      <c r="O79">
        <v>30.8</v>
      </c>
      <c r="P79">
        <v>30.25</v>
      </c>
      <c r="Q79">
        <v>30.43</v>
      </c>
      <c r="R79">
        <v>18.309999999999999</v>
      </c>
      <c r="S79">
        <v>16.73</v>
      </c>
      <c r="T79">
        <v>13.19</v>
      </c>
      <c r="U79">
        <v>14.65</v>
      </c>
    </row>
    <row r="80" spans="1:21" x14ac:dyDescent="0.25">
      <c r="A80" t="s">
        <v>17</v>
      </c>
    </row>
    <row r="81" spans="1:21" x14ac:dyDescent="0.25">
      <c r="A81" t="s">
        <v>58</v>
      </c>
    </row>
    <row r="82" spans="1:21" x14ac:dyDescent="0.25">
      <c r="A82" t="s">
        <v>965</v>
      </c>
    </row>
    <row r="83" spans="1:21" x14ac:dyDescent="0.25">
      <c r="A83" t="s">
        <v>60</v>
      </c>
    </row>
    <row r="84" spans="1:21" x14ac:dyDescent="0.25">
      <c r="A84" t="s">
        <v>966</v>
      </c>
      <c r="D84" s="2">
        <v>76863</v>
      </c>
      <c r="E84" s="2">
        <v>91431</v>
      </c>
      <c r="F84" s="2">
        <v>108354</v>
      </c>
      <c r="G84" s="2">
        <v>122987</v>
      </c>
      <c r="H84" s="2">
        <v>141247</v>
      </c>
      <c r="I84" s="2">
        <v>197346</v>
      </c>
      <c r="J84" s="2">
        <v>222075</v>
      </c>
      <c r="K84" s="2">
        <v>220004</v>
      </c>
      <c r="L84" s="2">
        <v>231872</v>
      </c>
      <c r="M84" s="2">
        <v>247029</v>
      </c>
      <c r="N84" s="2">
        <v>269287</v>
      </c>
      <c r="O84" s="2">
        <v>293411.98</v>
      </c>
      <c r="P84" s="2">
        <v>314630.76</v>
      </c>
      <c r="Q84" s="2">
        <v>336275.13</v>
      </c>
      <c r="R84" s="2">
        <v>357847.54</v>
      </c>
      <c r="S84" s="2">
        <v>380072.93</v>
      </c>
      <c r="T84" s="2">
        <v>406735.49</v>
      </c>
      <c r="U84" s="2">
        <v>431075.83</v>
      </c>
    </row>
    <row r="85" spans="1:21" x14ac:dyDescent="0.25">
      <c r="A85" t="s">
        <v>76</v>
      </c>
      <c r="O85">
        <v>35.97</v>
      </c>
      <c r="P85">
        <v>33.799999999999997</v>
      </c>
      <c r="Q85">
        <v>31.95</v>
      </c>
      <c r="R85">
        <v>29.36</v>
      </c>
      <c r="S85">
        <v>27.73</v>
      </c>
      <c r="T85">
        <v>24.52</v>
      </c>
      <c r="U85">
        <v>24.14</v>
      </c>
    </row>
    <row r="86" spans="1:21" x14ac:dyDescent="0.25">
      <c r="A86" t="s">
        <v>967</v>
      </c>
      <c r="O86">
        <v>8.7799999999999994</v>
      </c>
      <c r="P86">
        <v>7.25</v>
      </c>
      <c r="Q86">
        <v>7.12</v>
      </c>
      <c r="R86">
        <v>7.46</v>
      </c>
      <c r="S86">
        <v>7.29</v>
      </c>
      <c r="T86">
        <v>6.5</v>
      </c>
      <c r="U86">
        <v>6.15</v>
      </c>
    </row>
    <row r="87" spans="1:21" x14ac:dyDescent="0.25">
      <c r="A87" t="s">
        <v>968</v>
      </c>
      <c r="D87">
        <v>0</v>
      </c>
      <c r="E87">
        <v>0</v>
      </c>
      <c r="F87" s="2">
        <v>5798</v>
      </c>
      <c r="G87" s="2">
        <v>17224</v>
      </c>
      <c r="H87" s="2">
        <v>17192</v>
      </c>
      <c r="I87" s="2">
        <v>16227</v>
      </c>
      <c r="J87" s="2">
        <v>17075</v>
      </c>
      <c r="K87" s="2">
        <v>18963</v>
      </c>
      <c r="L87" s="2">
        <v>20030</v>
      </c>
      <c r="M87" s="2">
        <v>21215</v>
      </c>
      <c r="N87" s="2">
        <v>22561</v>
      </c>
      <c r="O87" s="2">
        <v>23507.56</v>
      </c>
      <c r="P87" s="2">
        <v>24605.53</v>
      </c>
      <c r="Q87" s="2">
        <v>25869.74</v>
      </c>
      <c r="R87" s="2">
        <v>26947.17</v>
      </c>
      <c r="S87" s="2">
        <v>28000.09</v>
      </c>
      <c r="T87" s="2">
        <v>28271.94</v>
      </c>
      <c r="U87" s="2">
        <v>28878.14</v>
      </c>
    </row>
    <row r="88" spans="1:21" x14ac:dyDescent="0.25">
      <c r="A88" t="s">
        <v>967</v>
      </c>
      <c r="O88">
        <v>3.92</v>
      </c>
      <c r="P88">
        <v>4.49</v>
      </c>
      <c r="Q88">
        <v>5.07</v>
      </c>
      <c r="R88">
        <v>4.0999999999999996</v>
      </c>
      <c r="S88">
        <v>3.93</v>
      </c>
      <c r="T88">
        <v>3.64</v>
      </c>
      <c r="U88">
        <v>4.17</v>
      </c>
    </row>
    <row r="89" spans="1:21" x14ac:dyDescent="0.25">
      <c r="A89" t="s">
        <v>969</v>
      </c>
      <c r="D89" s="2">
        <v>16086</v>
      </c>
      <c r="E89" s="2">
        <v>22993</v>
      </c>
      <c r="F89" s="2">
        <v>31881</v>
      </c>
      <c r="G89" s="2">
        <v>42745</v>
      </c>
      <c r="H89" s="2">
        <v>53762</v>
      </c>
      <c r="I89" s="2">
        <v>80461</v>
      </c>
      <c r="J89" s="2">
        <v>103366</v>
      </c>
      <c r="K89" s="2">
        <v>117716</v>
      </c>
      <c r="L89" s="2">
        <v>140053</v>
      </c>
      <c r="M89" s="2">
        <v>156146</v>
      </c>
      <c r="N89" s="2">
        <v>172162</v>
      </c>
      <c r="O89" s="2">
        <v>192791.52</v>
      </c>
      <c r="P89" s="2">
        <v>212298.86</v>
      </c>
      <c r="Q89" s="2">
        <v>234656.04</v>
      </c>
      <c r="R89" s="2">
        <v>259065.1</v>
      </c>
      <c r="S89" s="2">
        <v>282697.53000000003</v>
      </c>
      <c r="T89" s="2">
        <v>324791.69</v>
      </c>
      <c r="U89" s="2">
        <v>375195.25</v>
      </c>
    </row>
    <row r="90" spans="1:21" x14ac:dyDescent="0.25">
      <c r="A90" t="s">
        <v>967</v>
      </c>
      <c r="O90">
        <v>11.6</v>
      </c>
      <c r="P90">
        <v>9.89</v>
      </c>
      <c r="Q90">
        <v>9.7100000000000009</v>
      </c>
      <c r="R90">
        <v>9.67</v>
      </c>
      <c r="S90">
        <v>9.11</v>
      </c>
      <c r="T90">
        <v>8.93</v>
      </c>
      <c r="U90">
        <v>9.7899999999999991</v>
      </c>
    </row>
    <row r="91" spans="1:21" x14ac:dyDescent="0.25">
      <c r="A91" t="s">
        <v>970</v>
      </c>
      <c r="D91" s="2">
        <v>4467</v>
      </c>
      <c r="E91" s="2">
        <v>6394</v>
      </c>
      <c r="F91" s="2">
        <v>9721</v>
      </c>
      <c r="G91" s="2">
        <v>14168</v>
      </c>
      <c r="H91" s="2">
        <v>19210</v>
      </c>
      <c r="I91" s="2">
        <v>25207</v>
      </c>
      <c r="J91" s="2">
        <v>31768</v>
      </c>
      <c r="K91" s="2">
        <v>35218</v>
      </c>
      <c r="L91" s="2">
        <v>40209</v>
      </c>
      <c r="M91" s="2">
        <v>44374</v>
      </c>
      <c r="N91" s="2">
        <v>49619</v>
      </c>
      <c r="O91" s="2">
        <v>55513.07</v>
      </c>
      <c r="P91" s="2">
        <v>60843.63</v>
      </c>
      <c r="Q91" s="2">
        <v>66725.990000000005</v>
      </c>
      <c r="R91" s="2">
        <v>72149.69</v>
      </c>
      <c r="S91" s="2">
        <v>77984.86</v>
      </c>
      <c r="T91" s="2">
        <v>86897.600000000006</v>
      </c>
      <c r="U91" s="2">
        <v>90812.06</v>
      </c>
    </row>
    <row r="92" spans="1:21" x14ac:dyDescent="0.25">
      <c r="A92" t="s">
        <v>967</v>
      </c>
      <c r="O92">
        <v>11.64</v>
      </c>
      <c r="P92">
        <v>9.9499999999999993</v>
      </c>
      <c r="Q92">
        <v>9.69</v>
      </c>
      <c r="R92">
        <v>8.89</v>
      </c>
      <c r="S92">
        <v>8.34</v>
      </c>
      <c r="T92">
        <v>8.69</v>
      </c>
      <c r="U92">
        <v>8.35</v>
      </c>
    </row>
    <row r="93" spans="1:21" x14ac:dyDescent="0.25">
      <c r="A93" t="s">
        <v>971</v>
      </c>
      <c r="H93" s="2">
        <v>12625</v>
      </c>
      <c r="I93" s="2">
        <v>19773</v>
      </c>
      <c r="J93" s="2">
        <v>31160</v>
      </c>
      <c r="K93" s="2">
        <v>37739</v>
      </c>
      <c r="L93" s="2">
        <v>46906</v>
      </c>
      <c r="M93" s="2">
        <v>56214</v>
      </c>
      <c r="N93" s="2">
        <v>68635</v>
      </c>
      <c r="O93" s="2">
        <v>83756.3</v>
      </c>
      <c r="P93" s="2">
        <v>98439.96</v>
      </c>
      <c r="Q93" s="2">
        <v>113263.29</v>
      </c>
      <c r="R93" s="2">
        <v>129934.78</v>
      </c>
      <c r="S93" s="2">
        <v>147359.26999999999</v>
      </c>
      <c r="T93" s="2">
        <v>179326.1</v>
      </c>
      <c r="U93" s="2">
        <v>195739.03</v>
      </c>
    </row>
    <row r="94" spans="1:21" x14ac:dyDescent="0.25">
      <c r="A94" t="s">
        <v>967</v>
      </c>
      <c r="O94">
        <v>21.62</v>
      </c>
      <c r="P94">
        <v>17.97</v>
      </c>
      <c r="Q94">
        <v>15.27</v>
      </c>
      <c r="R94">
        <v>14.73</v>
      </c>
      <c r="S94">
        <v>13.79</v>
      </c>
      <c r="T94">
        <v>14.19</v>
      </c>
      <c r="U94">
        <v>12.37</v>
      </c>
    </row>
    <row r="95" spans="1:21" x14ac:dyDescent="0.25">
      <c r="A95" t="s">
        <v>78</v>
      </c>
      <c r="H95" s="2">
        <v>1460</v>
      </c>
      <c r="I95" s="2">
        <v>1680</v>
      </c>
      <c r="J95" s="2">
        <v>2176</v>
      </c>
      <c r="K95" s="2">
        <v>4247</v>
      </c>
      <c r="L95" s="2">
        <v>4958</v>
      </c>
      <c r="M95" s="2">
        <v>5425</v>
      </c>
      <c r="N95" s="2">
        <v>5935</v>
      </c>
      <c r="O95" s="2">
        <v>6374.39</v>
      </c>
      <c r="P95" s="2">
        <v>7081.86</v>
      </c>
      <c r="Q95" s="2">
        <v>22025.52</v>
      </c>
      <c r="R95" s="2">
        <v>6369.33</v>
      </c>
      <c r="S95" s="2">
        <v>6315.16</v>
      </c>
      <c r="T95" s="2">
        <v>4085.31</v>
      </c>
      <c r="U95" s="2">
        <v>12071.09</v>
      </c>
    </row>
    <row r="96" spans="1:21" x14ac:dyDescent="0.25">
      <c r="A96" t="s">
        <v>967</v>
      </c>
      <c r="O96">
        <v>19.02</v>
      </c>
      <c r="P96">
        <v>6.63</v>
      </c>
      <c r="Q96">
        <v>5.76</v>
      </c>
      <c r="R96">
        <v>6.5</v>
      </c>
      <c r="S96">
        <v>6.16</v>
      </c>
      <c r="T96">
        <v>6.5</v>
      </c>
    </row>
    <row r="97" spans="1:21" x14ac:dyDescent="0.25">
      <c r="A97" t="s">
        <v>17</v>
      </c>
    </row>
    <row r="98" spans="1:21" x14ac:dyDescent="0.25">
      <c r="A98" t="s">
        <v>972</v>
      </c>
    </row>
    <row r="99" spans="1:21" x14ac:dyDescent="0.25">
      <c r="A99" t="s">
        <v>60</v>
      </c>
      <c r="B99" s="2">
        <v>3108</v>
      </c>
      <c r="C99" s="2">
        <v>4644</v>
      </c>
      <c r="D99" s="2">
        <v>7880</v>
      </c>
      <c r="E99" s="2">
        <v>12219</v>
      </c>
      <c r="F99" s="2">
        <v>17459</v>
      </c>
      <c r="G99" s="2">
        <v>25655</v>
      </c>
      <c r="H99" s="2">
        <v>35026</v>
      </c>
      <c r="I99" s="2">
        <v>45370</v>
      </c>
      <c r="J99" s="2">
        <v>62202</v>
      </c>
      <c r="K99" s="2">
        <v>80096</v>
      </c>
      <c r="L99" s="2">
        <v>90757</v>
      </c>
      <c r="M99" s="2">
        <v>107556</v>
      </c>
      <c r="N99" s="2">
        <v>128725</v>
      </c>
      <c r="O99" s="2">
        <v>170753.38</v>
      </c>
      <c r="P99" s="2">
        <v>233845.81</v>
      </c>
      <c r="Q99" s="2">
        <v>303663.89</v>
      </c>
      <c r="R99" s="2">
        <v>361053.78</v>
      </c>
      <c r="S99" s="2">
        <v>434626.69</v>
      </c>
      <c r="T99" s="2">
        <v>554536.01</v>
      </c>
      <c r="U99" s="2">
        <v>603922.43000000005</v>
      </c>
    </row>
    <row r="100" spans="1:21" x14ac:dyDescent="0.25">
      <c r="A100" t="s">
        <v>61</v>
      </c>
      <c r="F100">
        <v>10</v>
      </c>
      <c r="G100">
        <v>11</v>
      </c>
      <c r="H100">
        <v>12</v>
      </c>
      <c r="I100">
        <v>12</v>
      </c>
      <c r="J100">
        <v>13</v>
      </c>
      <c r="K100">
        <v>16</v>
      </c>
      <c r="L100">
        <v>16</v>
      </c>
      <c r="M100">
        <v>17</v>
      </c>
      <c r="N100">
        <v>18</v>
      </c>
      <c r="O100">
        <v>19.38</v>
      </c>
      <c r="P100">
        <v>22.24</v>
      </c>
      <c r="Q100">
        <v>25.73</v>
      </c>
      <c r="R100">
        <v>26.66</v>
      </c>
      <c r="S100">
        <v>28.62</v>
      </c>
      <c r="T100">
        <v>39.42</v>
      </c>
      <c r="U100">
        <v>39.76</v>
      </c>
    </row>
    <row r="101" spans="1:21" x14ac:dyDescent="0.25">
      <c r="A101" t="s">
        <v>939</v>
      </c>
      <c r="B101">
        <v>69</v>
      </c>
      <c r="C101">
        <v>49</v>
      </c>
      <c r="D101">
        <v>70</v>
      </c>
      <c r="E101">
        <v>55</v>
      </c>
      <c r="F101">
        <v>43</v>
      </c>
      <c r="G101">
        <v>47</v>
      </c>
      <c r="H101">
        <v>37</v>
      </c>
      <c r="I101">
        <v>30</v>
      </c>
      <c r="J101">
        <v>37</v>
      </c>
      <c r="K101">
        <v>29</v>
      </c>
      <c r="L101">
        <v>13</v>
      </c>
      <c r="M101">
        <v>19</v>
      </c>
      <c r="N101">
        <v>20</v>
      </c>
      <c r="O101">
        <v>35.729999999999997</v>
      </c>
      <c r="P101">
        <v>34.39</v>
      </c>
      <c r="Q101">
        <v>29.43</v>
      </c>
      <c r="R101">
        <v>22.92</v>
      </c>
      <c r="S101">
        <v>20.190000000000001</v>
      </c>
      <c r="T101">
        <v>19.64</v>
      </c>
      <c r="U101">
        <v>17.02</v>
      </c>
    </row>
    <row r="102" spans="1:21" x14ac:dyDescent="0.25">
      <c r="A102" t="s">
        <v>283</v>
      </c>
      <c r="B102" s="2">
        <v>2435</v>
      </c>
      <c r="C102" s="2">
        <v>3984</v>
      </c>
      <c r="D102" s="2">
        <v>6373</v>
      </c>
      <c r="E102" s="2">
        <v>9111</v>
      </c>
      <c r="F102" s="2">
        <v>13128</v>
      </c>
      <c r="G102" s="2">
        <v>18359</v>
      </c>
      <c r="H102" s="2">
        <v>25825</v>
      </c>
      <c r="I102" s="2">
        <v>31839</v>
      </c>
      <c r="J102" s="2">
        <v>43670</v>
      </c>
      <c r="K102" s="2">
        <v>57255</v>
      </c>
      <c r="L102" s="2">
        <v>66126</v>
      </c>
      <c r="M102" s="2">
        <v>67722</v>
      </c>
      <c r="N102" s="2">
        <v>83119</v>
      </c>
      <c r="O102" s="2">
        <v>101754.35</v>
      </c>
      <c r="P102" s="2">
        <v>132377.67000000001</v>
      </c>
      <c r="Q102" s="2">
        <v>166113.72</v>
      </c>
      <c r="R102" s="2">
        <v>186085.64</v>
      </c>
      <c r="S102" s="2">
        <v>227672.8</v>
      </c>
      <c r="T102" s="2">
        <v>388380.66</v>
      </c>
      <c r="U102" s="2">
        <v>436458.71</v>
      </c>
    </row>
    <row r="103" spans="1:21" x14ac:dyDescent="0.25">
      <c r="A103" t="s">
        <v>116</v>
      </c>
      <c r="B103">
        <v>673</v>
      </c>
      <c r="C103">
        <v>458</v>
      </c>
      <c r="D103" s="2">
        <v>1507</v>
      </c>
      <c r="E103" s="2">
        <v>3108</v>
      </c>
      <c r="F103" s="2">
        <v>4331</v>
      </c>
      <c r="G103" s="2">
        <v>7296</v>
      </c>
      <c r="H103" s="2">
        <v>9201</v>
      </c>
      <c r="I103" s="2">
        <v>13531</v>
      </c>
      <c r="J103" s="2">
        <v>18532</v>
      </c>
      <c r="K103" s="2">
        <v>22841</v>
      </c>
      <c r="L103" s="2">
        <v>24631</v>
      </c>
      <c r="M103" s="2">
        <v>39834</v>
      </c>
      <c r="N103" s="2">
        <v>45606</v>
      </c>
      <c r="O103" s="2">
        <v>63744.71</v>
      </c>
      <c r="P103" s="2">
        <v>84918.6</v>
      </c>
      <c r="Q103" s="2">
        <v>110944.02</v>
      </c>
      <c r="R103" s="2">
        <v>135699.81</v>
      </c>
      <c r="S103" s="2">
        <v>167330.6</v>
      </c>
      <c r="T103" s="2">
        <v>220369.05</v>
      </c>
      <c r="U103" s="2">
        <v>230341.61</v>
      </c>
    </row>
    <row r="104" spans="1:21" x14ac:dyDescent="0.25">
      <c r="A104" t="s">
        <v>269</v>
      </c>
      <c r="C104">
        <v>14.2</v>
      </c>
      <c r="D104">
        <v>19.100000000000001</v>
      </c>
      <c r="E104">
        <v>25.4</v>
      </c>
      <c r="F104">
        <v>24.8</v>
      </c>
      <c r="G104">
        <v>28.4</v>
      </c>
      <c r="H104">
        <v>26.3</v>
      </c>
      <c r="I104">
        <v>29.8</v>
      </c>
      <c r="J104">
        <v>29.8</v>
      </c>
      <c r="K104">
        <v>28.5</v>
      </c>
      <c r="L104">
        <v>27.1</v>
      </c>
      <c r="M104">
        <v>37</v>
      </c>
      <c r="N104">
        <v>35.4</v>
      </c>
      <c r="O104">
        <v>37.64</v>
      </c>
      <c r="P104">
        <v>36.950000000000003</v>
      </c>
      <c r="Q104">
        <v>36.950000000000003</v>
      </c>
      <c r="R104">
        <v>37.6</v>
      </c>
      <c r="S104">
        <v>37.92</v>
      </c>
      <c r="T104">
        <v>38.07</v>
      </c>
      <c r="U104">
        <v>36.85</v>
      </c>
    </row>
    <row r="105" spans="1:21" x14ac:dyDescent="0.25">
      <c r="A105" t="s">
        <v>190</v>
      </c>
      <c r="B105">
        <v>963</v>
      </c>
      <c r="C105" s="2">
        <v>1673</v>
      </c>
      <c r="D105" s="2">
        <v>2576</v>
      </c>
      <c r="E105" s="2">
        <v>3461</v>
      </c>
      <c r="F105" s="2">
        <v>4524</v>
      </c>
      <c r="G105" s="2">
        <v>6095</v>
      </c>
      <c r="H105" s="2">
        <v>8158</v>
      </c>
      <c r="I105" s="2">
        <v>7603</v>
      </c>
      <c r="J105" s="2">
        <v>10653</v>
      </c>
      <c r="K105" s="2">
        <v>9876</v>
      </c>
      <c r="L105" s="2">
        <v>12531</v>
      </c>
      <c r="M105" s="2">
        <v>13320</v>
      </c>
      <c r="N105" s="2">
        <v>21450</v>
      </c>
      <c r="O105" s="2">
        <v>37253.69</v>
      </c>
      <c r="P105" s="2">
        <v>60000.78</v>
      </c>
      <c r="Q105" s="2">
        <v>93272.45</v>
      </c>
      <c r="R105" s="2">
        <v>114782.41</v>
      </c>
      <c r="S105" s="2">
        <v>143348.38</v>
      </c>
      <c r="T105" s="2">
        <v>181179.71</v>
      </c>
      <c r="U105" s="2">
        <v>79252.759999999995</v>
      </c>
    </row>
    <row r="106" spans="1:21" x14ac:dyDescent="0.25">
      <c r="A106" t="s">
        <v>973</v>
      </c>
      <c r="H106" s="2">
        <v>23481</v>
      </c>
      <c r="I106" s="2">
        <v>32151</v>
      </c>
      <c r="J106" s="2">
        <v>43245</v>
      </c>
      <c r="K106" s="2">
        <v>60324</v>
      </c>
      <c r="L106" s="2">
        <v>72701</v>
      </c>
      <c r="M106" s="2">
        <v>110683</v>
      </c>
      <c r="N106" s="2">
        <v>190055</v>
      </c>
      <c r="O106" s="2">
        <v>292567.46000000002</v>
      </c>
      <c r="P106" s="2">
        <v>518669.26</v>
      </c>
      <c r="Q106" s="2">
        <v>749978.2</v>
      </c>
      <c r="R106" s="2">
        <v>1093075.1100000001</v>
      </c>
      <c r="S106" s="2">
        <v>1371963.77</v>
      </c>
      <c r="T106" s="2">
        <v>1654569.82</v>
      </c>
    </row>
    <row r="107" spans="1:21" x14ac:dyDescent="0.25">
      <c r="A107" t="s">
        <v>974</v>
      </c>
      <c r="B107" s="2">
        <v>2215</v>
      </c>
      <c r="C107" s="2">
        <v>4295</v>
      </c>
      <c r="D107" s="2">
        <v>4681</v>
      </c>
      <c r="E107" s="2">
        <v>5193</v>
      </c>
      <c r="F107" s="2">
        <v>9190</v>
      </c>
      <c r="G107" s="2">
        <v>9783</v>
      </c>
      <c r="H107" s="2">
        <v>13058</v>
      </c>
      <c r="I107" s="2">
        <v>16530</v>
      </c>
      <c r="J107" s="2">
        <v>22047</v>
      </c>
      <c r="K107" s="2">
        <v>27755</v>
      </c>
      <c r="L107" s="2">
        <v>24843</v>
      </c>
      <c r="M107" s="2">
        <v>53267</v>
      </c>
      <c r="N107" s="2">
        <v>96496</v>
      </c>
      <c r="O107" s="2">
        <v>176603.49</v>
      </c>
      <c r="P107" s="2">
        <v>244412.72</v>
      </c>
      <c r="Q107" s="2">
        <v>287756.2</v>
      </c>
      <c r="R107" s="2">
        <v>338540</v>
      </c>
      <c r="S107" s="2">
        <v>374926.97</v>
      </c>
      <c r="T107" s="2">
        <v>415598.49</v>
      </c>
    </row>
    <row r="108" spans="1:21" x14ac:dyDescent="0.25">
      <c r="A108" t="s">
        <v>975</v>
      </c>
      <c r="B108">
        <v>4</v>
      </c>
      <c r="C108">
        <v>5</v>
      </c>
      <c r="D108">
        <v>7</v>
      </c>
      <c r="E108">
        <v>9</v>
      </c>
      <c r="F108">
        <v>10</v>
      </c>
      <c r="G108">
        <v>11</v>
      </c>
      <c r="H108">
        <v>27</v>
      </c>
      <c r="I108">
        <v>12</v>
      </c>
      <c r="J108">
        <v>13</v>
      </c>
      <c r="K108">
        <v>16</v>
      </c>
      <c r="L108">
        <v>16</v>
      </c>
      <c r="M108">
        <v>17</v>
      </c>
      <c r="N108">
        <v>18</v>
      </c>
      <c r="O108">
        <v>19.78</v>
      </c>
      <c r="P108">
        <v>22.45</v>
      </c>
      <c r="Q108">
        <v>24.79</v>
      </c>
      <c r="R108">
        <v>26.33</v>
      </c>
      <c r="S108">
        <v>28</v>
      </c>
      <c r="T108">
        <v>31.15</v>
      </c>
      <c r="U108">
        <v>30.72</v>
      </c>
    </row>
    <row r="109" spans="1:21" x14ac:dyDescent="0.25">
      <c r="A109" t="s">
        <v>17</v>
      </c>
    </row>
    <row r="110" spans="1:21" x14ac:dyDescent="0.25">
      <c r="A110" t="s">
        <v>72</v>
      </c>
    </row>
    <row r="111" spans="1:21" x14ac:dyDescent="0.25">
      <c r="A111" t="s">
        <v>976</v>
      </c>
    </row>
    <row r="112" spans="1:21" x14ac:dyDescent="0.25">
      <c r="A112" t="s">
        <v>60</v>
      </c>
      <c r="B112" s="2">
        <v>41410</v>
      </c>
      <c r="C112" s="2">
        <v>50834</v>
      </c>
      <c r="D112" s="2">
        <v>63708</v>
      </c>
      <c r="E112" s="2">
        <v>79785</v>
      </c>
      <c r="F112" s="2">
        <v>106110</v>
      </c>
      <c r="G112" s="2">
        <v>141366</v>
      </c>
      <c r="H112" s="2">
        <v>170773</v>
      </c>
      <c r="I112" s="2">
        <v>236282</v>
      </c>
      <c r="J112" s="2">
        <v>279833</v>
      </c>
      <c r="K112" s="2">
        <v>315880</v>
      </c>
      <c r="L112" s="2">
        <v>352828</v>
      </c>
      <c r="M112" s="2">
        <v>387497</v>
      </c>
      <c r="N112" s="2">
        <v>426305</v>
      </c>
      <c r="O112" s="2">
        <v>473289.85</v>
      </c>
      <c r="P112" s="2">
        <v>518513.38</v>
      </c>
      <c r="Q112" s="2">
        <v>563241.4</v>
      </c>
      <c r="R112" s="2">
        <v>602099.22</v>
      </c>
      <c r="S112" s="2">
        <v>647300.56999999995</v>
      </c>
      <c r="T112" s="2">
        <v>729890.2</v>
      </c>
      <c r="U112" s="2">
        <v>779861.41</v>
      </c>
    </row>
    <row r="113" spans="1:21" x14ac:dyDescent="0.25">
      <c r="A113" t="s">
        <v>939</v>
      </c>
      <c r="B113">
        <v>26</v>
      </c>
      <c r="C113">
        <v>23</v>
      </c>
      <c r="D113">
        <v>26</v>
      </c>
      <c r="E113">
        <v>25</v>
      </c>
      <c r="F113">
        <v>33</v>
      </c>
      <c r="G113">
        <v>33</v>
      </c>
      <c r="H113">
        <v>21</v>
      </c>
      <c r="I113">
        <v>38</v>
      </c>
      <c r="J113">
        <v>18</v>
      </c>
      <c r="K113">
        <v>13</v>
      </c>
      <c r="L113">
        <v>12</v>
      </c>
      <c r="M113">
        <v>10</v>
      </c>
      <c r="N113">
        <v>10</v>
      </c>
      <c r="O113">
        <v>12.47</v>
      </c>
      <c r="P113">
        <v>10.98</v>
      </c>
      <c r="Q113">
        <v>10.130000000000001</v>
      </c>
      <c r="R113">
        <v>9.2799999999999994</v>
      </c>
      <c r="S113">
        <v>8.85</v>
      </c>
      <c r="T113">
        <v>8.81</v>
      </c>
      <c r="U113">
        <v>8.4499999999999993</v>
      </c>
    </row>
    <row r="114" spans="1:21" x14ac:dyDescent="0.25">
      <c r="A114" t="s">
        <v>283</v>
      </c>
      <c r="B114" s="2">
        <v>40244</v>
      </c>
      <c r="C114" s="2">
        <v>49542</v>
      </c>
      <c r="D114" s="2">
        <v>62283</v>
      </c>
      <c r="E114" s="2">
        <v>77424</v>
      </c>
      <c r="F114" s="2">
        <v>103273</v>
      </c>
      <c r="G114" s="2">
        <v>134099</v>
      </c>
      <c r="H114" s="2">
        <v>163740</v>
      </c>
      <c r="I114" s="2">
        <v>227631</v>
      </c>
      <c r="J114" s="2">
        <v>272562</v>
      </c>
      <c r="K114" s="2">
        <v>318727</v>
      </c>
      <c r="L114" s="2">
        <v>337951</v>
      </c>
      <c r="M114" s="2">
        <v>362530</v>
      </c>
      <c r="N114" s="2">
        <v>396686</v>
      </c>
      <c r="O114" s="2">
        <v>436263.66</v>
      </c>
      <c r="P114" s="2">
        <v>473190.46</v>
      </c>
      <c r="Q114" s="2">
        <v>519904.07</v>
      </c>
      <c r="R114" s="2">
        <v>561709.38</v>
      </c>
      <c r="S114" s="2">
        <v>604129.06999999995</v>
      </c>
      <c r="T114" s="2">
        <v>648019.87</v>
      </c>
      <c r="U114" s="2">
        <v>689971.36</v>
      </c>
    </row>
    <row r="115" spans="1:21" x14ac:dyDescent="0.25">
      <c r="A115" t="s">
        <v>116</v>
      </c>
      <c r="B115" s="2">
        <v>1166</v>
      </c>
      <c r="C115">
        <v>360</v>
      </c>
      <c r="D115" s="2">
        <v>1425</v>
      </c>
      <c r="E115" s="2">
        <v>2361</v>
      </c>
      <c r="F115" s="2">
        <v>2837</v>
      </c>
      <c r="G115" s="2">
        <v>7267</v>
      </c>
      <c r="H115" s="2">
        <v>7033</v>
      </c>
      <c r="I115" s="2">
        <v>8651</v>
      </c>
      <c r="J115" s="2">
        <v>7271</v>
      </c>
      <c r="K115" s="2">
        <v>-2847</v>
      </c>
      <c r="L115" s="2">
        <v>14877</v>
      </c>
      <c r="M115" s="2">
        <v>24967</v>
      </c>
      <c r="N115" s="2">
        <v>29619</v>
      </c>
      <c r="O115" s="2">
        <v>36979.300000000003</v>
      </c>
      <c r="P115" s="2">
        <v>44700.1</v>
      </c>
      <c r="Q115" s="2">
        <v>53427.519999999997</v>
      </c>
      <c r="R115" s="2">
        <v>56964.57</v>
      </c>
      <c r="S115" s="2">
        <v>65995.360000000001</v>
      </c>
      <c r="T115" s="2">
        <v>102092.07</v>
      </c>
      <c r="U115" s="2">
        <v>116683.09</v>
      </c>
    </row>
    <row r="116" spans="1:21" x14ac:dyDescent="0.25">
      <c r="A116" t="s">
        <v>269</v>
      </c>
      <c r="B116">
        <v>4.2</v>
      </c>
      <c r="C116">
        <v>2.5</v>
      </c>
      <c r="D116">
        <v>2.2000000000000002</v>
      </c>
      <c r="E116">
        <v>3</v>
      </c>
      <c r="F116">
        <v>2.7</v>
      </c>
      <c r="G116">
        <v>5.0999999999999996</v>
      </c>
      <c r="H116">
        <v>4.0999999999999996</v>
      </c>
      <c r="I116">
        <v>3.7</v>
      </c>
      <c r="J116">
        <v>2.6</v>
      </c>
      <c r="K116">
        <v>-0.9</v>
      </c>
      <c r="L116">
        <v>4.2</v>
      </c>
      <c r="M116">
        <v>6.4</v>
      </c>
      <c r="N116">
        <v>6.9</v>
      </c>
      <c r="O116">
        <v>7.82</v>
      </c>
      <c r="P116">
        <v>8.68</v>
      </c>
      <c r="Q116">
        <v>9.3800000000000008</v>
      </c>
      <c r="R116">
        <v>9.65</v>
      </c>
      <c r="S116">
        <v>10.37</v>
      </c>
      <c r="T116">
        <v>11.82</v>
      </c>
      <c r="U116">
        <v>11.12</v>
      </c>
    </row>
    <row r="117" spans="1:21" x14ac:dyDescent="0.25">
      <c r="A117" t="s">
        <v>190</v>
      </c>
      <c r="B117">
        <v>914</v>
      </c>
      <c r="C117" s="2">
        <v>1203</v>
      </c>
      <c r="D117" s="2">
        <v>1551</v>
      </c>
      <c r="E117" s="2">
        <v>1971</v>
      </c>
      <c r="F117" s="2">
        <v>3029</v>
      </c>
      <c r="G117" s="2">
        <v>4415</v>
      </c>
      <c r="H117" s="2">
        <v>5106</v>
      </c>
      <c r="I117" s="2">
        <v>6421</v>
      </c>
      <c r="J117" s="2">
        <v>9234</v>
      </c>
      <c r="K117" s="2">
        <v>11565</v>
      </c>
      <c r="L117" s="2">
        <v>13678</v>
      </c>
      <c r="M117" s="2">
        <v>14285</v>
      </c>
      <c r="N117" s="2">
        <v>15503</v>
      </c>
      <c r="O117" s="2">
        <v>19786.78</v>
      </c>
      <c r="P117" s="2">
        <v>24994.16</v>
      </c>
      <c r="Q117" s="2">
        <v>31934.14</v>
      </c>
      <c r="R117" s="2">
        <v>27737.82</v>
      </c>
      <c r="S117" s="2">
        <v>27634.15</v>
      </c>
      <c r="T117" s="2">
        <v>34790.35</v>
      </c>
      <c r="U117" s="2">
        <v>46612.87</v>
      </c>
    </row>
    <row r="118" spans="1:21" x14ac:dyDescent="0.25">
      <c r="A118" t="s">
        <v>973</v>
      </c>
      <c r="H118" s="2">
        <v>31719</v>
      </c>
      <c r="I118" s="2">
        <v>54912</v>
      </c>
      <c r="J118" s="2">
        <v>83640</v>
      </c>
      <c r="K118" s="2">
        <v>90076</v>
      </c>
      <c r="L118" s="2">
        <v>93632</v>
      </c>
      <c r="M118" s="2">
        <v>103041</v>
      </c>
      <c r="N118" s="2">
        <v>122043</v>
      </c>
      <c r="O118" s="2">
        <v>129241</v>
      </c>
      <c r="P118" s="2">
        <v>178294.66</v>
      </c>
      <c r="Q118" s="2">
        <v>213230.17</v>
      </c>
      <c r="R118" s="2">
        <v>251691.15</v>
      </c>
      <c r="S118" s="2">
        <v>293000.78000000003</v>
      </c>
      <c r="T118" s="2">
        <v>335391.77</v>
      </c>
    </row>
    <row r="119" spans="1:21" x14ac:dyDescent="0.25">
      <c r="A119" t="s">
        <v>473</v>
      </c>
      <c r="H119" s="2">
        <v>7939</v>
      </c>
      <c r="I119" s="2">
        <v>10676</v>
      </c>
      <c r="J119" s="2">
        <v>11678</v>
      </c>
      <c r="K119" s="2">
        <v>12968</v>
      </c>
      <c r="L119" s="2">
        <v>13487</v>
      </c>
      <c r="M119" s="2">
        <v>13323</v>
      </c>
      <c r="N119" s="2">
        <v>14295</v>
      </c>
      <c r="O119" s="2">
        <v>28809.05</v>
      </c>
      <c r="P119" s="2">
        <v>44473.64</v>
      </c>
      <c r="Q119" s="2">
        <v>30859.62</v>
      </c>
      <c r="R119" s="2">
        <v>33678.339999999997</v>
      </c>
      <c r="S119" s="2">
        <v>36739.14</v>
      </c>
      <c r="T119" s="2">
        <v>40089.910000000003</v>
      </c>
    </row>
    <row r="120" spans="1:21" x14ac:dyDescent="0.25">
      <c r="A120" t="s">
        <v>974</v>
      </c>
      <c r="B120" s="2">
        <v>2326</v>
      </c>
      <c r="C120" s="2">
        <v>2833</v>
      </c>
      <c r="D120" s="2">
        <v>2485</v>
      </c>
      <c r="E120" s="2">
        <v>5132</v>
      </c>
      <c r="F120" s="2">
        <v>13200</v>
      </c>
      <c r="G120" s="2">
        <v>10749</v>
      </c>
      <c r="H120" s="2">
        <v>11752</v>
      </c>
      <c r="I120" s="2">
        <v>29889</v>
      </c>
      <c r="J120" s="2">
        <v>37397</v>
      </c>
      <c r="K120" s="2">
        <v>23682</v>
      </c>
      <c r="L120" s="2">
        <v>17529</v>
      </c>
      <c r="M120" s="2">
        <v>24348</v>
      </c>
      <c r="N120" s="2">
        <v>35919</v>
      </c>
      <c r="O120" s="2">
        <v>24018.99</v>
      </c>
      <c r="P120" s="2">
        <v>40682.339999999997</v>
      </c>
      <c r="Q120" s="2">
        <v>24707.22</v>
      </c>
      <c r="R120" s="2">
        <v>30030.01</v>
      </c>
      <c r="S120" s="2">
        <v>10662.05</v>
      </c>
      <c r="T120" s="2">
        <v>71691.070000000007</v>
      </c>
    </row>
    <row r="121" spans="1:21" x14ac:dyDescent="0.25">
      <c r="A121" t="s">
        <v>975</v>
      </c>
      <c r="B121">
        <v>56</v>
      </c>
      <c r="C121">
        <v>57</v>
      </c>
      <c r="D121">
        <v>60</v>
      </c>
      <c r="E121">
        <v>59</v>
      </c>
      <c r="F121">
        <v>60</v>
      </c>
      <c r="G121">
        <v>61</v>
      </c>
      <c r="H121">
        <v>61</v>
      </c>
      <c r="I121">
        <v>61</v>
      </c>
      <c r="J121">
        <v>60</v>
      </c>
      <c r="K121">
        <v>61</v>
      </c>
      <c r="L121">
        <v>61</v>
      </c>
      <c r="M121">
        <v>61</v>
      </c>
      <c r="N121">
        <v>59</v>
      </c>
      <c r="O121">
        <v>56.74</v>
      </c>
      <c r="P121">
        <v>53.74</v>
      </c>
      <c r="Q121">
        <v>50.65</v>
      </c>
      <c r="R121">
        <v>48.98</v>
      </c>
      <c r="S121">
        <v>46.7</v>
      </c>
      <c r="T121">
        <v>46.62</v>
      </c>
      <c r="U121">
        <v>44.88</v>
      </c>
    </row>
    <row r="122" spans="1:21" x14ac:dyDescent="0.25">
      <c r="A122" t="s">
        <v>17</v>
      </c>
    </row>
    <row r="123" spans="1:21" x14ac:dyDescent="0.25">
      <c r="A123" t="s">
        <v>386</v>
      </c>
    </row>
    <row r="124" spans="1:21" x14ac:dyDescent="0.25">
      <c r="A124" t="s">
        <v>60</v>
      </c>
      <c r="B124" s="2">
        <v>29934</v>
      </c>
      <c r="C124" s="2">
        <v>33510</v>
      </c>
      <c r="D124" s="2">
        <v>35418</v>
      </c>
      <c r="E124" s="2">
        <v>43983</v>
      </c>
      <c r="F124" s="2">
        <v>54297</v>
      </c>
      <c r="G124" s="2">
        <v>65866</v>
      </c>
      <c r="H124" s="2">
        <v>74723</v>
      </c>
      <c r="I124" s="2">
        <v>104412</v>
      </c>
      <c r="J124" s="2">
        <v>127787</v>
      </c>
      <c r="K124" s="2">
        <v>118007</v>
      </c>
      <c r="L124" s="2">
        <v>131200</v>
      </c>
      <c r="M124" s="2">
        <v>142906</v>
      </c>
      <c r="N124" s="2">
        <v>161894</v>
      </c>
      <c r="O124" s="2">
        <v>181026.12</v>
      </c>
      <c r="P124" s="2">
        <v>197365.46</v>
      </c>
      <c r="Q124" s="2">
        <v>214358.66</v>
      </c>
      <c r="R124" s="2">
        <v>236262.25</v>
      </c>
      <c r="S124" s="2">
        <v>256402.31</v>
      </c>
      <c r="T124" s="2">
        <v>291839.93</v>
      </c>
      <c r="U124" s="2">
        <v>321322.99</v>
      </c>
    </row>
    <row r="125" spans="1:21" x14ac:dyDescent="0.25">
      <c r="A125" t="s">
        <v>939</v>
      </c>
      <c r="B125">
        <v>19</v>
      </c>
      <c r="C125">
        <v>14</v>
      </c>
      <c r="D125">
        <v>21</v>
      </c>
      <c r="E125">
        <v>26</v>
      </c>
      <c r="F125">
        <v>23</v>
      </c>
      <c r="G125">
        <v>19</v>
      </c>
      <c r="H125">
        <v>17</v>
      </c>
      <c r="I125">
        <v>38</v>
      </c>
      <c r="J125">
        <v>20</v>
      </c>
      <c r="K125">
        <v>4</v>
      </c>
      <c r="L125">
        <v>11</v>
      </c>
      <c r="M125">
        <v>10</v>
      </c>
      <c r="N125">
        <v>10</v>
      </c>
      <c r="O125">
        <v>12.46</v>
      </c>
      <c r="P125">
        <v>10.76</v>
      </c>
      <c r="Q125">
        <v>10.57</v>
      </c>
      <c r="R125">
        <v>10.69</v>
      </c>
      <c r="S125">
        <v>10.6</v>
      </c>
      <c r="T125">
        <v>10.54</v>
      </c>
      <c r="U125">
        <v>11.24</v>
      </c>
    </row>
    <row r="126" spans="1:21" x14ac:dyDescent="0.25">
      <c r="A126" t="s">
        <v>283</v>
      </c>
      <c r="B126" s="2">
        <v>29780</v>
      </c>
      <c r="C126" s="2">
        <v>33654</v>
      </c>
      <c r="D126" s="2">
        <v>36117</v>
      </c>
      <c r="E126" s="2">
        <v>45266</v>
      </c>
      <c r="F126" s="2">
        <v>57359</v>
      </c>
      <c r="G126" s="2">
        <v>68008</v>
      </c>
      <c r="H126" s="2">
        <v>76416</v>
      </c>
      <c r="I126" s="2">
        <v>103695</v>
      </c>
      <c r="J126" s="2">
        <v>128711</v>
      </c>
      <c r="K126" s="2">
        <v>125753</v>
      </c>
      <c r="L126" s="2">
        <v>133856</v>
      </c>
      <c r="M126" s="2">
        <v>139114</v>
      </c>
      <c r="N126" s="2">
        <v>157144</v>
      </c>
      <c r="O126" s="2">
        <v>165953.17000000001</v>
      </c>
      <c r="P126" s="2">
        <v>190718.91</v>
      </c>
      <c r="Q126" s="2">
        <v>205742.38</v>
      </c>
      <c r="R126" s="2">
        <v>228401.38</v>
      </c>
      <c r="S126" s="2">
        <v>247478.15</v>
      </c>
      <c r="T126" s="2">
        <v>285276.59000000003</v>
      </c>
      <c r="U126" s="2">
        <v>311533.05</v>
      </c>
    </row>
    <row r="127" spans="1:21" x14ac:dyDescent="0.25">
      <c r="A127" t="s">
        <v>116</v>
      </c>
      <c r="B127">
        <v>154</v>
      </c>
      <c r="C127">
        <v>-640</v>
      </c>
      <c r="D127">
        <v>-699</v>
      </c>
      <c r="E127" s="2">
        <v>-1283</v>
      </c>
      <c r="F127" s="2">
        <v>-3062</v>
      </c>
      <c r="G127" s="2">
        <v>-2142</v>
      </c>
      <c r="H127" s="2">
        <v>-1693</v>
      </c>
      <c r="I127">
        <v>717</v>
      </c>
      <c r="J127">
        <v>-924</v>
      </c>
      <c r="K127" s="2">
        <v>-7746</v>
      </c>
      <c r="L127" s="2">
        <v>-2656</v>
      </c>
      <c r="M127" s="2">
        <v>3792</v>
      </c>
      <c r="N127" s="2">
        <v>4750</v>
      </c>
      <c r="O127" s="2">
        <v>7385.57</v>
      </c>
      <c r="P127" s="2">
        <v>10507.71</v>
      </c>
      <c r="Q127" s="2">
        <v>14271.8</v>
      </c>
      <c r="R127" s="2">
        <v>21627.08</v>
      </c>
      <c r="S127" s="2">
        <v>25947.96</v>
      </c>
      <c r="T127" s="2">
        <v>23965.01</v>
      </c>
      <c r="U127" s="2">
        <v>33311.54</v>
      </c>
    </row>
    <row r="128" spans="1:21" x14ac:dyDescent="0.25">
      <c r="A128" t="s">
        <v>269</v>
      </c>
      <c r="B128">
        <v>0.4</v>
      </c>
      <c r="C128">
        <v>-0.4</v>
      </c>
      <c r="D128">
        <v>-2</v>
      </c>
      <c r="E128">
        <v>-2.9</v>
      </c>
      <c r="F128">
        <v>-5.6</v>
      </c>
      <c r="G128">
        <v>-3.3</v>
      </c>
      <c r="H128">
        <v>-2.2999999999999998</v>
      </c>
      <c r="I128">
        <v>0.7</v>
      </c>
      <c r="J128">
        <v>-0.7</v>
      </c>
      <c r="K128">
        <v>-6.6</v>
      </c>
      <c r="L128">
        <v>-2</v>
      </c>
      <c r="M128">
        <v>2.7</v>
      </c>
      <c r="N128">
        <v>2.9</v>
      </c>
      <c r="O128">
        <v>4</v>
      </c>
      <c r="P128">
        <v>5.25</v>
      </c>
      <c r="Q128">
        <v>6.54</v>
      </c>
      <c r="R128">
        <v>9.15</v>
      </c>
      <c r="S128">
        <v>10.02</v>
      </c>
      <c r="T128">
        <v>7.72</v>
      </c>
      <c r="U128">
        <v>9.2799999999999994</v>
      </c>
    </row>
    <row r="129" spans="1:21" x14ac:dyDescent="0.25">
      <c r="A129" t="s">
        <v>884</v>
      </c>
      <c r="B129">
        <v>583</v>
      </c>
      <c r="C129">
        <v>740</v>
      </c>
      <c r="D129">
        <v>822</v>
      </c>
      <c r="E129">
        <v>930</v>
      </c>
      <c r="F129" s="2">
        <v>1278</v>
      </c>
      <c r="G129" s="2">
        <v>1628</v>
      </c>
      <c r="H129" s="2">
        <v>1886</v>
      </c>
      <c r="I129" s="2">
        <v>2215</v>
      </c>
      <c r="J129" s="2">
        <v>3022</v>
      </c>
      <c r="K129" s="2">
        <v>3483</v>
      </c>
      <c r="L129" s="2">
        <v>4016</v>
      </c>
      <c r="M129" s="2">
        <v>4462</v>
      </c>
      <c r="N129" s="2">
        <v>4907</v>
      </c>
      <c r="O129" s="2">
        <v>5485.3</v>
      </c>
      <c r="P129" s="2">
        <v>6497.66</v>
      </c>
      <c r="Q129" s="2">
        <v>8355.6200000000008</v>
      </c>
      <c r="R129" s="2">
        <v>9398.35</v>
      </c>
      <c r="S129" s="2">
        <v>10387.06</v>
      </c>
      <c r="T129" s="2">
        <v>9894.1299999999992</v>
      </c>
      <c r="U129" s="2">
        <v>13907.62</v>
      </c>
    </row>
    <row r="130" spans="1:21" x14ac:dyDescent="0.25">
      <c r="A130" t="s">
        <v>973</v>
      </c>
      <c r="H130" s="2">
        <v>9566</v>
      </c>
      <c r="I130" s="2">
        <v>15375</v>
      </c>
      <c r="J130" s="2">
        <v>21718</v>
      </c>
      <c r="K130" s="2">
        <v>23347</v>
      </c>
      <c r="L130" s="2">
        <v>24357</v>
      </c>
      <c r="M130" s="2">
        <v>25618</v>
      </c>
      <c r="N130" s="2">
        <v>30632</v>
      </c>
      <c r="O130" s="2">
        <v>35290.230000000003</v>
      </c>
      <c r="P130" s="2">
        <v>42561.64</v>
      </c>
      <c r="Q130" s="2">
        <v>56495.91</v>
      </c>
      <c r="R130" s="2">
        <v>67178.83</v>
      </c>
      <c r="S130" s="2">
        <v>77300.62</v>
      </c>
      <c r="T130" s="2">
        <v>51165.27</v>
      </c>
    </row>
    <row r="131" spans="1:21" x14ac:dyDescent="0.25">
      <c r="A131" t="s">
        <v>974</v>
      </c>
      <c r="B131">
        <v>851</v>
      </c>
      <c r="C131">
        <v>767</v>
      </c>
      <c r="D131">
        <v>658</v>
      </c>
      <c r="E131" s="2">
        <v>1680</v>
      </c>
      <c r="F131" s="2">
        <v>5196</v>
      </c>
      <c r="G131" s="2">
        <v>2476</v>
      </c>
      <c r="H131" s="2">
        <v>3298</v>
      </c>
      <c r="I131" s="2">
        <v>8072</v>
      </c>
      <c r="J131" s="2">
        <v>10259</v>
      </c>
      <c r="K131" s="2">
        <v>6711</v>
      </c>
      <c r="L131" s="2">
        <v>4144</v>
      </c>
      <c r="M131" s="2">
        <v>6643</v>
      </c>
      <c r="N131" s="2">
        <v>7617</v>
      </c>
      <c r="O131" s="2">
        <v>8575.35</v>
      </c>
      <c r="P131" s="2">
        <v>10518.28</v>
      </c>
      <c r="Q131" s="2">
        <v>14695.07</v>
      </c>
      <c r="R131" s="2">
        <v>15512.25</v>
      </c>
      <c r="S131" s="2">
        <v>16235.22</v>
      </c>
      <c r="T131" s="2">
        <v>11844.61</v>
      </c>
    </row>
    <row r="132" spans="1:21" x14ac:dyDescent="0.25">
      <c r="A132" t="s">
        <v>975</v>
      </c>
      <c r="B132">
        <v>40</v>
      </c>
      <c r="C132">
        <v>38</v>
      </c>
      <c r="D132">
        <v>33</v>
      </c>
      <c r="E132">
        <v>32</v>
      </c>
      <c r="F132">
        <v>30</v>
      </c>
      <c r="G132">
        <v>28</v>
      </c>
      <c r="H132">
        <v>27</v>
      </c>
      <c r="I132">
        <v>27</v>
      </c>
      <c r="J132">
        <v>27</v>
      </c>
      <c r="K132">
        <v>23</v>
      </c>
      <c r="L132">
        <v>23</v>
      </c>
      <c r="M132">
        <v>22</v>
      </c>
      <c r="N132">
        <v>23</v>
      </c>
      <c r="O132">
        <v>21.78</v>
      </c>
      <c r="P132">
        <v>20.67</v>
      </c>
      <c r="Q132">
        <v>19.52</v>
      </c>
      <c r="R132">
        <v>20.62</v>
      </c>
      <c r="S132">
        <v>20.07</v>
      </c>
      <c r="T132">
        <v>19.309999999999999</v>
      </c>
      <c r="U132">
        <v>20.420000000000002</v>
      </c>
    </row>
    <row r="133" spans="1:21" x14ac:dyDescent="0.25">
      <c r="A133" t="s">
        <v>17</v>
      </c>
    </row>
    <row r="134" spans="1:21" x14ac:dyDescent="0.25">
      <c r="A134" t="s">
        <v>385</v>
      </c>
    </row>
    <row r="135" spans="1:21" x14ac:dyDescent="0.25">
      <c r="A135" t="s">
        <v>60</v>
      </c>
      <c r="B135" s="2">
        <v>43959</v>
      </c>
      <c r="C135" s="2">
        <v>54717</v>
      </c>
      <c r="D135" s="2">
        <v>70537</v>
      </c>
      <c r="E135" s="2">
        <v>90349</v>
      </c>
      <c r="F135" s="2">
        <v>120486</v>
      </c>
      <c r="G135" s="2">
        <v>160146</v>
      </c>
      <c r="H135" s="2">
        <v>193636</v>
      </c>
      <c r="I135" s="2">
        <v>263520</v>
      </c>
      <c r="J135" s="2">
        <v>314006</v>
      </c>
      <c r="K135" s="2">
        <v>356113</v>
      </c>
      <c r="L135" s="2">
        <v>395637</v>
      </c>
      <c r="M135" s="2">
        <v>438015</v>
      </c>
      <c r="N135" s="2">
        <v>489657</v>
      </c>
      <c r="O135" s="2">
        <v>558208.98</v>
      </c>
      <c r="P135" s="2">
        <v>630776.15</v>
      </c>
      <c r="Q135" s="2">
        <v>697007.64</v>
      </c>
      <c r="R135" s="2">
        <v>763223.37</v>
      </c>
      <c r="S135" s="2">
        <v>831913.47</v>
      </c>
    </row>
    <row r="136" spans="1:21" x14ac:dyDescent="0.25">
      <c r="A136" t="s">
        <v>17</v>
      </c>
    </row>
    <row r="137" spans="1:21" x14ac:dyDescent="0.25">
      <c r="A137" t="s">
        <v>977</v>
      </c>
    </row>
    <row r="138" spans="1:21" x14ac:dyDescent="0.25">
      <c r="A138" t="s">
        <v>60</v>
      </c>
      <c r="B138" s="2">
        <v>10535</v>
      </c>
      <c r="C138" s="2">
        <v>11919</v>
      </c>
      <c r="D138" s="2">
        <v>11816</v>
      </c>
      <c r="E138" s="2">
        <v>14148</v>
      </c>
      <c r="F138" s="2">
        <v>16951</v>
      </c>
      <c r="G138" s="2">
        <v>19881</v>
      </c>
      <c r="H138" s="2">
        <v>22232</v>
      </c>
      <c r="I138" s="2">
        <v>29565</v>
      </c>
      <c r="J138" s="2">
        <v>37326</v>
      </c>
      <c r="K138" s="2">
        <v>33598</v>
      </c>
      <c r="L138" s="2">
        <v>37588</v>
      </c>
      <c r="M138" s="2">
        <v>40856</v>
      </c>
      <c r="N138" s="2">
        <v>45900</v>
      </c>
      <c r="O138" s="2">
        <v>46700.01</v>
      </c>
      <c r="P138" s="2">
        <v>51179.24</v>
      </c>
      <c r="Q138" s="2">
        <v>55858.91</v>
      </c>
      <c r="R138" s="2">
        <v>60651.86</v>
      </c>
      <c r="S138" s="2">
        <v>65744.789999999994</v>
      </c>
    </row>
    <row r="139" spans="1:21" x14ac:dyDescent="0.25">
      <c r="A139" t="s">
        <v>17</v>
      </c>
    </row>
    <row r="140" spans="1:21" x14ac:dyDescent="0.25">
      <c r="A140" t="s">
        <v>978</v>
      </c>
    </row>
    <row r="141" spans="1:21" x14ac:dyDescent="0.25">
      <c r="A141" t="s">
        <v>60</v>
      </c>
      <c r="B141" s="2">
        <v>7291</v>
      </c>
      <c r="C141" s="2">
        <v>8341</v>
      </c>
      <c r="D141" s="2">
        <v>9033</v>
      </c>
      <c r="E141" s="2">
        <v>9547</v>
      </c>
      <c r="F141" s="2">
        <v>11372</v>
      </c>
      <c r="G141" s="2">
        <v>14524</v>
      </c>
      <c r="H141" s="2">
        <v>17527</v>
      </c>
      <c r="I141" s="2">
        <v>26483</v>
      </c>
      <c r="J141" s="2">
        <v>31914</v>
      </c>
      <c r="K141" s="2">
        <v>30074</v>
      </c>
      <c r="L141" s="2">
        <v>33591</v>
      </c>
      <c r="M141" s="2">
        <v>37855</v>
      </c>
      <c r="N141" s="2">
        <v>43212</v>
      </c>
      <c r="O141" s="2">
        <v>28738.47</v>
      </c>
      <c r="P141" s="2">
        <v>31494.92</v>
      </c>
      <c r="Q141" s="2">
        <v>27929.46</v>
      </c>
      <c r="R141" s="2">
        <v>30325.93</v>
      </c>
      <c r="S141" s="2">
        <v>32872.400000000001</v>
      </c>
    </row>
    <row r="142" spans="1:21" x14ac:dyDescent="0.25">
      <c r="A142" t="s">
        <v>17</v>
      </c>
    </row>
    <row r="143" spans="1:21" x14ac:dyDescent="0.25">
      <c r="A143" t="s">
        <v>979</v>
      </c>
    </row>
    <row r="144" spans="1:21" x14ac:dyDescent="0.25">
      <c r="A144" t="s">
        <v>60</v>
      </c>
      <c r="B144" s="2">
        <v>7639</v>
      </c>
      <c r="C144" s="2">
        <v>7912</v>
      </c>
      <c r="D144" s="2">
        <v>8264</v>
      </c>
      <c r="E144" s="2">
        <v>10797</v>
      </c>
      <c r="F144" s="2">
        <v>11907</v>
      </c>
      <c r="G144" s="2">
        <v>13829</v>
      </c>
      <c r="H144" s="2">
        <v>16002</v>
      </c>
      <c r="I144" s="2">
        <v>20461</v>
      </c>
      <c r="J144" s="2">
        <v>23071</v>
      </c>
      <c r="K144" s="2">
        <v>24396</v>
      </c>
      <c r="L144" s="2">
        <v>26002</v>
      </c>
      <c r="M144" s="2">
        <v>27401</v>
      </c>
      <c r="N144" s="2">
        <v>30688</v>
      </c>
      <c r="O144" s="2">
        <v>26942.31</v>
      </c>
      <c r="P144" s="2">
        <v>29526.48</v>
      </c>
      <c r="Q144" s="2">
        <v>25781.040000000001</v>
      </c>
      <c r="R144" s="2">
        <v>27993.17</v>
      </c>
      <c r="S144" s="2">
        <v>30343.75</v>
      </c>
    </row>
    <row r="145" spans="1:21" x14ac:dyDescent="0.25">
      <c r="A145" t="s">
        <v>17</v>
      </c>
    </row>
    <row r="146" spans="1:21" x14ac:dyDescent="0.25">
      <c r="A146" t="s">
        <v>980</v>
      </c>
    </row>
    <row r="147" spans="1:21" x14ac:dyDescent="0.25">
      <c r="A147" t="s">
        <v>60</v>
      </c>
      <c r="B147" s="2">
        <v>5028</v>
      </c>
      <c r="C147" s="2">
        <v>6099</v>
      </c>
      <c r="D147" s="2">
        <v>7356</v>
      </c>
      <c r="E147" s="2">
        <v>11146</v>
      </c>
      <c r="F147" s="2">
        <v>17150</v>
      </c>
      <c r="G147" s="2">
        <v>24507</v>
      </c>
      <c r="H147" s="2">
        <v>31125</v>
      </c>
      <c r="I147" s="2">
        <v>46035</v>
      </c>
      <c r="J147" s="2">
        <v>63505</v>
      </c>
      <c r="K147" s="2">
        <v>69802</v>
      </c>
      <c r="L147" s="2">
        <v>81967</v>
      </c>
      <c r="M147" s="2">
        <v>93832</v>
      </c>
      <c r="N147" s="2">
        <v>107467</v>
      </c>
    </row>
    <row r="148" spans="1:21" x14ac:dyDescent="0.25">
      <c r="A148" t="s">
        <v>17</v>
      </c>
    </row>
    <row r="149" spans="1:21" x14ac:dyDescent="0.25">
      <c r="A149" t="s">
        <v>258</v>
      </c>
    </row>
    <row r="150" spans="1:21" x14ac:dyDescent="0.25">
      <c r="A150" t="s">
        <v>981</v>
      </c>
    </row>
    <row r="151" spans="1:21" x14ac:dyDescent="0.25">
      <c r="A151" t="s">
        <v>60</v>
      </c>
      <c r="B151" s="2">
        <v>60903</v>
      </c>
      <c r="C151" s="2">
        <v>70080</v>
      </c>
      <c r="D151" s="2">
        <v>79268</v>
      </c>
      <c r="E151" s="2">
        <v>94665</v>
      </c>
      <c r="F151" s="2">
        <v>118573</v>
      </c>
      <c r="G151" s="2">
        <v>141915</v>
      </c>
      <c r="H151" s="2">
        <v>160408</v>
      </c>
      <c r="I151" s="2">
        <v>215915</v>
      </c>
      <c r="J151" s="2">
        <v>241787</v>
      </c>
      <c r="K151" s="2">
        <v>242901</v>
      </c>
      <c r="L151" s="2">
        <v>255887</v>
      </c>
      <c r="M151" s="2">
        <v>272311</v>
      </c>
      <c r="N151" s="2">
        <v>296266</v>
      </c>
      <c r="O151" s="2">
        <v>322078.46000000002</v>
      </c>
      <c r="P151" s="2">
        <v>345684.46</v>
      </c>
      <c r="Q151" s="2">
        <v>373576.52</v>
      </c>
      <c r="R151" s="2">
        <v>408719.59</v>
      </c>
      <c r="S151" s="2">
        <v>434865.71</v>
      </c>
      <c r="T151" s="2">
        <v>461232.81</v>
      </c>
      <c r="U151" s="2">
        <v>483531.07</v>
      </c>
    </row>
    <row r="152" spans="1:21" x14ac:dyDescent="0.25">
      <c r="A152" t="s">
        <v>982</v>
      </c>
      <c r="G152">
        <v>0</v>
      </c>
      <c r="O152" s="2">
        <v>978098.58</v>
      </c>
      <c r="P152" s="2">
        <v>1071171.6000000001</v>
      </c>
      <c r="Q152" s="2">
        <v>1154475.3</v>
      </c>
      <c r="R152" s="2">
        <v>1222421.23</v>
      </c>
      <c r="S152" s="2">
        <v>1310552.53</v>
      </c>
      <c r="T152" s="2">
        <v>1522296.46</v>
      </c>
      <c r="U152" s="2">
        <v>1728991.74</v>
      </c>
    </row>
    <row r="153" spans="1:21" x14ac:dyDescent="0.25">
      <c r="A153" t="s">
        <v>983</v>
      </c>
      <c r="O153">
        <v>29.18</v>
      </c>
      <c r="P153">
        <v>29.48</v>
      </c>
      <c r="Q153">
        <v>29.91</v>
      </c>
      <c r="R153">
        <v>30</v>
      </c>
      <c r="S153">
        <v>30.12</v>
      </c>
      <c r="T153">
        <v>28</v>
      </c>
      <c r="U153">
        <v>26.37</v>
      </c>
    </row>
    <row r="154" spans="1:21" x14ac:dyDescent="0.25">
      <c r="A154" t="s">
        <v>17</v>
      </c>
    </row>
    <row r="155" spans="1:21" x14ac:dyDescent="0.25">
      <c r="A155" t="s">
        <v>984</v>
      </c>
    </row>
    <row r="156" spans="1:21" x14ac:dyDescent="0.25">
      <c r="A156" t="s">
        <v>60</v>
      </c>
      <c r="B156" s="2">
        <v>13549</v>
      </c>
      <c r="C156" s="2">
        <v>18908</v>
      </c>
      <c r="D156" s="2">
        <v>27738</v>
      </c>
      <c r="E156" s="2">
        <v>41322</v>
      </c>
      <c r="F156" s="2">
        <v>59293</v>
      </c>
      <c r="G156" s="2">
        <v>90972</v>
      </c>
      <c r="H156" s="2">
        <v>120114</v>
      </c>
      <c r="I156" s="2">
        <v>170149</v>
      </c>
      <c r="J156" s="2">
        <v>228035</v>
      </c>
      <c r="K156" s="2">
        <v>271082</v>
      </c>
      <c r="L156" s="2">
        <v>318898</v>
      </c>
      <c r="M156" s="2">
        <v>365648</v>
      </c>
      <c r="N156" s="2">
        <v>420658</v>
      </c>
      <c r="O156" s="2">
        <v>508076.68</v>
      </c>
      <c r="P156" s="2">
        <v>606464.98</v>
      </c>
      <c r="Q156" s="2">
        <v>711679.42</v>
      </c>
      <c r="R156" s="2">
        <v>816458.58</v>
      </c>
      <c r="S156" s="2">
        <v>946688.2</v>
      </c>
      <c r="T156" s="2">
        <v>1169510.9099999999</v>
      </c>
      <c r="U156" s="2">
        <v>1307242.81</v>
      </c>
    </row>
    <row r="157" spans="1:21" x14ac:dyDescent="0.25">
      <c r="A157" t="s">
        <v>969</v>
      </c>
      <c r="D157" s="2">
        <v>16086</v>
      </c>
      <c r="E157" s="2">
        <v>22993</v>
      </c>
      <c r="F157" s="2">
        <v>31881</v>
      </c>
      <c r="G157" s="2">
        <v>42745</v>
      </c>
      <c r="H157" s="2">
        <v>53762</v>
      </c>
      <c r="I157" s="2">
        <v>80461</v>
      </c>
      <c r="J157" s="2">
        <v>103366</v>
      </c>
      <c r="K157" s="2">
        <v>117716</v>
      </c>
      <c r="L157" s="2">
        <v>140053</v>
      </c>
      <c r="M157" s="2">
        <v>156146</v>
      </c>
      <c r="N157" s="2">
        <v>172162</v>
      </c>
      <c r="O157" s="2">
        <v>192791.52</v>
      </c>
      <c r="P157" s="2">
        <v>212298.86</v>
      </c>
      <c r="Q157" s="2">
        <v>234656.04</v>
      </c>
      <c r="R157" s="2">
        <v>259065.1</v>
      </c>
      <c r="S157" s="2">
        <v>282697.53000000003</v>
      </c>
      <c r="T157" s="2">
        <v>324791.69</v>
      </c>
      <c r="U157" s="2">
        <v>375195.25</v>
      </c>
    </row>
    <row r="158" spans="1:21" x14ac:dyDescent="0.25">
      <c r="A158" t="s">
        <v>967</v>
      </c>
      <c r="O158">
        <v>11.6</v>
      </c>
      <c r="P158">
        <v>9.89</v>
      </c>
      <c r="Q158">
        <v>9.7100000000000009</v>
      </c>
      <c r="R158">
        <v>9.67</v>
      </c>
      <c r="S158">
        <v>9.11</v>
      </c>
      <c r="T158">
        <v>8.93</v>
      </c>
      <c r="U158">
        <v>9.7899999999999991</v>
      </c>
    </row>
    <row r="159" spans="1:21" x14ac:dyDescent="0.25">
      <c r="A159" t="s">
        <v>970</v>
      </c>
      <c r="D159" s="2">
        <v>4467</v>
      </c>
      <c r="E159" s="2">
        <v>6394</v>
      </c>
      <c r="F159" s="2">
        <v>9721</v>
      </c>
      <c r="G159" s="2">
        <v>14168</v>
      </c>
      <c r="H159" s="2">
        <v>19210</v>
      </c>
      <c r="I159" s="2">
        <v>25207</v>
      </c>
      <c r="J159" s="2">
        <v>31768</v>
      </c>
      <c r="K159" s="2">
        <v>35218</v>
      </c>
      <c r="L159" s="2">
        <v>40209</v>
      </c>
      <c r="M159" s="2">
        <v>44374</v>
      </c>
      <c r="N159" s="2">
        <v>49619</v>
      </c>
      <c r="O159" s="2">
        <v>55513.07</v>
      </c>
      <c r="P159" s="2">
        <v>60843.63</v>
      </c>
      <c r="Q159" s="2">
        <v>66725.990000000005</v>
      </c>
      <c r="R159" s="2">
        <v>72149.69</v>
      </c>
      <c r="S159" s="2">
        <v>77984.86</v>
      </c>
      <c r="T159" s="2">
        <v>86897.600000000006</v>
      </c>
      <c r="U159" s="2">
        <v>90812.06</v>
      </c>
    </row>
    <row r="160" spans="1:21" x14ac:dyDescent="0.25">
      <c r="A160" t="s">
        <v>967</v>
      </c>
      <c r="O160">
        <v>11.64</v>
      </c>
      <c r="P160">
        <v>9.9499999999999993</v>
      </c>
      <c r="Q160">
        <v>9.69</v>
      </c>
      <c r="R160">
        <v>8.89</v>
      </c>
      <c r="S160">
        <v>8.34</v>
      </c>
      <c r="T160">
        <v>8.69</v>
      </c>
      <c r="U160">
        <v>8.35</v>
      </c>
    </row>
    <row r="161" spans="1:21" x14ac:dyDescent="0.25">
      <c r="A161" t="s">
        <v>17</v>
      </c>
    </row>
    <row r="162" spans="1:21" x14ac:dyDescent="0.25">
      <c r="A162" t="s">
        <v>79</v>
      </c>
    </row>
    <row r="163" spans="1:21" x14ac:dyDescent="0.25">
      <c r="A163" t="s">
        <v>80</v>
      </c>
      <c r="B163" s="2">
        <v>74452</v>
      </c>
      <c r="C163" s="2">
        <v>88988</v>
      </c>
      <c r="D163" s="2">
        <v>107006</v>
      </c>
      <c r="E163" s="2">
        <v>135987</v>
      </c>
      <c r="F163" s="2">
        <v>177866</v>
      </c>
      <c r="G163" s="2">
        <v>232887</v>
      </c>
      <c r="H163" s="2">
        <v>280522</v>
      </c>
      <c r="I163" s="2">
        <v>386064</v>
      </c>
      <c r="J163" s="2">
        <v>469822</v>
      </c>
      <c r="K163" s="2">
        <v>513983</v>
      </c>
      <c r="L163" s="2">
        <v>574785</v>
      </c>
      <c r="M163" s="2">
        <v>637959</v>
      </c>
      <c r="N163" s="2">
        <v>716924</v>
      </c>
      <c r="O163" s="2">
        <v>828499.2</v>
      </c>
      <c r="P163" s="2">
        <v>949387.66</v>
      </c>
      <c r="Q163" s="2">
        <v>1091071.2</v>
      </c>
      <c r="R163" s="2">
        <v>1195738.19</v>
      </c>
      <c r="S163" s="2">
        <v>1336243.24</v>
      </c>
      <c r="T163" s="2">
        <v>1557743.18</v>
      </c>
      <c r="U163" s="2">
        <v>1662887.57</v>
      </c>
    </row>
    <row r="164" spans="1:21" x14ac:dyDescent="0.25">
      <c r="A164" t="s">
        <v>17</v>
      </c>
    </row>
    <row r="165" spans="1:21" x14ac:dyDescent="0.25">
      <c r="A165" t="s">
        <v>82</v>
      </c>
      <c r="B165" s="2">
        <v>54181</v>
      </c>
      <c r="C165" s="2">
        <v>62752</v>
      </c>
      <c r="D165" s="2">
        <v>71651</v>
      </c>
      <c r="E165" s="2">
        <v>88265</v>
      </c>
      <c r="F165" s="2">
        <v>111934</v>
      </c>
      <c r="G165" s="2">
        <v>139156</v>
      </c>
      <c r="H165" s="2">
        <v>165536</v>
      </c>
      <c r="I165" s="2">
        <v>233307</v>
      </c>
      <c r="J165" s="2">
        <v>272344</v>
      </c>
      <c r="K165" s="2">
        <v>288831</v>
      </c>
      <c r="L165" s="2">
        <v>304739</v>
      </c>
      <c r="M165" s="2">
        <v>326288</v>
      </c>
      <c r="N165" s="2">
        <v>356414</v>
      </c>
      <c r="O165" s="2">
        <v>402210.61</v>
      </c>
      <c r="P165" s="2">
        <v>444547.41</v>
      </c>
      <c r="Q165" s="2">
        <v>490190.14</v>
      </c>
      <c r="R165" s="2">
        <v>528926.56000000006</v>
      </c>
      <c r="S165" s="2">
        <v>575385.85</v>
      </c>
      <c r="T165" s="2">
        <v>684009.79</v>
      </c>
      <c r="U165" s="2">
        <v>730322.85</v>
      </c>
    </row>
    <row r="166" spans="1:21" x14ac:dyDescent="0.25">
      <c r="A166" t="s">
        <v>83</v>
      </c>
      <c r="B166">
        <v>72.77</v>
      </c>
      <c r="C166">
        <v>70.52</v>
      </c>
      <c r="D166">
        <v>66.959999999999994</v>
      </c>
      <c r="E166">
        <v>64.91</v>
      </c>
      <c r="F166">
        <v>62.93</v>
      </c>
      <c r="G166">
        <v>59.75</v>
      </c>
      <c r="H166">
        <v>59.01</v>
      </c>
      <c r="I166">
        <v>60.43</v>
      </c>
      <c r="J166">
        <v>57.97</v>
      </c>
      <c r="K166">
        <v>56.19</v>
      </c>
      <c r="L166">
        <v>53.02</v>
      </c>
      <c r="M166">
        <v>51.15</v>
      </c>
      <c r="N166">
        <v>49.71</v>
      </c>
      <c r="O166">
        <v>48.41</v>
      </c>
      <c r="P166">
        <v>46.9</v>
      </c>
      <c r="Q166">
        <v>44.92</v>
      </c>
      <c r="R166">
        <v>44.05</v>
      </c>
      <c r="S166">
        <v>42.88</v>
      </c>
      <c r="T166">
        <v>42.3</v>
      </c>
      <c r="U166">
        <v>44.33</v>
      </c>
    </row>
    <row r="167" spans="1:21" x14ac:dyDescent="0.25">
      <c r="A167" t="s">
        <v>17</v>
      </c>
    </row>
    <row r="168" spans="1:21" x14ac:dyDescent="0.25">
      <c r="A168" t="s">
        <v>84</v>
      </c>
      <c r="B168" s="2">
        <v>20271</v>
      </c>
      <c r="C168" s="2">
        <v>26236</v>
      </c>
      <c r="D168" s="2">
        <v>35355</v>
      </c>
      <c r="E168" s="2">
        <v>47722</v>
      </c>
      <c r="F168" s="2">
        <v>65932</v>
      </c>
      <c r="G168" s="2">
        <v>93731</v>
      </c>
      <c r="H168" s="2">
        <v>114986</v>
      </c>
      <c r="I168" s="2">
        <v>152757</v>
      </c>
      <c r="J168" s="2">
        <v>197478</v>
      </c>
      <c r="K168" s="2">
        <v>225152</v>
      </c>
      <c r="L168" s="2">
        <v>270046</v>
      </c>
      <c r="M168" s="2">
        <v>311671</v>
      </c>
      <c r="N168" s="2">
        <v>360510</v>
      </c>
      <c r="O168" s="2">
        <v>426529.5</v>
      </c>
      <c r="P168" s="2">
        <v>502919.81</v>
      </c>
      <c r="Q168" s="2">
        <v>598855.03</v>
      </c>
      <c r="R168" s="2">
        <v>673232.58</v>
      </c>
      <c r="S168" s="2">
        <v>770975.75</v>
      </c>
      <c r="T168" s="2">
        <v>911031.75</v>
      </c>
      <c r="U168" s="2">
        <v>914499.79</v>
      </c>
    </row>
    <row r="169" spans="1:21" x14ac:dyDescent="0.25">
      <c r="A169" t="s">
        <v>85</v>
      </c>
      <c r="B169">
        <v>27.23</v>
      </c>
      <c r="C169">
        <v>29.48</v>
      </c>
      <c r="D169">
        <v>33.04</v>
      </c>
      <c r="E169">
        <v>35.090000000000003</v>
      </c>
      <c r="F169">
        <v>37.07</v>
      </c>
      <c r="G169">
        <v>40.25</v>
      </c>
      <c r="H169">
        <v>40.99</v>
      </c>
      <c r="I169">
        <v>39.57</v>
      </c>
      <c r="J169">
        <v>42.03</v>
      </c>
      <c r="K169">
        <v>43.81</v>
      </c>
      <c r="L169">
        <v>46.98</v>
      </c>
      <c r="M169">
        <v>48.85</v>
      </c>
      <c r="N169">
        <v>50.29</v>
      </c>
      <c r="O169">
        <v>51.48</v>
      </c>
      <c r="P169">
        <v>52.99</v>
      </c>
      <c r="Q169">
        <v>54.67</v>
      </c>
      <c r="R169">
        <v>55.75</v>
      </c>
      <c r="S169">
        <v>56.97</v>
      </c>
      <c r="T169">
        <v>57.45</v>
      </c>
      <c r="U169">
        <v>54.83</v>
      </c>
    </row>
    <row r="170" spans="1:21" x14ac:dyDescent="0.25">
      <c r="A170" t="s">
        <v>17</v>
      </c>
    </row>
    <row r="171" spans="1:21" x14ac:dyDescent="0.25">
      <c r="A171" t="s">
        <v>840</v>
      </c>
      <c r="B171" s="2">
        <v>73707</v>
      </c>
      <c r="C171" s="2">
        <v>88810</v>
      </c>
      <c r="D171" s="2">
        <v>104773</v>
      </c>
      <c r="E171" s="2">
        <v>131801</v>
      </c>
      <c r="F171" s="2">
        <v>173760</v>
      </c>
      <c r="G171" s="2">
        <v>220466</v>
      </c>
      <c r="H171" s="2">
        <v>265981</v>
      </c>
      <c r="I171" s="2">
        <v>363165</v>
      </c>
      <c r="J171" s="2">
        <v>444943</v>
      </c>
      <c r="K171" s="2">
        <v>501735</v>
      </c>
      <c r="L171" s="2">
        <v>537933</v>
      </c>
      <c r="M171" s="2">
        <v>569366</v>
      </c>
      <c r="N171" s="2">
        <v>636949</v>
      </c>
      <c r="O171" s="2">
        <v>719686.09</v>
      </c>
      <c r="P171" s="2">
        <v>813798.41</v>
      </c>
      <c r="Q171" s="2">
        <v>914275.64</v>
      </c>
      <c r="R171" s="2">
        <v>1025391.38</v>
      </c>
      <c r="S171" s="2">
        <v>1139365.04</v>
      </c>
      <c r="T171" s="2">
        <v>1268239.31</v>
      </c>
      <c r="U171" s="2">
        <v>1392257.3</v>
      </c>
    </row>
    <row r="172" spans="1:21" x14ac:dyDescent="0.25">
      <c r="A172" t="s">
        <v>83</v>
      </c>
      <c r="B172">
        <v>99</v>
      </c>
      <c r="C172">
        <v>99.8</v>
      </c>
      <c r="D172">
        <v>97.91</v>
      </c>
      <c r="E172">
        <v>96.92</v>
      </c>
      <c r="F172">
        <v>97.69</v>
      </c>
      <c r="G172">
        <v>94.67</v>
      </c>
      <c r="H172">
        <v>94.82</v>
      </c>
      <c r="I172">
        <v>94.07</v>
      </c>
      <c r="J172">
        <v>94.7</v>
      </c>
      <c r="K172">
        <v>97.62</v>
      </c>
      <c r="L172">
        <v>93.59</v>
      </c>
      <c r="M172">
        <v>89.25</v>
      </c>
      <c r="N172">
        <v>88.84</v>
      </c>
      <c r="O172">
        <v>88.91</v>
      </c>
      <c r="P172">
        <v>89.88</v>
      </c>
      <c r="Q172">
        <v>87.56</v>
      </c>
      <c r="R172">
        <v>84.56</v>
      </c>
      <c r="S172">
        <v>83.28</v>
      </c>
      <c r="T172">
        <v>83.6</v>
      </c>
    </row>
    <row r="173" spans="1:21" x14ac:dyDescent="0.25">
      <c r="A173" t="s">
        <v>985</v>
      </c>
      <c r="B173" s="2">
        <v>19526</v>
      </c>
      <c r="C173" s="2">
        <v>26058</v>
      </c>
      <c r="D173" s="2">
        <v>33122</v>
      </c>
      <c r="E173" s="2">
        <v>43536</v>
      </c>
      <c r="F173" s="2">
        <v>61826</v>
      </c>
      <c r="G173" s="2">
        <v>81310</v>
      </c>
      <c r="H173" s="2">
        <v>100445</v>
      </c>
      <c r="I173" s="2">
        <v>129858</v>
      </c>
      <c r="J173" s="2">
        <v>172599</v>
      </c>
      <c r="K173" s="2">
        <v>212904</v>
      </c>
      <c r="L173" s="2">
        <v>233194</v>
      </c>
      <c r="M173" s="2">
        <v>243078</v>
      </c>
      <c r="N173" s="2">
        <v>280535</v>
      </c>
      <c r="O173" s="2">
        <v>316839.18</v>
      </c>
      <c r="P173" s="2">
        <v>358900.27</v>
      </c>
      <c r="Q173" s="2">
        <v>405548.32</v>
      </c>
      <c r="R173" s="2">
        <v>446712.8</v>
      </c>
      <c r="S173" s="2">
        <v>495573.69</v>
      </c>
      <c r="T173" s="2">
        <v>525934.03</v>
      </c>
      <c r="U173" s="2">
        <v>485435.36</v>
      </c>
    </row>
    <row r="174" spans="1:21" x14ac:dyDescent="0.25">
      <c r="A174" t="s">
        <v>83</v>
      </c>
      <c r="B174">
        <v>26.23</v>
      </c>
      <c r="C174">
        <v>29.28</v>
      </c>
      <c r="D174">
        <v>30.95</v>
      </c>
      <c r="E174">
        <v>32.01</v>
      </c>
      <c r="F174">
        <v>34.76</v>
      </c>
      <c r="G174">
        <v>34.909999999999997</v>
      </c>
      <c r="H174">
        <v>35.81</v>
      </c>
      <c r="I174">
        <v>33.64</v>
      </c>
      <c r="J174">
        <v>36.74</v>
      </c>
      <c r="K174">
        <v>41.42</v>
      </c>
      <c r="L174">
        <v>40.57</v>
      </c>
      <c r="M174">
        <v>38.1</v>
      </c>
      <c r="N174">
        <v>39.130000000000003</v>
      </c>
      <c r="O174">
        <v>38.130000000000003</v>
      </c>
      <c r="P174">
        <v>37.549999999999997</v>
      </c>
      <c r="Q174">
        <v>36.83</v>
      </c>
      <c r="R174">
        <v>35.92</v>
      </c>
      <c r="S174">
        <v>35.44</v>
      </c>
      <c r="T174">
        <v>32.24</v>
      </c>
      <c r="U174">
        <v>31.28</v>
      </c>
    </row>
    <row r="175" spans="1:21" x14ac:dyDescent="0.25">
      <c r="A175" t="s">
        <v>986</v>
      </c>
      <c r="B175" s="2">
        <v>6565</v>
      </c>
      <c r="C175" s="2">
        <v>9275</v>
      </c>
      <c r="D175" s="2">
        <v>12540</v>
      </c>
      <c r="E175" s="2">
        <v>16085</v>
      </c>
      <c r="F175" s="2">
        <v>22620</v>
      </c>
      <c r="G175" s="2">
        <v>28837</v>
      </c>
      <c r="H175" s="2">
        <v>35931</v>
      </c>
      <c r="I175" s="2">
        <v>42740</v>
      </c>
      <c r="J175" s="2">
        <v>56052</v>
      </c>
      <c r="K175" s="2">
        <v>73213</v>
      </c>
      <c r="L175" s="2">
        <v>85622</v>
      </c>
      <c r="M175" s="2">
        <v>88544</v>
      </c>
      <c r="N175" s="2">
        <v>108521</v>
      </c>
      <c r="O175" s="2">
        <v>133642.54</v>
      </c>
      <c r="P175" s="2">
        <v>158508.69</v>
      </c>
      <c r="Q175" s="2">
        <v>187565.87</v>
      </c>
      <c r="R175" s="2">
        <v>207190.03</v>
      </c>
      <c r="S175" s="2">
        <v>236470.07</v>
      </c>
      <c r="T175" s="2">
        <v>263058.65999999997</v>
      </c>
      <c r="U175" s="2">
        <v>249327.63</v>
      </c>
    </row>
    <row r="176" spans="1:21" x14ac:dyDescent="0.25">
      <c r="A176" t="s">
        <v>61</v>
      </c>
      <c r="B176">
        <v>8.82</v>
      </c>
      <c r="C176">
        <v>10.42</v>
      </c>
      <c r="D176">
        <v>11.72</v>
      </c>
      <c r="E176">
        <v>11.83</v>
      </c>
      <c r="F176">
        <v>12.72</v>
      </c>
      <c r="G176">
        <v>12.38</v>
      </c>
      <c r="H176">
        <v>12.81</v>
      </c>
      <c r="I176">
        <v>11.07</v>
      </c>
      <c r="J176">
        <v>11.93</v>
      </c>
      <c r="K176">
        <v>14.24</v>
      </c>
      <c r="L176">
        <v>14.9</v>
      </c>
      <c r="M176">
        <v>13.88</v>
      </c>
      <c r="N176">
        <v>15.14</v>
      </c>
      <c r="O176">
        <v>16.260000000000002</v>
      </c>
      <c r="P176">
        <v>16.690000000000001</v>
      </c>
      <c r="Q176">
        <v>17.100000000000001</v>
      </c>
      <c r="R176">
        <v>17.350000000000001</v>
      </c>
      <c r="S176">
        <v>17.66</v>
      </c>
      <c r="T176">
        <v>17.059999999999999</v>
      </c>
      <c r="U176">
        <v>15.91</v>
      </c>
    </row>
    <row r="177" spans="1:21" x14ac:dyDescent="0.25">
      <c r="A177" t="s">
        <v>987</v>
      </c>
      <c r="I177" s="2">
        <v>11000</v>
      </c>
      <c r="J177" s="2">
        <v>13000</v>
      </c>
      <c r="K177" s="2">
        <v>16600</v>
      </c>
      <c r="L177" s="2">
        <v>18900</v>
      </c>
      <c r="M177" s="2">
        <v>20400</v>
      </c>
      <c r="N177" s="2">
        <v>22400</v>
      </c>
      <c r="O177" s="2">
        <v>26246.55</v>
      </c>
      <c r="P177" s="2">
        <v>29021.62</v>
      </c>
      <c r="Q177" s="2">
        <v>31964.13</v>
      </c>
      <c r="R177" s="2">
        <v>36360.35</v>
      </c>
      <c r="S177" s="2">
        <v>40391.83</v>
      </c>
      <c r="T177" s="2">
        <v>39587.24</v>
      </c>
      <c r="U177" s="2">
        <v>43344.43</v>
      </c>
    </row>
    <row r="178" spans="1:21" x14ac:dyDescent="0.25">
      <c r="A178" t="s">
        <v>988</v>
      </c>
      <c r="B178" s="2">
        <v>3133</v>
      </c>
      <c r="C178" s="2">
        <v>4332</v>
      </c>
      <c r="D178" s="2">
        <v>5254</v>
      </c>
      <c r="E178" s="2">
        <v>7233</v>
      </c>
      <c r="F178" s="2">
        <v>10069</v>
      </c>
      <c r="G178" s="2">
        <v>13814</v>
      </c>
      <c r="H178" s="2">
        <v>18878</v>
      </c>
      <c r="I178" s="2">
        <v>22008</v>
      </c>
      <c r="J178" s="2">
        <v>32551</v>
      </c>
      <c r="K178" s="2">
        <v>42238</v>
      </c>
      <c r="L178" s="2">
        <v>44370</v>
      </c>
      <c r="M178" s="2">
        <v>43907</v>
      </c>
      <c r="N178" s="2">
        <v>47129</v>
      </c>
      <c r="O178" s="2">
        <v>50166.55</v>
      </c>
      <c r="P178" s="2">
        <v>57206.12</v>
      </c>
      <c r="Q178" s="2">
        <v>61560.26</v>
      </c>
      <c r="R178" s="2">
        <v>66163.48</v>
      </c>
      <c r="S178" s="2">
        <v>71520.679999999993</v>
      </c>
      <c r="T178" s="2">
        <v>82837.210000000006</v>
      </c>
      <c r="U178" s="2">
        <v>94172.479999999996</v>
      </c>
    </row>
    <row r="179" spans="1:21" x14ac:dyDescent="0.25">
      <c r="A179" t="s">
        <v>989</v>
      </c>
      <c r="O179">
        <v>6.01</v>
      </c>
      <c r="P179">
        <v>6.03</v>
      </c>
      <c r="Q179">
        <v>5.7</v>
      </c>
      <c r="R179">
        <v>5.31</v>
      </c>
      <c r="S179">
        <v>5.15</v>
      </c>
      <c r="T179">
        <v>4.71</v>
      </c>
      <c r="U179">
        <v>4.9800000000000004</v>
      </c>
    </row>
    <row r="180" spans="1:21" x14ac:dyDescent="0.25">
      <c r="A180" t="s">
        <v>88</v>
      </c>
      <c r="B180" s="2">
        <v>1129</v>
      </c>
      <c r="C180" s="2">
        <v>1552</v>
      </c>
      <c r="D180" s="2">
        <v>1747</v>
      </c>
      <c r="E180" s="2">
        <v>2432</v>
      </c>
      <c r="F180" s="2">
        <v>3674</v>
      </c>
      <c r="G180" s="2">
        <v>4336</v>
      </c>
      <c r="H180" s="2">
        <v>5203</v>
      </c>
      <c r="I180" s="2">
        <v>6668</v>
      </c>
      <c r="J180" s="2">
        <v>8823</v>
      </c>
      <c r="K180" s="2">
        <v>11891</v>
      </c>
      <c r="L180" s="2">
        <v>11816</v>
      </c>
      <c r="M180" s="2">
        <v>11359</v>
      </c>
      <c r="N180" s="2">
        <v>11172</v>
      </c>
      <c r="O180" s="2">
        <v>11398.5</v>
      </c>
      <c r="P180" s="2">
        <v>12657.25</v>
      </c>
      <c r="Q180" s="2">
        <v>13333.44</v>
      </c>
      <c r="R180" s="2">
        <v>14493.01</v>
      </c>
      <c r="S180" s="2">
        <v>15230.54</v>
      </c>
      <c r="T180" s="2">
        <v>17341.61</v>
      </c>
      <c r="U180" s="2">
        <v>19904.830000000002</v>
      </c>
    </row>
    <row r="181" spans="1:21" x14ac:dyDescent="0.25">
      <c r="A181" t="s">
        <v>989</v>
      </c>
      <c r="O181">
        <v>1.4</v>
      </c>
      <c r="P181">
        <v>1.35</v>
      </c>
      <c r="Q181">
        <v>1.22</v>
      </c>
      <c r="R181">
        <v>1.04</v>
      </c>
      <c r="S181">
        <v>0.96</v>
      </c>
      <c r="T181">
        <v>0.88</v>
      </c>
    </row>
    <row r="182" spans="1:21" x14ac:dyDescent="0.25">
      <c r="A182" t="s">
        <v>990</v>
      </c>
      <c r="B182" s="2">
        <v>2400</v>
      </c>
      <c r="C182" s="2">
        <v>3300</v>
      </c>
      <c r="D182" s="2">
        <v>3800</v>
      </c>
      <c r="E182" s="2">
        <v>5000</v>
      </c>
      <c r="F182" s="2">
        <v>6300</v>
      </c>
      <c r="G182" s="2">
        <v>8200</v>
      </c>
      <c r="H182" s="2">
        <v>11000</v>
      </c>
      <c r="I182" s="2">
        <v>10900</v>
      </c>
      <c r="J182" s="2">
        <v>16900</v>
      </c>
      <c r="K182" s="2">
        <v>20600</v>
      </c>
      <c r="L182" s="2">
        <v>20300</v>
      </c>
      <c r="M182" s="2">
        <v>21400</v>
      </c>
      <c r="N182" s="2">
        <v>23500</v>
      </c>
      <c r="O182" s="2">
        <v>25571.64</v>
      </c>
      <c r="P182" s="2">
        <v>27313.200000000001</v>
      </c>
      <c r="Q182" s="2">
        <v>29534.18</v>
      </c>
      <c r="R182" s="2">
        <v>29320.75</v>
      </c>
      <c r="S182" s="2">
        <v>31762.04</v>
      </c>
      <c r="T182" s="2">
        <v>33913.07</v>
      </c>
      <c r="U182" s="2">
        <v>36059.79</v>
      </c>
    </row>
    <row r="183" spans="1:21" x14ac:dyDescent="0.25">
      <c r="A183" t="s">
        <v>991</v>
      </c>
      <c r="B183" s="2">
        <v>2500</v>
      </c>
      <c r="C183" s="2">
        <v>3616</v>
      </c>
      <c r="D183" s="2">
        <v>4949</v>
      </c>
      <c r="E183" s="2">
        <v>6362</v>
      </c>
      <c r="F183" s="2">
        <v>8831</v>
      </c>
      <c r="G183" s="2">
        <v>12138</v>
      </c>
      <c r="H183" s="2">
        <v>15150</v>
      </c>
      <c r="I183" s="2">
        <v>25180</v>
      </c>
      <c r="J183" s="2">
        <v>34433</v>
      </c>
      <c r="K183" s="2">
        <v>41921</v>
      </c>
      <c r="L183" s="2">
        <v>48663</v>
      </c>
      <c r="M183" s="2">
        <v>52795</v>
      </c>
      <c r="N183" s="2">
        <v>65756</v>
      </c>
      <c r="O183" s="2">
        <v>85611.39</v>
      </c>
      <c r="P183" s="2">
        <v>112702.96</v>
      </c>
      <c r="Q183" s="2">
        <v>143907.79</v>
      </c>
      <c r="R183" s="2">
        <v>161960.12</v>
      </c>
      <c r="S183" s="2">
        <v>185531.96</v>
      </c>
      <c r="T183" s="2">
        <v>231866.54</v>
      </c>
      <c r="U183" s="2">
        <v>205061.94</v>
      </c>
    </row>
    <row r="184" spans="1:21" x14ac:dyDescent="0.25">
      <c r="A184" t="s">
        <v>992</v>
      </c>
      <c r="B184" s="2">
        <v>8585</v>
      </c>
      <c r="C184" s="2">
        <v>10766</v>
      </c>
      <c r="D184" s="2">
        <v>13410</v>
      </c>
      <c r="E184" s="2">
        <v>17619</v>
      </c>
      <c r="F184" s="2">
        <v>25249</v>
      </c>
      <c r="G184" s="2">
        <v>34027</v>
      </c>
      <c r="H184" s="2">
        <v>40232</v>
      </c>
      <c r="I184" s="2">
        <v>58517</v>
      </c>
      <c r="J184" s="2">
        <v>75111</v>
      </c>
      <c r="K184" s="2">
        <v>84299</v>
      </c>
      <c r="L184" s="2">
        <v>90619</v>
      </c>
      <c r="M184" s="2">
        <v>98505</v>
      </c>
      <c r="N184" s="2">
        <v>109074</v>
      </c>
      <c r="O184" s="2">
        <v>122632.41</v>
      </c>
      <c r="P184" s="2">
        <v>138105.29</v>
      </c>
      <c r="Q184" s="2">
        <v>154754.68</v>
      </c>
      <c r="R184" s="2">
        <v>176141.86</v>
      </c>
      <c r="S184" s="2">
        <v>191392.06</v>
      </c>
      <c r="T184" s="2">
        <v>224521.61</v>
      </c>
      <c r="U184" s="2">
        <v>214011</v>
      </c>
    </row>
    <row r="185" spans="1:21" x14ac:dyDescent="0.25">
      <c r="A185" t="s">
        <v>993</v>
      </c>
      <c r="B185">
        <v>-114</v>
      </c>
      <c r="C185">
        <v>-133</v>
      </c>
      <c r="D185">
        <v>-171</v>
      </c>
      <c r="E185">
        <v>-167</v>
      </c>
      <c r="F185">
        <v>-214</v>
      </c>
      <c r="G185">
        <v>-296</v>
      </c>
      <c r="H185">
        <v>-201</v>
      </c>
      <c r="I185">
        <v>75</v>
      </c>
      <c r="J185">
        <v>-62</v>
      </c>
      <c r="K185" s="2">
        <v>-1263</v>
      </c>
      <c r="L185">
        <v>-767</v>
      </c>
      <c r="M185">
        <v>-763</v>
      </c>
      <c r="N185" s="2">
        <v>-4639</v>
      </c>
      <c r="O185" s="2">
        <v>-1150.98</v>
      </c>
      <c r="P185" s="2">
        <v>-1248.42</v>
      </c>
      <c r="Q185" s="2">
        <v>-1406.08</v>
      </c>
      <c r="R185" s="2">
        <v>-1576.09</v>
      </c>
      <c r="S185" s="2">
        <v>-1724.56</v>
      </c>
      <c r="T185" s="2">
        <v>-1664.15</v>
      </c>
      <c r="U185">
        <v>-780.67</v>
      </c>
    </row>
    <row r="186" spans="1:21" x14ac:dyDescent="0.25">
      <c r="A186" t="s">
        <v>17</v>
      </c>
    </row>
    <row r="187" spans="1:21" x14ac:dyDescent="0.25">
      <c r="A187" t="s">
        <v>91</v>
      </c>
      <c r="B187">
        <v>745</v>
      </c>
      <c r="C187">
        <v>178</v>
      </c>
      <c r="D187" s="2">
        <v>2233</v>
      </c>
      <c r="E187" s="2">
        <v>4186</v>
      </c>
      <c r="F187" s="2">
        <v>4106</v>
      </c>
      <c r="G187" s="2">
        <v>12421</v>
      </c>
      <c r="H187" s="2">
        <v>14541</v>
      </c>
      <c r="I187" s="2">
        <v>22899</v>
      </c>
      <c r="J187" s="2">
        <v>24879</v>
      </c>
      <c r="K187" s="2">
        <v>12248</v>
      </c>
      <c r="L187" s="2">
        <v>36852</v>
      </c>
      <c r="M187" s="2">
        <v>68593</v>
      </c>
      <c r="N187" s="2">
        <v>79975</v>
      </c>
      <c r="O187" s="2">
        <v>110486.58</v>
      </c>
      <c r="P187" s="2">
        <v>140828.98000000001</v>
      </c>
      <c r="Q187" s="2">
        <v>179192.76</v>
      </c>
      <c r="R187" s="2">
        <v>215720.28</v>
      </c>
      <c r="S187" s="2">
        <v>260504.56</v>
      </c>
      <c r="T187" s="2">
        <v>349643.2</v>
      </c>
      <c r="U187" s="2">
        <v>380816.83</v>
      </c>
    </row>
    <row r="188" spans="1:21" x14ac:dyDescent="0.25">
      <c r="A188" t="s">
        <v>92</v>
      </c>
      <c r="B188">
        <v>1</v>
      </c>
      <c r="C188">
        <v>0.2</v>
      </c>
      <c r="D188">
        <v>2.09</v>
      </c>
      <c r="E188">
        <v>3.08</v>
      </c>
      <c r="F188">
        <v>2.31</v>
      </c>
      <c r="G188">
        <v>5.33</v>
      </c>
      <c r="H188">
        <v>5.18</v>
      </c>
      <c r="I188">
        <v>5.93</v>
      </c>
      <c r="J188">
        <v>5.3</v>
      </c>
      <c r="K188">
        <v>2.38</v>
      </c>
      <c r="L188">
        <v>6.41</v>
      </c>
      <c r="M188">
        <v>10.75</v>
      </c>
      <c r="N188">
        <v>11.16</v>
      </c>
      <c r="O188">
        <v>13.21</v>
      </c>
      <c r="P188">
        <v>14.81</v>
      </c>
      <c r="Q188">
        <v>16.510000000000002</v>
      </c>
      <c r="R188">
        <v>18.16</v>
      </c>
      <c r="S188">
        <v>19.55</v>
      </c>
      <c r="T188">
        <v>21.92</v>
      </c>
      <c r="U188">
        <v>22</v>
      </c>
    </row>
    <row r="189" spans="1:21" x14ac:dyDescent="0.25">
      <c r="A189" t="s">
        <v>17</v>
      </c>
    </row>
    <row r="190" spans="1:21" x14ac:dyDescent="0.25">
      <c r="A190" t="s">
        <v>277</v>
      </c>
      <c r="O190" s="2">
        <v>204977.92000000001</v>
      </c>
      <c r="P190" s="2">
        <v>252380.67</v>
      </c>
      <c r="Q190" s="2">
        <v>331978.42</v>
      </c>
      <c r="R190" s="2">
        <v>313774.98</v>
      </c>
      <c r="S190" s="2">
        <v>360373.4</v>
      </c>
      <c r="T190" s="2">
        <v>365782.06</v>
      </c>
      <c r="U190" s="2">
        <v>278619.49</v>
      </c>
    </row>
    <row r="191" spans="1:21" x14ac:dyDescent="0.25">
      <c r="A191" t="s">
        <v>17</v>
      </c>
    </row>
    <row r="192" spans="1:21" x14ac:dyDescent="0.25">
      <c r="A192" t="s">
        <v>994</v>
      </c>
      <c r="B192">
        <v>239</v>
      </c>
      <c r="C192">
        <v>289</v>
      </c>
      <c r="D192">
        <v>665</v>
      </c>
      <c r="E192">
        <v>294</v>
      </c>
      <c r="F192">
        <v>300</v>
      </c>
      <c r="G192" s="2">
        <v>1160</v>
      </c>
      <c r="H192">
        <v>565</v>
      </c>
      <c r="I192" s="2">
        <v>-1279</v>
      </c>
      <c r="J192" s="2">
        <v>-13272</v>
      </c>
      <c r="K192" s="2">
        <v>18184</v>
      </c>
      <c r="L192">
        <v>-705</v>
      </c>
      <c r="M192">
        <v>-21</v>
      </c>
      <c r="N192" s="2">
        <v>-17336</v>
      </c>
      <c r="O192" s="2">
        <v>-71911.22</v>
      </c>
      <c r="P192" s="2">
        <v>-3001.11</v>
      </c>
      <c r="Q192" s="2">
        <v>-1001.78</v>
      </c>
      <c r="R192" s="2">
        <v>-2732.23</v>
      </c>
      <c r="S192" s="2">
        <v>-5583.31</v>
      </c>
      <c r="T192" s="2">
        <v>-11649.46</v>
      </c>
      <c r="U192" s="2">
        <v>-27264.01</v>
      </c>
    </row>
    <row r="193" spans="1:21" x14ac:dyDescent="0.25">
      <c r="A193" t="s">
        <v>995</v>
      </c>
      <c r="B193">
        <v>103</v>
      </c>
      <c r="C193">
        <v>171</v>
      </c>
      <c r="D193">
        <v>409</v>
      </c>
      <c r="E193">
        <v>384</v>
      </c>
      <c r="F193">
        <v>646</v>
      </c>
      <c r="G193">
        <v>977</v>
      </c>
      <c r="H193">
        <v>768</v>
      </c>
      <c r="I193" s="2">
        <v>1092</v>
      </c>
      <c r="J193" s="2">
        <v>1361</v>
      </c>
      <c r="K193" s="2">
        <v>1378</v>
      </c>
      <c r="L193">
        <v>233</v>
      </c>
      <c r="M193" s="2">
        <v>-2271</v>
      </c>
      <c r="N193" s="2">
        <v>-2107</v>
      </c>
      <c r="O193">
        <v>-239.73</v>
      </c>
      <c r="P193">
        <v>751.73</v>
      </c>
      <c r="Q193" s="2">
        <v>1930.57</v>
      </c>
      <c r="R193" s="2">
        <v>2965.93</v>
      </c>
      <c r="S193" s="2">
        <v>2405.2399999999998</v>
      </c>
      <c r="T193" s="2">
        <v>-2054.7800000000002</v>
      </c>
      <c r="U193" s="2">
        <v>-5346.62</v>
      </c>
    </row>
    <row r="194" spans="1:21" x14ac:dyDescent="0.25">
      <c r="A194" t="s">
        <v>290</v>
      </c>
      <c r="B194">
        <v>38</v>
      </c>
      <c r="C194">
        <v>39</v>
      </c>
      <c r="D194">
        <v>50</v>
      </c>
      <c r="E194">
        <v>100</v>
      </c>
      <c r="F194">
        <v>202</v>
      </c>
      <c r="G194">
        <v>440</v>
      </c>
      <c r="H194">
        <v>832</v>
      </c>
      <c r="I194">
        <v>555</v>
      </c>
      <c r="J194">
        <v>448</v>
      </c>
      <c r="K194">
        <v>989</v>
      </c>
      <c r="L194" s="2">
        <v>2949</v>
      </c>
      <c r="M194" s="2">
        <v>4677</v>
      </c>
      <c r="N194" s="2">
        <v>4381</v>
      </c>
      <c r="O194" s="2">
        <v>4744.1400000000003</v>
      </c>
      <c r="P194" s="2">
        <v>4797.72</v>
      </c>
      <c r="Q194" s="2">
        <v>5222.76</v>
      </c>
      <c r="R194" s="2">
        <v>5546.91</v>
      </c>
      <c r="S194" s="2">
        <v>8201</v>
      </c>
      <c r="T194" s="2">
        <v>15774.06</v>
      </c>
      <c r="U194" s="2">
        <v>33858.35</v>
      </c>
    </row>
    <row r="195" spans="1:21" x14ac:dyDescent="0.25">
      <c r="A195" t="s">
        <v>289</v>
      </c>
      <c r="B195">
        <v>141</v>
      </c>
      <c r="C195">
        <v>210</v>
      </c>
      <c r="D195">
        <v>459</v>
      </c>
      <c r="E195">
        <v>484</v>
      </c>
      <c r="F195">
        <v>848</v>
      </c>
      <c r="G195" s="2">
        <v>1417</v>
      </c>
      <c r="H195" s="2">
        <v>1600</v>
      </c>
      <c r="I195" s="2">
        <v>1647</v>
      </c>
      <c r="J195" s="2">
        <v>1809</v>
      </c>
      <c r="K195" s="2">
        <v>2367</v>
      </c>
      <c r="L195" s="2">
        <v>3182</v>
      </c>
      <c r="M195" s="2">
        <v>2406</v>
      </c>
      <c r="N195" s="2">
        <v>2274</v>
      </c>
      <c r="O195" s="2">
        <v>4569.67</v>
      </c>
      <c r="P195" s="2">
        <v>5551.91</v>
      </c>
      <c r="Q195" s="2">
        <v>5687.23</v>
      </c>
      <c r="R195" s="2">
        <v>5728.63</v>
      </c>
      <c r="S195" s="2">
        <v>5603.35</v>
      </c>
      <c r="T195" s="2">
        <v>5440.12</v>
      </c>
      <c r="U195" s="2">
        <v>3719.65</v>
      </c>
    </row>
    <row r="196" spans="1:21" x14ac:dyDescent="0.25">
      <c r="A196" t="s">
        <v>996</v>
      </c>
      <c r="B196">
        <v>136</v>
      </c>
      <c r="C196">
        <v>118</v>
      </c>
      <c r="D196">
        <v>256</v>
      </c>
      <c r="E196">
        <v>-90</v>
      </c>
      <c r="F196">
        <v>-346</v>
      </c>
      <c r="G196">
        <v>183</v>
      </c>
      <c r="H196">
        <v>-203</v>
      </c>
      <c r="I196" s="2">
        <v>-2371</v>
      </c>
      <c r="J196" s="2">
        <v>-14633</v>
      </c>
      <c r="K196" s="2">
        <v>16806</v>
      </c>
      <c r="L196">
        <v>-938</v>
      </c>
      <c r="M196" s="2">
        <v>2250</v>
      </c>
      <c r="N196" s="2">
        <v>-15229</v>
      </c>
      <c r="O196" s="2">
        <v>-66624.09</v>
      </c>
      <c r="P196" s="2">
        <v>-6004.46</v>
      </c>
      <c r="Q196" s="2">
        <v>-6534.22</v>
      </c>
      <c r="R196" s="2">
        <v>-6105.24</v>
      </c>
      <c r="S196" s="2">
        <v>-6247.06</v>
      </c>
      <c r="T196" s="2">
        <v>-6769</v>
      </c>
      <c r="U196" s="2">
        <v>-9653.5</v>
      </c>
    </row>
    <row r="197" spans="1:21" x14ac:dyDescent="0.25">
      <c r="A197" t="s">
        <v>17</v>
      </c>
    </row>
    <row r="198" spans="1:21" x14ac:dyDescent="0.25">
      <c r="A198" t="s">
        <v>100</v>
      </c>
      <c r="B198" s="2">
        <v>1754</v>
      </c>
      <c r="C198">
        <v>-111</v>
      </c>
      <c r="D198" s="2">
        <v>1568</v>
      </c>
      <c r="E198" s="2">
        <v>3892</v>
      </c>
      <c r="F198" s="2">
        <v>3806</v>
      </c>
      <c r="G198" s="2">
        <v>11261</v>
      </c>
      <c r="H198" s="2">
        <v>13976</v>
      </c>
      <c r="I198" s="2">
        <v>24178</v>
      </c>
      <c r="J198" s="2">
        <v>26351</v>
      </c>
      <c r="K198" s="2">
        <v>6764</v>
      </c>
      <c r="L198" s="2">
        <v>36925</v>
      </c>
      <c r="M198" s="2">
        <v>68614</v>
      </c>
      <c r="N198" s="2">
        <v>97311</v>
      </c>
      <c r="O198" s="2">
        <v>179226.7</v>
      </c>
      <c r="P198" s="2">
        <v>145751.74</v>
      </c>
      <c r="Q198" s="2">
        <v>185883.75</v>
      </c>
      <c r="R198" s="2">
        <v>223626.6</v>
      </c>
      <c r="S198" s="2">
        <v>275848.78999999998</v>
      </c>
      <c r="T198" s="2">
        <v>365432.78</v>
      </c>
      <c r="U198" s="2">
        <v>412828.4</v>
      </c>
    </row>
    <row r="199" spans="1:21" x14ac:dyDescent="0.25">
      <c r="A199" t="s">
        <v>588</v>
      </c>
      <c r="B199">
        <v>0.68</v>
      </c>
      <c r="C199">
        <v>-0.12</v>
      </c>
      <c r="D199">
        <v>1.47</v>
      </c>
      <c r="E199">
        <v>2.86</v>
      </c>
      <c r="F199">
        <v>2.14</v>
      </c>
      <c r="G199">
        <v>4.84</v>
      </c>
      <c r="H199">
        <v>4.9800000000000004</v>
      </c>
      <c r="I199">
        <v>6.26</v>
      </c>
      <c r="J199">
        <v>8.1199999999999992</v>
      </c>
      <c r="K199">
        <v>-1.1499999999999999</v>
      </c>
      <c r="L199">
        <v>6.53</v>
      </c>
      <c r="M199">
        <v>10.76</v>
      </c>
      <c r="N199">
        <v>13.57</v>
      </c>
      <c r="O199">
        <v>19.600000000000001</v>
      </c>
      <c r="P199">
        <v>14.8</v>
      </c>
      <c r="Q199">
        <v>17.14</v>
      </c>
      <c r="R199">
        <v>19.61</v>
      </c>
      <c r="S199">
        <v>21.84</v>
      </c>
      <c r="T199">
        <v>25.94</v>
      </c>
      <c r="U199">
        <v>26.26</v>
      </c>
    </row>
    <row r="200" spans="1:21" x14ac:dyDescent="0.25">
      <c r="A200" t="s">
        <v>17</v>
      </c>
    </row>
    <row r="201" spans="1:21" x14ac:dyDescent="0.25">
      <c r="A201" t="s">
        <v>101</v>
      </c>
      <c r="B201">
        <v>161</v>
      </c>
      <c r="C201">
        <v>167</v>
      </c>
      <c r="D201">
        <v>950</v>
      </c>
      <c r="E201" s="2">
        <v>1425</v>
      </c>
      <c r="F201">
        <v>769</v>
      </c>
      <c r="G201" s="2">
        <v>1197</v>
      </c>
      <c r="H201" s="2">
        <v>2374</v>
      </c>
      <c r="I201" s="2">
        <v>2863</v>
      </c>
      <c r="J201" s="2">
        <v>4791</v>
      </c>
      <c r="K201" s="2">
        <v>-3217</v>
      </c>
      <c r="L201" s="2">
        <v>7120</v>
      </c>
      <c r="M201" s="2">
        <v>9265</v>
      </c>
      <c r="N201" s="2">
        <v>19087</v>
      </c>
      <c r="O201" s="2">
        <v>38645.1</v>
      </c>
      <c r="P201" s="2">
        <v>27264.1</v>
      </c>
      <c r="Q201" s="2">
        <v>35493.980000000003</v>
      </c>
      <c r="R201" s="2">
        <v>43596.39</v>
      </c>
      <c r="S201" s="2">
        <v>53983.15</v>
      </c>
      <c r="T201" s="2">
        <v>68084.929999999993</v>
      </c>
      <c r="U201" s="2">
        <v>75122.960000000006</v>
      </c>
    </row>
    <row r="202" spans="1:21" x14ac:dyDescent="0.25">
      <c r="A202" t="s">
        <v>102</v>
      </c>
      <c r="B202">
        <v>31.82</v>
      </c>
      <c r="D202">
        <v>60.59</v>
      </c>
      <c r="E202">
        <v>36.61</v>
      </c>
      <c r="F202">
        <v>20.2</v>
      </c>
      <c r="G202">
        <v>10.63</v>
      </c>
      <c r="H202">
        <v>16.989999999999998</v>
      </c>
      <c r="I202">
        <v>11.84</v>
      </c>
      <c r="J202">
        <v>12.56</v>
      </c>
      <c r="L202">
        <v>18.96</v>
      </c>
      <c r="M202">
        <v>13.5</v>
      </c>
      <c r="N202">
        <v>19.61</v>
      </c>
      <c r="O202">
        <v>21.66</v>
      </c>
      <c r="P202">
        <v>19.07</v>
      </c>
      <c r="Q202">
        <v>19.12</v>
      </c>
      <c r="R202">
        <v>19.72</v>
      </c>
      <c r="S202">
        <v>19.72</v>
      </c>
      <c r="T202">
        <v>19.34</v>
      </c>
      <c r="U202">
        <v>19.52</v>
      </c>
    </row>
    <row r="203" spans="1:21" x14ac:dyDescent="0.25">
      <c r="A203" t="s">
        <v>17</v>
      </c>
    </row>
    <row r="204" spans="1:21" x14ac:dyDescent="0.25">
      <c r="A204" t="s">
        <v>997</v>
      </c>
      <c r="B204">
        <v>71</v>
      </c>
      <c r="C204">
        <v>-37</v>
      </c>
      <c r="D204">
        <v>22</v>
      </c>
      <c r="E204">
        <v>96</v>
      </c>
      <c r="F204">
        <v>4</v>
      </c>
      <c r="G204">
        <v>-9</v>
      </c>
      <c r="H204">
        <v>14</v>
      </c>
      <c r="I204">
        <v>-16</v>
      </c>
      <c r="J204">
        <v>-4</v>
      </c>
      <c r="K204">
        <v>3</v>
      </c>
      <c r="L204">
        <v>12</v>
      </c>
      <c r="M204">
        <v>101</v>
      </c>
      <c r="N204">
        <v>554</v>
      </c>
      <c r="O204">
        <v>97.94</v>
      </c>
      <c r="P204">
        <v>196.03</v>
      </c>
      <c r="Q204">
        <v>415.63</v>
      </c>
      <c r="R204">
        <v>338.09</v>
      </c>
      <c r="S204">
        <v>460.37</v>
      </c>
      <c r="T204">
        <v>731.11</v>
      </c>
      <c r="U204">
        <v>570</v>
      </c>
    </row>
    <row r="205" spans="1:21" x14ac:dyDescent="0.25">
      <c r="A205" t="s">
        <v>106</v>
      </c>
      <c r="B205">
        <v>274</v>
      </c>
      <c r="C205">
        <v>-241</v>
      </c>
      <c r="D205">
        <v>596</v>
      </c>
      <c r="E205" s="2">
        <v>2371</v>
      </c>
      <c r="F205" s="2">
        <v>2244</v>
      </c>
      <c r="G205" s="2">
        <v>10073</v>
      </c>
      <c r="H205" s="2">
        <v>11588</v>
      </c>
      <c r="I205" s="2">
        <v>21331</v>
      </c>
      <c r="J205" s="2">
        <v>24042</v>
      </c>
      <c r="K205" s="2">
        <v>7311</v>
      </c>
      <c r="L205" s="2">
        <v>29793</v>
      </c>
      <c r="M205" s="2">
        <v>59248</v>
      </c>
      <c r="N205" s="2">
        <v>77670</v>
      </c>
      <c r="O205" s="2">
        <v>137723.75</v>
      </c>
      <c r="P205" s="2">
        <v>118207</v>
      </c>
      <c r="Q205" s="2">
        <v>151555.47</v>
      </c>
      <c r="R205" s="2">
        <v>175183.3</v>
      </c>
      <c r="S205" s="2">
        <v>214140.16</v>
      </c>
      <c r="T205" s="2">
        <v>287229.55</v>
      </c>
      <c r="U205" s="2">
        <v>322584</v>
      </c>
    </row>
    <row r="206" spans="1:21" x14ac:dyDescent="0.25">
      <c r="A206" t="s">
        <v>280</v>
      </c>
      <c r="B206">
        <v>0.37</v>
      </c>
      <c r="C206">
        <v>-0.27</v>
      </c>
      <c r="D206">
        <v>0.56000000000000005</v>
      </c>
      <c r="E206">
        <v>1.74</v>
      </c>
      <c r="F206">
        <v>1.71</v>
      </c>
      <c r="G206">
        <v>4.33</v>
      </c>
      <c r="H206">
        <v>4.13</v>
      </c>
      <c r="I206">
        <v>5.53</v>
      </c>
      <c r="J206">
        <v>7.1</v>
      </c>
      <c r="K206">
        <v>-0.53</v>
      </c>
      <c r="L206">
        <v>5.29</v>
      </c>
      <c r="M206">
        <v>9.2899999999999991</v>
      </c>
      <c r="N206">
        <v>10.83</v>
      </c>
      <c r="O206">
        <v>16.84</v>
      </c>
      <c r="P206">
        <v>12.53</v>
      </c>
      <c r="Q206">
        <v>14.05</v>
      </c>
      <c r="R206">
        <v>14.58</v>
      </c>
      <c r="S206">
        <v>15.79</v>
      </c>
      <c r="T206">
        <v>19.91</v>
      </c>
      <c r="U206">
        <v>20.49</v>
      </c>
    </row>
    <row r="207" spans="1:21" x14ac:dyDescent="0.25">
      <c r="A207" t="s">
        <v>17</v>
      </c>
    </row>
    <row r="208" spans="1:21" x14ac:dyDescent="0.25">
      <c r="A208" t="s">
        <v>108</v>
      </c>
      <c r="B208" s="2">
        <v>9140</v>
      </c>
      <c r="C208" s="2">
        <v>9240</v>
      </c>
      <c r="D208" s="2">
        <v>9340</v>
      </c>
      <c r="E208" s="2">
        <v>9480</v>
      </c>
      <c r="F208" s="2">
        <v>9600</v>
      </c>
      <c r="G208" s="2">
        <v>9740</v>
      </c>
      <c r="H208" s="2">
        <v>9880</v>
      </c>
      <c r="I208" s="2">
        <v>10000</v>
      </c>
      <c r="J208" s="2">
        <v>10120</v>
      </c>
      <c r="K208" s="2">
        <v>10189</v>
      </c>
      <c r="L208" s="2">
        <v>10304</v>
      </c>
      <c r="M208" s="2">
        <v>10473</v>
      </c>
      <c r="N208" s="2">
        <v>10656</v>
      </c>
      <c r="O208" s="2">
        <v>10853.4</v>
      </c>
      <c r="P208" s="2">
        <v>10949.06</v>
      </c>
      <c r="Q208" s="2">
        <v>11039.97</v>
      </c>
      <c r="R208" s="2">
        <v>11159.49</v>
      </c>
      <c r="S208" s="2">
        <v>11265.49</v>
      </c>
      <c r="T208" s="2">
        <v>11246.26</v>
      </c>
      <c r="U208" s="2">
        <v>11506.44</v>
      </c>
    </row>
    <row r="209" spans="1:21" x14ac:dyDescent="0.25">
      <c r="A209" t="s">
        <v>888</v>
      </c>
      <c r="B209">
        <v>0.03</v>
      </c>
      <c r="C209">
        <v>-0.03</v>
      </c>
      <c r="D209">
        <v>0.06</v>
      </c>
      <c r="E209">
        <v>0.25</v>
      </c>
      <c r="F209">
        <v>0.32</v>
      </c>
      <c r="G209">
        <v>1.03</v>
      </c>
      <c r="H209">
        <v>1.17</v>
      </c>
      <c r="I209">
        <v>2.13</v>
      </c>
      <c r="J209">
        <v>3.3</v>
      </c>
      <c r="K209">
        <v>-0.27</v>
      </c>
      <c r="L209">
        <v>2.95</v>
      </c>
      <c r="M209">
        <v>5.66</v>
      </c>
      <c r="N209">
        <v>7.29</v>
      </c>
      <c r="O209">
        <v>12.93</v>
      </c>
      <c r="P209">
        <v>11.28</v>
      </c>
      <c r="Q209">
        <v>14.34</v>
      </c>
      <c r="R209">
        <v>17.23</v>
      </c>
      <c r="S209">
        <v>21.83</v>
      </c>
      <c r="T209">
        <v>27.53</v>
      </c>
      <c r="U209">
        <v>32.58</v>
      </c>
    </row>
    <row r="210" spans="1:21" x14ac:dyDescent="0.25">
      <c r="A210" t="s">
        <v>17</v>
      </c>
    </row>
    <row r="211" spans="1:21" x14ac:dyDescent="0.25">
      <c r="A211" t="s">
        <v>109</v>
      </c>
      <c r="B211" s="2">
        <v>9300</v>
      </c>
      <c r="C211" s="2">
        <v>9240</v>
      </c>
      <c r="D211" s="2">
        <v>9540</v>
      </c>
      <c r="E211" s="2">
        <v>9680</v>
      </c>
      <c r="F211" s="2">
        <v>9860</v>
      </c>
      <c r="G211" s="2">
        <v>10000</v>
      </c>
      <c r="H211" s="2">
        <v>10080</v>
      </c>
      <c r="I211" s="2">
        <v>10200</v>
      </c>
      <c r="J211" s="2">
        <v>10300</v>
      </c>
      <c r="K211" s="2">
        <v>10189</v>
      </c>
      <c r="L211" s="2">
        <v>10492</v>
      </c>
      <c r="M211" s="2">
        <v>10721</v>
      </c>
      <c r="N211" s="2">
        <v>10827</v>
      </c>
      <c r="O211" s="2">
        <v>10887.92</v>
      </c>
      <c r="P211" s="2">
        <v>10992.03</v>
      </c>
      <c r="Q211" s="2">
        <v>11079.91</v>
      </c>
      <c r="R211" s="2">
        <v>11160.74</v>
      </c>
      <c r="S211" s="2">
        <v>11265.4</v>
      </c>
      <c r="T211" s="2">
        <v>11189.76</v>
      </c>
      <c r="U211" s="2">
        <v>11280.36</v>
      </c>
    </row>
    <row r="212" spans="1:21" x14ac:dyDescent="0.25">
      <c r="A212" t="s">
        <v>110</v>
      </c>
      <c r="B212">
        <v>0.03</v>
      </c>
      <c r="C212">
        <v>-0.03</v>
      </c>
      <c r="D212">
        <v>0.06</v>
      </c>
      <c r="E212">
        <v>0.25</v>
      </c>
      <c r="F212">
        <v>0.23</v>
      </c>
      <c r="G212">
        <v>1.01</v>
      </c>
      <c r="H212">
        <v>1.1499999999999999</v>
      </c>
      <c r="I212">
        <v>2.09</v>
      </c>
      <c r="J212">
        <v>2.33</v>
      </c>
      <c r="K212">
        <v>0.72</v>
      </c>
      <c r="L212">
        <v>2.84</v>
      </c>
      <c r="M212">
        <v>5.53</v>
      </c>
      <c r="N212">
        <v>7.17</v>
      </c>
      <c r="O212">
        <v>12.8</v>
      </c>
      <c r="P212">
        <v>10.75</v>
      </c>
      <c r="Q212">
        <v>14.04</v>
      </c>
      <c r="R212">
        <v>16.05</v>
      </c>
      <c r="S212">
        <v>19.62</v>
      </c>
      <c r="T212">
        <v>26.4</v>
      </c>
      <c r="U212">
        <v>29.64</v>
      </c>
    </row>
    <row r="213" spans="1:21" x14ac:dyDescent="0.25">
      <c r="A213" t="s">
        <v>17</v>
      </c>
    </row>
    <row r="214" spans="1:21" x14ac:dyDescent="0.25">
      <c r="A214" t="s">
        <v>487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1" x14ac:dyDescent="0.25">
      <c r="A215" t="s">
        <v>17</v>
      </c>
    </row>
    <row r="216" spans="1:21" x14ac:dyDescent="0.25">
      <c r="A216" t="s">
        <v>111</v>
      </c>
    </row>
    <row r="217" spans="1:21" x14ac:dyDescent="0.25">
      <c r="A217" t="s">
        <v>62</v>
      </c>
      <c r="O217" s="2">
        <v>400914.97</v>
      </c>
      <c r="P217" s="2">
        <v>442562.51</v>
      </c>
      <c r="Q217" s="2">
        <v>483329.79</v>
      </c>
      <c r="R217" s="2">
        <v>521871.52</v>
      </c>
      <c r="S217" s="2">
        <v>564357.30000000005</v>
      </c>
      <c r="T217" s="2">
        <v>618046.18999999994</v>
      </c>
      <c r="U217" s="2">
        <v>652634.49</v>
      </c>
    </row>
    <row r="218" spans="1:21" x14ac:dyDescent="0.25">
      <c r="A218" t="s">
        <v>63</v>
      </c>
    </row>
    <row r="219" spans="1:21" x14ac:dyDescent="0.25">
      <c r="A219" t="s">
        <v>64</v>
      </c>
      <c r="B219">
        <v>27.23</v>
      </c>
      <c r="C219">
        <v>29.48</v>
      </c>
      <c r="D219">
        <v>33.04</v>
      </c>
      <c r="E219">
        <v>35.090000000000003</v>
      </c>
      <c r="F219">
        <v>37.07</v>
      </c>
      <c r="G219">
        <v>40.25</v>
      </c>
      <c r="H219">
        <v>40.99</v>
      </c>
      <c r="I219">
        <v>39.57</v>
      </c>
      <c r="J219">
        <v>42.03</v>
      </c>
      <c r="K219">
        <v>43.81</v>
      </c>
      <c r="L219">
        <v>46.98</v>
      </c>
      <c r="M219">
        <v>48.85</v>
      </c>
      <c r="N219">
        <v>50.29</v>
      </c>
      <c r="O219">
        <v>51.48</v>
      </c>
      <c r="P219">
        <v>52.99</v>
      </c>
      <c r="Q219">
        <v>54.67</v>
      </c>
      <c r="R219">
        <v>55.75</v>
      </c>
      <c r="S219">
        <v>56.97</v>
      </c>
      <c r="T219">
        <v>57.45</v>
      </c>
      <c r="U219">
        <v>54.83</v>
      </c>
    </row>
    <row r="220" spans="1:21" x14ac:dyDescent="0.25">
      <c r="A220" t="s">
        <v>283</v>
      </c>
      <c r="O220" s="2">
        <v>294226.28000000003</v>
      </c>
      <c r="P220" s="2">
        <v>332239.27</v>
      </c>
      <c r="Q220" s="2">
        <v>404585.7</v>
      </c>
      <c r="R220" s="2">
        <v>411523.13</v>
      </c>
      <c r="S220" s="2">
        <v>455903.01</v>
      </c>
      <c r="T220" s="2">
        <v>503199.85</v>
      </c>
      <c r="U220" s="2">
        <v>396613.79</v>
      </c>
    </row>
    <row r="221" spans="1:21" x14ac:dyDescent="0.25">
      <c r="A221" t="s">
        <v>998</v>
      </c>
      <c r="O221" s="2">
        <v>117850.83</v>
      </c>
      <c r="P221" s="2">
        <v>145501.17000000001</v>
      </c>
      <c r="Q221" s="2">
        <v>175140.16</v>
      </c>
      <c r="R221" s="2">
        <v>199096.48</v>
      </c>
      <c r="S221" s="2">
        <v>233881.62</v>
      </c>
      <c r="T221" s="2">
        <v>266046.67</v>
      </c>
      <c r="U221" s="2">
        <v>196763.58</v>
      </c>
    </row>
    <row r="222" spans="1:21" x14ac:dyDescent="0.25">
      <c r="A222" t="s">
        <v>989</v>
      </c>
      <c r="O222">
        <v>16.850000000000001</v>
      </c>
      <c r="P222">
        <v>16.170000000000002</v>
      </c>
      <c r="Q222">
        <v>16.09</v>
      </c>
      <c r="R222">
        <v>14.7</v>
      </c>
      <c r="S222">
        <v>15.05</v>
      </c>
      <c r="T222">
        <v>12.5</v>
      </c>
      <c r="U222">
        <v>12.5</v>
      </c>
    </row>
    <row r="223" spans="1:21" x14ac:dyDescent="0.25">
      <c r="A223" t="s">
        <v>999</v>
      </c>
      <c r="E223" s="2">
        <v>6910</v>
      </c>
      <c r="F223" s="2">
        <v>10069</v>
      </c>
      <c r="G223" s="2">
        <v>13045</v>
      </c>
      <c r="H223" s="2">
        <v>17743</v>
      </c>
      <c r="I223" s="2">
        <v>20298</v>
      </c>
      <c r="J223" s="2">
        <v>30021</v>
      </c>
      <c r="K223" s="2">
        <v>38363</v>
      </c>
      <c r="L223" s="2">
        <v>39747</v>
      </c>
      <c r="M223" s="2">
        <v>39823</v>
      </c>
      <c r="N223" s="2">
        <v>43684</v>
      </c>
      <c r="O223" s="2">
        <v>44855.56</v>
      </c>
      <c r="P223" s="2">
        <v>51748.26</v>
      </c>
      <c r="Q223" s="2">
        <v>55618.57</v>
      </c>
      <c r="R223" s="2">
        <v>60062.15</v>
      </c>
      <c r="S223" s="2">
        <v>65299.27</v>
      </c>
      <c r="T223" s="2">
        <v>72828.89</v>
      </c>
      <c r="U223" s="2">
        <v>76707.27</v>
      </c>
    </row>
    <row r="224" spans="1:21" x14ac:dyDescent="0.25">
      <c r="A224" t="s">
        <v>88</v>
      </c>
      <c r="O224" s="2">
        <v>9476.2900000000009</v>
      </c>
      <c r="P224" s="2">
        <v>10431.19</v>
      </c>
      <c r="Q224" s="2">
        <v>10877.05</v>
      </c>
      <c r="R224" s="2">
        <v>11488.97</v>
      </c>
      <c r="S224" s="2">
        <v>12102.77</v>
      </c>
      <c r="T224" s="2">
        <v>12687.9</v>
      </c>
      <c r="U224" s="2">
        <v>9056.9599999999991</v>
      </c>
    </row>
    <row r="225" spans="1:21" x14ac:dyDescent="0.25">
      <c r="A225" t="s">
        <v>1000</v>
      </c>
      <c r="E225" s="2">
        <v>16962</v>
      </c>
      <c r="F225" s="2">
        <v>25249</v>
      </c>
      <c r="G225" s="2">
        <v>32906</v>
      </c>
      <c r="H225" s="2">
        <v>39050</v>
      </c>
      <c r="I225" s="2">
        <v>57160</v>
      </c>
      <c r="J225" s="2">
        <v>73165</v>
      </c>
      <c r="K225" s="2">
        <v>81554</v>
      </c>
      <c r="L225" s="2">
        <v>87529</v>
      </c>
      <c r="M225" s="2">
        <v>95532</v>
      </c>
      <c r="N225" s="2">
        <v>106371</v>
      </c>
      <c r="O225" s="2">
        <v>118423.1</v>
      </c>
      <c r="P225" s="2">
        <v>131612.70000000001</v>
      </c>
      <c r="Q225" s="2">
        <v>144863.23000000001</v>
      </c>
      <c r="R225" s="2">
        <v>158804.29</v>
      </c>
      <c r="S225" s="2">
        <v>173279.85</v>
      </c>
      <c r="T225" s="2">
        <v>183737.64</v>
      </c>
      <c r="U225" s="2">
        <v>172962.02</v>
      </c>
    </row>
    <row r="226" spans="1:21" x14ac:dyDescent="0.25">
      <c r="A226" t="s">
        <v>116</v>
      </c>
      <c r="E226" s="2">
        <v>4186</v>
      </c>
      <c r="F226" s="2">
        <v>4106</v>
      </c>
      <c r="G226" s="2">
        <v>12421</v>
      </c>
      <c r="H226" s="2">
        <v>14541</v>
      </c>
      <c r="I226" s="2">
        <v>22899</v>
      </c>
      <c r="J226" s="2">
        <v>24879</v>
      </c>
      <c r="K226" s="2">
        <v>12248</v>
      </c>
      <c r="L226" s="2">
        <v>36852</v>
      </c>
      <c r="M226" s="2">
        <v>68593</v>
      </c>
      <c r="N226" s="2">
        <v>79975</v>
      </c>
      <c r="O226" s="2">
        <v>130900.12</v>
      </c>
      <c r="P226" s="2">
        <v>164273.64000000001</v>
      </c>
      <c r="Q226" s="2">
        <v>205560.48</v>
      </c>
      <c r="R226" s="2">
        <v>247170.13</v>
      </c>
      <c r="S226" s="2">
        <v>295559.3</v>
      </c>
      <c r="T226" s="2">
        <v>377842</v>
      </c>
      <c r="U226" s="2">
        <v>398777.83</v>
      </c>
    </row>
    <row r="227" spans="1:21" x14ac:dyDescent="0.25">
      <c r="A227" t="s">
        <v>395</v>
      </c>
      <c r="N227">
        <v>11.16</v>
      </c>
      <c r="O227">
        <v>15.67</v>
      </c>
      <c r="P227">
        <v>17.53</v>
      </c>
      <c r="Q227">
        <v>19.91</v>
      </c>
      <c r="R227">
        <v>20.57</v>
      </c>
      <c r="S227">
        <v>21.99</v>
      </c>
      <c r="T227">
        <v>23.79</v>
      </c>
      <c r="U227">
        <v>18.05</v>
      </c>
    </row>
    <row r="228" spans="1:21" x14ac:dyDescent="0.25">
      <c r="A228" t="s">
        <v>117</v>
      </c>
      <c r="B228" s="2">
        <v>5246</v>
      </c>
      <c r="C228" s="2">
        <v>6421</v>
      </c>
      <c r="D228" s="2">
        <v>10788</v>
      </c>
      <c r="E228" s="2">
        <v>15437</v>
      </c>
      <c r="F228" s="2">
        <v>20001</v>
      </c>
      <c r="G228" s="2">
        <v>33476</v>
      </c>
      <c r="H228" s="2">
        <v>43358</v>
      </c>
      <c r="I228" s="2">
        <v>57283</v>
      </c>
      <c r="J228" s="2">
        <v>72069</v>
      </c>
      <c r="K228" s="2">
        <v>73790</v>
      </c>
      <c r="L228" s="2">
        <v>109538</v>
      </c>
      <c r="M228" s="2">
        <v>143399</v>
      </c>
      <c r="N228" s="2">
        <v>165198</v>
      </c>
      <c r="O228" s="2">
        <v>222151.21</v>
      </c>
      <c r="P228" s="2">
        <v>282518.73</v>
      </c>
      <c r="Q228" s="2">
        <v>354394.75</v>
      </c>
      <c r="R228" s="2">
        <v>413980.5</v>
      </c>
      <c r="S228" s="2">
        <v>490296.75</v>
      </c>
      <c r="T228" s="2">
        <v>617587.80000000005</v>
      </c>
      <c r="U228" s="2">
        <v>622806</v>
      </c>
    </row>
    <row r="229" spans="1:21" x14ac:dyDescent="0.25">
      <c r="A229" t="s">
        <v>286</v>
      </c>
      <c r="B229">
        <v>5.37</v>
      </c>
      <c r="C229">
        <v>5.53</v>
      </c>
      <c r="D229">
        <v>7.96</v>
      </c>
      <c r="E229">
        <v>9.0500000000000007</v>
      </c>
      <c r="F229">
        <v>8.76</v>
      </c>
      <c r="G229">
        <v>11.92</v>
      </c>
      <c r="H229">
        <v>14.26</v>
      </c>
      <c r="I229">
        <v>13.75</v>
      </c>
      <c r="J229">
        <v>14.16</v>
      </c>
      <c r="K229">
        <v>12.26</v>
      </c>
      <c r="L229">
        <v>16.71</v>
      </c>
      <c r="M229">
        <v>20.9</v>
      </c>
      <c r="N229">
        <v>22.28</v>
      </c>
      <c r="O229">
        <v>26.38</v>
      </c>
      <c r="P229">
        <v>29.88</v>
      </c>
      <c r="Q229">
        <v>32.729999999999997</v>
      </c>
      <c r="R229">
        <v>34.79</v>
      </c>
      <c r="S229">
        <v>36.72</v>
      </c>
      <c r="T229">
        <v>40.450000000000003</v>
      </c>
      <c r="U229">
        <v>37.64</v>
      </c>
    </row>
    <row r="230" spans="1:21" x14ac:dyDescent="0.25">
      <c r="A230" t="s">
        <v>121</v>
      </c>
      <c r="B230" s="2">
        <v>1011.1</v>
      </c>
      <c r="C230">
        <v>732.05</v>
      </c>
      <c r="D230" s="2">
        <v>1973.35</v>
      </c>
      <c r="E230" s="2">
        <v>4304.75</v>
      </c>
      <c r="F230" s="2">
        <v>4983.75</v>
      </c>
      <c r="G230" s="2">
        <v>10073</v>
      </c>
      <c r="H230" s="2">
        <v>11588</v>
      </c>
      <c r="I230" s="2">
        <v>21331</v>
      </c>
      <c r="J230" s="2">
        <v>34120.03</v>
      </c>
      <c r="K230" s="2">
        <v>22811.59</v>
      </c>
      <c r="L230" s="2">
        <v>48771.17</v>
      </c>
      <c r="M230" s="2">
        <v>76636.69</v>
      </c>
      <c r="N230" s="2">
        <v>93972.3</v>
      </c>
      <c r="O230" s="2">
        <v>158262.31</v>
      </c>
      <c r="P230" s="2">
        <v>135411.19</v>
      </c>
      <c r="Q230" s="2">
        <v>172512.42</v>
      </c>
      <c r="R230" s="2">
        <v>189985.78</v>
      </c>
      <c r="S230" s="2">
        <v>226514</v>
      </c>
      <c r="T230" s="2">
        <v>276424.67</v>
      </c>
      <c r="U230" s="2">
        <v>323766</v>
      </c>
    </row>
    <row r="231" spans="1:21" x14ac:dyDescent="0.25">
      <c r="A231" t="s">
        <v>124</v>
      </c>
      <c r="B231">
        <v>0.11</v>
      </c>
      <c r="C231">
        <v>0.08</v>
      </c>
      <c r="D231">
        <v>0.21</v>
      </c>
      <c r="E231">
        <v>0.44</v>
      </c>
      <c r="F231">
        <v>0.51</v>
      </c>
      <c r="G231">
        <v>1.01</v>
      </c>
      <c r="H231">
        <v>1.1499999999999999</v>
      </c>
      <c r="I231">
        <v>2.09</v>
      </c>
      <c r="J231">
        <v>3.31</v>
      </c>
      <c r="K231">
        <v>2.2400000000000002</v>
      </c>
      <c r="L231">
        <v>4.6500000000000004</v>
      </c>
      <c r="M231">
        <v>7.15</v>
      </c>
      <c r="N231">
        <v>8.9700000000000006</v>
      </c>
      <c r="O231">
        <v>14.55</v>
      </c>
      <c r="P231">
        <v>12.4</v>
      </c>
      <c r="Q231">
        <v>15.6</v>
      </c>
      <c r="R231">
        <v>16.59</v>
      </c>
      <c r="S231">
        <v>19.3</v>
      </c>
      <c r="T231">
        <v>20.36</v>
      </c>
      <c r="U231">
        <v>14.5</v>
      </c>
    </row>
    <row r="232" spans="1:21" x14ac:dyDescent="0.25">
      <c r="A232" t="s">
        <v>17</v>
      </c>
    </row>
    <row r="233" spans="1:21" x14ac:dyDescent="0.25">
      <c r="A233" t="s">
        <v>1001</v>
      </c>
    </row>
    <row r="234" spans="1:21" x14ac:dyDescent="0.25">
      <c r="A234" t="s">
        <v>67</v>
      </c>
      <c r="B234" s="2">
        <v>1056</v>
      </c>
      <c r="C234" s="2">
        <v>1491</v>
      </c>
      <c r="D234" s="2">
        <v>2119</v>
      </c>
      <c r="E234" s="2">
        <v>2975</v>
      </c>
      <c r="F234" s="2">
        <v>4215</v>
      </c>
      <c r="G234" s="2">
        <v>5418</v>
      </c>
      <c r="H234" s="2">
        <v>6864</v>
      </c>
      <c r="I234" s="2">
        <v>9208</v>
      </c>
      <c r="J234" s="2">
        <v>12757</v>
      </c>
      <c r="K234" s="2">
        <v>19621</v>
      </c>
      <c r="L234" s="2">
        <v>24023</v>
      </c>
      <c r="M234" s="2">
        <v>22011</v>
      </c>
      <c r="N234" s="2">
        <v>19467</v>
      </c>
      <c r="O234" s="2">
        <v>20187.310000000001</v>
      </c>
      <c r="P234" s="2">
        <v>22424.63</v>
      </c>
      <c r="Q234" s="2">
        <v>24683.42</v>
      </c>
      <c r="R234" s="2">
        <v>28364.89</v>
      </c>
      <c r="S234" s="2">
        <v>31427.82</v>
      </c>
      <c r="T234" s="2">
        <v>35001.85</v>
      </c>
      <c r="U234" s="2">
        <v>36777.519999999997</v>
      </c>
    </row>
    <row r="235" spans="1:21" x14ac:dyDescent="0.25">
      <c r="A235" t="s">
        <v>126</v>
      </c>
      <c r="C235">
        <v>0</v>
      </c>
      <c r="D235">
        <v>0</v>
      </c>
      <c r="E235">
        <v>16</v>
      </c>
      <c r="F235">
        <v>47</v>
      </c>
      <c r="G235">
        <v>73</v>
      </c>
      <c r="H235">
        <v>149</v>
      </c>
      <c r="I235">
        <v>283</v>
      </c>
      <c r="J235">
        <v>540</v>
      </c>
      <c r="K235">
        <v>757</v>
      </c>
      <c r="L235">
        <v>836</v>
      </c>
      <c r="M235">
        <v>838</v>
      </c>
      <c r="N235">
        <v>777</v>
      </c>
      <c r="O235">
        <v>767.99</v>
      </c>
      <c r="P235">
        <v>840.61</v>
      </c>
      <c r="Q235">
        <v>933.5</v>
      </c>
      <c r="R235" s="2">
        <v>1087.6199999999999</v>
      </c>
      <c r="S235" s="2">
        <v>1214.7</v>
      </c>
      <c r="T235" s="2">
        <v>1344.88</v>
      </c>
      <c r="U235" s="2">
        <v>1079.42</v>
      </c>
    </row>
    <row r="236" spans="1:21" x14ac:dyDescent="0.25">
      <c r="A236" t="s">
        <v>1002</v>
      </c>
      <c r="B236">
        <v>88</v>
      </c>
      <c r="C236">
        <v>125</v>
      </c>
      <c r="D236">
        <v>190</v>
      </c>
      <c r="E236">
        <v>323</v>
      </c>
      <c r="F236">
        <v>511</v>
      </c>
      <c r="G236">
        <v>769</v>
      </c>
      <c r="H236" s="2">
        <v>1135</v>
      </c>
      <c r="I236" s="2">
        <v>1710</v>
      </c>
      <c r="J236" s="2">
        <v>2530</v>
      </c>
      <c r="K236" s="2">
        <v>3875</v>
      </c>
      <c r="L236" s="2">
        <v>4623</v>
      </c>
      <c r="M236" s="2">
        <v>4084</v>
      </c>
      <c r="N236" s="2">
        <v>3445</v>
      </c>
      <c r="O236" s="2">
        <v>3946.87</v>
      </c>
      <c r="P236" s="2">
        <v>4594.8100000000004</v>
      </c>
      <c r="Q236" s="2">
        <v>5212.96</v>
      </c>
      <c r="R236" s="2">
        <v>6069.9</v>
      </c>
      <c r="S236" s="2">
        <v>6712.13</v>
      </c>
      <c r="T236" s="2">
        <v>5321.63</v>
      </c>
      <c r="U236" s="2">
        <v>4469.68</v>
      </c>
    </row>
    <row r="237" spans="1:21" x14ac:dyDescent="0.25">
      <c r="A237" t="s">
        <v>1003</v>
      </c>
      <c r="B237">
        <v>603</v>
      </c>
      <c r="C237">
        <v>804</v>
      </c>
      <c r="D237" s="2">
        <v>1224</v>
      </c>
      <c r="E237" s="2">
        <v>1664</v>
      </c>
      <c r="F237" s="2">
        <v>2305</v>
      </c>
      <c r="G237" s="2">
        <v>2888</v>
      </c>
      <c r="H237" s="2">
        <v>3725</v>
      </c>
      <c r="I237" s="2">
        <v>5061</v>
      </c>
      <c r="J237" s="2">
        <v>6645</v>
      </c>
      <c r="K237" s="2">
        <v>10621</v>
      </c>
      <c r="L237" s="2">
        <v>13434</v>
      </c>
      <c r="M237" s="2">
        <v>12150</v>
      </c>
      <c r="N237" s="2">
        <v>10871</v>
      </c>
      <c r="O237" s="2">
        <v>11510.99</v>
      </c>
      <c r="P237" s="2">
        <v>13179.12</v>
      </c>
      <c r="Q237" s="2">
        <v>15234.95</v>
      </c>
      <c r="R237" s="2">
        <v>15751.34</v>
      </c>
      <c r="S237" s="2">
        <v>17524.169999999998</v>
      </c>
      <c r="T237" s="2">
        <v>21760.9</v>
      </c>
      <c r="U237" s="2">
        <v>19182.82</v>
      </c>
    </row>
    <row r="238" spans="1:21" x14ac:dyDescent="0.25">
      <c r="A238" t="s">
        <v>115</v>
      </c>
      <c r="B238">
        <v>149</v>
      </c>
      <c r="C238">
        <v>193</v>
      </c>
      <c r="D238">
        <v>223</v>
      </c>
      <c r="E238">
        <v>315</v>
      </c>
      <c r="F238">
        <v>441</v>
      </c>
      <c r="G238">
        <v>567</v>
      </c>
      <c r="H238">
        <v>673</v>
      </c>
      <c r="I238">
        <v>797</v>
      </c>
      <c r="J238" s="2">
        <v>1096</v>
      </c>
      <c r="K238" s="2">
        <v>1623</v>
      </c>
      <c r="L238" s="2">
        <v>2040</v>
      </c>
      <c r="M238" s="2">
        <v>1966</v>
      </c>
      <c r="N238" s="2">
        <v>1671</v>
      </c>
      <c r="O238" s="2">
        <v>1664.07</v>
      </c>
      <c r="P238" s="2">
        <v>1943.52</v>
      </c>
      <c r="Q238" s="2">
        <v>2135.8200000000002</v>
      </c>
      <c r="R238" s="2">
        <v>2320.71</v>
      </c>
      <c r="S238" s="2">
        <v>2553.9499999999998</v>
      </c>
      <c r="T238" s="2">
        <v>2708.32</v>
      </c>
      <c r="U238" s="2">
        <v>2521</v>
      </c>
    </row>
    <row r="239" spans="1:21" x14ac:dyDescent="0.25">
      <c r="A239" t="s">
        <v>1004</v>
      </c>
      <c r="B239">
        <v>294</v>
      </c>
      <c r="C239">
        <v>375</v>
      </c>
      <c r="D239">
        <v>482</v>
      </c>
      <c r="E239">
        <v>657</v>
      </c>
      <c r="F239">
        <v>911</v>
      </c>
      <c r="G239" s="2">
        <v>1121</v>
      </c>
      <c r="H239" s="2">
        <v>1182</v>
      </c>
      <c r="I239" s="2">
        <v>1357</v>
      </c>
      <c r="J239" s="2">
        <v>1946</v>
      </c>
      <c r="K239" s="2">
        <v>2745</v>
      </c>
      <c r="L239" s="2">
        <v>3090</v>
      </c>
      <c r="M239" s="2">
        <v>2973</v>
      </c>
      <c r="N239" s="2">
        <v>2703</v>
      </c>
      <c r="O239" s="2">
        <v>2786.8</v>
      </c>
      <c r="P239" s="2">
        <v>3060.73</v>
      </c>
      <c r="Q239" s="2">
        <v>3275.84</v>
      </c>
      <c r="R239" s="2">
        <v>3868.7</v>
      </c>
      <c r="S239" s="2">
        <v>4281.28</v>
      </c>
      <c r="T239" s="2">
        <v>4474.6000000000004</v>
      </c>
      <c r="U239" s="2">
        <v>3931.51</v>
      </c>
    </row>
    <row r="240" spans="1:21" x14ac:dyDescent="0.25">
      <c r="A240" t="s">
        <v>17</v>
      </c>
    </row>
    <row r="241" spans="1:21" x14ac:dyDescent="0.25">
      <c r="A241" t="s">
        <v>134</v>
      </c>
    </row>
    <row r="242" spans="1:21" x14ac:dyDescent="0.25">
      <c r="A242" t="s">
        <v>135</v>
      </c>
    </row>
    <row r="243" spans="1:21" x14ac:dyDescent="0.25">
      <c r="A243" t="s">
        <v>136</v>
      </c>
      <c r="B243" s="2">
        <v>24625</v>
      </c>
      <c r="C243" s="2">
        <v>31327</v>
      </c>
      <c r="D243" s="2">
        <v>35705</v>
      </c>
      <c r="E243" s="2">
        <v>45781</v>
      </c>
      <c r="F243" s="2">
        <v>60197</v>
      </c>
      <c r="G243" s="2">
        <v>75101</v>
      </c>
      <c r="H243" s="2">
        <v>96334</v>
      </c>
      <c r="I243" s="2">
        <v>132733</v>
      </c>
      <c r="J243" s="2">
        <v>161580</v>
      </c>
      <c r="K243" s="2">
        <v>146791</v>
      </c>
      <c r="L243" s="2">
        <v>172351</v>
      </c>
      <c r="M243" s="2">
        <v>190867</v>
      </c>
      <c r="N243" s="2">
        <v>229083</v>
      </c>
      <c r="O243" s="2">
        <v>257486.99</v>
      </c>
      <c r="P243" s="2">
        <v>242490.92</v>
      </c>
      <c r="Q243" s="2">
        <v>290972.7</v>
      </c>
      <c r="R243" s="2">
        <v>395961.04</v>
      </c>
      <c r="S243" s="2">
        <v>557993.74</v>
      </c>
      <c r="T243" s="2">
        <v>850974.26</v>
      </c>
      <c r="U243" s="2">
        <v>1266954.81</v>
      </c>
    </row>
    <row r="244" spans="1:21" x14ac:dyDescent="0.25">
      <c r="A244" t="s">
        <v>1005</v>
      </c>
      <c r="B244" s="2">
        <v>12447</v>
      </c>
      <c r="C244" s="2">
        <v>17416</v>
      </c>
      <c r="D244" s="2">
        <v>19808</v>
      </c>
      <c r="E244" s="2">
        <v>25981</v>
      </c>
      <c r="F244" s="2">
        <v>30986</v>
      </c>
      <c r="G244" s="2">
        <v>41250</v>
      </c>
      <c r="H244" s="2">
        <v>55021</v>
      </c>
      <c r="I244" s="2">
        <v>84396</v>
      </c>
      <c r="J244" s="2">
        <v>96049</v>
      </c>
      <c r="K244" s="2">
        <v>70026</v>
      </c>
      <c r="L244" s="2">
        <v>86780</v>
      </c>
      <c r="M244" s="2">
        <v>101202</v>
      </c>
      <c r="N244" s="2">
        <v>123029</v>
      </c>
      <c r="O244" s="2">
        <v>131442.71</v>
      </c>
      <c r="P244" s="2">
        <v>104442.99</v>
      </c>
      <c r="Q244" s="2">
        <v>123889.88</v>
      </c>
      <c r="R244" s="2">
        <v>205491.29</v>
      </c>
      <c r="S244" s="2">
        <v>337743.32</v>
      </c>
      <c r="T244" s="2">
        <v>431872.12</v>
      </c>
      <c r="U244" s="2">
        <v>703125.77</v>
      </c>
    </row>
    <row r="245" spans="1:21" x14ac:dyDescent="0.25">
      <c r="A245" t="s">
        <v>139</v>
      </c>
      <c r="B245" s="2">
        <v>8658</v>
      </c>
      <c r="C245" s="2">
        <v>14557</v>
      </c>
      <c r="D245" s="2">
        <v>15890</v>
      </c>
      <c r="E245" s="2">
        <v>19334</v>
      </c>
      <c r="F245" s="2">
        <v>20522</v>
      </c>
      <c r="G245" s="2">
        <v>31750</v>
      </c>
      <c r="H245" s="2">
        <v>36092</v>
      </c>
      <c r="I245" s="2">
        <v>42122</v>
      </c>
      <c r="J245" s="2">
        <v>36220</v>
      </c>
      <c r="K245" s="2">
        <v>53888</v>
      </c>
      <c r="L245" s="2">
        <v>73387</v>
      </c>
      <c r="M245" s="2">
        <v>78779</v>
      </c>
      <c r="N245" s="2">
        <v>86810</v>
      </c>
      <c r="O245" s="2">
        <v>94044.32</v>
      </c>
      <c r="P245" s="2">
        <v>64876.08</v>
      </c>
      <c r="Q245" s="2">
        <v>100082.8</v>
      </c>
      <c r="R245" s="2">
        <v>170039.52</v>
      </c>
      <c r="S245" s="2">
        <v>303896.83</v>
      </c>
      <c r="T245" s="2">
        <v>608509.84</v>
      </c>
      <c r="U245" s="2">
        <v>1029201.56</v>
      </c>
    </row>
    <row r="246" spans="1:21" x14ac:dyDescent="0.25">
      <c r="A246" t="s">
        <v>805</v>
      </c>
      <c r="B246" s="2">
        <v>3789</v>
      </c>
      <c r="C246" s="2">
        <v>2859</v>
      </c>
      <c r="D246" s="2">
        <v>3918</v>
      </c>
      <c r="E246" s="2">
        <v>6647</v>
      </c>
      <c r="F246" s="2">
        <v>10464</v>
      </c>
      <c r="G246" s="2">
        <v>9500</v>
      </c>
      <c r="H246" s="2">
        <v>18929</v>
      </c>
      <c r="I246" s="2">
        <v>42274</v>
      </c>
      <c r="J246" s="2">
        <v>59829</v>
      </c>
      <c r="K246" s="2">
        <v>16138</v>
      </c>
      <c r="L246" s="2">
        <v>13393</v>
      </c>
      <c r="M246" s="2">
        <v>22423</v>
      </c>
      <c r="N246" s="2">
        <v>36219</v>
      </c>
      <c r="O246" s="2">
        <v>41920.660000000003</v>
      </c>
      <c r="P246" s="2">
        <v>41037.19</v>
      </c>
      <c r="Q246" s="2">
        <v>41960.73</v>
      </c>
      <c r="R246" s="2">
        <v>59596.03</v>
      </c>
      <c r="S246" s="2">
        <v>70945.56</v>
      </c>
      <c r="T246" s="2">
        <v>42873.67</v>
      </c>
      <c r="U246" s="2">
        <v>43063.8</v>
      </c>
    </row>
    <row r="247" spans="1:21" x14ac:dyDescent="0.25">
      <c r="A247" t="s">
        <v>340</v>
      </c>
      <c r="B247" s="2">
        <v>7411</v>
      </c>
      <c r="C247" s="2">
        <v>8299</v>
      </c>
      <c r="D247" s="2">
        <v>10243</v>
      </c>
      <c r="E247" s="2">
        <v>11461</v>
      </c>
      <c r="F247" s="2">
        <v>16047</v>
      </c>
      <c r="G247" s="2">
        <v>17174</v>
      </c>
      <c r="H247" s="2">
        <v>20497</v>
      </c>
      <c r="I247" s="2">
        <v>23795</v>
      </c>
      <c r="J247" s="2">
        <v>32640</v>
      </c>
      <c r="K247" s="2">
        <v>34405</v>
      </c>
      <c r="L247" s="2">
        <v>33318</v>
      </c>
      <c r="M247" s="2">
        <v>34214</v>
      </c>
      <c r="N247" s="2">
        <v>38325</v>
      </c>
      <c r="O247" s="2">
        <v>42316.6</v>
      </c>
      <c r="P247" s="2">
        <v>45800.93</v>
      </c>
      <c r="Q247" s="2">
        <v>49757.919999999998</v>
      </c>
      <c r="R247" s="2">
        <v>53111.13</v>
      </c>
      <c r="S247" s="2">
        <v>57532.08</v>
      </c>
      <c r="T247" s="2">
        <v>66362.47</v>
      </c>
      <c r="U247" s="2">
        <v>67064.41</v>
      </c>
    </row>
    <row r="248" spans="1:21" x14ac:dyDescent="0.25">
      <c r="A248" t="s">
        <v>1006</v>
      </c>
      <c r="B248" s="2">
        <v>4767</v>
      </c>
      <c r="C248" s="2">
        <v>5612</v>
      </c>
      <c r="D248" s="2">
        <v>5654</v>
      </c>
      <c r="E248" s="2">
        <v>8339</v>
      </c>
      <c r="F248" s="2">
        <v>13164</v>
      </c>
      <c r="G248" s="2">
        <v>16677</v>
      </c>
      <c r="H248" s="2">
        <v>20816</v>
      </c>
      <c r="I248" s="2">
        <v>24542</v>
      </c>
      <c r="J248" s="2">
        <v>32891</v>
      </c>
      <c r="K248" s="2">
        <v>42360</v>
      </c>
      <c r="L248" s="2">
        <v>52253</v>
      </c>
      <c r="M248" s="2">
        <v>55451</v>
      </c>
      <c r="N248" s="2">
        <v>67729</v>
      </c>
      <c r="O248" s="2">
        <v>79846.039999999994</v>
      </c>
      <c r="P248" s="2">
        <v>90662.41</v>
      </c>
      <c r="Q248" s="2">
        <v>101871.86</v>
      </c>
      <c r="R248" s="2">
        <v>112710.7</v>
      </c>
      <c r="S248" s="2">
        <v>124135.72</v>
      </c>
      <c r="T248" s="2">
        <v>136439.76999999999</v>
      </c>
      <c r="U248" s="2">
        <v>132702.64000000001</v>
      </c>
    </row>
    <row r="249" spans="1:21" x14ac:dyDescent="0.25">
      <c r="A249" t="s">
        <v>1007</v>
      </c>
      <c r="B249">
        <v>8.0500000000000007</v>
      </c>
      <c r="C249">
        <v>8.25</v>
      </c>
      <c r="D249">
        <v>8.49</v>
      </c>
      <c r="E249">
        <v>7.63</v>
      </c>
      <c r="F249">
        <v>7.71</v>
      </c>
      <c r="G249">
        <v>6.81</v>
      </c>
      <c r="H249">
        <v>6.37</v>
      </c>
      <c r="I249">
        <v>5.37</v>
      </c>
      <c r="J249">
        <v>6.72</v>
      </c>
      <c r="K249">
        <v>6.39</v>
      </c>
      <c r="L249">
        <v>5.51</v>
      </c>
      <c r="M249">
        <v>5.1100000000000003</v>
      </c>
      <c r="N249">
        <v>4.9400000000000004</v>
      </c>
      <c r="O249">
        <v>5.41</v>
      </c>
      <c r="P249">
        <v>5.35</v>
      </c>
      <c r="Q249">
        <v>5.26</v>
      </c>
      <c r="R249">
        <v>4.87</v>
      </c>
      <c r="S249">
        <v>4.7699999999999996</v>
      </c>
      <c r="T249">
        <v>4.47</v>
      </c>
      <c r="U249">
        <v>4.7300000000000004</v>
      </c>
    </row>
    <row r="250" spans="1:21" x14ac:dyDescent="0.25">
      <c r="A250" t="s">
        <v>146</v>
      </c>
      <c r="B250" s="2">
        <v>15534</v>
      </c>
      <c r="C250" s="2">
        <v>23178</v>
      </c>
      <c r="D250" s="2">
        <v>29042</v>
      </c>
      <c r="E250" s="2">
        <v>37621</v>
      </c>
      <c r="F250" s="2">
        <v>71113</v>
      </c>
      <c r="G250" s="2">
        <v>87547</v>
      </c>
      <c r="H250" s="2">
        <v>128914</v>
      </c>
      <c r="I250" s="2">
        <v>188462</v>
      </c>
      <c r="J250" s="2">
        <v>258969</v>
      </c>
      <c r="K250" s="2">
        <v>315884</v>
      </c>
      <c r="L250" s="2">
        <v>355503</v>
      </c>
      <c r="M250" s="2">
        <v>434027</v>
      </c>
      <c r="N250" s="2">
        <v>588959</v>
      </c>
      <c r="O250" s="2">
        <v>865633.92</v>
      </c>
      <c r="P250" s="2">
        <v>1057733.8500000001</v>
      </c>
      <c r="Q250" s="2">
        <v>1343436.74</v>
      </c>
      <c r="R250" s="2">
        <v>1264974</v>
      </c>
      <c r="S250" s="2">
        <v>1308018</v>
      </c>
      <c r="T250" s="2">
        <v>1308750</v>
      </c>
    </row>
    <row r="251" spans="1:21" x14ac:dyDescent="0.25">
      <c r="A251" t="s">
        <v>1008</v>
      </c>
      <c r="B251" s="2">
        <v>10949</v>
      </c>
      <c r="C251" s="2">
        <v>16967</v>
      </c>
      <c r="D251" s="2">
        <v>21838</v>
      </c>
      <c r="E251" s="2">
        <v>29114</v>
      </c>
      <c r="F251" s="2">
        <v>48866</v>
      </c>
      <c r="G251" s="2">
        <v>61797</v>
      </c>
      <c r="H251" s="2">
        <v>97846</v>
      </c>
      <c r="I251" s="2">
        <v>150667</v>
      </c>
      <c r="J251" s="2">
        <v>216363</v>
      </c>
      <c r="K251" s="2">
        <v>252838</v>
      </c>
      <c r="L251" s="2">
        <v>276690</v>
      </c>
      <c r="M251" s="2">
        <v>328806</v>
      </c>
      <c r="N251" s="2">
        <v>443079</v>
      </c>
      <c r="O251" s="2">
        <v>594035.11</v>
      </c>
      <c r="P251" s="2">
        <v>720328.36</v>
      </c>
      <c r="Q251" s="2">
        <v>896712.35</v>
      </c>
      <c r="R251" s="2">
        <v>1204830.1399999999</v>
      </c>
      <c r="S251" s="2">
        <v>1457624.88</v>
      </c>
    </row>
    <row r="252" spans="1:21" x14ac:dyDescent="0.25">
      <c r="A252" t="s">
        <v>1009</v>
      </c>
      <c r="B252" s="2">
        <v>10949</v>
      </c>
      <c r="C252" s="2">
        <v>16967</v>
      </c>
      <c r="D252" s="2">
        <v>21838</v>
      </c>
      <c r="E252" s="2">
        <v>29114</v>
      </c>
      <c r="F252" s="2">
        <v>48866</v>
      </c>
      <c r="G252" s="2">
        <v>61797</v>
      </c>
      <c r="H252" s="2">
        <v>72705</v>
      </c>
      <c r="I252" s="2">
        <v>113114</v>
      </c>
      <c r="J252" s="2">
        <v>160281</v>
      </c>
      <c r="K252" s="2">
        <v>186715</v>
      </c>
      <c r="L252" s="2">
        <v>204177</v>
      </c>
      <c r="M252" s="2">
        <v>252665</v>
      </c>
      <c r="N252" s="2">
        <v>357025</v>
      </c>
      <c r="O252" s="2">
        <v>515245.78</v>
      </c>
      <c r="P252" s="2">
        <v>690130.78</v>
      </c>
      <c r="Q252" s="2">
        <v>848939.21</v>
      </c>
      <c r="R252" s="2">
        <v>967268.18</v>
      </c>
      <c r="S252" s="2">
        <v>1070210.3</v>
      </c>
      <c r="T252" s="2">
        <v>1168575.83</v>
      </c>
      <c r="U252" s="2">
        <v>1068567.45</v>
      </c>
    </row>
    <row r="253" spans="1:21" x14ac:dyDescent="0.25">
      <c r="A253" t="s">
        <v>1010</v>
      </c>
      <c r="G253">
        <v>0</v>
      </c>
      <c r="H253" s="2">
        <v>25141</v>
      </c>
      <c r="I253" s="2">
        <v>37553</v>
      </c>
      <c r="J253" s="2">
        <v>56082</v>
      </c>
      <c r="K253" s="2">
        <v>66123</v>
      </c>
      <c r="L253" s="2">
        <v>72513</v>
      </c>
      <c r="M253" s="2">
        <v>76141</v>
      </c>
      <c r="N253" s="2">
        <v>86054</v>
      </c>
      <c r="O253" s="2">
        <v>94215.56</v>
      </c>
      <c r="P253" s="2">
        <v>96728.47</v>
      </c>
      <c r="Q253" s="2">
        <v>98351.43</v>
      </c>
      <c r="R253" s="2">
        <v>96221.55</v>
      </c>
      <c r="S253" s="2">
        <v>97125.51</v>
      </c>
      <c r="T253" s="2">
        <v>100487.53</v>
      </c>
      <c r="U253" s="2">
        <v>99489.18</v>
      </c>
    </row>
    <row r="254" spans="1:21" x14ac:dyDescent="0.25">
      <c r="A254" t="s">
        <v>496</v>
      </c>
      <c r="B254" s="2">
        <v>2655</v>
      </c>
      <c r="C254" s="2">
        <v>3319</v>
      </c>
      <c r="D254" s="2">
        <v>3759</v>
      </c>
      <c r="E254" s="2">
        <v>3784</v>
      </c>
      <c r="F254" s="2">
        <v>13350</v>
      </c>
      <c r="G254" s="2">
        <v>14548</v>
      </c>
      <c r="H254" s="2">
        <v>14754</v>
      </c>
      <c r="I254" s="2">
        <v>15017</v>
      </c>
      <c r="J254" s="2">
        <v>15371</v>
      </c>
      <c r="K254" s="2">
        <v>20288</v>
      </c>
      <c r="L254" s="2">
        <v>22789</v>
      </c>
      <c r="M254" s="2">
        <v>23074</v>
      </c>
      <c r="N254" s="2">
        <v>23273</v>
      </c>
      <c r="O254" s="2">
        <v>24537.65</v>
      </c>
      <c r="P254" s="2">
        <v>24522.68</v>
      </c>
      <c r="Q254" s="2">
        <v>24765.919999999998</v>
      </c>
      <c r="R254" s="2">
        <v>25178.55</v>
      </c>
      <c r="S254" s="2">
        <v>25166.59</v>
      </c>
      <c r="T254" s="2">
        <v>26027.53</v>
      </c>
      <c r="U254" s="2">
        <v>23285.39</v>
      </c>
    </row>
    <row r="255" spans="1:21" x14ac:dyDescent="0.25">
      <c r="A255" t="s">
        <v>154</v>
      </c>
      <c r="B255" s="2">
        <v>1930</v>
      </c>
      <c r="C255" s="2">
        <v>2892</v>
      </c>
      <c r="D255" s="2">
        <v>3445</v>
      </c>
      <c r="E255" s="2">
        <v>4723</v>
      </c>
      <c r="F255" s="2">
        <v>8897</v>
      </c>
      <c r="G255" s="2">
        <v>11202</v>
      </c>
      <c r="H255" s="2">
        <v>16314</v>
      </c>
      <c r="I255" s="2">
        <v>22778</v>
      </c>
      <c r="J255" s="2">
        <v>27235</v>
      </c>
      <c r="K255" s="2">
        <v>42758</v>
      </c>
      <c r="L255" s="2">
        <v>56024</v>
      </c>
      <c r="M255" s="2">
        <v>82147</v>
      </c>
      <c r="N255" s="2">
        <v>122607</v>
      </c>
      <c r="O255" s="2">
        <v>237625.39</v>
      </c>
      <c r="P255" s="2">
        <v>249493.62</v>
      </c>
      <c r="Q255" s="2">
        <v>249316.48000000001</v>
      </c>
      <c r="R255" s="2">
        <v>265419.65999999997</v>
      </c>
      <c r="S255" s="2">
        <v>275222.2</v>
      </c>
      <c r="T255" s="2">
        <v>273427.21999999997</v>
      </c>
      <c r="U255" s="2">
        <v>283474.19</v>
      </c>
    </row>
    <row r="256" spans="1:21" x14ac:dyDescent="0.25">
      <c r="A256" t="s">
        <v>155</v>
      </c>
      <c r="B256" s="2">
        <v>39528</v>
      </c>
      <c r="C256" s="2">
        <v>53618</v>
      </c>
      <c r="D256" s="2">
        <v>64747</v>
      </c>
      <c r="E256" s="2">
        <v>83402</v>
      </c>
      <c r="F256" s="2">
        <v>131310</v>
      </c>
      <c r="G256" s="2">
        <v>162648</v>
      </c>
      <c r="H256" s="2">
        <v>225248</v>
      </c>
      <c r="I256" s="2">
        <v>321195</v>
      </c>
      <c r="J256" s="2">
        <v>420549</v>
      </c>
      <c r="K256" s="2">
        <v>462675</v>
      </c>
      <c r="L256" s="2">
        <v>527854</v>
      </c>
      <c r="M256" s="2">
        <v>624894</v>
      </c>
      <c r="N256" s="2">
        <v>818042</v>
      </c>
      <c r="O256" s="2">
        <v>1125336.51</v>
      </c>
      <c r="P256" s="2">
        <v>1297851.8999999999</v>
      </c>
      <c r="Q256" s="2">
        <v>1511326.03</v>
      </c>
      <c r="R256" s="2">
        <v>1711061.42</v>
      </c>
      <c r="S256" s="2">
        <v>2002425.11</v>
      </c>
      <c r="T256" s="2">
        <v>2416438.63</v>
      </c>
      <c r="U256" s="2">
        <v>2734461.77</v>
      </c>
    </row>
    <row r="257" spans="1:21" x14ac:dyDescent="0.25">
      <c r="A257" t="s">
        <v>17</v>
      </c>
    </row>
    <row r="258" spans="1:21" x14ac:dyDescent="0.25">
      <c r="A258" t="s">
        <v>156</v>
      </c>
    </row>
    <row r="259" spans="1:21" x14ac:dyDescent="0.25">
      <c r="A259" t="s">
        <v>157</v>
      </c>
      <c r="B259" s="2">
        <v>22980</v>
      </c>
      <c r="C259" s="2">
        <v>28089</v>
      </c>
      <c r="D259" s="2">
        <v>33887</v>
      </c>
      <c r="E259" s="2">
        <v>43816</v>
      </c>
      <c r="F259" s="2">
        <v>57883</v>
      </c>
      <c r="G259" s="2">
        <v>68391</v>
      </c>
      <c r="H259" s="2">
        <v>87812</v>
      </c>
      <c r="I259" s="2">
        <v>126385</v>
      </c>
      <c r="J259" s="2">
        <v>142266</v>
      </c>
      <c r="K259" s="2">
        <v>155393</v>
      </c>
      <c r="L259" s="2">
        <v>164917</v>
      </c>
      <c r="M259" s="2">
        <v>179431</v>
      </c>
      <c r="N259" s="2">
        <v>218005</v>
      </c>
      <c r="O259" s="2">
        <v>245578.63</v>
      </c>
      <c r="P259" s="2">
        <v>265682.03999999998</v>
      </c>
      <c r="Q259" s="2">
        <v>287328.76</v>
      </c>
      <c r="R259" s="2">
        <v>303053.93</v>
      </c>
      <c r="S259" s="2">
        <v>326648</v>
      </c>
      <c r="T259" s="2">
        <v>337828.43</v>
      </c>
      <c r="U259" s="2">
        <v>400462.94</v>
      </c>
    </row>
    <row r="260" spans="1:21" x14ac:dyDescent="0.25">
      <c r="A260" t="s">
        <v>158</v>
      </c>
      <c r="B260" s="2">
        <v>15133</v>
      </c>
      <c r="C260" s="2">
        <v>16459</v>
      </c>
      <c r="D260" s="2">
        <v>20397</v>
      </c>
      <c r="E260" s="2">
        <v>25309</v>
      </c>
      <c r="F260" s="2">
        <v>34616</v>
      </c>
      <c r="G260" s="2">
        <v>38192</v>
      </c>
      <c r="H260" s="2">
        <v>47183</v>
      </c>
      <c r="I260" s="2">
        <v>72539</v>
      </c>
      <c r="J260" s="2">
        <v>78664</v>
      </c>
      <c r="K260" s="2">
        <v>79600</v>
      </c>
      <c r="L260" s="2">
        <v>84981</v>
      </c>
      <c r="M260" s="2">
        <v>94363</v>
      </c>
      <c r="N260" s="2">
        <v>121909</v>
      </c>
      <c r="O260" s="2">
        <v>138501.15</v>
      </c>
      <c r="P260" s="2">
        <v>150179.06</v>
      </c>
      <c r="Q260" s="2">
        <v>158476.10999999999</v>
      </c>
      <c r="R260" s="2">
        <v>171167.58</v>
      </c>
      <c r="S260" s="2">
        <v>184484.04</v>
      </c>
      <c r="T260" s="2">
        <v>191346.45</v>
      </c>
      <c r="U260" s="2">
        <v>218759.81</v>
      </c>
    </row>
    <row r="261" spans="1:21" x14ac:dyDescent="0.25">
      <c r="A261" t="s">
        <v>695</v>
      </c>
      <c r="B261" s="2">
        <v>6688</v>
      </c>
      <c r="C261" s="2">
        <v>9807</v>
      </c>
      <c r="D261" s="2">
        <v>10372</v>
      </c>
      <c r="E261" s="2">
        <v>13739</v>
      </c>
      <c r="F261" s="2">
        <v>18170</v>
      </c>
      <c r="G261" s="2">
        <v>23663</v>
      </c>
      <c r="H261" s="2">
        <v>32439</v>
      </c>
      <c r="I261" s="2">
        <v>44138</v>
      </c>
      <c r="J261" s="2">
        <v>51775</v>
      </c>
      <c r="K261" s="2">
        <v>62566</v>
      </c>
      <c r="L261" s="2">
        <v>64709</v>
      </c>
      <c r="M261" s="2">
        <v>66965</v>
      </c>
      <c r="N261" s="2">
        <v>75520</v>
      </c>
      <c r="O261" s="2">
        <v>77802.100000000006</v>
      </c>
      <c r="P261" s="2">
        <v>83240.350000000006</v>
      </c>
      <c r="Q261" s="2">
        <v>91149.94</v>
      </c>
      <c r="R261" s="2">
        <v>100167.86</v>
      </c>
      <c r="S261" s="2">
        <v>108101.56</v>
      </c>
      <c r="T261" s="2">
        <v>107036.57</v>
      </c>
      <c r="U261" s="2">
        <v>131664.51999999999</v>
      </c>
    </row>
    <row r="262" spans="1:21" x14ac:dyDescent="0.25">
      <c r="A262" t="s">
        <v>1011</v>
      </c>
      <c r="B262" s="2">
        <v>1159</v>
      </c>
      <c r="C262" s="2">
        <v>1823</v>
      </c>
      <c r="D262" s="2">
        <v>3118</v>
      </c>
      <c r="E262" s="2">
        <v>4768</v>
      </c>
      <c r="F262" s="2">
        <v>5097</v>
      </c>
      <c r="G262" s="2">
        <v>6536</v>
      </c>
      <c r="H262" s="2">
        <v>8190</v>
      </c>
      <c r="I262" s="2">
        <v>9708</v>
      </c>
      <c r="J262" s="2">
        <v>11827</v>
      </c>
      <c r="K262" s="2">
        <v>13227</v>
      </c>
      <c r="L262" s="2">
        <v>15227</v>
      </c>
      <c r="M262" s="2">
        <v>18103</v>
      </c>
      <c r="N262" s="2">
        <v>20576</v>
      </c>
      <c r="O262" s="2">
        <v>27003.31</v>
      </c>
      <c r="P262" s="2">
        <v>29003.35</v>
      </c>
      <c r="Q262" s="2">
        <v>32632.13</v>
      </c>
      <c r="R262" s="2">
        <v>26080.94</v>
      </c>
      <c r="S262" s="2">
        <v>27855.89</v>
      </c>
      <c r="T262" s="2">
        <v>34625.65</v>
      </c>
      <c r="U262" s="2">
        <v>39131.019999999997</v>
      </c>
    </row>
    <row r="263" spans="1:21" x14ac:dyDescent="0.25">
      <c r="A263" t="s">
        <v>1012</v>
      </c>
      <c r="B263">
        <v>753</v>
      </c>
      <c r="C263" s="2">
        <v>1520</v>
      </c>
      <c r="D263">
        <v>238</v>
      </c>
      <c r="E263" s="2">
        <v>1056</v>
      </c>
      <c r="F263">
        <v>100</v>
      </c>
      <c r="G263" s="2">
        <v>1371</v>
      </c>
      <c r="H263" s="2">
        <v>1305</v>
      </c>
      <c r="I263" s="2">
        <v>1155</v>
      </c>
      <c r="J263" s="2">
        <v>1491</v>
      </c>
      <c r="K263" s="2">
        <v>2999</v>
      </c>
      <c r="L263" s="2">
        <v>8494</v>
      </c>
      <c r="M263" s="2">
        <v>5017</v>
      </c>
      <c r="N263" s="2">
        <v>2748</v>
      </c>
      <c r="O263" s="2">
        <v>2804</v>
      </c>
      <c r="P263" s="2">
        <v>2804</v>
      </c>
      <c r="Q263" s="2">
        <v>2804</v>
      </c>
      <c r="R263" s="2">
        <v>2832</v>
      </c>
      <c r="S263" s="2">
        <v>2832</v>
      </c>
      <c r="T263" s="2">
        <v>2832</v>
      </c>
      <c r="U263" s="2">
        <v>2832</v>
      </c>
    </row>
    <row r="264" spans="1:21" x14ac:dyDescent="0.25">
      <c r="A264" t="s">
        <v>1013</v>
      </c>
      <c r="B264" s="2">
        <v>1708</v>
      </c>
      <c r="C264" s="2">
        <v>3600</v>
      </c>
      <c r="D264" s="2">
        <v>3364</v>
      </c>
      <c r="E264" s="2">
        <v>5197</v>
      </c>
      <c r="F264" s="2">
        <v>6221</v>
      </c>
      <c r="G264" s="2">
        <v>9502</v>
      </c>
      <c r="H264" s="2">
        <v>14328</v>
      </c>
      <c r="I264" s="2">
        <v>16115</v>
      </c>
      <c r="J264" s="2">
        <v>15923</v>
      </c>
      <c r="K264" s="2">
        <v>14854</v>
      </c>
      <c r="L264" s="2">
        <v>18945</v>
      </c>
      <c r="M264" s="2">
        <v>16938</v>
      </c>
      <c r="N264" s="2">
        <v>16947</v>
      </c>
    </row>
    <row r="265" spans="1:21" x14ac:dyDescent="0.25">
      <c r="A265" t="s">
        <v>164</v>
      </c>
      <c r="B265" s="2">
        <v>7433</v>
      </c>
      <c r="C265" s="2">
        <v>15675</v>
      </c>
      <c r="D265" s="2">
        <v>17476</v>
      </c>
      <c r="E265" s="2">
        <v>20301</v>
      </c>
      <c r="F265" s="2">
        <v>45718</v>
      </c>
      <c r="G265" s="2">
        <v>50708</v>
      </c>
      <c r="H265" s="2">
        <v>75376</v>
      </c>
      <c r="I265" s="2">
        <v>101406</v>
      </c>
      <c r="J265" s="2">
        <v>140038</v>
      </c>
      <c r="K265" s="2">
        <v>161239</v>
      </c>
      <c r="L265" s="2">
        <v>161062</v>
      </c>
      <c r="M265" s="2">
        <v>159493</v>
      </c>
      <c r="N265" s="2">
        <v>188972</v>
      </c>
      <c r="O265" s="2">
        <v>258818.69</v>
      </c>
      <c r="P265" s="2">
        <v>274952.28000000003</v>
      </c>
      <c r="Q265" s="2">
        <v>298656.89</v>
      </c>
      <c r="R265" s="2">
        <v>350805.77</v>
      </c>
      <c r="S265" s="2">
        <v>349595.49</v>
      </c>
      <c r="T265" s="2">
        <v>302795</v>
      </c>
    </row>
    <row r="266" spans="1:21" x14ac:dyDescent="0.25">
      <c r="A266" t="s">
        <v>315</v>
      </c>
      <c r="B266" s="2">
        <v>3746</v>
      </c>
      <c r="C266" s="2">
        <v>8265</v>
      </c>
      <c r="D266" s="2">
        <v>8227</v>
      </c>
      <c r="E266" s="2">
        <v>7694</v>
      </c>
      <c r="F266" s="2">
        <v>24743</v>
      </c>
      <c r="G266" s="2">
        <v>23495</v>
      </c>
      <c r="H266" s="2">
        <v>23414</v>
      </c>
      <c r="I266" s="2">
        <v>31816</v>
      </c>
      <c r="J266" s="2">
        <v>48744</v>
      </c>
      <c r="K266" s="2">
        <v>67150</v>
      </c>
      <c r="L266" s="2">
        <v>58314</v>
      </c>
      <c r="M266" s="2">
        <v>52623</v>
      </c>
      <c r="N266" s="2">
        <v>65648</v>
      </c>
      <c r="O266" s="2">
        <v>126297.75</v>
      </c>
      <c r="P266" s="2">
        <v>137426.91</v>
      </c>
      <c r="Q266" s="2">
        <v>144486.38</v>
      </c>
      <c r="R266" s="2">
        <v>145456.31</v>
      </c>
      <c r="S266" s="2">
        <v>146859.44</v>
      </c>
      <c r="T266" s="2">
        <v>166109.09</v>
      </c>
      <c r="U266" s="2">
        <v>128956</v>
      </c>
    </row>
    <row r="267" spans="1:21" x14ac:dyDescent="0.25">
      <c r="A267" t="s">
        <v>165</v>
      </c>
      <c r="B267" s="2">
        <v>5181</v>
      </c>
      <c r="C267" s="2">
        <v>12489</v>
      </c>
      <c r="D267" s="2">
        <v>14175</v>
      </c>
      <c r="E267" s="2">
        <v>15213</v>
      </c>
      <c r="F267" s="2">
        <v>37926</v>
      </c>
      <c r="G267" s="2">
        <v>39787</v>
      </c>
      <c r="H267" s="2">
        <v>63205</v>
      </c>
      <c r="I267" s="2">
        <v>84389</v>
      </c>
      <c r="J267" s="2">
        <v>116395</v>
      </c>
      <c r="K267" s="2">
        <v>140118</v>
      </c>
      <c r="L267" s="2">
        <v>135611</v>
      </c>
      <c r="M267" s="2">
        <v>130900</v>
      </c>
      <c r="N267" s="2">
        <v>152987</v>
      </c>
      <c r="O267" s="2">
        <v>207544.43</v>
      </c>
      <c r="P267" s="2">
        <v>216300.2</v>
      </c>
      <c r="Q267" s="2">
        <v>216750.14</v>
      </c>
      <c r="R267" s="2">
        <v>227877.15</v>
      </c>
      <c r="S267" s="2">
        <v>235004.87</v>
      </c>
      <c r="T267" s="2">
        <v>374812.65</v>
      </c>
      <c r="U267" s="2">
        <v>400071.39</v>
      </c>
    </row>
    <row r="268" spans="1:21" x14ac:dyDescent="0.25">
      <c r="A268" t="s">
        <v>1014</v>
      </c>
      <c r="H268" s="2">
        <v>39791</v>
      </c>
      <c r="I268" s="2">
        <v>52573</v>
      </c>
      <c r="J268" s="2">
        <v>67651</v>
      </c>
      <c r="K268" s="2">
        <v>72968</v>
      </c>
      <c r="L268" s="2">
        <v>77297</v>
      </c>
      <c r="M268" s="2">
        <v>78277</v>
      </c>
      <c r="N268" s="2">
        <v>87339</v>
      </c>
      <c r="O268" s="2">
        <v>85303.41</v>
      </c>
      <c r="P268" s="2">
        <v>93734.1</v>
      </c>
      <c r="Q268" s="2">
        <v>102164.01</v>
      </c>
      <c r="R268" s="2">
        <v>117050.06</v>
      </c>
      <c r="S268" s="2">
        <v>122279.79</v>
      </c>
      <c r="T268" s="2">
        <v>126653.03</v>
      </c>
      <c r="U268" s="2">
        <v>150517.75</v>
      </c>
    </row>
    <row r="269" spans="1:21" x14ac:dyDescent="0.25">
      <c r="A269" t="s">
        <v>1015</v>
      </c>
      <c r="B269" s="2">
        <v>1435</v>
      </c>
      <c r="C269" s="2">
        <v>4224</v>
      </c>
      <c r="D269" s="2">
        <v>5948</v>
      </c>
      <c r="E269" s="2">
        <v>7519</v>
      </c>
      <c r="F269" s="2">
        <v>13183</v>
      </c>
      <c r="G269" s="2">
        <v>16292</v>
      </c>
      <c r="H269" s="2">
        <v>17095</v>
      </c>
      <c r="I269" s="2">
        <v>18060</v>
      </c>
      <c r="J269" s="2">
        <v>15670</v>
      </c>
      <c r="K269" s="2">
        <v>11386</v>
      </c>
      <c r="L269" s="2">
        <v>10077</v>
      </c>
      <c r="M269" s="2">
        <v>9227</v>
      </c>
      <c r="N269" s="2">
        <v>10742</v>
      </c>
      <c r="O269" s="2">
        <v>19893.66</v>
      </c>
      <c r="P269" s="2">
        <v>20053.7</v>
      </c>
      <c r="Q269" s="2">
        <v>20213.48</v>
      </c>
      <c r="R269" s="2">
        <v>20390.88</v>
      </c>
      <c r="S269" s="2">
        <v>20585.38</v>
      </c>
    </row>
    <row r="270" spans="1:21" x14ac:dyDescent="0.25">
      <c r="A270" t="s">
        <v>1016</v>
      </c>
      <c r="H270" s="2">
        <v>22696</v>
      </c>
      <c r="I270" s="2">
        <v>34513</v>
      </c>
      <c r="J270" s="2">
        <v>51981</v>
      </c>
      <c r="K270" s="2">
        <v>61582</v>
      </c>
      <c r="L270" s="2">
        <v>67220</v>
      </c>
      <c r="M270" s="2">
        <v>69050</v>
      </c>
      <c r="N270" s="2">
        <v>76597</v>
      </c>
      <c r="O270" s="2">
        <v>16925.47</v>
      </c>
      <c r="P270" s="2">
        <v>15337.82</v>
      </c>
      <c r="Q270" s="2">
        <v>13948.27</v>
      </c>
      <c r="R270" s="2">
        <v>13311.43</v>
      </c>
      <c r="S270" s="2">
        <v>13234.38</v>
      </c>
    </row>
    <row r="271" spans="1:21" x14ac:dyDescent="0.25">
      <c r="A271" t="s">
        <v>502</v>
      </c>
      <c r="B271" s="2">
        <v>4242</v>
      </c>
      <c r="C271" s="2">
        <v>7410</v>
      </c>
      <c r="D271" s="2">
        <v>9249</v>
      </c>
      <c r="E271" s="2">
        <v>12607</v>
      </c>
      <c r="F271" s="2">
        <v>20975</v>
      </c>
      <c r="G271" s="2">
        <v>17563</v>
      </c>
      <c r="H271" s="2">
        <v>12171</v>
      </c>
      <c r="I271" s="2">
        <v>17017</v>
      </c>
      <c r="J271" s="2">
        <v>23643</v>
      </c>
      <c r="K271" s="2">
        <v>21121</v>
      </c>
      <c r="L271" s="2">
        <v>25451</v>
      </c>
      <c r="M271" s="2">
        <v>28593</v>
      </c>
      <c r="N271" s="2">
        <v>35985</v>
      </c>
      <c r="O271" s="2">
        <v>72032.460000000006</v>
      </c>
      <c r="P271" s="2">
        <v>77004.75</v>
      </c>
      <c r="Q271" s="2">
        <v>81649.11</v>
      </c>
      <c r="R271" s="2">
        <v>69635.27</v>
      </c>
      <c r="S271" s="2">
        <v>72438.25</v>
      </c>
      <c r="T271" s="2">
        <v>83326.81</v>
      </c>
      <c r="U271" s="2">
        <v>69173.67</v>
      </c>
    </row>
    <row r="272" spans="1:21" x14ac:dyDescent="0.25">
      <c r="A272" t="s">
        <v>167</v>
      </c>
      <c r="B272" s="2">
        <v>30413</v>
      </c>
      <c r="C272" s="2">
        <v>43764</v>
      </c>
      <c r="D272" s="2">
        <v>51363</v>
      </c>
      <c r="E272" s="2">
        <v>64117</v>
      </c>
      <c r="F272" s="2">
        <v>103601</v>
      </c>
      <c r="G272" s="2">
        <v>119099</v>
      </c>
      <c r="H272" s="2">
        <v>163188</v>
      </c>
      <c r="I272" s="2">
        <v>227791</v>
      </c>
      <c r="J272" s="2">
        <v>282304</v>
      </c>
      <c r="K272" s="2">
        <v>316632</v>
      </c>
      <c r="L272" s="2">
        <v>325979</v>
      </c>
      <c r="M272" s="2">
        <v>338924</v>
      </c>
      <c r="N272" s="2">
        <v>406977</v>
      </c>
      <c r="O272" s="2">
        <v>517351.34</v>
      </c>
      <c r="P272" s="2">
        <v>552997.51</v>
      </c>
      <c r="Q272" s="2">
        <v>598082.21</v>
      </c>
      <c r="R272" s="2">
        <v>627808.31000000006</v>
      </c>
      <c r="S272" s="2">
        <v>667765.56000000006</v>
      </c>
      <c r="T272" s="2">
        <v>780217.35</v>
      </c>
      <c r="U272" s="2">
        <v>787653.86</v>
      </c>
    </row>
    <row r="273" spans="1:21" x14ac:dyDescent="0.25">
      <c r="A273" t="s">
        <v>319</v>
      </c>
      <c r="B273" s="2">
        <v>9746</v>
      </c>
      <c r="C273" s="2">
        <v>10741</v>
      </c>
      <c r="D273" s="2">
        <v>13384</v>
      </c>
      <c r="E273" s="2">
        <v>19285</v>
      </c>
      <c r="F273" s="2">
        <v>27709</v>
      </c>
      <c r="G273" s="2">
        <v>43549</v>
      </c>
      <c r="H273" s="2">
        <v>62060</v>
      </c>
      <c r="I273" s="2">
        <v>93404</v>
      </c>
      <c r="J273" s="2">
        <v>138245</v>
      </c>
      <c r="K273" s="2">
        <v>146043</v>
      </c>
      <c r="L273" s="2">
        <v>201875</v>
      </c>
      <c r="M273" s="2">
        <v>285970</v>
      </c>
      <c r="N273" s="2">
        <v>411065</v>
      </c>
      <c r="O273" s="2">
        <v>591367.97</v>
      </c>
      <c r="P273" s="2">
        <v>730968.3</v>
      </c>
      <c r="Q273" s="2">
        <v>913658.04</v>
      </c>
      <c r="R273" s="2">
        <v>1100944.94</v>
      </c>
      <c r="S273" s="2">
        <v>1346980.6</v>
      </c>
      <c r="T273" s="2">
        <v>1713937.3</v>
      </c>
      <c r="U273" s="2">
        <v>2010918.83</v>
      </c>
    </row>
    <row r="274" spans="1:21" x14ac:dyDescent="0.25">
      <c r="A274" t="s">
        <v>171</v>
      </c>
      <c r="B274">
        <v>5</v>
      </c>
      <c r="C274">
        <v>5</v>
      </c>
      <c r="D274">
        <v>5</v>
      </c>
      <c r="E274">
        <v>5</v>
      </c>
      <c r="F274">
        <v>5</v>
      </c>
      <c r="G274">
        <v>5</v>
      </c>
      <c r="H274">
        <v>5</v>
      </c>
      <c r="I274">
        <v>5</v>
      </c>
      <c r="J274">
        <v>106</v>
      </c>
      <c r="K274">
        <v>108</v>
      </c>
      <c r="L274">
        <v>109</v>
      </c>
      <c r="M274">
        <v>111</v>
      </c>
      <c r="N274">
        <v>112</v>
      </c>
      <c r="O274">
        <v>112.71</v>
      </c>
      <c r="P274">
        <v>112.72</v>
      </c>
      <c r="Q274">
        <v>112.67</v>
      </c>
      <c r="R274">
        <v>112.6</v>
      </c>
      <c r="S274">
        <v>112.6</v>
      </c>
      <c r="T274">
        <v>112.67</v>
      </c>
      <c r="U274">
        <v>112.75</v>
      </c>
    </row>
    <row r="275" spans="1:21" x14ac:dyDescent="0.25">
      <c r="A275" t="s">
        <v>325</v>
      </c>
      <c r="B275" s="2">
        <v>1837</v>
      </c>
      <c r="C275" s="2">
        <v>1837</v>
      </c>
      <c r="D275" s="2">
        <v>1837</v>
      </c>
      <c r="E275" s="2">
        <v>1837</v>
      </c>
      <c r="F275" s="2">
        <v>1837</v>
      </c>
      <c r="G275" s="2">
        <v>1837</v>
      </c>
      <c r="H275" s="2">
        <v>1837</v>
      </c>
      <c r="I275" s="2">
        <v>1837</v>
      </c>
      <c r="J275" s="2">
        <v>1837</v>
      </c>
      <c r="K275" s="2">
        <v>7837</v>
      </c>
      <c r="L275" s="2">
        <v>7837</v>
      </c>
      <c r="M275" s="2">
        <v>7837</v>
      </c>
      <c r="N275" s="2">
        <v>7837</v>
      </c>
      <c r="O275" s="2">
        <v>7837</v>
      </c>
      <c r="P275" s="2">
        <v>7837</v>
      </c>
      <c r="Q275" s="2">
        <v>7837</v>
      </c>
      <c r="R275" s="2">
        <v>7837</v>
      </c>
      <c r="S275" s="2">
        <v>7837</v>
      </c>
      <c r="T275" s="2">
        <v>7837</v>
      </c>
      <c r="U275" s="2">
        <v>7837</v>
      </c>
    </row>
    <row r="276" spans="1:21" x14ac:dyDescent="0.25">
      <c r="A276" t="s">
        <v>503</v>
      </c>
      <c r="B276" s="2">
        <v>9573</v>
      </c>
      <c r="C276" s="2">
        <v>11135</v>
      </c>
      <c r="D276" s="2">
        <v>13394</v>
      </c>
      <c r="E276" s="2">
        <v>17186</v>
      </c>
      <c r="F276" s="2">
        <v>21389</v>
      </c>
      <c r="G276" s="2">
        <v>26791</v>
      </c>
      <c r="H276" s="2">
        <v>33658</v>
      </c>
      <c r="I276" s="2">
        <v>42865</v>
      </c>
      <c r="J276" s="2">
        <v>55437</v>
      </c>
      <c r="K276" s="2">
        <v>75066</v>
      </c>
      <c r="L276" s="2">
        <v>99025</v>
      </c>
      <c r="M276" s="2">
        <v>120864</v>
      </c>
      <c r="N276" s="2">
        <v>140024</v>
      </c>
      <c r="O276" s="2">
        <v>157960.85</v>
      </c>
      <c r="P276" s="2">
        <v>177845.71</v>
      </c>
      <c r="Q276" s="2">
        <v>196299.94</v>
      </c>
      <c r="R276" s="2">
        <v>221354.8</v>
      </c>
      <c r="S276" s="2">
        <v>247662.48</v>
      </c>
      <c r="T276" s="2">
        <v>311723.15000000002</v>
      </c>
      <c r="U276" s="2">
        <v>340473.28</v>
      </c>
    </row>
    <row r="277" spans="1:21" x14ac:dyDescent="0.25">
      <c r="A277" t="s">
        <v>809</v>
      </c>
      <c r="B277">
        <v>-185</v>
      </c>
      <c r="C277">
        <v>-511</v>
      </c>
      <c r="D277">
        <v>-723</v>
      </c>
      <c r="E277">
        <v>-985</v>
      </c>
      <c r="F277">
        <v>-484</v>
      </c>
      <c r="G277" s="2">
        <v>-1035</v>
      </c>
      <c r="H277">
        <v>-986</v>
      </c>
      <c r="I277">
        <v>-180</v>
      </c>
      <c r="J277" s="2">
        <v>-1376</v>
      </c>
      <c r="K277" s="2">
        <v>-4487</v>
      </c>
      <c r="L277" s="2">
        <v>-3040</v>
      </c>
      <c r="M277">
        <v>-34</v>
      </c>
      <c r="N277" s="2">
        <v>28230</v>
      </c>
      <c r="O277" s="2">
        <v>68842.58</v>
      </c>
      <c r="P277" s="2">
        <v>71761.78</v>
      </c>
      <c r="Q277" s="2">
        <v>83635.210000000006</v>
      </c>
      <c r="R277" s="2">
        <v>130317.37</v>
      </c>
      <c r="S277" s="2">
        <v>165609.78</v>
      </c>
      <c r="T277" s="2">
        <v>259079.06</v>
      </c>
      <c r="U277" s="2">
        <v>66287</v>
      </c>
    </row>
    <row r="278" spans="1:21" x14ac:dyDescent="0.25">
      <c r="A278" t="s">
        <v>173</v>
      </c>
      <c r="B278" s="2">
        <v>2190</v>
      </c>
      <c r="C278" s="2">
        <v>1949</v>
      </c>
      <c r="D278" s="2">
        <v>2545</v>
      </c>
      <c r="E278" s="2">
        <v>4916</v>
      </c>
      <c r="F278" s="2">
        <v>8636</v>
      </c>
      <c r="G278" s="2">
        <v>19625</v>
      </c>
      <c r="H278" s="2">
        <v>31220</v>
      </c>
      <c r="I278" s="2">
        <v>52551</v>
      </c>
      <c r="J278" s="2">
        <v>85915</v>
      </c>
      <c r="K278" s="2">
        <v>83193</v>
      </c>
      <c r="L278" s="2">
        <v>113618</v>
      </c>
      <c r="M278" s="2">
        <v>172866</v>
      </c>
      <c r="N278" s="2">
        <v>250536</v>
      </c>
      <c r="O278" s="2">
        <v>386852.44</v>
      </c>
      <c r="P278" s="2">
        <v>503778.06</v>
      </c>
      <c r="Q278" s="2">
        <v>649821.93999999994</v>
      </c>
      <c r="R278" s="2">
        <v>814894.91</v>
      </c>
      <c r="S278" s="2">
        <v>1023823.91</v>
      </c>
      <c r="T278" s="2">
        <v>1273074.97</v>
      </c>
      <c r="U278" s="2">
        <v>1933429.82</v>
      </c>
    </row>
    <row r="279" spans="1:21" x14ac:dyDescent="0.25">
      <c r="A279" t="s">
        <v>326</v>
      </c>
      <c r="B279" s="2">
        <v>39528</v>
      </c>
      <c r="C279" s="2">
        <v>53618</v>
      </c>
      <c r="D279" s="2">
        <v>64747</v>
      </c>
      <c r="E279" s="2">
        <v>83402</v>
      </c>
      <c r="F279" s="2">
        <v>131310</v>
      </c>
      <c r="G279" s="2">
        <v>162648</v>
      </c>
      <c r="H279" s="2">
        <v>225248</v>
      </c>
      <c r="I279" s="2">
        <v>321195</v>
      </c>
      <c r="J279" s="2">
        <v>420549</v>
      </c>
      <c r="K279" s="2">
        <v>462675</v>
      </c>
      <c r="L279" s="2">
        <v>527854</v>
      </c>
      <c r="M279" s="2">
        <v>624894</v>
      </c>
      <c r="N279" s="2">
        <v>818042</v>
      </c>
      <c r="O279" s="2">
        <v>1125336.51</v>
      </c>
      <c r="P279" s="2">
        <v>1297851.8999999999</v>
      </c>
      <c r="Q279" s="2">
        <v>1511326.03</v>
      </c>
      <c r="R279" s="2">
        <v>1711061.42</v>
      </c>
      <c r="S279" s="2">
        <v>2002425.11</v>
      </c>
      <c r="T279" s="2">
        <v>2416438.63</v>
      </c>
      <c r="U279" s="2">
        <v>2734461.77</v>
      </c>
    </row>
    <row r="280" spans="1:21" x14ac:dyDescent="0.25">
      <c r="A280" t="s">
        <v>17</v>
      </c>
    </row>
    <row r="281" spans="1:21" x14ac:dyDescent="0.25">
      <c r="A281" t="s">
        <v>176</v>
      </c>
    </row>
    <row r="282" spans="1:21" x14ac:dyDescent="0.25">
      <c r="A282" t="s">
        <v>331</v>
      </c>
      <c r="B282" s="2">
        <v>3214</v>
      </c>
      <c r="C282" s="2">
        <v>9881</v>
      </c>
      <c r="D282" s="2">
        <v>8562</v>
      </c>
      <c r="E282" s="2">
        <v>8838</v>
      </c>
      <c r="F282" s="2">
        <v>24942</v>
      </c>
      <c r="G282" s="2">
        <v>24965</v>
      </c>
      <c r="H282" s="2">
        <v>24820</v>
      </c>
      <c r="I282" s="2">
        <v>33174</v>
      </c>
      <c r="J282" s="2">
        <v>50553</v>
      </c>
      <c r="K282" s="2">
        <v>70542</v>
      </c>
      <c r="L282" s="2">
        <v>67182</v>
      </c>
      <c r="M282" s="2">
        <v>58000</v>
      </c>
      <c r="N282" s="2">
        <v>68836</v>
      </c>
      <c r="O282" s="2">
        <v>104551.33</v>
      </c>
      <c r="P282" s="2">
        <v>99857.33</v>
      </c>
      <c r="Q282" s="2">
        <v>98273.33</v>
      </c>
      <c r="R282" s="2">
        <v>123660</v>
      </c>
      <c r="S282" s="2">
        <v>122160</v>
      </c>
      <c r="T282" s="2">
        <v>132452</v>
      </c>
      <c r="U282" s="2">
        <v>132452</v>
      </c>
    </row>
    <row r="283" spans="1:21" x14ac:dyDescent="0.25">
      <c r="A283" t="s">
        <v>1017</v>
      </c>
      <c r="H283">
        <v>-101</v>
      </c>
      <c r="I283">
        <v>-203</v>
      </c>
      <c r="J283">
        <v>-318</v>
      </c>
      <c r="K283">
        <v>-393</v>
      </c>
      <c r="L283">
        <v>-374</v>
      </c>
      <c r="M283">
        <v>-360</v>
      </c>
      <c r="N283">
        <v>-440</v>
      </c>
      <c r="O283">
        <v>-677.8</v>
      </c>
      <c r="P283">
        <v>-677.8</v>
      </c>
      <c r="Q283">
        <v>-665.75</v>
      </c>
      <c r="R283">
        <v>-741</v>
      </c>
      <c r="S283">
        <v>-741</v>
      </c>
      <c r="T283">
        <v>-748.5</v>
      </c>
      <c r="U283">
        <v>-748.5</v>
      </c>
    </row>
    <row r="284" spans="1:21" x14ac:dyDescent="0.25">
      <c r="A284" t="s">
        <v>757</v>
      </c>
      <c r="B284">
        <v>0.75</v>
      </c>
      <c r="C284">
        <v>0.82</v>
      </c>
      <c r="D284">
        <v>0.75</v>
      </c>
      <c r="E284">
        <v>0.78</v>
      </c>
      <c r="F284">
        <v>0.76</v>
      </c>
      <c r="G284">
        <v>0.85</v>
      </c>
      <c r="H284">
        <v>0.86</v>
      </c>
      <c r="I284">
        <v>0.86</v>
      </c>
      <c r="J284">
        <v>0.91</v>
      </c>
      <c r="K284">
        <v>0.72</v>
      </c>
      <c r="L284">
        <v>0.84</v>
      </c>
      <c r="M284">
        <v>0.87</v>
      </c>
      <c r="N284">
        <v>0.88</v>
      </c>
      <c r="O284">
        <v>18.399999999999999</v>
      </c>
      <c r="P284">
        <v>18.38</v>
      </c>
      <c r="Q284">
        <v>22.98</v>
      </c>
      <c r="R284">
        <v>0.92</v>
      </c>
      <c r="S284">
        <v>1.27</v>
      </c>
      <c r="T284">
        <v>1.72</v>
      </c>
      <c r="U284">
        <v>2.27</v>
      </c>
    </row>
    <row r="285" spans="1:21" x14ac:dyDescent="0.25">
      <c r="A285" t="s">
        <v>179</v>
      </c>
      <c r="B285">
        <v>0.76</v>
      </c>
      <c r="C285">
        <v>-0.52</v>
      </c>
      <c r="D285">
        <v>1.01</v>
      </c>
      <c r="E285">
        <v>3.2</v>
      </c>
      <c r="F285">
        <v>2.83</v>
      </c>
      <c r="G285">
        <v>6.85</v>
      </c>
      <c r="H285">
        <v>5.97</v>
      </c>
      <c r="I285">
        <v>7.81</v>
      </c>
      <c r="J285">
        <v>9</v>
      </c>
      <c r="K285">
        <v>-0.62</v>
      </c>
      <c r="L285">
        <v>6.14</v>
      </c>
      <c r="M285">
        <v>10.28</v>
      </c>
      <c r="N285">
        <v>10.77</v>
      </c>
      <c r="O285">
        <v>15.02</v>
      </c>
      <c r="P285">
        <v>10.34</v>
      </c>
      <c r="Q285">
        <v>11.92</v>
      </c>
      <c r="R285">
        <v>10.029999999999999</v>
      </c>
      <c r="S285">
        <v>10.19</v>
      </c>
    </row>
    <row r="286" spans="1:21" x14ac:dyDescent="0.25">
      <c r="A286" t="s">
        <v>1018</v>
      </c>
      <c r="B286">
        <v>3.05</v>
      </c>
      <c r="C286">
        <v>-2.35</v>
      </c>
      <c r="D286">
        <v>4.9400000000000004</v>
      </c>
      <c r="E286">
        <v>14.52</v>
      </c>
      <c r="F286">
        <v>12.91</v>
      </c>
      <c r="G286">
        <v>28.27</v>
      </c>
      <c r="H286">
        <v>21.95</v>
      </c>
      <c r="I286">
        <v>27.44</v>
      </c>
      <c r="J286">
        <v>28.81</v>
      </c>
      <c r="K286">
        <v>-1.91</v>
      </c>
      <c r="L286">
        <v>17.489999999999998</v>
      </c>
      <c r="M286">
        <v>24.29</v>
      </c>
      <c r="N286">
        <v>22.29</v>
      </c>
      <c r="O286">
        <v>26.95</v>
      </c>
      <c r="P286">
        <v>17.91</v>
      </c>
      <c r="Q286">
        <v>324.49</v>
      </c>
      <c r="R286">
        <v>591.99</v>
      </c>
      <c r="S286">
        <v>557.01</v>
      </c>
      <c r="T286" s="2">
        <v>1541.17</v>
      </c>
      <c r="U286" s="2">
        <v>1448.7</v>
      </c>
    </row>
    <row r="287" spans="1:21" x14ac:dyDescent="0.25">
      <c r="A287" t="s">
        <v>327</v>
      </c>
      <c r="B287">
        <v>2.0699999999999998</v>
      </c>
      <c r="C287">
        <v>1.91</v>
      </c>
      <c r="D287">
        <v>1.81</v>
      </c>
      <c r="E287">
        <v>1.84</v>
      </c>
      <c r="F287">
        <v>1.66</v>
      </c>
      <c r="G287">
        <v>1.58</v>
      </c>
      <c r="H287">
        <v>1.45</v>
      </c>
      <c r="I287">
        <v>1.41</v>
      </c>
      <c r="J287">
        <v>1.27</v>
      </c>
      <c r="K287">
        <v>1.1599999999999999</v>
      </c>
      <c r="L287">
        <v>1.1599999999999999</v>
      </c>
      <c r="M287">
        <v>1.1100000000000001</v>
      </c>
      <c r="N287">
        <v>0.99</v>
      </c>
      <c r="O287">
        <v>0.84</v>
      </c>
      <c r="P287">
        <v>0.83</v>
      </c>
      <c r="Q287">
        <v>0.9</v>
      </c>
      <c r="R287">
        <v>1.02</v>
      </c>
      <c r="S287">
        <v>1.04</v>
      </c>
      <c r="T287">
        <v>0.95</v>
      </c>
      <c r="U287">
        <v>0.92</v>
      </c>
    </row>
    <row r="288" spans="1:21" x14ac:dyDescent="0.25">
      <c r="A288" t="s">
        <v>1019</v>
      </c>
      <c r="B288" s="2">
        <v>36041.5</v>
      </c>
      <c r="C288" s="2">
        <v>46573</v>
      </c>
      <c r="D288" s="2">
        <v>59182.5</v>
      </c>
      <c r="E288" s="2">
        <v>74074.5</v>
      </c>
      <c r="F288" s="2">
        <v>107356</v>
      </c>
      <c r="G288" s="2">
        <v>146979</v>
      </c>
      <c r="H288" s="2">
        <v>193948</v>
      </c>
      <c r="I288" s="2">
        <v>273221.5</v>
      </c>
      <c r="J288" s="2">
        <v>370872</v>
      </c>
      <c r="K288" s="2">
        <v>441612</v>
      </c>
      <c r="L288" s="2">
        <v>495264.5</v>
      </c>
      <c r="M288" s="2">
        <v>576374</v>
      </c>
      <c r="N288" s="2">
        <v>721468</v>
      </c>
      <c r="O288" s="2">
        <v>1004049.59</v>
      </c>
      <c r="P288" s="2">
        <v>1266890.6599999999</v>
      </c>
      <c r="Q288" s="2">
        <v>1404588.97</v>
      </c>
      <c r="R288" s="2">
        <v>1611193.72</v>
      </c>
      <c r="S288" s="2">
        <v>1856743.26</v>
      </c>
      <c r="T288" s="2">
        <v>2209431.87</v>
      </c>
      <c r="U288" s="2">
        <v>2575450.2000000002</v>
      </c>
    </row>
    <row r="289" spans="1:21" x14ac:dyDescent="0.25">
      <c r="A289" t="s">
        <v>914</v>
      </c>
      <c r="B289">
        <v>23.37</v>
      </c>
      <c r="C289">
        <v>23.02</v>
      </c>
      <c r="D289">
        <v>19.29</v>
      </c>
      <c r="E289">
        <v>22.44</v>
      </c>
      <c r="F289">
        <v>27.01</v>
      </c>
      <c r="G289">
        <v>26.14</v>
      </c>
      <c r="H289">
        <v>27.08</v>
      </c>
      <c r="I289">
        <v>23.27</v>
      </c>
      <c r="J289">
        <v>25.55</v>
      </c>
      <c r="K289">
        <v>30.08</v>
      </c>
      <c r="L289">
        <v>33.18</v>
      </c>
      <c r="M289">
        <v>31.81</v>
      </c>
      <c r="N289">
        <v>34.479999999999997</v>
      </c>
      <c r="O289">
        <v>34.28</v>
      </c>
      <c r="P289">
        <v>35.520000000000003</v>
      </c>
      <c r="Q289">
        <v>33.71</v>
      </c>
      <c r="R289">
        <v>33.36</v>
      </c>
      <c r="S289">
        <v>32.94</v>
      </c>
      <c r="T289">
        <v>32.79</v>
      </c>
      <c r="U289">
        <v>31.38</v>
      </c>
    </row>
    <row r="290" spans="1:21" x14ac:dyDescent="0.25">
      <c r="A290" t="s">
        <v>1020</v>
      </c>
      <c r="B290" s="2">
        <v>2000</v>
      </c>
      <c r="C290" s="2">
        <v>2000</v>
      </c>
      <c r="D290" s="2">
        <v>2000</v>
      </c>
      <c r="E290" s="2">
        <v>5000</v>
      </c>
      <c r="F290" s="2">
        <v>5000</v>
      </c>
      <c r="G290" s="2">
        <v>5000</v>
      </c>
      <c r="H290" s="2">
        <v>5000</v>
      </c>
      <c r="I290" s="2">
        <v>5000</v>
      </c>
      <c r="J290" s="2">
        <v>5000</v>
      </c>
      <c r="K290" s="2">
        <v>10000</v>
      </c>
      <c r="L290" s="2">
        <v>10000</v>
      </c>
      <c r="M290" s="2">
        <v>10000</v>
      </c>
      <c r="N290" s="2">
        <v>10000</v>
      </c>
      <c r="O290" s="2">
        <v>11000</v>
      </c>
    </row>
    <row r="291" spans="1:21" x14ac:dyDescent="0.25">
      <c r="A291" t="s">
        <v>183</v>
      </c>
      <c r="B291" s="2">
        <v>9180</v>
      </c>
      <c r="C291" s="2">
        <v>9300</v>
      </c>
      <c r="D291" s="2">
        <v>9420</v>
      </c>
      <c r="E291" s="2">
        <v>9540</v>
      </c>
      <c r="F291" s="2">
        <v>9680</v>
      </c>
      <c r="G291" s="2">
        <v>9820</v>
      </c>
      <c r="H291" s="2">
        <v>9960</v>
      </c>
      <c r="I291" s="2">
        <v>10060</v>
      </c>
      <c r="J291" s="2">
        <v>10180</v>
      </c>
      <c r="K291" s="2">
        <v>10242</v>
      </c>
      <c r="L291" s="2">
        <v>10383</v>
      </c>
      <c r="M291" s="2">
        <v>10593</v>
      </c>
      <c r="N291" s="2">
        <v>10731</v>
      </c>
      <c r="O291" s="2">
        <v>10856.5</v>
      </c>
      <c r="P291" s="2">
        <v>10931.06</v>
      </c>
      <c r="Q291" s="2">
        <v>11006.12</v>
      </c>
      <c r="R291" s="2">
        <v>11083.94</v>
      </c>
      <c r="S291" s="2">
        <v>11150.91</v>
      </c>
      <c r="T291" s="2">
        <v>11217.89</v>
      </c>
      <c r="U291" s="2">
        <v>11284.88</v>
      </c>
    </row>
    <row r="292" spans="1:21" x14ac:dyDescent="0.25">
      <c r="A292" t="s">
        <v>424</v>
      </c>
      <c r="B292">
        <v>1.05</v>
      </c>
      <c r="C292">
        <v>1.1599999999999999</v>
      </c>
      <c r="D292">
        <v>1.4</v>
      </c>
      <c r="E292">
        <v>1.99</v>
      </c>
      <c r="F292">
        <v>2.81</v>
      </c>
      <c r="G292">
        <v>4.3499999999999996</v>
      </c>
      <c r="H292">
        <v>6.16</v>
      </c>
      <c r="I292">
        <v>9.16</v>
      </c>
      <c r="J292">
        <v>13.42</v>
      </c>
      <c r="K292">
        <v>14.33</v>
      </c>
      <c r="L292">
        <v>19.239999999999998</v>
      </c>
      <c r="M292">
        <v>26.67</v>
      </c>
      <c r="N292">
        <v>37.97</v>
      </c>
      <c r="O292">
        <v>52.78</v>
      </c>
      <c r="P292">
        <v>64.150000000000006</v>
      </c>
      <c r="Q292">
        <v>80.349999999999994</v>
      </c>
      <c r="R292">
        <v>100.76</v>
      </c>
      <c r="S292">
        <v>123.42</v>
      </c>
      <c r="T292">
        <v>165.2</v>
      </c>
    </row>
    <row r="293" spans="1:21" x14ac:dyDescent="0.25">
      <c r="A293" t="s">
        <v>424</v>
      </c>
      <c r="B293">
        <v>1.06</v>
      </c>
      <c r="C293">
        <v>1.1499999999999999</v>
      </c>
      <c r="D293">
        <v>1.42</v>
      </c>
      <c r="E293">
        <v>2.02</v>
      </c>
      <c r="F293">
        <v>2.86</v>
      </c>
      <c r="G293">
        <v>4.43</v>
      </c>
      <c r="H293">
        <v>6.23</v>
      </c>
      <c r="I293">
        <v>9.2799999999999994</v>
      </c>
      <c r="J293">
        <v>13.58</v>
      </c>
      <c r="K293">
        <v>14.26</v>
      </c>
      <c r="L293">
        <v>19.440000000000001</v>
      </c>
      <c r="M293">
        <v>27</v>
      </c>
      <c r="N293">
        <v>38.31</v>
      </c>
      <c r="O293">
        <v>53.62</v>
      </c>
      <c r="P293">
        <v>66.599999999999994</v>
      </c>
      <c r="Q293">
        <v>82.88</v>
      </c>
      <c r="R293">
        <v>99.54</v>
      </c>
      <c r="S293">
        <v>121.59</v>
      </c>
      <c r="T293">
        <v>164.79</v>
      </c>
    </row>
    <row r="294" spans="1:21" x14ac:dyDescent="0.25">
      <c r="A294" t="s">
        <v>1021</v>
      </c>
      <c r="B294" s="2">
        <v>14809</v>
      </c>
      <c r="C294" s="2">
        <v>22730</v>
      </c>
      <c r="D294" s="2">
        <v>30053</v>
      </c>
      <c r="E294" s="2">
        <v>42441</v>
      </c>
      <c r="F294" s="2">
        <v>68573</v>
      </c>
      <c r="G294" s="2">
        <v>95770</v>
      </c>
      <c r="H294" s="2">
        <v>119680</v>
      </c>
      <c r="I294" s="2">
        <v>173548</v>
      </c>
      <c r="J294" s="2">
        <v>238800</v>
      </c>
      <c r="K294" s="2">
        <v>283730</v>
      </c>
      <c r="L294" s="2">
        <v>324288</v>
      </c>
      <c r="M294" s="2">
        <v>394055</v>
      </c>
      <c r="N294" s="2">
        <v>357025</v>
      </c>
      <c r="O294" s="2">
        <v>733142.16</v>
      </c>
      <c r="P294" s="2">
        <v>1015072.79</v>
      </c>
      <c r="Q294" s="2">
        <v>1306813.32</v>
      </c>
      <c r="R294" s="2">
        <v>1520376.55</v>
      </c>
      <c r="S294" s="2">
        <v>1798029.37</v>
      </c>
      <c r="T294" s="2">
        <v>1961435.17</v>
      </c>
      <c r="U294" s="2">
        <v>2081853.8</v>
      </c>
    </row>
    <row r="295" spans="1:21" x14ac:dyDescent="0.25">
      <c r="A295" t="s">
        <v>1022</v>
      </c>
      <c r="B295" s="2">
        <v>4584</v>
      </c>
      <c r="C295" s="2">
        <v>7150</v>
      </c>
      <c r="D295" s="2">
        <v>9770</v>
      </c>
      <c r="E295" s="2">
        <v>13998</v>
      </c>
      <c r="F295" s="2">
        <v>23718</v>
      </c>
      <c r="G295" s="2">
        <v>31741</v>
      </c>
      <c r="H295" s="2">
        <v>39223</v>
      </c>
      <c r="I295" s="2">
        <v>57324</v>
      </c>
      <c r="J295" s="2">
        <v>81104</v>
      </c>
      <c r="K295" s="2">
        <v>91650</v>
      </c>
      <c r="L295" s="2">
        <v>105293</v>
      </c>
      <c r="M295" s="2">
        <v>123039</v>
      </c>
      <c r="N295" s="2">
        <v>155121</v>
      </c>
      <c r="O295" s="2">
        <v>186121.13</v>
      </c>
      <c r="P295" s="2">
        <v>233401.39</v>
      </c>
      <c r="Q295" s="2">
        <v>292728.7</v>
      </c>
      <c r="R295" s="2">
        <v>328439.86</v>
      </c>
      <c r="S295" s="2">
        <v>397034.23</v>
      </c>
      <c r="T295" s="2">
        <v>465628.61</v>
      </c>
      <c r="U295" s="2">
        <v>465628.61</v>
      </c>
    </row>
    <row r="296" spans="1:21" x14ac:dyDescent="0.25">
      <c r="A296" t="s">
        <v>1023</v>
      </c>
      <c r="O296" s="2">
        <v>392001.99</v>
      </c>
      <c r="P296" s="2">
        <v>594155.06999999995</v>
      </c>
      <c r="Q296" s="2">
        <v>863898.8</v>
      </c>
      <c r="R296" s="2">
        <v>921726.31</v>
      </c>
      <c r="S296" s="2">
        <v>1154097.45</v>
      </c>
      <c r="T296" s="2">
        <v>1154097.45</v>
      </c>
      <c r="U296" s="2">
        <v>1154097.45</v>
      </c>
    </row>
    <row r="297" spans="1:21" x14ac:dyDescent="0.25">
      <c r="A297" t="s">
        <v>605</v>
      </c>
      <c r="B297">
        <v>231</v>
      </c>
      <c r="C297">
        <v>304</v>
      </c>
      <c r="D297">
        <v>334</v>
      </c>
      <c r="E297">
        <v>649</v>
      </c>
      <c r="F297" s="2">
        <v>2390</v>
      </c>
      <c r="G297" s="2">
        <v>2577</v>
      </c>
      <c r="H297" s="2">
        <v>3111</v>
      </c>
      <c r="I297" s="2">
        <v>3772</v>
      </c>
      <c r="J297" s="2">
        <v>4118</v>
      </c>
      <c r="K297" s="2">
        <v>4602</v>
      </c>
      <c r="L297" s="2">
        <v>5116</v>
      </c>
      <c r="M297" s="2">
        <v>5487</v>
      </c>
      <c r="N297" s="2">
        <v>5819</v>
      </c>
      <c r="O297" s="2">
        <v>7875.82</v>
      </c>
      <c r="P297" s="2">
        <v>9978.5</v>
      </c>
      <c r="Q297" s="2">
        <v>12861.02</v>
      </c>
      <c r="R297" s="2">
        <v>6987</v>
      </c>
      <c r="S297" s="2">
        <v>7287</v>
      </c>
      <c r="T297" s="2">
        <v>7587</v>
      </c>
      <c r="U297" s="2">
        <v>7887</v>
      </c>
    </row>
    <row r="298" spans="1:21" x14ac:dyDescent="0.25">
      <c r="A298" t="s">
        <v>1024</v>
      </c>
      <c r="B298">
        <v>720</v>
      </c>
      <c r="C298" s="2">
        <v>1063</v>
      </c>
      <c r="D298" s="2">
        <v>1532</v>
      </c>
      <c r="E298" s="2">
        <v>1805</v>
      </c>
      <c r="F298" s="2">
        <v>4078</v>
      </c>
      <c r="G298" s="2">
        <v>6861</v>
      </c>
      <c r="H298" s="2">
        <v>6036</v>
      </c>
      <c r="I298" s="2">
        <v>15228</v>
      </c>
      <c r="J298" s="2">
        <v>24895</v>
      </c>
      <c r="K298" s="2">
        <v>30020</v>
      </c>
      <c r="L298" s="2">
        <v>28840</v>
      </c>
      <c r="M298" s="2">
        <v>46636</v>
      </c>
      <c r="N298" s="2">
        <v>71745</v>
      </c>
      <c r="O298" s="2">
        <v>112954.16</v>
      </c>
      <c r="P298" s="2">
        <v>143579.87</v>
      </c>
      <c r="Q298" s="2">
        <v>165879.35</v>
      </c>
      <c r="R298" s="2">
        <v>226477.34</v>
      </c>
      <c r="S298" s="2">
        <v>239770.51</v>
      </c>
      <c r="T298" s="2">
        <v>253939.81</v>
      </c>
      <c r="U298" s="2">
        <v>265903.64</v>
      </c>
    </row>
    <row r="299" spans="1:21" x14ac:dyDescent="0.25">
      <c r="A299" t="s">
        <v>1025</v>
      </c>
      <c r="B299" s="2">
        <v>3860</v>
      </c>
      <c r="C299" s="2">
        <v>5763</v>
      </c>
      <c r="D299" s="2">
        <v>8215</v>
      </c>
      <c r="E299" s="2">
        <v>13327</v>
      </c>
      <c r="F299" s="2">
        <v>19707</v>
      </c>
      <c r="G299" s="2">
        <v>33973</v>
      </c>
      <c r="H299" s="2">
        <v>46975</v>
      </c>
      <c r="I299" s="2">
        <v>60434</v>
      </c>
      <c r="J299" s="2">
        <v>78519</v>
      </c>
      <c r="K299" s="2">
        <v>97015</v>
      </c>
      <c r="L299" s="2">
        <v>120111</v>
      </c>
      <c r="M299" s="2">
        <v>141390</v>
      </c>
      <c r="N299" s="2">
        <v>177073</v>
      </c>
      <c r="O299" s="2">
        <v>236657.42</v>
      </c>
      <c r="P299" s="2">
        <v>336579.55</v>
      </c>
      <c r="Q299" s="2">
        <v>456672.74</v>
      </c>
      <c r="R299" s="2">
        <v>643371.49</v>
      </c>
      <c r="S299" s="2">
        <v>864515.43</v>
      </c>
      <c r="T299" s="2">
        <v>1124534.07</v>
      </c>
      <c r="U299" s="2">
        <v>1416796.38</v>
      </c>
    </row>
    <row r="300" spans="1:21" x14ac:dyDescent="0.25">
      <c r="A300" t="s">
        <v>1026</v>
      </c>
      <c r="H300" s="2">
        <v>15424</v>
      </c>
      <c r="I300" s="2">
        <v>15326</v>
      </c>
      <c r="J300" s="2">
        <v>19085</v>
      </c>
      <c r="K300" s="2">
        <v>17157</v>
      </c>
      <c r="L300" s="2">
        <v>18918</v>
      </c>
      <c r="M300" s="2">
        <v>18577</v>
      </c>
      <c r="N300" s="2">
        <v>20296</v>
      </c>
    </row>
    <row r="301" spans="1:21" x14ac:dyDescent="0.25">
      <c r="A301" t="s">
        <v>1027</v>
      </c>
      <c r="H301" s="2">
        <v>3669</v>
      </c>
      <c r="I301" s="2">
        <v>5019</v>
      </c>
      <c r="J301" s="2">
        <v>7199</v>
      </c>
      <c r="K301" s="2">
        <v>8847</v>
      </c>
      <c r="L301" s="2">
        <v>10550</v>
      </c>
      <c r="M301" s="2">
        <v>11961</v>
      </c>
      <c r="N301" s="2">
        <v>14006</v>
      </c>
    </row>
    <row r="302" spans="1:21" x14ac:dyDescent="0.25">
      <c r="A302" t="s">
        <v>1028</v>
      </c>
      <c r="H302" s="2">
        <v>10094</v>
      </c>
      <c r="I302" s="2">
        <v>8452</v>
      </c>
      <c r="J302" s="2">
        <v>9857</v>
      </c>
      <c r="K302" s="2">
        <v>6097</v>
      </c>
      <c r="L302" s="2">
        <v>5899</v>
      </c>
      <c r="M302" s="2">
        <v>3866</v>
      </c>
      <c r="N302" s="2">
        <v>3284</v>
      </c>
      <c r="O302" s="2">
        <v>3251.44</v>
      </c>
      <c r="P302" s="2">
        <v>6036.91</v>
      </c>
    </row>
    <row r="303" spans="1:21" x14ac:dyDescent="0.25">
      <c r="A303" t="s">
        <v>1029</v>
      </c>
      <c r="H303">
        <v>695</v>
      </c>
      <c r="I303">
        <v>617</v>
      </c>
      <c r="J303">
        <v>473</v>
      </c>
      <c r="K303">
        <v>361</v>
      </c>
      <c r="L303">
        <v>304</v>
      </c>
      <c r="M303">
        <v>285</v>
      </c>
      <c r="N303">
        <v>312</v>
      </c>
    </row>
    <row r="304" spans="1:21" x14ac:dyDescent="0.25">
      <c r="A304" t="s">
        <v>1030</v>
      </c>
      <c r="H304" s="2">
        <v>10789</v>
      </c>
      <c r="I304" s="2">
        <v>9069</v>
      </c>
      <c r="J304" s="2">
        <v>10330</v>
      </c>
      <c r="K304" s="2">
        <v>6458</v>
      </c>
      <c r="L304" s="2">
        <v>6203</v>
      </c>
      <c r="M304" s="2">
        <v>4151</v>
      </c>
      <c r="N304" s="2">
        <v>3596</v>
      </c>
    </row>
    <row r="305" spans="1:21" x14ac:dyDescent="0.25">
      <c r="A305" t="s">
        <v>1031</v>
      </c>
      <c r="H305">
        <v>966</v>
      </c>
      <c r="I305" s="2">
        <v>1238</v>
      </c>
      <c r="J305" s="2">
        <v>1556</v>
      </c>
      <c r="K305" s="2">
        <v>1852</v>
      </c>
      <c r="L305" s="2">
        <v>2165</v>
      </c>
      <c r="M305" s="2">
        <v>2465</v>
      </c>
      <c r="N305" s="2">
        <v>2694</v>
      </c>
    </row>
    <row r="306" spans="1:21" x14ac:dyDescent="0.25">
      <c r="A306" t="s">
        <v>333</v>
      </c>
      <c r="B306" s="2">
        <v>1645</v>
      </c>
      <c r="C306" s="2">
        <v>3238</v>
      </c>
      <c r="D306" s="2">
        <v>1818</v>
      </c>
      <c r="E306" s="2">
        <v>1965</v>
      </c>
      <c r="F306" s="2">
        <v>2314</v>
      </c>
      <c r="G306" s="2">
        <v>6710</v>
      </c>
      <c r="H306" s="2">
        <v>8522</v>
      </c>
      <c r="I306" s="2">
        <v>6348</v>
      </c>
      <c r="J306" s="2">
        <v>19314</v>
      </c>
      <c r="K306" s="2">
        <v>-8602</v>
      </c>
      <c r="L306" s="2">
        <v>7434</v>
      </c>
      <c r="M306" s="2">
        <v>11436</v>
      </c>
      <c r="N306" s="2">
        <v>11078</v>
      </c>
      <c r="O306" s="2">
        <v>4647.75</v>
      </c>
      <c r="P306" s="2">
        <v>-9583.7999999999993</v>
      </c>
      <c r="Q306" s="2">
        <v>7663.47</v>
      </c>
      <c r="R306" s="2">
        <v>31155.07</v>
      </c>
      <c r="S306" s="2">
        <v>84666.48</v>
      </c>
      <c r="T306" s="2">
        <v>513145.83</v>
      </c>
      <c r="U306" s="2">
        <v>866491.87</v>
      </c>
    </row>
    <row r="307" spans="1:21" x14ac:dyDescent="0.25">
      <c r="A307" t="s">
        <v>17</v>
      </c>
    </row>
    <row r="308" spans="1:21" x14ac:dyDescent="0.25">
      <c r="A308" t="s">
        <v>188</v>
      </c>
    </row>
    <row r="309" spans="1:21" x14ac:dyDescent="0.25">
      <c r="A309" t="s">
        <v>1032</v>
      </c>
    </row>
    <row r="310" spans="1:21" x14ac:dyDescent="0.25">
      <c r="A310" t="s">
        <v>121</v>
      </c>
      <c r="B310">
        <v>274</v>
      </c>
      <c r="C310">
        <v>-241</v>
      </c>
      <c r="D310">
        <v>596</v>
      </c>
      <c r="E310" s="2">
        <v>2371</v>
      </c>
      <c r="F310" s="2">
        <v>2244</v>
      </c>
      <c r="G310" s="2">
        <v>10073</v>
      </c>
      <c r="H310" s="2">
        <v>11588</v>
      </c>
      <c r="I310" s="2">
        <v>21331</v>
      </c>
      <c r="J310" s="2">
        <v>24042</v>
      </c>
      <c r="K310" s="2">
        <v>7311</v>
      </c>
      <c r="L310" s="2">
        <v>29793</v>
      </c>
      <c r="M310" s="2">
        <v>59248</v>
      </c>
      <c r="N310" s="2">
        <v>77670</v>
      </c>
      <c r="O310" s="2">
        <v>137723.75</v>
      </c>
      <c r="P310" s="2">
        <v>118207</v>
      </c>
      <c r="Q310" s="2">
        <v>151555.47</v>
      </c>
      <c r="R310" s="2">
        <v>175183.3</v>
      </c>
      <c r="S310" s="2">
        <v>214140.16</v>
      </c>
      <c r="T310" s="2">
        <v>287229.55</v>
      </c>
      <c r="U310" s="2">
        <v>322584</v>
      </c>
    </row>
    <row r="311" spans="1:21" x14ac:dyDescent="0.25">
      <c r="A311" t="s">
        <v>190</v>
      </c>
      <c r="B311" s="2">
        <v>3253</v>
      </c>
      <c r="C311" s="2">
        <v>4746</v>
      </c>
      <c r="D311" s="2">
        <v>6281</v>
      </c>
      <c r="E311" s="2">
        <v>8116</v>
      </c>
      <c r="F311" s="2">
        <v>11478</v>
      </c>
      <c r="G311" s="2">
        <v>15341</v>
      </c>
      <c r="H311" s="2">
        <v>21789</v>
      </c>
      <c r="I311" s="2">
        <v>25180</v>
      </c>
      <c r="J311" s="2">
        <v>34433</v>
      </c>
      <c r="K311" s="2">
        <v>41921</v>
      </c>
      <c r="L311" s="2">
        <v>48663</v>
      </c>
      <c r="M311" s="2">
        <v>52795</v>
      </c>
      <c r="N311" s="2">
        <v>65756</v>
      </c>
      <c r="O311" s="2">
        <v>85866.83</v>
      </c>
      <c r="P311" s="2">
        <v>113343.94</v>
      </c>
      <c r="Q311" s="2">
        <v>145784.84</v>
      </c>
      <c r="R311" s="2">
        <v>161960.12</v>
      </c>
      <c r="S311" s="2">
        <v>185531.96</v>
      </c>
      <c r="T311" s="2">
        <v>231866.54</v>
      </c>
      <c r="U311" s="2">
        <v>205061.94</v>
      </c>
    </row>
    <row r="312" spans="1:21" x14ac:dyDescent="0.25">
      <c r="A312" t="s">
        <v>819</v>
      </c>
      <c r="B312">
        <v>4.37</v>
      </c>
      <c r="C312">
        <v>5.33</v>
      </c>
      <c r="D312">
        <v>5.87</v>
      </c>
      <c r="E312">
        <v>5.97</v>
      </c>
      <c r="F312">
        <v>6.45</v>
      </c>
      <c r="G312">
        <v>6.59</v>
      </c>
      <c r="H312">
        <v>7.77</v>
      </c>
      <c r="I312">
        <v>6.52</v>
      </c>
      <c r="J312">
        <v>7.33</v>
      </c>
      <c r="K312">
        <v>8.16</v>
      </c>
      <c r="L312">
        <v>8.4700000000000006</v>
      </c>
      <c r="M312">
        <v>8.2799999999999994</v>
      </c>
      <c r="N312">
        <v>9.17</v>
      </c>
      <c r="O312">
        <v>10.4</v>
      </c>
      <c r="P312">
        <v>11.89</v>
      </c>
      <c r="Q312">
        <v>12.91</v>
      </c>
      <c r="R312">
        <v>13.33</v>
      </c>
      <c r="S312">
        <v>13.59</v>
      </c>
      <c r="T312">
        <v>12.45</v>
      </c>
      <c r="U312">
        <v>12.53</v>
      </c>
    </row>
    <row r="313" spans="1:21" x14ac:dyDescent="0.25">
      <c r="A313" t="s">
        <v>67</v>
      </c>
      <c r="B313" s="2">
        <v>1056</v>
      </c>
      <c r="C313" s="2">
        <v>1491</v>
      </c>
      <c r="D313" s="2">
        <v>2119</v>
      </c>
      <c r="E313" s="2">
        <v>2975</v>
      </c>
      <c r="F313" s="2">
        <v>4215</v>
      </c>
      <c r="G313" s="2">
        <v>5418</v>
      </c>
      <c r="H313" s="2">
        <v>6864</v>
      </c>
      <c r="I313" s="2">
        <v>9208</v>
      </c>
      <c r="J313" s="2">
        <v>12757</v>
      </c>
      <c r="K313" s="2">
        <v>19621</v>
      </c>
      <c r="L313" s="2">
        <v>24023</v>
      </c>
      <c r="M313" s="2">
        <v>22011</v>
      </c>
      <c r="N313" s="2">
        <v>19467</v>
      </c>
      <c r="O313" s="2">
        <v>20187.310000000001</v>
      </c>
      <c r="P313" s="2">
        <v>22424.63</v>
      </c>
      <c r="Q313" s="2">
        <v>24683.42</v>
      </c>
      <c r="R313" s="2">
        <v>28364.89</v>
      </c>
      <c r="S313" s="2">
        <v>31427.82</v>
      </c>
      <c r="T313" s="2">
        <v>35001.85</v>
      </c>
      <c r="U313" s="2">
        <v>36777.519999999997</v>
      </c>
    </row>
    <row r="314" spans="1:21" x14ac:dyDescent="0.25">
      <c r="A314" t="s">
        <v>546</v>
      </c>
      <c r="B314">
        <v>-156</v>
      </c>
      <c r="C314">
        <v>-316</v>
      </c>
      <c r="D314">
        <v>81</v>
      </c>
      <c r="E314">
        <v>-246</v>
      </c>
      <c r="F314">
        <v>-29</v>
      </c>
      <c r="G314">
        <v>441</v>
      </c>
      <c r="H314">
        <v>796</v>
      </c>
      <c r="I314">
        <v>-554</v>
      </c>
      <c r="J314">
        <v>-310</v>
      </c>
      <c r="K314" s="2">
        <v>-8148</v>
      </c>
      <c r="L314" s="2">
        <v>-5876</v>
      </c>
      <c r="M314" s="2">
        <v>-4648</v>
      </c>
      <c r="N314" s="2">
        <v>11470</v>
      </c>
      <c r="O314" s="2">
        <v>36127.64</v>
      </c>
      <c r="P314" s="2">
        <v>1488.78</v>
      </c>
      <c r="Q314" s="2">
        <v>1880.52</v>
      </c>
      <c r="R314" s="2">
        <v>-13272.11</v>
      </c>
      <c r="S314" s="2">
        <v>-15174.91</v>
      </c>
      <c r="T314" s="2">
        <v>6791.93</v>
      </c>
    </row>
    <row r="315" spans="1:21" x14ac:dyDescent="0.25">
      <c r="A315" t="s">
        <v>512</v>
      </c>
      <c r="B315">
        <v>280</v>
      </c>
      <c r="C315">
        <v>188</v>
      </c>
      <c r="D315">
        <v>405</v>
      </c>
      <c r="E315">
        <v>140</v>
      </c>
      <c r="F315">
        <v>-90</v>
      </c>
      <c r="G315">
        <v>493</v>
      </c>
      <c r="H315">
        <v>-85</v>
      </c>
      <c r="I315" s="2">
        <v>-2582</v>
      </c>
      <c r="J315" s="2">
        <v>-14306</v>
      </c>
      <c r="K315" s="2">
        <v>16966</v>
      </c>
      <c r="L315">
        <v>-748</v>
      </c>
      <c r="M315" s="2">
        <v>2012</v>
      </c>
      <c r="N315" s="2">
        <v>-14880</v>
      </c>
      <c r="O315" s="2">
        <v>-65347.89</v>
      </c>
      <c r="P315" s="2">
        <v>-4664.67</v>
      </c>
      <c r="Q315" s="2">
        <v>-5367.71</v>
      </c>
      <c r="R315" s="2">
        <v>-5238.84</v>
      </c>
      <c r="S315" s="2">
        <v>-5375.78</v>
      </c>
      <c r="T315" s="2">
        <v>-5519.57</v>
      </c>
      <c r="U315" s="2">
        <v>-5670.54</v>
      </c>
    </row>
    <row r="316" spans="1:21" x14ac:dyDescent="0.25">
      <c r="A316" t="s">
        <v>513</v>
      </c>
    </row>
    <row r="317" spans="1:21" x14ac:dyDescent="0.25">
      <c r="A317" t="s">
        <v>1006</v>
      </c>
      <c r="B317">
        <v>-846</v>
      </c>
      <c r="C317" s="2">
        <v>-1039</v>
      </c>
      <c r="D317" s="2">
        <v>-1755</v>
      </c>
      <c r="E317" s="2">
        <v>-3436</v>
      </c>
      <c r="F317" s="2">
        <v>-4780</v>
      </c>
      <c r="G317" s="2">
        <v>-4615</v>
      </c>
      <c r="H317" s="2">
        <v>-7681</v>
      </c>
      <c r="I317" s="2">
        <v>-8169</v>
      </c>
      <c r="J317" s="2">
        <v>-18163</v>
      </c>
      <c r="K317" s="2">
        <v>-21897</v>
      </c>
      <c r="L317" s="2">
        <v>-8348</v>
      </c>
      <c r="M317" s="2">
        <v>-3249</v>
      </c>
      <c r="N317" s="2">
        <v>-7333</v>
      </c>
      <c r="O317" s="2">
        <v>-4880.63</v>
      </c>
      <c r="P317" s="2">
        <v>-10093.870000000001</v>
      </c>
      <c r="Q317" s="2">
        <v>-11706.13</v>
      </c>
      <c r="R317" s="2">
        <v>-9971.74</v>
      </c>
      <c r="S317" s="2">
        <v>-13286.06</v>
      </c>
      <c r="T317" s="2">
        <v>-14811.15</v>
      </c>
      <c r="U317" s="2">
        <v>-15752.26</v>
      </c>
    </row>
    <row r="318" spans="1:21" x14ac:dyDescent="0.25">
      <c r="A318" t="s">
        <v>340</v>
      </c>
      <c r="B318" s="2">
        <v>-1410</v>
      </c>
      <c r="C318" s="2">
        <v>-1193</v>
      </c>
      <c r="D318" s="2">
        <v>-2187</v>
      </c>
      <c r="E318" s="2">
        <v>-1426</v>
      </c>
      <c r="F318" s="2">
        <v>-3583</v>
      </c>
      <c r="G318" s="2">
        <v>-1314</v>
      </c>
      <c r="H318" s="2">
        <v>-3278</v>
      </c>
      <c r="I318" s="2">
        <v>-2849</v>
      </c>
      <c r="J318" s="2">
        <v>-9487</v>
      </c>
      <c r="K318" s="2">
        <v>-2592</v>
      </c>
      <c r="L318" s="2">
        <v>1449</v>
      </c>
      <c r="M318" s="2">
        <v>-1884</v>
      </c>
      <c r="N318" s="2">
        <v>-3002</v>
      </c>
      <c r="O318" s="2">
        <v>-3777.4</v>
      </c>
      <c r="P318" s="2">
        <v>-4977.3999999999996</v>
      </c>
      <c r="Q318" s="2">
        <v>-3953.24</v>
      </c>
      <c r="R318" s="2">
        <v>-4540.47</v>
      </c>
      <c r="S318" s="2">
        <v>-4647.9799999999996</v>
      </c>
      <c r="T318" s="2">
        <v>-5064.5</v>
      </c>
      <c r="U318" s="2">
        <v>-5752.2</v>
      </c>
    </row>
    <row r="319" spans="1:21" x14ac:dyDescent="0.25">
      <c r="A319" t="s">
        <v>158</v>
      </c>
      <c r="B319" s="2">
        <v>1888</v>
      </c>
      <c r="C319" s="2">
        <v>1759</v>
      </c>
      <c r="D319" s="2">
        <v>4294</v>
      </c>
      <c r="E319" s="2">
        <v>5030</v>
      </c>
      <c r="F319" s="2">
        <v>7100</v>
      </c>
      <c r="G319" s="2">
        <v>3263</v>
      </c>
      <c r="H319" s="2">
        <v>8193</v>
      </c>
      <c r="I319" s="2">
        <v>17480</v>
      </c>
      <c r="J319" s="2">
        <v>3602</v>
      </c>
      <c r="K319" s="2">
        <v>2945</v>
      </c>
      <c r="L319" s="2">
        <v>5473</v>
      </c>
      <c r="M319" s="2">
        <v>2972</v>
      </c>
      <c r="N319" s="2">
        <v>11231</v>
      </c>
      <c r="O319">
        <v>-552.97</v>
      </c>
      <c r="P319" s="2">
        <v>10328.84</v>
      </c>
      <c r="Q319" s="2">
        <v>15275.81</v>
      </c>
      <c r="R319" s="2">
        <v>15548.02</v>
      </c>
      <c r="S319" s="2">
        <v>15784</v>
      </c>
      <c r="T319" s="2">
        <v>13497.97</v>
      </c>
      <c r="U319" s="2">
        <v>13549.19</v>
      </c>
    </row>
    <row r="320" spans="1:21" x14ac:dyDescent="0.25">
      <c r="A320" t="s">
        <v>695</v>
      </c>
      <c r="B320">
        <v>736</v>
      </c>
      <c r="C320">
        <v>706</v>
      </c>
      <c r="D320">
        <v>913</v>
      </c>
      <c r="E320" s="2">
        <v>1724</v>
      </c>
      <c r="F320">
        <v>283</v>
      </c>
      <c r="G320">
        <v>472</v>
      </c>
      <c r="H320" s="2">
        <v>-1383</v>
      </c>
      <c r="I320" s="2">
        <v>5754</v>
      </c>
      <c r="J320" s="2">
        <v>2123</v>
      </c>
      <c r="K320" s="2">
        <v>-1558</v>
      </c>
      <c r="L320" s="2">
        <v>-2428</v>
      </c>
      <c r="M320" s="2">
        <v>-2904</v>
      </c>
      <c r="N320" s="2">
        <v>-5019</v>
      </c>
      <c r="O320" s="2">
        <v>6992.77</v>
      </c>
      <c r="P320" s="2">
        <v>6267.88</v>
      </c>
      <c r="Q320" s="2">
        <v>9780.32</v>
      </c>
      <c r="R320" s="2">
        <v>9413.26</v>
      </c>
      <c r="S320" s="2">
        <v>10447.84</v>
      </c>
      <c r="T320" s="2">
        <v>9055.08</v>
      </c>
      <c r="U320" s="2">
        <v>8963.85</v>
      </c>
    </row>
    <row r="321" spans="1:21" x14ac:dyDescent="0.25">
      <c r="A321" t="s">
        <v>1033</v>
      </c>
      <c r="B321">
        <v>399</v>
      </c>
      <c r="C321">
        <v>741</v>
      </c>
      <c r="D321" s="2">
        <v>1292</v>
      </c>
      <c r="E321" s="2">
        <v>1955</v>
      </c>
      <c r="F321">
        <v>738</v>
      </c>
      <c r="G321" s="2">
        <v>1151</v>
      </c>
      <c r="H321" s="2">
        <v>1711</v>
      </c>
      <c r="I321" s="2">
        <v>1265</v>
      </c>
      <c r="J321" s="2">
        <v>2314</v>
      </c>
      <c r="K321" s="2">
        <v>2216</v>
      </c>
      <c r="L321" s="2">
        <v>4578</v>
      </c>
      <c r="M321" s="2">
        <v>4007</v>
      </c>
      <c r="N321">
        <v>-214</v>
      </c>
      <c r="O321" s="2">
        <v>1100.93</v>
      </c>
      <c r="P321" s="2">
        <v>1449.28</v>
      </c>
      <c r="Q321" s="2">
        <v>2324.83</v>
      </c>
      <c r="R321" s="2">
        <v>2213.61</v>
      </c>
      <c r="S321" s="2">
        <v>2236.42</v>
      </c>
      <c r="T321" s="2">
        <v>3845.84</v>
      </c>
      <c r="U321" s="2">
        <v>4370.22</v>
      </c>
    </row>
    <row r="322" spans="1:21" x14ac:dyDescent="0.25">
      <c r="A322" t="s">
        <v>204</v>
      </c>
      <c r="B322" s="2">
        <v>5475</v>
      </c>
      <c r="C322" s="2">
        <v>6842</v>
      </c>
      <c r="D322" s="2">
        <v>12039</v>
      </c>
      <c r="E322" s="2">
        <v>17203</v>
      </c>
      <c r="F322" s="2">
        <v>18365</v>
      </c>
      <c r="G322" s="2">
        <v>30723</v>
      </c>
      <c r="H322" s="2">
        <v>38514</v>
      </c>
      <c r="I322" s="2">
        <v>66064</v>
      </c>
      <c r="J322" s="2">
        <v>46327</v>
      </c>
      <c r="K322" s="2">
        <v>46752</v>
      </c>
      <c r="L322" s="2">
        <v>84946</v>
      </c>
      <c r="M322" s="2">
        <v>115877</v>
      </c>
      <c r="N322" s="2">
        <v>139514</v>
      </c>
      <c r="O322" s="2">
        <v>199335.38</v>
      </c>
      <c r="P322" s="2">
        <v>245989.29</v>
      </c>
      <c r="Q322" s="2">
        <v>314906.32</v>
      </c>
      <c r="R322" s="2">
        <v>371534.64</v>
      </c>
      <c r="S322" s="2">
        <v>440050.44</v>
      </c>
      <c r="T322" s="2">
        <v>550019.38</v>
      </c>
      <c r="U322" s="2">
        <v>571032.80000000005</v>
      </c>
    </row>
    <row r="323" spans="1:21" x14ac:dyDescent="0.25">
      <c r="A323" t="s">
        <v>17</v>
      </c>
    </row>
    <row r="324" spans="1:21" x14ac:dyDescent="0.25">
      <c r="A324" t="s">
        <v>1034</v>
      </c>
    </row>
    <row r="325" spans="1:21" x14ac:dyDescent="0.25">
      <c r="A325" t="s">
        <v>1035</v>
      </c>
      <c r="B325">
        <v>0</v>
      </c>
      <c r="C325">
        <v>0</v>
      </c>
      <c r="D325">
        <v>798</v>
      </c>
      <c r="E325" s="2">
        <v>1067</v>
      </c>
      <c r="F325" s="2">
        <v>1897</v>
      </c>
      <c r="G325" s="2">
        <v>2104</v>
      </c>
      <c r="H325" s="2">
        <v>4172</v>
      </c>
      <c r="I325" s="2">
        <v>5096</v>
      </c>
      <c r="J325" s="2">
        <v>5657</v>
      </c>
      <c r="K325" s="2">
        <v>5324</v>
      </c>
      <c r="L325" s="2">
        <v>4596</v>
      </c>
      <c r="M325" s="2">
        <v>5341</v>
      </c>
      <c r="N325" s="2">
        <v>3499</v>
      </c>
      <c r="O325" s="2">
        <v>3328.26</v>
      </c>
      <c r="P325" s="2">
        <v>5603.3</v>
      </c>
      <c r="Q325" s="2">
        <v>6784.38</v>
      </c>
      <c r="R325" s="2">
        <v>9276.1</v>
      </c>
      <c r="S325" s="2">
        <v>10014.34</v>
      </c>
      <c r="T325" s="2">
        <v>10851.3</v>
      </c>
      <c r="U325" s="2">
        <v>11600.53</v>
      </c>
    </row>
    <row r="326" spans="1:21" x14ac:dyDescent="0.25">
      <c r="A326" t="s">
        <v>206</v>
      </c>
      <c r="B326" s="2">
        <v>-3444</v>
      </c>
      <c r="C326" s="2">
        <v>-4893</v>
      </c>
      <c r="D326" s="2">
        <v>-5387</v>
      </c>
      <c r="E326" s="2">
        <v>-7804</v>
      </c>
      <c r="F326" s="2">
        <v>-11955</v>
      </c>
      <c r="G326" s="2">
        <v>-13427</v>
      </c>
      <c r="H326" s="2">
        <v>-16861</v>
      </c>
      <c r="I326" s="2">
        <v>-40140</v>
      </c>
      <c r="J326" s="2">
        <v>-61053</v>
      </c>
      <c r="K326" s="2">
        <v>-63645</v>
      </c>
      <c r="L326" s="2">
        <v>-52729</v>
      </c>
      <c r="M326" s="2">
        <v>-82999</v>
      </c>
      <c r="N326" s="2">
        <v>-131819</v>
      </c>
      <c r="O326" s="2">
        <v>-221567.43</v>
      </c>
      <c r="P326" s="2">
        <v>-281335.45</v>
      </c>
      <c r="Q326" s="2">
        <v>-301908.09000000003</v>
      </c>
      <c r="R326" s="2">
        <v>-281063.7</v>
      </c>
      <c r="S326" s="2">
        <v>-285329.8</v>
      </c>
      <c r="T326" s="2">
        <v>-300908.14</v>
      </c>
      <c r="U326" s="2">
        <v>-271753.59999999998</v>
      </c>
    </row>
    <row r="327" spans="1:21" x14ac:dyDescent="0.25">
      <c r="A327" t="s">
        <v>1036</v>
      </c>
      <c r="B327">
        <v>4.63</v>
      </c>
      <c r="C327">
        <v>5.5</v>
      </c>
      <c r="D327">
        <v>5.03</v>
      </c>
      <c r="E327">
        <v>5.74</v>
      </c>
      <c r="F327">
        <v>6.72</v>
      </c>
      <c r="G327">
        <v>5.77</v>
      </c>
      <c r="H327">
        <v>6.01</v>
      </c>
      <c r="I327">
        <v>10.4</v>
      </c>
      <c r="J327">
        <v>12.99</v>
      </c>
      <c r="K327">
        <v>12.38</v>
      </c>
      <c r="L327">
        <v>9.17</v>
      </c>
      <c r="M327">
        <v>13.01</v>
      </c>
      <c r="N327">
        <v>18.39</v>
      </c>
    </row>
    <row r="328" spans="1:21" x14ac:dyDescent="0.25">
      <c r="A328" t="s">
        <v>1037</v>
      </c>
      <c r="B328" s="2">
        <v>-3444</v>
      </c>
      <c r="C328" s="2">
        <v>-4893</v>
      </c>
      <c r="D328" s="2">
        <v>-4589</v>
      </c>
      <c r="E328" s="2">
        <v>-6737</v>
      </c>
      <c r="F328" s="2">
        <v>-10058</v>
      </c>
      <c r="G328" s="2">
        <v>-11323</v>
      </c>
      <c r="H328" s="2">
        <v>-12689</v>
      </c>
      <c r="I328" s="2">
        <v>-35044</v>
      </c>
      <c r="J328" s="2">
        <v>-55396</v>
      </c>
      <c r="K328" s="2">
        <v>-58321</v>
      </c>
      <c r="L328" s="2">
        <v>-48133</v>
      </c>
      <c r="M328" s="2">
        <v>-77658</v>
      </c>
      <c r="N328" s="2">
        <v>-128320</v>
      </c>
      <c r="O328" s="2">
        <v>-219882.37</v>
      </c>
      <c r="P328" s="2">
        <v>-291398.17</v>
      </c>
      <c r="Q328" s="2">
        <v>-295871.26</v>
      </c>
      <c r="R328" s="2">
        <v>-307546.67</v>
      </c>
      <c r="S328" s="2">
        <v>-322740.58</v>
      </c>
      <c r="T328" s="2">
        <v>-324596.96000000002</v>
      </c>
      <c r="U328" s="2">
        <v>-240047.03</v>
      </c>
    </row>
    <row r="329" spans="1:21" x14ac:dyDescent="0.25">
      <c r="A329" t="s">
        <v>1038</v>
      </c>
      <c r="B329">
        <v>-312</v>
      </c>
      <c r="C329">
        <v>-979</v>
      </c>
      <c r="D329">
        <v>-795</v>
      </c>
      <c r="E329">
        <v>-116</v>
      </c>
      <c r="F329" s="2">
        <v>-13972</v>
      </c>
      <c r="G329" s="2">
        <v>-2186</v>
      </c>
      <c r="H329" s="2">
        <v>-2461</v>
      </c>
      <c r="I329" s="2">
        <v>-2325</v>
      </c>
      <c r="J329" s="2">
        <v>-1985</v>
      </c>
      <c r="K329" s="2">
        <v>-8316</v>
      </c>
      <c r="L329" s="2">
        <v>-5839</v>
      </c>
      <c r="M329" s="2">
        <v>-7082</v>
      </c>
      <c r="N329" s="2">
        <v>-3841</v>
      </c>
      <c r="O329" s="2">
        <v>-40870.33</v>
      </c>
      <c r="P329">
        <v>-769.56</v>
      </c>
      <c r="Q329">
        <v>-947</v>
      </c>
    </row>
    <row r="330" spans="1:21" x14ac:dyDescent="0.25">
      <c r="A330" t="s">
        <v>346</v>
      </c>
      <c r="B330">
        <v>-520</v>
      </c>
      <c r="C330">
        <v>807</v>
      </c>
      <c r="D330" s="2">
        <v>-1066</v>
      </c>
      <c r="E330" s="2">
        <v>-2663</v>
      </c>
      <c r="F330" s="2">
        <v>-3054</v>
      </c>
      <c r="G330" s="2">
        <v>1140</v>
      </c>
      <c r="H330" s="2">
        <v>-9131</v>
      </c>
      <c r="I330" s="2">
        <v>-22242</v>
      </c>
      <c r="J330">
        <v>-773</v>
      </c>
      <c r="K330" s="2">
        <v>29036</v>
      </c>
      <c r="L330" s="2">
        <v>4139</v>
      </c>
      <c r="M330" s="2">
        <v>-9602</v>
      </c>
      <c r="N330" s="2">
        <v>-10384</v>
      </c>
      <c r="O330" s="2">
        <v>-3731.16</v>
      </c>
      <c r="P330" s="2">
        <v>-3132.83</v>
      </c>
      <c r="Q330" s="2">
        <v>-11265.56</v>
      </c>
      <c r="R330" s="2">
        <v>-7200</v>
      </c>
      <c r="S330" s="2">
        <v>-7200</v>
      </c>
      <c r="T330" s="2">
        <v>243747.94</v>
      </c>
      <c r="U330" s="2">
        <v>228573.44</v>
      </c>
    </row>
    <row r="331" spans="1:21" x14ac:dyDescent="0.25">
      <c r="A331" t="s">
        <v>1039</v>
      </c>
      <c r="B331" s="2">
        <v>-2826</v>
      </c>
      <c r="C331" s="2">
        <v>-2542</v>
      </c>
      <c r="D331" s="2">
        <v>-4091</v>
      </c>
      <c r="E331" s="2">
        <v>-7240</v>
      </c>
      <c r="F331" s="2">
        <v>-12731</v>
      </c>
      <c r="G331" s="2">
        <v>-7100</v>
      </c>
      <c r="H331" s="2">
        <v>-31812</v>
      </c>
      <c r="I331" s="2">
        <v>-72479</v>
      </c>
      <c r="J331" s="2">
        <v>-60157</v>
      </c>
      <c r="K331" s="2">
        <v>-2565</v>
      </c>
      <c r="L331" s="2">
        <v>-1488</v>
      </c>
      <c r="M331" s="2">
        <v>-26005</v>
      </c>
      <c r="N331" s="2">
        <v>-54770</v>
      </c>
      <c r="O331" s="2">
        <v>-51289.38</v>
      </c>
      <c r="P331" s="2">
        <v>-51822.01</v>
      </c>
      <c r="Q331" s="2">
        <v>-84675.03</v>
      </c>
      <c r="R331" s="2">
        <v>-93912.66</v>
      </c>
      <c r="S331" s="2">
        <v>-151693.47</v>
      </c>
    </row>
    <row r="332" spans="1:21" x14ac:dyDescent="0.25">
      <c r="A332" t="s">
        <v>1040</v>
      </c>
      <c r="B332" s="2">
        <v>2306</v>
      </c>
      <c r="C332" s="2">
        <v>3349</v>
      </c>
      <c r="D332" s="2">
        <v>3025</v>
      </c>
      <c r="E332" s="2">
        <v>4577</v>
      </c>
      <c r="F332" s="2">
        <v>9677</v>
      </c>
      <c r="G332" s="2">
        <v>8240</v>
      </c>
      <c r="H332" s="2">
        <v>22681</v>
      </c>
      <c r="I332" s="2">
        <v>50237</v>
      </c>
      <c r="J332" s="2">
        <v>59384</v>
      </c>
      <c r="K332" s="2">
        <v>31601</v>
      </c>
      <c r="L332" s="2">
        <v>5627</v>
      </c>
      <c r="M332" s="2">
        <v>16403</v>
      </c>
      <c r="N332" s="2">
        <v>44386</v>
      </c>
      <c r="O332" s="2">
        <v>48482.7</v>
      </c>
      <c r="P332" s="2">
        <v>67234.850000000006</v>
      </c>
      <c r="Q332" s="2">
        <v>84772.94</v>
      </c>
    </row>
    <row r="333" spans="1:21" x14ac:dyDescent="0.25">
      <c r="A333" t="s">
        <v>213</v>
      </c>
      <c r="B333" s="2">
        <v>-4276</v>
      </c>
      <c r="C333" s="2">
        <v>-5065</v>
      </c>
      <c r="D333" s="2">
        <v>-6450</v>
      </c>
      <c r="E333" s="2">
        <v>-9516</v>
      </c>
      <c r="F333" s="2">
        <v>-27084</v>
      </c>
      <c r="G333" s="2">
        <v>-12369</v>
      </c>
      <c r="H333" s="2">
        <v>-24281</v>
      </c>
      <c r="I333" s="2">
        <v>-59611</v>
      </c>
      <c r="J333" s="2">
        <v>-58154</v>
      </c>
      <c r="K333" s="2">
        <v>-37601</v>
      </c>
      <c r="L333" s="2">
        <v>-49833</v>
      </c>
      <c r="M333" s="2">
        <v>-94342</v>
      </c>
      <c r="N333" s="2">
        <v>-142545</v>
      </c>
      <c r="O333" s="2">
        <v>-250036.44</v>
      </c>
      <c r="P333" s="2">
        <v>-279529.15000000002</v>
      </c>
      <c r="Q333" s="2">
        <v>-299280.83</v>
      </c>
      <c r="R333" s="2">
        <v>-302315.25</v>
      </c>
      <c r="S333" s="2">
        <v>-313206.21999999997</v>
      </c>
      <c r="T333" s="2">
        <v>-323067.32</v>
      </c>
      <c r="U333" s="2">
        <v>-258103.84</v>
      </c>
    </row>
    <row r="334" spans="1:21" x14ac:dyDescent="0.25">
      <c r="A334" t="s">
        <v>17</v>
      </c>
    </row>
    <row r="335" spans="1:21" x14ac:dyDescent="0.25">
      <c r="A335" t="s">
        <v>214</v>
      </c>
    </row>
    <row r="336" spans="1:21" x14ac:dyDescent="0.25">
      <c r="A336" t="s">
        <v>1041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s="2">
        <v>-6000</v>
      </c>
      <c r="L336">
        <v>0</v>
      </c>
      <c r="M336">
        <v>0</v>
      </c>
      <c r="N336">
        <v>0</v>
      </c>
    </row>
    <row r="337" spans="1:21" x14ac:dyDescent="0.25">
      <c r="A337" t="s">
        <v>1042</v>
      </c>
      <c r="O337" s="2">
        <v>-17182.38</v>
      </c>
      <c r="P337" s="2">
        <v>-31389.59</v>
      </c>
      <c r="Q337" s="2">
        <v>-15952.88</v>
      </c>
      <c r="R337" s="2">
        <v>-16116.04</v>
      </c>
      <c r="S337" s="2">
        <v>-11437.59</v>
      </c>
      <c r="T337" s="2">
        <v>-37250</v>
      </c>
    </row>
    <row r="338" spans="1:21" x14ac:dyDescent="0.25">
      <c r="A338" t="s">
        <v>1043</v>
      </c>
      <c r="G338">
        <v>886</v>
      </c>
      <c r="H338" s="2">
        <v>1402</v>
      </c>
      <c r="I338" s="2">
        <v>6796</v>
      </c>
      <c r="J338" s="2">
        <v>7956</v>
      </c>
      <c r="K338" s="2">
        <v>41553</v>
      </c>
      <c r="L338" s="2">
        <v>18129</v>
      </c>
      <c r="M338" s="2">
        <v>5142</v>
      </c>
      <c r="N338" s="2">
        <v>9320</v>
      </c>
      <c r="O338" s="2">
        <v>31093.200000000001</v>
      </c>
      <c r="P338" s="2">
        <v>26700</v>
      </c>
      <c r="Q338" s="2">
        <v>39100</v>
      </c>
      <c r="R338" s="2">
        <v>52750</v>
      </c>
      <c r="S338" s="2">
        <v>40250</v>
      </c>
      <c r="T338" s="2">
        <v>50000</v>
      </c>
    </row>
    <row r="339" spans="1:21" x14ac:dyDescent="0.25">
      <c r="A339" t="s">
        <v>1044</v>
      </c>
      <c r="G339">
        <v>-813</v>
      </c>
      <c r="H339" s="2">
        <v>-1518</v>
      </c>
      <c r="I339" s="2">
        <v>-6177</v>
      </c>
      <c r="J339" s="2">
        <v>-7753</v>
      </c>
      <c r="K339" s="2">
        <v>-37554</v>
      </c>
      <c r="L339" s="2">
        <v>-25677</v>
      </c>
      <c r="M339" s="2">
        <v>-5060</v>
      </c>
      <c r="N339" s="2">
        <v>-8426</v>
      </c>
      <c r="O339" s="2">
        <v>-15682</v>
      </c>
    </row>
    <row r="340" spans="1:21" x14ac:dyDescent="0.25">
      <c r="A340" t="s">
        <v>1045</v>
      </c>
      <c r="B340">
        <v>394</v>
      </c>
      <c r="C340" s="2">
        <v>6359</v>
      </c>
      <c r="D340">
        <v>353</v>
      </c>
      <c r="E340">
        <v>618</v>
      </c>
      <c r="F340" s="2">
        <v>16228</v>
      </c>
      <c r="G340">
        <v>182</v>
      </c>
      <c r="H340">
        <v>871</v>
      </c>
      <c r="I340" s="2">
        <v>10525</v>
      </c>
      <c r="J340" s="2">
        <v>19003</v>
      </c>
      <c r="K340" s="2">
        <v>21166</v>
      </c>
      <c r="L340">
        <v>0</v>
      </c>
      <c r="M340">
        <v>0</v>
      </c>
      <c r="N340" s="2">
        <v>15673</v>
      </c>
      <c r="O340" s="2">
        <v>68998</v>
      </c>
      <c r="P340" s="2">
        <v>10000</v>
      </c>
      <c r="Q340" s="2">
        <v>10000</v>
      </c>
    </row>
    <row r="341" spans="1:21" x14ac:dyDescent="0.25">
      <c r="A341" t="s">
        <v>1046</v>
      </c>
      <c r="B341" s="2">
        <v>-1011</v>
      </c>
      <c r="C341" s="2">
        <v>-1933</v>
      </c>
      <c r="D341" s="2">
        <v>-1652</v>
      </c>
      <c r="E341">
        <v>-327</v>
      </c>
      <c r="F341" s="2">
        <v>-1301</v>
      </c>
      <c r="G341">
        <v>-155</v>
      </c>
      <c r="H341" s="2">
        <v>-1166</v>
      </c>
      <c r="I341" s="2">
        <v>-1553</v>
      </c>
      <c r="J341" s="2">
        <v>-1590</v>
      </c>
      <c r="K341" s="2">
        <v>-1258</v>
      </c>
      <c r="L341" s="2">
        <v>-3676</v>
      </c>
      <c r="M341" s="2">
        <v>-9182</v>
      </c>
      <c r="N341" s="2">
        <v>-5021</v>
      </c>
      <c r="O341">
        <v>690.58</v>
      </c>
      <c r="P341" s="2">
        <v>-6291</v>
      </c>
      <c r="Q341" s="2">
        <v>-5626</v>
      </c>
      <c r="R341" s="2">
        <v>-3000</v>
      </c>
      <c r="S341" s="2">
        <v>-3000</v>
      </c>
    </row>
    <row r="342" spans="1:21" x14ac:dyDescent="0.25">
      <c r="A342" t="s">
        <v>1047</v>
      </c>
      <c r="D342" s="2">
        <v>2462</v>
      </c>
      <c r="E342" s="2">
        <v>3860</v>
      </c>
      <c r="F342" s="2">
        <v>4799</v>
      </c>
      <c r="G342" s="2">
        <v>7449</v>
      </c>
      <c r="H342" s="2">
        <v>9628</v>
      </c>
      <c r="I342" s="2">
        <v>10642</v>
      </c>
      <c r="J342" s="2">
        <v>11163</v>
      </c>
      <c r="K342" s="2">
        <v>7941</v>
      </c>
      <c r="L342" s="2">
        <v>4384</v>
      </c>
      <c r="M342" s="2">
        <v>2043</v>
      </c>
      <c r="N342" s="2">
        <v>1557</v>
      </c>
      <c r="O342" s="2">
        <v>16450.849999999999</v>
      </c>
      <c r="P342" s="2">
        <v>29854.91</v>
      </c>
      <c r="Q342" s="2">
        <v>40371.839999999997</v>
      </c>
      <c r="R342" s="2">
        <v>29569.57</v>
      </c>
      <c r="S342" s="2">
        <v>34315.120000000003</v>
      </c>
      <c r="T342" s="2">
        <v>4843.99</v>
      </c>
      <c r="U342" s="2">
        <v>5086.1899999999996</v>
      </c>
    </row>
    <row r="343" spans="1:21" x14ac:dyDescent="0.25">
      <c r="A343" t="s">
        <v>1048</v>
      </c>
      <c r="F343">
        <v>0</v>
      </c>
      <c r="G343">
        <v>0</v>
      </c>
      <c r="H343" s="2">
        <v>7870</v>
      </c>
      <c r="I343" s="2">
        <v>16217</v>
      </c>
      <c r="J343" s="2">
        <v>25369</v>
      </c>
      <c r="K343" s="2">
        <v>18800</v>
      </c>
      <c r="L343" s="2">
        <v>14052</v>
      </c>
      <c r="M343" s="2">
        <v>15424</v>
      </c>
      <c r="N343" s="2">
        <v>19930</v>
      </c>
      <c r="O343" s="2">
        <v>21579</v>
      </c>
      <c r="P343" s="2">
        <v>29249</v>
      </c>
      <c r="Q343" s="2">
        <v>29249</v>
      </c>
      <c r="R343" s="2">
        <v>29249</v>
      </c>
      <c r="S343" s="2">
        <v>29249</v>
      </c>
      <c r="T343" s="2">
        <v>29249</v>
      </c>
      <c r="U343" s="2">
        <v>29249</v>
      </c>
    </row>
    <row r="344" spans="1:21" x14ac:dyDescent="0.25">
      <c r="A344" t="s">
        <v>1049</v>
      </c>
      <c r="B344">
        <v>0</v>
      </c>
      <c r="C344">
        <v>0</v>
      </c>
      <c r="D344">
        <v>-121</v>
      </c>
      <c r="E344">
        <v>-147</v>
      </c>
      <c r="F344">
        <v>-200</v>
      </c>
      <c r="G344">
        <v>-337</v>
      </c>
      <c r="H344">
        <v>-27</v>
      </c>
      <c r="I344">
        <v>-53</v>
      </c>
      <c r="J344">
        <v>-162</v>
      </c>
      <c r="K344">
        <v>-248</v>
      </c>
      <c r="L344">
        <v>-271</v>
      </c>
      <c r="M344">
        <v>-669</v>
      </c>
      <c r="N344">
        <v>-328</v>
      </c>
      <c r="O344">
        <v>-156.38</v>
      </c>
      <c r="P344">
        <v>-242.4</v>
      </c>
      <c r="Q344">
        <v>-318.92</v>
      </c>
    </row>
    <row r="345" spans="1:21" x14ac:dyDescent="0.25">
      <c r="A345" t="s">
        <v>218</v>
      </c>
      <c r="B345">
        <v>-539</v>
      </c>
      <c r="C345" s="2">
        <v>4432</v>
      </c>
      <c r="D345" s="2">
        <v>-3882</v>
      </c>
      <c r="E345" s="2">
        <v>-3716</v>
      </c>
      <c r="F345" s="2">
        <v>9928</v>
      </c>
      <c r="G345" s="2">
        <v>-7686</v>
      </c>
      <c r="H345" s="2">
        <v>-10066</v>
      </c>
      <c r="I345" s="2">
        <v>-1104</v>
      </c>
      <c r="J345" s="2">
        <v>6291</v>
      </c>
      <c r="K345" s="2">
        <v>9718</v>
      </c>
      <c r="L345" s="2">
        <v>-15879</v>
      </c>
      <c r="M345" s="2">
        <v>-11812</v>
      </c>
      <c r="N345" s="2">
        <v>9661</v>
      </c>
      <c r="O345" s="2">
        <v>64991.83</v>
      </c>
      <c r="P345" s="2">
        <v>9296.9699999999993</v>
      </c>
      <c r="Q345" s="2">
        <v>20758.490000000002</v>
      </c>
      <c r="R345" s="2">
        <v>12743.85</v>
      </c>
      <c r="S345" s="2">
        <v>7201.56</v>
      </c>
      <c r="T345" s="2">
        <v>7077.66</v>
      </c>
      <c r="U345" s="2">
        <v>6088.52</v>
      </c>
    </row>
    <row r="346" spans="1:21" x14ac:dyDescent="0.25">
      <c r="A346" t="s">
        <v>17</v>
      </c>
    </row>
    <row r="347" spans="1:21" x14ac:dyDescent="0.25">
      <c r="A347" t="s">
        <v>176</v>
      </c>
    </row>
    <row r="348" spans="1:21" x14ac:dyDescent="0.25">
      <c r="A348" t="s">
        <v>1050</v>
      </c>
      <c r="B348">
        <v>-86</v>
      </c>
      <c r="C348">
        <v>-310</v>
      </c>
      <c r="D348">
        <v>-374</v>
      </c>
      <c r="E348">
        <v>-212</v>
      </c>
      <c r="F348">
        <v>713</v>
      </c>
      <c r="G348">
        <v>-351</v>
      </c>
      <c r="H348">
        <v>70</v>
      </c>
      <c r="I348">
        <v>618</v>
      </c>
      <c r="J348">
        <v>-364</v>
      </c>
      <c r="K348" s="2">
        <v>-1093</v>
      </c>
      <c r="L348">
        <v>403</v>
      </c>
      <c r="M348" s="2">
        <v>-1301</v>
      </c>
      <c r="N348" s="2">
        <v>1164</v>
      </c>
      <c r="O348">
        <v>-59.61</v>
      </c>
      <c r="P348">
        <v>80</v>
      </c>
      <c r="Q348">
        <v>133.33000000000001</v>
      </c>
      <c r="R348">
        <v>400</v>
      </c>
      <c r="S348">
        <v>400</v>
      </c>
    </row>
    <row r="349" spans="1:21" x14ac:dyDescent="0.25">
      <c r="A349" t="s">
        <v>1051</v>
      </c>
      <c r="B349">
        <v>574</v>
      </c>
      <c r="C349" s="2">
        <v>5899</v>
      </c>
      <c r="D349" s="2">
        <v>1333</v>
      </c>
      <c r="E349" s="2">
        <v>3759</v>
      </c>
      <c r="F349" s="2">
        <v>1922</v>
      </c>
      <c r="G349" s="2">
        <v>10317</v>
      </c>
      <c r="H349" s="2">
        <v>4237</v>
      </c>
      <c r="I349" s="2">
        <v>5967</v>
      </c>
      <c r="J349" s="2">
        <v>-5900</v>
      </c>
      <c r="K349" s="2">
        <v>17776</v>
      </c>
      <c r="L349" s="2">
        <v>19637</v>
      </c>
      <c r="M349" s="2">
        <v>8422</v>
      </c>
      <c r="N349" s="2">
        <v>7794</v>
      </c>
      <c r="O349" s="2">
        <v>-4132.47</v>
      </c>
      <c r="P349" s="2">
        <v>-34539.01</v>
      </c>
      <c r="Q349" s="2">
        <v>24869.01</v>
      </c>
      <c r="R349" s="2">
        <v>70876.47</v>
      </c>
      <c r="S349" s="2">
        <v>121995.36</v>
      </c>
      <c r="T349" s="2">
        <v>210710.42</v>
      </c>
      <c r="U349" s="2">
        <v>269338.5</v>
      </c>
    </row>
    <row r="350" spans="1:21" x14ac:dyDescent="0.25">
      <c r="A350" t="s">
        <v>221</v>
      </c>
      <c r="B350" s="2">
        <v>8084</v>
      </c>
      <c r="C350" s="2">
        <v>8658</v>
      </c>
      <c r="D350" s="2">
        <v>14557</v>
      </c>
      <c r="E350" s="2">
        <v>16175</v>
      </c>
      <c r="F350" s="2">
        <v>19934</v>
      </c>
      <c r="G350" s="2">
        <v>21856</v>
      </c>
      <c r="H350" s="2">
        <v>32173</v>
      </c>
      <c r="I350" s="2">
        <v>36410</v>
      </c>
      <c r="J350" s="2">
        <v>42377</v>
      </c>
      <c r="K350" s="2">
        <v>36477</v>
      </c>
      <c r="L350" s="2">
        <v>54253</v>
      </c>
      <c r="M350" s="2">
        <v>73890</v>
      </c>
      <c r="N350" s="2">
        <v>82312</v>
      </c>
      <c r="O350" s="2">
        <v>90037.04</v>
      </c>
      <c r="P350" s="2">
        <v>97747.81</v>
      </c>
      <c r="Q350" s="2">
        <v>75374.36</v>
      </c>
      <c r="R350" s="2">
        <v>101337.60000000001</v>
      </c>
      <c r="S350" s="2">
        <v>188679.91</v>
      </c>
      <c r="T350" s="2">
        <v>377754.08</v>
      </c>
      <c r="U350" s="2">
        <v>698710.62</v>
      </c>
    </row>
    <row r="351" spans="1:21" x14ac:dyDescent="0.25">
      <c r="A351" t="s">
        <v>222</v>
      </c>
      <c r="B351" s="2">
        <v>8658</v>
      </c>
      <c r="C351" s="2">
        <v>14557</v>
      </c>
      <c r="D351" s="2">
        <v>15890</v>
      </c>
      <c r="E351" s="2">
        <v>19934</v>
      </c>
      <c r="F351" s="2">
        <v>21856</v>
      </c>
      <c r="G351" s="2">
        <v>32173</v>
      </c>
      <c r="H351" s="2">
        <v>36410</v>
      </c>
      <c r="I351" s="2">
        <v>42377</v>
      </c>
      <c r="J351" s="2">
        <v>36477</v>
      </c>
      <c r="K351" s="2">
        <v>54253</v>
      </c>
      <c r="L351" s="2">
        <v>73890</v>
      </c>
      <c r="M351" s="2">
        <v>82312</v>
      </c>
      <c r="N351" s="2">
        <v>90106</v>
      </c>
      <c r="O351" s="2">
        <v>103806.1</v>
      </c>
      <c r="P351" s="2">
        <v>81598.31</v>
      </c>
      <c r="Q351" s="2">
        <v>127685.46</v>
      </c>
      <c r="R351" s="2">
        <v>220377.57</v>
      </c>
      <c r="S351" s="2">
        <v>363748.11</v>
      </c>
      <c r="T351" s="2">
        <v>579914.43000000005</v>
      </c>
      <c r="U351" s="2">
        <v>1030106.4</v>
      </c>
    </row>
    <row r="352" spans="1:21" x14ac:dyDescent="0.25">
      <c r="A352" t="s">
        <v>178</v>
      </c>
    </row>
    <row r="353" spans="1:21" x14ac:dyDescent="0.25">
      <c r="A353" t="s">
        <v>1052</v>
      </c>
      <c r="B353">
        <v>169</v>
      </c>
      <c r="C353">
        <v>177</v>
      </c>
      <c r="D353">
        <v>273</v>
      </c>
      <c r="E353">
        <v>412</v>
      </c>
      <c r="F353">
        <v>957</v>
      </c>
      <c r="G353" s="2">
        <v>1184</v>
      </c>
      <c r="H353">
        <v>881</v>
      </c>
      <c r="I353" s="2">
        <v>1713</v>
      </c>
      <c r="J353" s="2">
        <v>3688</v>
      </c>
      <c r="K353" s="2">
        <v>6035</v>
      </c>
      <c r="L353" s="2">
        <v>11179</v>
      </c>
      <c r="M353" s="2">
        <v>12308</v>
      </c>
      <c r="N353" s="2">
        <v>8295</v>
      </c>
      <c r="O353" s="2">
        <v>6011.33</v>
      </c>
      <c r="P353" s="2">
        <v>11292.37</v>
      </c>
      <c r="Q353" s="2">
        <v>19316.79</v>
      </c>
      <c r="R353" s="2">
        <v>48514.14</v>
      </c>
      <c r="S353" s="2">
        <v>58334.239999999998</v>
      </c>
    </row>
    <row r="354" spans="1:21" x14ac:dyDescent="0.25">
      <c r="A354" t="s">
        <v>1053</v>
      </c>
      <c r="B354">
        <v>138</v>
      </c>
      <c r="C354">
        <v>177</v>
      </c>
      <c r="D354">
        <v>598</v>
      </c>
      <c r="E354">
        <v>496</v>
      </c>
      <c r="F354">
        <v>647</v>
      </c>
      <c r="G354" s="2">
        <v>1429</v>
      </c>
      <c r="H354" s="2">
        <v>1561</v>
      </c>
      <c r="I354" s="2">
        <v>1630</v>
      </c>
      <c r="J354" s="2">
        <v>1772</v>
      </c>
      <c r="K354" s="2">
        <v>1768</v>
      </c>
      <c r="L354" s="2">
        <v>2804</v>
      </c>
      <c r="M354" s="2">
        <v>2077</v>
      </c>
      <c r="N354" s="2">
        <v>1654</v>
      </c>
      <c r="O354" s="2">
        <v>1746</v>
      </c>
      <c r="P354" s="2">
        <v>6404.83</v>
      </c>
      <c r="Q354" s="2">
        <v>8154.83</v>
      </c>
      <c r="R354" s="2">
        <v>8154.83</v>
      </c>
      <c r="S354" s="2">
        <v>8154.83</v>
      </c>
      <c r="T354" s="2">
        <v>8154.83</v>
      </c>
      <c r="U354" s="2">
        <v>8154.83</v>
      </c>
    </row>
    <row r="355" spans="1:21" x14ac:dyDescent="0.25">
      <c r="A355" t="s">
        <v>1054</v>
      </c>
      <c r="G355">
        <v>0</v>
      </c>
      <c r="H355">
        <v>392</v>
      </c>
      <c r="I355">
        <v>427</v>
      </c>
      <c r="J355">
        <v>687</v>
      </c>
      <c r="K355">
        <v>670</v>
      </c>
      <c r="L355">
        <v>683</v>
      </c>
      <c r="M355">
        <v>767</v>
      </c>
      <c r="N355" s="2">
        <v>4600</v>
      </c>
      <c r="O355">
        <v>264.17</v>
      </c>
      <c r="P355">
        <v>242.66</v>
      </c>
      <c r="Q355" s="2">
        <v>1130.76</v>
      </c>
      <c r="R355" s="2">
        <v>1243.8399999999999</v>
      </c>
      <c r="S355" s="2">
        <v>1368.22</v>
      </c>
      <c r="T355" s="2">
        <v>1505.05</v>
      </c>
      <c r="U355" s="2">
        <v>1655.55</v>
      </c>
    </row>
    <row r="356" spans="1:21" x14ac:dyDescent="0.25">
      <c r="A356" t="s">
        <v>1055</v>
      </c>
      <c r="F356">
        <v>0</v>
      </c>
      <c r="G356">
        <v>0</v>
      </c>
      <c r="H356" s="2">
        <v>3361</v>
      </c>
      <c r="I356" s="2">
        <v>4475</v>
      </c>
      <c r="J356" s="2">
        <v>6722</v>
      </c>
      <c r="K356" s="2">
        <v>8633</v>
      </c>
      <c r="L356" s="2">
        <v>10453</v>
      </c>
      <c r="M356" s="2">
        <v>12341</v>
      </c>
      <c r="N356" s="2">
        <v>15038</v>
      </c>
      <c r="O356" s="2">
        <v>14782</v>
      </c>
      <c r="P356" s="2">
        <v>14782</v>
      </c>
      <c r="Q356" s="2">
        <v>14782</v>
      </c>
      <c r="R356" s="2">
        <v>14782</v>
      </c>
      <c r="S356" s="2">
        <v>14782</v>
      </c>
      <c r="T356" s="2">
        <v>14782</v>
      </c>
      <c r="U356" s="2">
        <v>14782</v>
      </c>
    </row>
    <row r="357" spans="1:21" x14ac:dyDescent="0.25">
      <c r="A357" t="s">
        <v>1056</v>
      </c>
      <c r="F357">
        <v>200</v>
      </c>
      <c r="G357">
        <v>381</v>
      </c>
      <c r="H357">
        <v>647</v>
      </c>
      <c r="I357">
        <v>612</v>
      </c>
      <c r="J357">
        <v>521</v>
      </c>
      <c r="K357">
        <v>374</v>
      </c>
      <c r="L357">
        <v>308</v>
      </c>
      <c r="M357">
        <v>287</v>
      </c>
      <c r="N357">
        <v>295</v>
      </c>
      <c r="O357">
        <v>332.81</v>
      </c>
      <c r="P357">
        <v>295.87</v>
      </c>
      <c r="Q357">
        <v>351.74</v>
      </c>
      <c r="R357">
        <v>351.74</v>
      </c>
      <c r="S357">
        <v>351.74</v>
      </c>
      <c r="T357">
        <v>351.74</v>
      </c>
      <c r="U357">
        <v>351.74</v>
      </c>
    </row>
    <row r="358" spans="1:21" x14ac:dyDescent="0.25">
      <c r="A358" t="s">
        <v>1057</v>
      </c>
      <c r="B358">
        <v>0.22</v>
      </c>
      <c r="C358">
        <v>0.21</v>
      </c>
      <c r="D358">
        <v>0.7</v>
      </c>
      <c r="E358">
        <v>0.97</v>
      </c>
      <c r="F358">
        <v>0.65</v>
      </c>
      <c r="G358">
        <v>1.73</v>
      </c>
      <c r="H358">
        <v>2.15</v>
      </c>
      <c r="I358">
        <v>2.54</v>
      </c>
      <c r="J358">
        <v>-1.43</v>
      </c>
      <c r="K358">
        <v>-1.66</v>
      </c>
      <c r="L358">
        <v>3.07</v>
      </c>
      <c r="M358">
        <v>3.07</v>
      </c>
      <c r="N358">
        <v>0.71</v>
      </c>
      <c r="O358">
        <v>-2.62</v>
      </c>
      <c r="P358">
        <v>-7.21</v>
      </c>
      <c r="Q358">
        <v>1.04</v>
      </c>
      <c r="R358">
        <v>9.1</v>
      </c>
      <c r="S358">
        <v>10.17</v>
      </c>
      <c r="T358">
        <v>21.74</v>
      </c>
      <c r="U358">
        <v>33.549999999999997</v>
      </c>
    </row>
    <row r="359" spans="1:21" x14ac:dyDescent="0.25">
      <c r="A359" t="s">
        <v>1058</v>
      </c>
      <c r="B359">
        <v>0.6</v>
      </c>
      <c r="C359">
        <v>0.74</v>
      </c>
      <c r="D359">
        <v>1.26</v>
      </c>
      <c r="E359">
        <v>1.78</v>
      </c>
      <c r="F359">
        <v>1.86</v>
      </c>
      <c r="G359">
        <v>3.07</v>
      </c>
      <c r="H359">
        <v>3.82</v>
      </c>
      <c r="I359">
        <v>6.48</v>
      </c>
      <c r="J359">
        <v>4.5</v>
      </c>
      <c r="K359">
        <v>4.59</v>
      </c>
      <c r="L359">
        <v>8.1</v>
      </c>
      <c r="M359">
        <v>10.81</v>
      </c>
      <c r="N359">
        <v>12.89</v>
      </c>
      <c r="O359">
        <v>18.649999999999999</v>
      </c>
      <c r="P359">
        <v>20.190000000000001</v>
      </c>
      <c r="Q359">
        <v>26.96</v>
      </c>
      <c r="R359">
        <v>32.72</v>
      </c>
      <c r="S359">
        <v>38.56</v>
      </c>
      <c r="T359">
        <v>53.9</v>
      </c>
    </row>
    <row r="360" spans="1:21" x14ac:dyDescent="0.25">
      <c r="A360" t="s">
        <v>1059</v>
      </c>
      <c r="E360" s="2">
        <v>4615</v>
      </c>
      <c r="F360" s="2">
        <v>-1530</v>
      </c>
      <c r="G360" s="2">
        <v>8448</v>
      </c>
      <c r="H360" s="2">
        <v>12490</v>
      </c>
      <c r="I360" s="2">
        <v>21436</v>
      </c>
      <c r="J360" s="2">
        <v>-14340</v>
      </c>
      <c r="K360" s="2">
        <v>-12786</v>
      </c>
      <c r="L360" s="2">
        <v>35549</v>
      </c>
      <c r="M360" s="2">
        <v>36211</v>
      </c>
      <c r="N360" s="2">
        <v>11194</v>
      </c>
      <c r="O360" s="2">
        <v>-37675.25</v>
      </c>
      <c r="P360" s="2">
        <v>-60860.42</v>
      </c>
    </row>
    <row r="361" spans="1:21" x14ac:dyDescent="0.25">
      <c r="A361" t="s">
        <v>225</v>
      </c>
      <c r="B361" s="2">
        <v>2031</v>
      </c>
      <c r="C361" s="2">
        <v>1949</v>
      </c>
      <c r="D361" s="2">
        <v>6652</v>
      </c>
      <c r="E361" s="2">
        <v>9399</v>
      </c>
      <c r="F361" s="2">
        <v>6410</v>
      </c>
      <c r="G361" s="2">
        <v>17296</v>
      </c>
      <c r="H361" s="2">
        <v>21653</v>
      </c>
      <c r="I361" s="2">
        <v>25924</v>
      </c>
      <c r="J361" s="2">
        <v>-14726</v>
      </c>
      <c r="K361" s="2">
        <v>-16893</v>
      </c>
      <c r="L361" s="2">
        <v>32217</v>
      </c>
      <c r="M361" s="2">
        <v>32878</v>
      </c>
      <c r="N361" s="2">
        <v>7695</v>
      </c>
      <c r="O361" s="2">
        <v>-2062.4299999999998</v>
      </c>
      <c r="P361" s="2">
        <v>-51333.13</v>
      </c>
      <c r="Q361" s="2">
        <v>8043.84</v>
      </c>
      <c r="R361" s="2">
        <v>84419.46</v>
      </c>
      <c r="S361" s="2">
        <v>147471.41</v>
      </c>
      <c r="T361" s="2">
        <v>243220.58</v>
      </c>
      <c r="U361" s="2">
        <v>378448.8</v>
      </c>
    </row>
    <row r="362" spans="1:21" x14ac:dyDescent="0.25">
      <c r="A362" t="s">
        <v>1060</v>
      </c>
      <c r="B362" s="2">
        <v>2031</v>
      </c>
      <c r="C362" s="2">
        <v>1949</v>
      </c>
      <c r="D362" s="2">
        <v>7450</v>
      </c>
      <c r="E362" s="2">
        <v>10466</v>
      </c>
      <c r="F362" s="2">
        <v>8307</v>
      </c>
      <c r="G362" s="2">
        <v>19400</v>
      </c>
      <c r="H362" s="2">
        <v>25825</v>
      </c>
      <c r="I362" s="2">
        <v>31020</v>
      </c>
      <c r="J362" s="2">
        <v>-9069</v>
      </c>
      <c r="K362" s="2">
        <v>-11569</v>
      </c>
      <c r="L362" s="2">
        <v>36813</v>
      </c>
      <c r="M362" s="2">
        <v>38219</v>
      </c>
      <c r="N362" s="2">
        <v>11194</v>
      </c>
      <c r="O362" s="2">
        <v>-22610.84</v>
      </c>
      <c r="P362" s="2">
        <v>-33337.629999999997</v>
      </c>
      <c r="Q362" s="2">
        <v>23184.93</v>
      </c>
      <c r="R362" s="2">
        <v>69522.009999999995</v>
      </c>
      <c r="S362" s="2">
        <v>123851.86</v>
      </c>
      <c r="T362" s="2">
        <v>178623.54</v>
      </c>
      <c r="U362" s="2">
        <v>272033.40999999997</v>
      </c>
    </row>
    <row r="363" spans="1:21" x14ac:dyDescent="0.25">
      <c r="A363" t="s">
        <v>1061</v>
      </c>
      <c r="B363">
        <v>2.73</v>
      </c>
      <c r="C363">
        <v>2.19</v>
      </c>
      <c r="D363">
        <v>6.22</v>
      </c>
      <c r="E363">
        <v>6.91</v>
      </c>
      <c r="F363">
        <v>3.6</v>
      </c>
      <c r="G363">
        <v>7.43</v>
      </c>
      <c r="H363">
        <v>7.72</v>
      </c>
      <c r="I363">
        <v>6.71</v>
      </c>
      <c r="J363">
        <v>-3.13</v>
      </c>
      <c r="K363">
        <v>-3.29</v>
      </c>
      <c r="L363">
        <v>5.61</v>
      </c>
      <c r="M363">
        <v>5.15</v>
      </c>
      <c r="N363">
        <v>1.07</v>
      </c>
    </row>
    <row r="364" spans="1:21" x14ac:dyDescent="0.25">
      <c r="A364" t="s">
        <v>224</v>
      </c>
      <c r="B364">
        <v>0.61</v>
      </c>
      <c r="C364">
        <v>0.74</v>
      </c>
      <c r="D364">
        <v>1.29</v>
      </c>
      <c r="E364">
        <v>1.81</v>
      </c>
      <c r="F364">
        <v>1.91</v>
      </c>
      <c r="G364">
        <v>3.15</v>
      </c>
      <c r="H364">
        <v>3.9</v>
      </c>
      <c r="I364">
        <v>6.61</v>
      </c>
      <c r="J364">
        <v>4.58</v>
      </c>
      <c r="K364">
        <v>4.59</v>
      </c>
      <c r="L364">
        <v>8.24</v>
      </c>
      <c r="M364">
        <v>11.06</v>
      </c>
      <c r="N364">
        <v>13.09</v>
      </c>
      <c r="O364">
        <v>18.82</v>
      </c>
      <c r="P364">
        <v>20.58</v>
      </c>
      <c r="Q364">
        <v>27.7</v>
      </c>
      <c r="R364">
        <v>33.86</v>
      </c>
      <c r="S364">
        <v>40.28</v>
      </c>
      <c r="T364">
        <v>55.91</v>
      </c>
    </row>
    <row r="365" spans="1:21" x14ac:dyDescent="0.25">
      <c r="A365" t="s">
        <v>1062</v>
      </c>
      <c r="B365">
        <v>7.46</v>
      </c>
      <c r="C365">
        <v>7.7</v>
      </c>
      <c r="D365">
        <v>11.25</v>
      </c>
      <c r="E365">
        <v>12.65</v>
      </c>
      <c r="F365">
        <v>10.33</v>
      </c>
      <c r="G365">
        <v>13.19</v>
      </c>
      <c r="H365">
        <v>13.73</v>
      </c>
      <c r="I365">
        <v>17.11</v>
      </c>
      <c r="J365">
        <v>9.86</v>
      </c>
      <c r="K365">
        <v>9.1</v>
      </c>
      <c r="L365">
        <v>14.78</v>
      </c>
      <c r="M365">
        <v>18.16</v>
      </c>
      <c r="N365">
        <v>19.46</v>
      </c>
      <c r="O365">
        <v>21.28</v>
      </c>
      <c r="P365">
        <v>25.66</v>
      </c>
      <c r="Q365">
        <v>29.01</v>
      </c>
      <c r="R365">
        <v>32.590000000000003</v>
      </c>
      <c r="S365">
        <v>34.04</v>
      </c>
      <c r="T365">
        <v>35.409999999999997</v>
      </c>
      <c r="U365">
        <v>36.46</v>
      </c>
    </row>
    <row r="366" spans="1:21" x14ac:dyDescent="0.25">
      <c r="A366" t="s">
        <v>1063</v>
      </c>
    </row>
    <row r="367" spans="1:21" x14ac:dyDescent="0.25">
      <c r="A367" t="s">
        <v>1064</v>
      </c>
      <c r="E367" s="2">
        <v>5704</v>
      </c>
      <c r="F367" s="2">
        <v>9637</v>
      </c>
      <c r="G367" s="2">
        <v>10615</v>
      </c>
      <c r="H367" s="2">
        <v>13723</v>
      </c>
      <c r="I367" s="2">
        <v>11588</v>
      </c>
      <c r="J367" s="2">
        <v>7061</v>
      </c>
      <c r="K367">
        <v>675</v>
      </c>
      <c r="L367">
        <v>642</v>
      </c>
      <c r="M367">
        <v>854</v>
      </c>
      <c r="N367" s="2">
        <v>2911</v>
      </c>
      <c r="O367" s="2">
        <v>3573.92</v>
      </c>
      <c r="P367" s="2">
        <v>3439.81</v>
      </c>
      <c r="Q367" s="2">
        <v>4554.49</v>
      </c>
      <c r="R367" s="2">
        <v>5573.82</v>
      </c>
      <c r="S367" s="2">
        <v>6141.56</v>
      </c>
      <c r="T367" s="2">
        <v>10661.39</v>
      </c>
      <c r="U367" s="2">
        <v>5553.36</v>
      </c>
    </row>
    <row r="368" spans="1:21" x14ac:dyDescent="0.25">
      <c r="A368" t="s">
        <v>1065</v>
      </c>
      <c r="C368" s="2">
        <v>4008</v>
      </c>
      <c r="D368" s="2">
        <v>4717</v>
      </c>
      <c r="E368" s="2">
        <v>5704</v>
      </c>
      <c r="F368" s="2">
        <v>3541</v>
      </c>
      <c r="G368" s="2">
        <v>10615</v>
      </c>
      <c r="I368" s="2">
        <v>2267</v>
      </c>
      <c r="J368" s="2">
        <v>5846</v>
      </c>
      <c r="K368" s="2">
        <v>3187</v>
      </c>
      <c r="L368">
        <v>357</v>
      </c>
      <c r="M368">
        <v>97</v>
      </c>
      <c r="O368">
        <v>141.66</v>
      </c>
      <c r="P368">
        <v>160.04</v>
      </c>
      <c r="Q368">
        <v>159.78</v>
      </c>
      <c r="R368">
        <v>177.4</v>
      </c>
      <c r="S368">
        <v>194.5</v>
      </c>
    </row>
    <row r="369" spans="1:19" x14ac:dyDescent="0.25">
      <c r="A369" t="s">
        <v>1066</v>
      </c>
      <c r="B369" s="2">
        <v>4708</v>
      </c>
      <c r="C369" s="2">
        <v>5868</v>
      </c>
      <c r="D369" s="2">
        <v>9482</v>
      </c>
      <c r="E369" s="2">
        <v>13356</v>
      </c>
      <c r="F369" s="2">
        <v>18607</v>
      </c>
      <c r="G369" s="2">
        <v>31766</v>
      </c>
      <c r="H369" s="2">
        <v>40952</v>
      </c>
      <c r="I369" s="2">
        <v>52583</v>
      </c>
      <c r="J369" s="2">
        <v>65938</v>
      </c>
      <c r="K369" s="2">
        <v>67638</v>
      </c>
      <c r="L369" s="2">
        <v>84222</v>
      </c>
      <c r="M369" s="2">
        <v>116935</v>
      </c>
      <c r="N369" s="2">
        <v>143851</v>
      </c>
      <c r="O369" s="2">
        <v>237498.57</v>
      </c>
      <c r="P369" s="2">
        <v>240413.33</v>
      </c>
      <c r="Q369" s="2">
        <v>300744.03999999998</v>
      </c>
      <c r="R369" s="2">
        <v>350690.46</v>
      </c>
      <c r="S369" s="2">
        <v>417930.43</v>
      </c>
    </row>
    <row r="370" spans="1:19" x14ac:dyDescent="0.25">
      <c r="A370" t="s">
        <v>17</v>
      </c>
    </row>
    <row r="371" spans="1:19" x14ac:dyDescent="0.25">
      <c r="A371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8912-A0D0-483C-933D-A4936B6E7900}">
  <dimension ref="A1:U297"/>
  <sheetViews>
    <sheetView workbookViewId="0">
      <selection sqref="A1:U297"/>
    </sheetView>
  </sheetViews>
  <sheetFormatPr defaultRowHeight="15" x14ac:dyDescent="0.25"/>
  <sheetData>
    <row r="1" spans="1:21" x14ac:dyDescent="0.25">
      <c r="A1" t="s">
        <v>1067</v>
      </c>
    </row>
    <row r="2" spans="1:21" x14ac:dyDescent="0.25">
      <c r="A2" t="s">
        <v>1068</v>
      </c>
    </row>
    <row r="3" spans="1:21" x14ac:dyDescent="0.25">
      <c r="A3" t="s">
        <v>1069</v>
      </c>
      <c r="B3" t="s">
        <v>1070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  <c r="L3" t="s">
        <v>368</v>
      </c>
      <c r="M3" t="s">
        <v>369</v>
      </c>
      <c r="N3" t="s">
        <v>370</v>
      </c>
      <c r="O3" t="s">
        <v>371</v>
      </c>
      <c r="P3" t="s">
        <v>372</v>
      </c>
      <c r="Q3" t="s">
        <v>235</v>
      </c>
      <c r="R3" t="s">
        <v>3</v>
      </c>
      <c r="S3" t="s">
        <v>4</v>
      </c>
      <c r="T3" t="s">
        <v>236</v>
      </c>
      <c r="U3" t="s">
        <v>6</v>
      </c>
    </row>
    <row r="4" spans="1:21" x14ac:dyDescent="0.25">
      <c r="A4" t="s">
        <v>13</v>
      </c>
      <c r="B4" s="1">
        <v>39813</v>
      </c>
      <c r="C4" s="1">
        <v>40178</v>
      </c>
      <c r="D4" s="1">
        <v>40543</v>
      </c>
      <c r="E4" s="1">
        <v>40908</v>
      </c>
      <c r="F4" s="1">
        <v>41274</v>
      </c>
      <c r="G4" s="1">
        <v>41639</v>
      </c>
      <c r="H4" s="1">
        <v>42004</v>
      </c>
      <c r="I4" s="1">
        <v>42369</v>
      </c>
      <c r="J4" s="1">
        <v>42735</v>
      </c>
      <c r="K4" s="1">
        <v>43100</v>
      </c>
      <c r="L4" s="1">
        <v>43465</v>
      </c>
      <c r="M4" s="1">
        <v>43830</v>
      </c>
      <c r="N4" s="1">
        <v>44196</v>
      </c>
      <c r="O4" s="1">
        <v>44561</v>
      </c>
      <c r="P4" s="1">
        <v>44926</v>
      </c>
      <c r="Q4" s="1">
        <v>45291</v>
      </c>
      <c r="R4" s="1">
        <v>45657</v>
      </c>
      <c r="S4" s="1">
        <v>46022</v>
      </c>
      <c r="T4" s="1">
        <v>46387</v>
      </c>
      <c r="U4" s="1">
        <v>46752</v>
      </c>
    </row>
    <row r="5" spans="1:21" x14ac:dyDescent="0.25">
      <c r="A5" t="s">
        <v>14</v>
      </c>
    </row>
    <row r="6" spans="1:21" x14ac:dyDescent="0.25">
      <c r="A6" t="s">
        <v>15</v>
      </c>
      <c r="B6">
        <v>0.75</v>
      </c>
      <c r="C6">
        <v>-0.35</v>
      </c>
      <c r="D6">
        <v>2.35</v>
      </c>
      <c r="E6">
        <v>3.45</v>
      </c>
      <c r="F6">
        <v>2.7</v>
      </c>
      <c r="G6">
        <v>2.6</v>
      </c>
      <c r="H6">
        <v>2.74</v>
      </c>
      <c r="I6">
        <v>3.22</v>
      </c>
      <c r="J6">
        <v>3.46</v>
      </c>
      <c r="K6">
        <v>4.93</v>
      </c>
      <c r="L6">
        <v>6.11</v>
      </c>
      <c r="M6">
        <v>6.16</v>
      </c>
      <c r="N6">
        <v>8.49</v>
      </c>
      <c r="O6">
        <v>14.34</v>
      </c>
      <c r="P6">
        <v>14.13</v>
      </c>
      <c r="Q6">
        <v>19.89</v>
      </c>
      <c r="R6">
        <v>19.239999999999998</v>
      </c>
      <c r="S6">
        <v>24.71</v>
      </c>
      <c r="T6">
        <v>38.03</v>
      </c>
      <c r="U6">
        <v>52.59</v>
      </c>
    </row>
    <row r="7" spans="1:21" x14ac:dyDescent="0.25">
      <c r="A7" t="s">
        <v>16</v>
      </c>
      <c r="B7" s="2">
        <v>2953.68</v>
      </c>
      <c r="C7" s="2">
        <v>1596.06</v>
      </c>
      <c r="D7" s="2">
        <v>4507.8999999999996</v>
      </c>
      <c r="E7" s="2">
        <v>5651</v>
      </c>
      <c r="F7" s="2">
        <v>4732</v>
      </c>
      <c r="G7" s="2">
        <v>5245.3</v>
      </c>
      <c r="H7" s="2">
        <v>5856</v>
      </c>
      <c r="I7" s="2">
        <v>6287.4</v>
      </c>
      <c r="J7" s="2">
        <v>6794.8</v>
      </c>
      <c r="K7" s="2">
        <v>9052.7999999999993</v>
      </c>
      <c r="L7" s="2">
        <v>10944</v>
      </c>
      <c r="M7" s="2">
        <v>11820</v>
      </c>
      <c r="N7" s="2">
        <v>13978.5</v>
      </c>
      <c r="O7" s="2">
        <v>18611</v>
      </c>
      <c r="P7" s="2">
        <v>21173</v>
      </c>
      <c r="Q7" s="2">
        <v>27559</v>
      </c>
      <c r="R7" s="2">
        <v>28262.9</v>
      </c>
      <c r="S7" s="2">
        <v>32667</v>
      </c>
      <c r="T7" s="2">
        <v>43575.09</v>
      </c>
      <c r="U7" s="2">
        <v>55778.25</v>
      </c>
    </row>
    <row r="8" spans="1:21" x14ac:dyDescent="0.25">
      <c r="A8" t="s">
        <v>17</v>
      </c>
    </row>
    <row r="9" spans="1:21" x14ac:dyDescent="0.25">
      <c r="A9" t="s">
        <v>1071</v>
      </c>
      <c r="C9" s="2">
        <v>2113.6999999999998</v>
      </c>
      <c r="D9" s="2">
        <v>3855.7</v>
      </c>
      <c r="E9" s="2">
        <v>1732.5</v>
      </c>
      <c r="F9" s="2">
        <v>1214.0999999999999</v>
      </c>
      <c r="G9" s="2">
        <v>1953.3</v>
      </c>
      <c r="H9" s="2">
        <v>2772</v>
      </c>
      <c r="I9" s="2">
        <v>3184.3</v>
      </c>
      <c r="J9" s="2">
        <v>3961.3</v>
      </c>
      <c r="K9" s="2">
        <v>6685</v>
      </c>
      <c r="M9" s="2">
        <v>11741</v>
      </c>
      <c r="P9" s="2">
        <v>40400</v>
      </c>
      <c r="Q9" s="2">
        <v>39000</v>
      </c>
      <c r="R9" s="2">
        <v>36000</v>
      </c>
      <c r="S9" s="2">
        <v>38800</v>
      </c>
      <c r="T9" s="2">
        <v>50311.1</v>
      </c>
      <c r="U9" s="2">
        <v>57461.32</v>
      </c>
    </row>
    <row r="10" spans="1:21" x14ac:dyDescent="0.25">
      <c r="A10" t="s">
        <v>723</v>
      </c>
      <c r="B10">
        <v>188.68</v>
      </c>
      <c r="C10">
        <v>316.45</v>
      </c>
      <c r="D10">
        <v>214.07</v>
      </c>
      <c r="E10">
        <v>185.21</v>
      </c>
      <c r="F10">
        <v>249.29</v>
      </c>
      <c r="G10">
        <v>284.69</v>
      </c>
      <c r="H10">
        <v>285.5</v>
      </c>
      <c r="I10">
        <v>276.98</v>
      </c>
      <c r="J10">
        <v>272.88</v>
      </c>
      <c r="K10">
        <v>218.27</v>
      </c>
      <c r="L10">
        <v>212.25</v>
      </c>
      <c r="M10">
        <v>212.59</v>
      </c>
      <c r="N10">
        <v>232.88</v>
      </c>
      <c r="O10">
        <v>214.77</v>
      </c>
      <c r="P10">
        <v>250.91</v>
      </c>
      <c r="Q10">
        <v>240.68</v>
      </c>
      <c r="R10">
        <v>289.47000000000003</v>
      </c>
      <c r="S10">
        <v>270.73</v>
      </c>
      <c r="T10">
        <v>290.43</v>
      </c>
      <c r="U10">
        <v>260.27</v>
      </c>
    </row>
    <row r="11" spans="1:21" x14ac:dyDescent="0.25">
      <c r="A11" t="s">
        <v>569</v>
      </c>
      <c r="B11">
        <v>1.84</v>
      </c>
      <c r="C11">
        <v>1.1499999999999999</v>
      </c>
      <c r="D11">
        <v>2.06</v>
      </c>
      <c r="E11">
        <v>2.0499999999999998</v>
      </c>
      <c r="F11">
        <v>1.57</v>
      </c>
      <c r="G11">
        <v>1.44</v>
      </c>
      <c r="H11">
        <v>1.32</v>
      </c>
      <c r="I11">
        <v>1.32</v>
      </c>
      <c r="J11">
        <v>1.39</v>
      </c>
      <c r="K11">
        <v>1.72</v>
      </c>
      <c r="L11">
        <v>1.85</v>
      </c>
      <c r="M11">
        <v>1.8</v>
      </c>
      <c r="N11">
        <v>1.71</v>
      </c>
      <c r="O11">
        <v>1.81</v>
      </c>
      <c r="P11">
        <v>1.69</v>
      </c>
      <c r="Q11">
        <v>1.67</v>
      </c>
      <c r="R11">
        <v>1.4</v>
      </c>
      <c r="S11">
        <v>1.38</v>
      </c>
      <c r="T11">
        <v>1.31</v>
      </c>
      <c r="U11">
        <v>1.46</v>
      </c>
    </row>
    <row r="12" spans="1:21" x14ac:dyDescent="0.25">
      <c r="A12" t="s">
        <v>17</v>
      </c>
    </row>
    <row r="13" spans="1:21" x14ac:dyDescent="0.25">
      <c r="A13" t="s">
        <v>1072</v>
      </c>
      <c r="C13">
        <v>28.72</v>
      </c>
      <c r="D13">
        <v>43.37</v>
      </c>
      <c r="E13">
        <v>43.35</v>
      </c>
      <c r="F13">
        <v>42.38</v>
      </c>
      <c r="G13">
        <v>39.770000000000003</v>
      </c>
      <c r="H13">
        <v>44.3</v>
      </c>
      <c r="I13">
        <v>46.06</v>
      </c>
      <c r="J13">
        <v>44.81</v>
      </c>
      <c r="K13">
        <v>41.84</v>
      </c>
      <c r="L13">
        <v>45.95</v>
      </c>
      <c r="M13">
        <v>44.67</v>
      </c>
      <c r="N13">
        <v>48.63</v>
      </c>
      <c r="O13">
        <v>52.71</v>
      </c>
      <c r="P13">
        <v>50.5</v>
      </c>
      <c r="Q13">
        <v>51.3</v>
      </c>
      <c r="R13">
        <v>51.3</v>
      </c>
      <c r="S13">
        <v>52.8</v>
      </c>
      <c r="T13">
        <v>54.88</v>
      </c>
      <c r="U13">
        <v>56.32</v>
      </c>
    </row>
    <row r="14" spans="1:21" x14ac:dyDescent="0.25">
      <c r="A14" t="s">
        <v>1073</v>
      </c>
      <c r="C14">
        <v>466.76</v>
      </c>
      <c r="D14">
        <v>523.42999999999995</v>
      </c>
      <c r="E14">
        <v>590.27</v>
      </c>
      <c r="F14">
        <v>589.17999999999995</v>
      </c>
      <c r="G14">
        <v>882.03</v>
      </c>
      <c r="H14" s="2">
        <v>1074.04</v>
      </c>
      <c r="I14" s="2">
        <v>1068.08</v>
      </c>
      <c r="J14" s="2">
        <v>1105.8</v>
      </c>
      <c r="K14" s="2">
        <v>1259.7</v>
      </c>
      <c r="L14" s="2">
        <v>1575.9</v>
      </c>
      <c r="M14" s="2">
        <v>1968.5</v>
      </c>
      <c r="N14" s="2">
        <v>2200.8000000000002</v>
      </c>
      <c r="O14" s="2">
        <v>2547</v>
      </c>
      <c r="P14" s="2">
        <v>3253.5</v>
      </c>
      <c r="Q14" s="2">
        <v>3980.6</v>
      </c>
      <c r="R14" s="2">
        <v>4303.7</v>
      </c>
      <c r="S14" s="2">
        <v>4698.8</v>
      </c>
      <c r="T14" s="2">
        <v>5113.12</v>
      </c>
      <c r="U14" s="2">
        <v>5720.82</v>
      </c>
    </row>
    <row r="15" spans="1:21" x14ac:dyDescent="0.25">
      <c r="A15" t="s">
        <v>91</v>
      </c>
      <c r="C15">
        <v>-165.01</v>
      </c>
      <c r="D15" s="2">
        <v>1250.7</v>
      </c>
      <c r="E15" s="2">
        <v>1641.2</v>
      </c>
      <c r="F15" s="2">
        <v>1156.8</v>
      </c>
      <c r="G15" s="2">
        <v>1275.0999999999999</v>
      </c>
      <c r="H15" s="2">
        <v>1282.2</v>
      </c>
      <c r="I15" s="2">
        <v>1565.1</v>
      </c>
      <c r="J15" s="2">
        <v>1657.7</v>
      </c>
      <c r="K15" s="2">
        <v>2567.6</v>
      </c>
      <c r="L15" s="2">
        <v>2965.3</v>
      </c>
      <c r="M15" s="2">
        <v>2790.8</v>
      </c>
      <c r="N15" s="2">
        <v>4051.5</v>
      </c>
      <c r="O15" s="2">
        <v>6750</v>
      </c>
      <c r="P15" s="2">
        <v>6501</v>
      </c>
      <c r="Q15" s="2">
        <v>9042.2999999999993</v>
      </c>
      <c r="R15" s="2">
        <v>9022.6</v>
      </c>
      <c r="S15" s="2">
        <v>11301.4</v>
      </c>
      <c r="T15" s="2">
        <v>17558.45</v>
      </c>
      <c r="U15" s="2">
        <v>24343.18</v>
      </c>
    </row>
    <row r="16" spans="1:21" x14ac:dyDescent="0.25">
      <c r="A16" t="s">
        <v>92</v>
      </c>
      <c r="J16">
        <v>25.6</v>
      </c>
      <c r="K16">
        <v>27.2</v>
      </c>
      <c r="L16">
        <v>27.1</v>
      </c>
      <c r="M16">
        <v>23.6</v>
      </c>
      <c r="N16">
        <v>29</v>
      </c>
      <c r="O16">
        <v>36.299999999999997</v>
      </c>
      <c r="P16">
        <v>30.7</v>
      </c>
      <c r="Q16">
        <v>32.799999999999997</v>
      </c>
      <c r="R16">
        <v>31.9</v>
      </c>
      <c r="S16">
        <v>34.6</v>
      </c>
      <c r="T16">
        <v>39.869999999999997</v>
      </c>
      <c r="U16">
        <v>42.85</v>
      </c>
    </row>
    <row r="17" spans="1:21" x14ac:dyDescent="0.25">
      <c r="A17" t="s">
        <v>17</v>
      </c>
    </row>
    <row r="18" spans="1:21" x14ac:dyDescent="0.25">
      <c r="A18" t="s">
        <v>533</v>
      </c>
      <c r="B18">
        <v>119.19</v>
      </c>
      <c r="C18">
        <v>141.63</v>
      </c>
      <c r="D18">
        <v>151.44</v>
      </c>
      <c r="E18">
        <v>165.19</v>
      </c>
      <c r="F18">
        <v>186.62</v>
      </c>
      <c r="G18">
        <v>228.78</v>
      </c>
      <c r="H18">
        <v>254.64</v>
      </c>
      <c r="I18">
        <v>296.88</v>
      </c>
      <c r="J18">
        <v>356.9</v>
      </c>
      <c r="K18">
        <v>417.5</v>
      </c>
      <c r="L18">
        <v>422.7</v>
      </c>
      <c r="M18">
        <v>448.5</v>
      </c>
      <c r="N18">
        <v>490.8</v>
      </c>
      <c r="O18">
        <v>471</v>
      </c>
      <c r="P18">
        <v>583.6</v>
      </c>
      <c r="Q18">
        <v>739.8</v>
      </c>
      <c r="R18">
        <v>918.6</v>
      </c>
      <c r="S18" s="2">
        <v>1025.9000000000001</v>
      </c>
      <c r="T18" s="2">
        <v>1072.75</v>
      </c>
      <c r="U18" s="2">
        <v>1169.44</v>
      </c>
    </row>
    <row r="19" spans="1:21" x14ac:dyDescent="0.25">
      <c r="A19" t="s">
        <v>1074</v>
      </c>
      <c r="B19">
        <v>-259.77</v>
      </c>
      <c r="C19">
        <v>-104.96</v>
      </c>
      <c r="D19">
        <v>-128.72999999999999</v>
      </c>
      <c r="E19">
        <v>-300.89999999999998</v>
      </c>
      <c r="F19">
        <v>-171.88</v>
      </c>
      <c r="G19">
        <v>-210.8</v>
      </c>
      <c r="H19">
        <v>-358.28</v>
      </c>
      <c r="I19">
        <v>-371.77</v>
      </c>
      <c r="J19">
        <v>-316.3</v>
      </c>
      <c r="K19">
        <v>-338.9</v>
      </c>
      <c r="L19">
        <v>-574</v>
      </c>
      <c r="M19">
        <v>-766.6</v>
      </c>
      <c r="N19">
        <v>-962</v>
      </c>
      <c r="O19">
        <v>-900.7</v>
      </c>
      <c r="P19" s="2">
        <v>-1281.8</v>
      </c>
      <c r="Q19" s="2">
        <v>-2155.6</v>
      </c>
      <c r="R19" s="2">
        <v>-2067.1999999999998</v>
      </c>
      <c r="S19" s="2">
        <v>-1573.6</v>
      </c>
      <c r="T19" s="2">
        <v>-1844.24</v>
      </c>
      <c r="U19" s="2">
        <v>-2222.77</v>
      </c>
    </row>
    <row r="20" spans="1:21" x14ac:dyDescent="0.25">
      <c r="A20" t="s">
        <v>17</v>
      </c>
    </row>
    <row r="21" spans="1:21" x14ac:dyDescent="0.25">
      <c r="A21" t="s">
        <v>1075</v>
      </c>
    </row>
    <row r="22" spans="1:21" x14ac:dyDescent="0.25">
      <c r="A22" t="s">
        <v>1076</v>
      </c>
      <c r="I22">
        <v>70.5</v>
      </c>
      <c r="J22">
        <v>331.2</v>
      </c>
      <c r="K22" s="2">
        <v>1084.2</v>
      </c>
      <c r="L22" s="2">
        <v>1880.1</v>
      </c>
      <c r="M22" s="2">
        <v>2799.7</v>
      </c>
      <c r="N22" s="2">
        <v>4463.8</v>
      </c>
      <c r="O22" s="2">
        <v>6284</v>
      </c>
      <c r="P22" s="2">
        <v>7045.3</v>
      </c>
      <c r="Q22" s="2">
        <v>9124</v>
      </c>
      <c r="R22" s="2">
        <v>8321.4</v>
      </c>
      <c r="S22" s="2">
        <v>11602.7</v>
      </c>
      <c r="T22" s="2">
        <v>16873.22</v>
      </c>
      <c r="U22" s="2">
        <v>23847.51</v>
      </c>
    </row>
    <row r="23" spans="1:21" x14ac:dyDescent="0.25">
      <c r="A23" t="s">
        <v>1077</v>
      </c>
      <c r="T23" s="2">
        <v>1722.22</v>
      </c>
      <c r="U23" s="2">
        <v>1917.01</v>
      </c>
    </row>
    <row r="24" spans="1:21" x14ac:dyDescent="0.25">
      <c r="A24" t="s">
        <v>1078</v>
      </c>
      <c r="T24" s="2">
        <v>15890.09</v>
      </c>
      <c r="U24" s="2">
        <v>22249.49</v>
      </c>
    </row>
    <row r="25" spans="1:21" x14ac:dyDescent="0.25">
      <c r="A25" t="s">
        <v>1079</v>
      </c>
      <c r="I25" s="2">
        <v>4166.7</v>
      </c>
      <c r="J25" s="2">
        <v>4276.7</v>
      </c>
      <c r="K25" s="2">
        <v>5058.3</v>
      </c>
      <c r="L25" s="2">
        <v>6039.9</v>
      </c>
      <c r="M25" s="2">
        <v>5922.1</v>
      </c>
      <c r="N25" s="2">
        <v>5502.7</v>
      </c>
      <c r="O25" s="2">
        <v>6855.1</v>
      </c>
      <c r="P25" s="2">
        <v>7725.4</v>
      </c>
      <c r="Q25" s="2">
        <v>12278.5</v>
      </c>
      <c r="R25" s="2">
        <v>12801.8</v>
      </c>
      <c r="S25" s="2">
        <v>12047</v>
      </c>
      <c r="T25" s="2">
        <v>14405.62</v>
      </c>
      <c r="U25" s="2">
        <v>17712.59</v>
      </c>
    </row>
    <row r="26" spans="1:21" x14ac:dyDescent="0.25">
      <c r="A26" t="s">
        <v>1080</v>
      </c>
      <c r="I26" s="2">
        <v>3238.5</v>
      </c>
      <c r="J26" s="2">
        <v>3539.6</v>
      </c>
      <c r="K26" s="2">
        <v>4028.7</v>
      </c>
      <c r="L26" s="2">
        <v>4806.8999999999996</v>
      </c>
      <c r="M26" s="2">
        <v>4707.7</v>
      </c>
      <c r="N26" s="2">
        <v>3917</v>
      </c>
      <c r="O26" s="2">
        <v>4959.6000000000004</v>
      </c>
      <c r="P26" s="2">
        <v>5236.5</v>
      </c>
      <c r="Q26" s="2">
        <v>9017.4</v>
      </c>
      <c r="R26" s="2">
        <v>9667</v>
      </c>
      <c r="S26" s="2">
        <v>10311.4</v>
      </c>
      <c r="T26" s="2">
        <v>11117.93</v>
      </c>
      <c r="U26" s="2">
        <v>13912.08</v>
      </c>
    </row>
    <row r="27" spans="1:21" x14ac:dyDescent="0.25">
      <c r="A27" t="s">
        <v>1081</v>
      </c>
      <c r="I27">
        <v>107.5</v>
      </c>
      <c r="J27">
        <v>113.4</v>
      </c>
      <c r="K27">
        <v>186.4</v>
      </c>
      <c r="L27">
        <v>274.3</v>
      </c>
      <c r="M27">
        <v>401.2</v>
      </c>
      <c r="N27">
        <v>427</v>
      </c>
      <c r="O27">
        <v>431.9</v>
      </c>
      <c r="P27">
        <v>623.70000000000005</v>
      </c>
      <c r="Q27">
        <v>780.2</v>
      </c>
      <c r="R27">
        <v>774.4</v>
      </c>
      <c r="S27">
        <v>427</v>
      </c>
      <c r="T27" s="2">
        <v>1081.3499999999999</v>
      </c>
      <c r="U27" s="2">
        <v>1282.54</v>
      </c>
    </row>
    <row r="28" spans="1:21" x14ac:dyDescent="0.25">
      <c r="A28" t="s">
        <v>1082</v>
      </c>
      <c r="I28">
        <v>747.7</v>
      </c>
      <c r="J28">
        <v>552.5</v>
      </c>
      <c r="K28">
        <v>743.5</v>
      </c>
      <c r="L28">
        <v>860.1</v>
      </c>
      <c r="M28">
        <v>679.7</v>
      </c>
      <c r="N28" s="2">
        <v>1012.3</v>
      </c>
      <c r="O28" s="2">
        <v>1321.3</v>
      </c>
      <c r="P28" s="2">
        <v>1653.7</v>
      </c>
      <c r="Q28" s="2">
        <v>2202.5</v>
      </c>
      <c r="R28" s="2">
        <v>1991.2</v>
      </c>
      <c r="S28" s="2">
        <v>1001.3</v>
      </c>
      <c r="T28" s="2">
        <v>1831.93</v>
      </c>
      <c r="U28" s="2">
        <v>1980.97</v>
      </c>
    </row>
    <row r="29" spans="1:21" x14ac:dyDescent="0.25">
      <c r="A29" t="s">
        <v>1083</v>
      </c>
      <c r="I29">
        <v>73</v>
      </c>
      <c r="J29">
        <v>71.2</v>
      </c>
      <c r="K29">
        <v>99.7</v>
      </c>
      <c r="L29">
        <v>98.6</v>
      </c>
      <c r="M29">
        <v>133.5</v>
      </c>
      <c r="N29">
        <v>146.4</v>
      </c>
      <c r="O29">
        <v>142.30000000000001</v>
      </c>
      <c r="P29">
        <v>211.5</v>
      </c>
      <c r="Q29">
        <v>278.39999999999998</v>
      </c>
      <c r="R29">
        <v>369.2</v>
      </c>
      <c r="S29">
        <v>307.3</v>
      </c>
      <c r="T29">
        <v>325.33999999999997</v>
      </c>
      <c r="U29">
        <v>387.12</v>
      </c>
    </row>
    <row r="30" spans="1:21" x14ac:dyDescent="0.25">
      <c r="A30" t="s">
        <v>1084</v>
      </c>
      <c r="I30">
        <v>73.2</v>
      </c>
      <c r="J30">
        <v>111</v>
      </c>
      <c r="K30">
        <v>281.89999999999998</v>
      </c>
      <c r="L30">
        <v>339.1</v>
      </c>
      <c r="M30">
        <v>274.39999999999998</v>
      </c>
      <c r="N30">
        <v>350.6</v>
      </c>
      <c r="O30">
        <v>513.70000000000005</v>
      </c>
      <c r="P30">
        <v>659.6</v>
      </c>
      <c r="Q30">
        <v>536.1</v>
      </c>
      <c r="R30">
        <v>645.5</v>
      </c>
      <c r="S30">
        <v>824.6</v>
      </c>
      <c r="T30" s="2">
        <v>1015.2</v>
      </c>
      <c r="U30" s="2">
        <v>1321.63</v>
      </c>
    </row>
    <row r="31" spans="1:21" x14ac:dyDescent="0.25">
      <c r="A31" t="s">
        <v>17</v>
      </c>
    </row>
    <row r="32" spans="1:21" x14ac:dyDescent="0.25">
      <c r="A32" t="s">
        <v>1085</v>
      </c>
    </row>
    <row r="33" spans="1:21" x14ac:dyDescent="0.25">
      <c r="A33" t="s">
        <v>1076</v>
      </c>
      <c r="I33">
        <v>1</v>
      </c>
      <c r="J33">
        <v>4</v>
      </c>
      <c r="K33">
        <v>11</v>
      </c>
      <c r="L33">
        <v>18</v>
      </c>
      <c r="M33">
        <v>26</v>
      </c>
      <c r="N33">
        <v>31</v>
      </c>
      <c r="O33">
        <v>42</v>
      </c>
      <c r="P33">
        <v>40</v>
      </c>
      <c r="Q33">
        <v>53</v>
      </c>
      <c r="R33">
        <v>44</v>
      </c>
      <c r="S33">
        <v>48</v>
      </c>
      <c r="T33">
        <v>68.7</v>
      </c>
      <c r="U33">
        <v>91.84</v>
      </c>
    </row>
    <row r="34" spans="1:21" x14ac:dyDescent="0.25">
      <c r="A34" t="s">
        <v>1077</v>
      </c>
      <c r="T34">
        <v>4.8499999999999996</v>
      </c>
      <c r="U34">
        <v>5.31</v>
      </c>
    </row>
    <row r="35" spans="1:21" x14ac:dyDescent="0.25">
      <c r="A35" t="s">
        <v>1078</v>
      </c>
      <c r="T35">
        <v>65.14</v>
      </c>
      <c r="U35">
        <v>86.95</v>
      </c>
    </row>
    <row r="36" spans="1:21" x14ac:dyDescent="0.25">
      <c r="A36" t="s">
        <v>1079</v>
      </c>
      <c r="I36">
        <v>168</v>
      </c>
      <c r="J36">
        <v>150</v>
      </c>
      <c r="K36">
        <v>186</v>
      </c>
      <c r="L36">
        <v>206</v>
      </c>
      <c r="M36">
        <v>203</v>
      </c>
      <c r="N36">
        <v>227</v>
      </c>
      <c r="O36">
        <v>267</v>
      </c>
      <c r="P36">
        <v>305</v>
      </c>
      <c r="Q36">
        <v>396</v>
      </c>
      <c r="R36">
        <v>374</v>
      </c>
      <c r="S36">
        <v>279</v>
      </c>
      <c r="T36">
        <v>389</v>
      </c>
      <c r="U36">
        <v>453</v>
      </c>
    </row>
    <row r="37" spans="1:21" x14ac:dyDescent="0.25">
      <c r="A37" t="s">
        <v>1080</v>
      </c>
      <c r="I37">
        <v>67</v>
      </c>
      <c r="J37">
        <v>68</v>
      </c>
      <c r="K37">
        <v>76</v>
      </c>
      <c r="L37">
        <v>86</v>
      </c>
      <c r="M37">
        <v>82</v>
      </c>
      <c r="N37">
        <v>68</v>
      </c>
      <c r="O37">
        <v>81</v>
      </c>
      <c r="P37">
        <v>81</v>
      </c>
      <c r="Q37">
        <v>125</v>
      </c>
      <c r="R37">
        <v>129</v>
      </c>
      <c r="S37">
        <v>131</v>
      </c>
      <c r="T37">
        <v>131.94</v>
      </c>
      <c r="U37">
        <v>164.88</v>
      </c>
    </row>
    <row r="38" spans="1:21" x14ac:dyDescent="0.25">
      <c r="A38" t="s">
        <v>1081</v>
      </c>
      <c r="I38">
        <v>9</v>
      </c>
      <c r="J38">
        <v>7</v>
      </c>
      <c r="K38">
        <v>13</v>
      </c>
      <c r="L38">
        <v>16</v>
      </c>
      <c r="M38">
        <v>22</v>
      </c>
      <c r="N38">
        <v>22</v>
      </c>
      <c r="O38">
        <v>22</v>
      </c>
      <c r="P38">
        <v>28</v>
      </c>
      <c r="Q38">
        <v>32</v>
      </c>
      <c r="R38">
        <v>28</v>
      </c>
      <c r="S38">
        <v>16</v>
      </c>
      <c r="T38">
        <v>36.869999999999997</v>
      </c>
      <c r="U38">
        <v>42.67</v>
      </c>
    </row>
    <row r="39" spans="1:21" x14ac:dyDescent="0.25">
      <c r="A39" t="s">
        <v>1082</v>
      </c>
      <c r="I39">
        <v>74</v>
      </c>
      <c r="J39">
        <v>55</v>
      </c>
      <c r="K39">
        <v>71</v>
      </c>
      <c r="L39">
        <v>78</v>
      </c>
      <c r="M39">
        <v>65</v>
      </c>
      <c r="N39">
        <v>103</v>
      </c>
      <c r="O39">
        <v>131</v>
      </c>
      <c r="P39">
        <v>151</v>
      </c>
      <c r="Q39">
        <v>184</v>
      </c>
      <c r="R39">
        <v>152</v>
      </c>
      <c r="S39">
        <v>78</v>
      </c>
      <c r="T39">
        <v>144.61000000000001</v>
      </c>
      <c r="U39">
        <v>146.88</v>
      </c>
    </row>
    <row r="40" spans="1:21" x14ac:dyDescent="0.25">
      <c r="A40" t="s">
        <v>1083</v>
      </c>
      <c r="I40">
        <v>18</v>
      </c>
      <c r="J40">
        <v>20</v>
      </c>
      <c r="K40">
        <v>26</v>
      </c>
      <c r="L40">
        <v>26</v>
      </c>
      <c r="M40">
        <v>34</v>
      </c>
      <c r="N40">
        <v>34</v>
      </c>
      <c r="O40">
        <v>33</v>
      </c>
      <c r="P40">
        <v>45</v>
      </c>
      <c r="Q40">
        <v>55</v>
      </c>
      <c r="R40">
        <v>65</v>
      </c>
      <c r="S40">
        <v>54</v>
      </c>
      <c r="T40">
        <v>54.57</v>
      </c>
      <c r="U40">
        <v>68.53</v>
      </c>
    </row>
    <row r="41" spans="1:21" x14ac:dyDescent="0.25">
      <c r="A41" t="s">
        <v>1084</v>
      </c>
      <c r="I41">
        <v>45</v>
      </c>
      <c r="J41">
        <v>55</v>
      </c>
      <c r="K41">
        <v>95</v>
      </c>
      <c r="L41">
        <v>114</v>
      </c>
      <c r="M41">
        <v>115</v>
      </c>
      <c r="N41">
        <v>137</v>
      </c>
      <c r="O41">
        <v>196</v>
      </c>
      <c r="P41">
        <v>216</v>
      </c>
      <c r="Q41">
        <v>151</v>
      </c>
      <c r="R41">
        <v>165</v>
      </c>
      <c r="S41">
        <v>208</v>
      </c>
      <c r="T41">
        <v>229.91</v>
      </c>
      <c r="U41">
        <v>304.13</v>
      </c>
    </row>
    <row r="42" spans="1:21" x14ac:dyDescent="0.25">
      <c r="A42" t="s">
        <v>17</v>
      </c>
    </row>
    <row r="43" spans="1:21" x14ac:dyDescent="0.25">
      <c r="A43" t="s">
        <v>37</v>
      </c>
    </row>
    <row r="44" spans="1:21" x14ac:dyDescent="0.25">
      <c r="A44" t="s">
        <v>17</v>
      </c>
    </row>
    <row r="45" spans="1:21" x14ac:dyDescent="0.25">
      <c r="A45" t="s">
        <v>38</v>
      </c>
    </row>
    <row r="46" spans="1:21" x14ac:dyDescent="0.25">
      <c r="A46" t="s">
        <v>1071</v>
      </c>
      <c r="C46" s="2">
        <v>2113.6999999999998</v>
      </c>
      <c r="D46" s="2">
        <v>3855.7</v>
      </c>
      <c r="E46" s="2">
        <v>1732.5</v>
      </c>
      <c r="F46" s="2">
        <v>1214.0999999999999</v>
      </c>
      <c r="G46" s="2">
        <v>1953.3</v>
      </c>
      <c r="H46" s="2">
        <v>2772</v>
      </c>
      <c r="I46" s="2">
        <v>3184.3</v>
      </c>
      <c r="J46" s="2">
        <v>3961.3</v>
      </c>
      <c r="K46" s="2">
        <v>6685</v>
      </c>
      <c r="M46" s="2">
        <v>11741</v>
      </c>
      <c r="P46" s="2">
        <v>40400</v>
      </c>
      <c r="Q46" s="2">
        <v>39000</v>
      </c>
      <c r="R46" s="2">
        <v>36000</v>
      </c>
      <c r="S46" s="2">
        <v>38800</v>
      </c>
      <c r="T46" s="2">
        <v>50311.1</v>
      </c>
      <c r="U46" s="2">
        <v>57461.32</v>
      </c>
    </row>
    <row r="47" spans="1:21" x14ac:dyDescent="0.25">
      <c r="A47" t="s">
        <v>1086</v>
      </c>
      <c r="F47" s="2">
        <v>3312.3</v>
      </c>
      <c r="G47" s="2">
        <v>4644</v>
      </c>
      <c r="H47" s="2">
        <v>4902</v>
      </c>
      <c r="I47" s="2">
        <v>4639</v>
      </c>
      <c r="J47" s="2">
        <v>5396.3</v>
      </c>
      <c r="K47" s="2">
        <v>9357.2000000000007</v>
      </c>
      <c r="L47" s="2">
        <v>8180.7</v>
      </c>
      <c r="M47" s="2">
        <v>11741</v>
      </c>
      <c r="N47" s="2">
        <v>11292.2</v>
      </c>
      <c r="O47" s="2">
        <v>26240</v>
      </c>
      <c r="P47" s="2">
        <v>30674</v>
      </c>
      <c r="Q47" s="2">
        <v>20040</v>
      </c>
      <c r="R47" s="2">
        <v>18899</v>
      </c>
      <c r="S47" s="2">
        <v>28035</v>
      </c>
      <c r="T47" s="2">
        <v>38314.71</v>
      </c>
      <c r="U47" s="2">
        <v>40268.959999999999</v>
      </c>
    </row>
    <row r="48" spans="1:21" x14ac:dyDescent="0.25">
      <c r="A48" t="s">
        <v>1076</v>
      </c>
      <c r="M48" s="2">
        <v>6200</v>
      </c>
      <c r="N48" s="2">
        <v>3663</v>
      </c>
      <c r="O48" s="2">
        <v>12694</v>
      </c>
      <c r="P48" s="2">
        <v>15100</v>
      </c>
      <c r="Q48" s="2">
        <v>9300</v>
      </c>
      <c r="R48" s="2">
        <v>7556</v>
      </c>
      <c r="S48" s="2">
        <v>14500</v>
      </c>
      <c r="T48" s="2">
        <v>21828.2</v>
      </c>
      <c r="U48" s="2">
        <v>20160.810000000001</v>
      </c>
    </row>
    <row r="49" spans="1:21" x14ac:dyDescent="0.25">
      <c r="A49" t="s">
        <v>1087</v>
      </c>
      <c r="M49" s="2">
        <v>5540</v>
      </c>
      <c r="N49" s="2">
        <v>7629</v>
      </c>
      <c r="O49" s="2">
        <v>13546</v>
      </c>
      <c r="P49" s="2">
        <v>15574</v>
      </c>
      <c r="Q49" s="2">
        <v>10740</v>
      </c>
      <c r="R49" s="2">
        <v>11343</v>
      </c>
      <c r="S49" s="2">
        <v>13535</v>
      </c>
      <c r="T49" s="2">
        <v>16880.150000000001</v>
      </c>
      <c r="U49" s="2">
        <v>20897.75</v>
      </c>
    </row>
    <row r="50" spans="1:21" x14ac:dyDescent="0.25">
      <c r="A50" t="s">
        <v>17</v>
      </c>
    </row>
    <row r="51" spans="1:21" x14ac:dyDescent="0.25">
      <c r="A51" t="s">
        <v>1088</v>
      </c>
    </row>
    <row r="52" spans="1:21" x14ac:dyDescent="0.25">
      <c r="A52" t="s">
        <v>1089</v>
      </c>
    </row>
    <row r="53" spans="1:21" x14ac:dyDescent="0.25">
      <c r="A53" t="s">
        <v>1090</v>
      </c>
      <c r="I53" s="2">
        <v>4237.2</v>
      </c>
      <c r="J53" s="2">
        <v>4607.8999999999996</v>
      </c>
      <c r="K53" s="2">
        <v>6142.5</v>
      </c>
      <c r="L53" s="2">
        <v>7920</v>
      </c>
      <c r="M53" s="2">
        <v>8721.7999999999993</v>
      </c>
      <c r="N53" s="2">
        <v>9966.5</v>
      </c>
      <c r="O53" s="2">
        <v>13139.1</v>
      </c>
      <c r="P53" s="2">
        <v>14770.7</v>
      </c>
      <c r="Q53" s="2">
        <v>21402.5</v>
      </c>
      <c r="R53" s="2">
        <v>21123.200000000001</v>
      </c>
      <c r="S53" s="2">
        <v>23649.7</v>
      </c>
      <c r="T53" s="2">
        <v>31505.66</v>
      </c>
      <c r="U53" s="2">
        <v>40949.15</v>
      </c>
    </row>
    <row r="54" spans="1:21" x14ac:dyDescent="0.25">
      <c r="A54" t="s">
        <v>1091</v>
      </c>
      <c r="I54">
        <v>169</v>
      </c>
      <c r="J54">
        <v>154</v>
      </c>
      <c r="K54">
        <v>197</v>
      </c>
      <c r="L54">
        <v>224</v>
      </c>
      <c r="M54">
        <v>229</v>
      </c>
      <c r="N54">
        <v>258</v>
      </c>
      <c r="O54">
        <v>309</v>
      </c>
      <c r="P54">
        <v>345</v>
      </c>
      <c r="Q54">
        <v>449</v>
      </c>
      <c r="R54">
        <v>418</v>
      </c>
      <c r="S54">
        <v>327</v>
      </c>
      <c r="T54">
        <v>435.85</v>
      </c>
      <c r="U54">
        <v>513.02</v>
      </c>
    </row>
    <row r="55" spans="1:21" x14ac:dyDescent="0.25">
      <c r="A55" t="s">
        <v>1092</v>
      </c>
      <c r="T55">
        <v>73.45</v>
      </c>
      <c r="U55">
        <v>81.78</v>
      </c>
    </row>
    <row r="56" spans="1:21" x14ac:dyDescent="0.25">
      <c r="A56" t="s">
        <v>741</v>
      </c>
    </row>
    <row r="57" spans="1:21" x14ac:dyDescent="0.25">
      <c r="A57" t="s">
        <v>1076</v>
      </c>
    </row>
    <row r="58" spans="1:21" x14ac:dyDescent="0.25">
      <c r="A58" t="s">
        <v>1090</v>
      </c>
      <c r="I58">
        <v>70.5</v>
      </c>
      <c r="J58">
        <v>331.2</v>
      </c>
      <c r="K58" s="2">
        <v>1084.2</v>
      </c>
      <c r="L58" s="2">
        <v>1880.1</v>
      </c>
      <c r="M58" s="2">
        <v>2799.7</v>
      </c>
      <c r="N58" s="2">
        <v>4463.8</v>
      </c>
      <c r="O58" s="2">
        <v>6284</v>
      </c>
      <c r="P58" s="2">
        <v>7045.3</v>
      </c>
      <c r="Q58" s="2">
        <v>9124</v>
      </c>
      <c r="R58" s="2">
        <v>8321.4</v>
      </c>
      <c r="S58" s="2">
        <v>11602.7</v>
      </c>
      <c r="T58" s="2">
        <v>16873.22</v>
      </c>
      <c r="U58" s="2">
        <v>23847.51</v>
      </c>
    </row>
    <row r="59" spans="1:21" x14ac:dyDescent="0.25">
      <c r="A59" t="s">
        <v>1091</v>
      </c>
      <c r="I59">
        <v>1</v>
      </c>
      <c r="J59">
        <v>4</v>
      </c>
      <c r="K59">
        <v>11</v>
      </c>
      <c r="L59">
        <v>18</v>
      </c>
      <c r="M59">
        <v>26</v>
      </c>
      <c r="N59">
        <v>31</v>
      </c>
      <c r="O59">
        <v>42</v>
      </c>
      <c r="P59">
        <v>40</v>
      </c>
      <c r="Q59">
        <v>53</v>
      </c>
      <c r="R59">
        <v>44</v>
      </c>
      <c r="S59">
        <v>48</v>
      </c>
      <c r="T59">
        <v>68.7</v>
      </c>
      <c r="U59">
        <v>91.84</v>
      </c>
    </row>
    <row r="60" spans="1:21" x14ac:dyDescent="0.25">
      <c r="A60" t="s">
        <v>1092</v>
      </c>
      <c r="T60">
        <v>241.86</v>
      </c>
      <c r="U60">
        <v>255.46</v>
      </c>
    </row>
    <row r="61" spans="1:21" x14ac:dyDescent="0.25">
      <c r="A61" t="s">
        <v>741</v>
      </c>
    </row>
    <row r="62" spans="1:21" x14ac:dyDescent="0.25">
      <c r="A62" t="s">
        <v>1077</v>
      </c>
    </row>
    <row r="63" spans="1:21" x14ac:dyDescent="0.25">
      <c r="A63" t="s">
        <v>1093</v>
      </c>
      <c r="T63" s="2">
        <v>1722.22</v>
      </c>
      <c r="U63" s="2">
        <v>1917.01</v>
      </c>
    </row>
    <row r="64" spans="1:21" x14ac:dyDescent="0.25">
      <c r="A64" t="s">
        <v>1094</v>
      </c>
      <c r="T64">
        <v>4.8499999999999996</v>
      </c>
      <c r="U64">
        <v>5.31</v>
      </c>
    </row>
    <row r="65" spans="1:21" x14ac:dyDescent="0.25">
      <c r="A65" t="s">
        <v>1095</v>
      </c>
      <c r="T65">
        <v>355.83</v>
      </c>
      <c r="U65">
        <v>399.86</v>
      </c>
    </row>
    <row r="66" spans="1:21" x14ac:dyDescent="0.25">
      <c r="A66" t="s">
        <v>1096</v>
      </c>
    </row>
    <row r="67" spans="1:21" x14ac:dyDescent="0.25">
      <c r="A67" t="s">
        <v>1078</v>
      </c>
    </row>
    <row r="68" spans="1:21" x14ac:dyDescent="0.25">
      <c r="A68" t="s">
        <v>1093</v>
      </c>
      <c r="T68" s="2">
        <v>15890.09</v>
      </c>
      <c r="U68" s="2">
        <v>22249.49</v>
      </c>
    </row>
    <row r="69" spans="1:21" x14ac:dyDescent="0.25">
      <c r="A69" t="s">
        <v>1094</v>
      </c>
      <c r="T69">
        <v>65.14</v>
      </c>
      <c r="U69">
        <v>86.95</v>
      </c>
    </row>
    <row r="70" spans="1:21" x14ac:dyDescent="0.25">
      <c r="A70" t="s">
        <v>1095</v>
      </c>
      <c r="T70">
        <v>242.47</v>
      </c>
      <c r="U70">
        <v>254.95</v>
      </c>
    </row>
    <row r="71" spans="1:21" x14ac:dyDescent="0.25">
      <c r="A71" t="s">
        <v>1096</v>
      </c>
    </row>
    <row r="72" spans="1:21" x14ac:dyDescent="0.25">
      <c r="A72" t="s">
        <v>1097</v>
      </c>
    </row>
    <row r="73" spans="1:21" x14ac:dyDescent="0.25">
      <c r="A73" t="s">
        <v>1090</v>
      </c>
      <c r="I73" s="2">
        <v>3238.5</v>
      </c>
      <c r="J73" s="2">
        <v>3539.6</v>
      </c>
      <c r="K73" s="2">
        <v>4028.7</v>
      </c>
      <c r="L73" s="2">
        <v>4806.8999999999996</v>
      </c>
      <c r="M73" s="2">
        <v>4707.7</v>
      </c>
      <c r="N73" s="2">
        <v>3917</v>
      </c>
      <c r="O73" s="2">
        <v>4959.6000000000004</v>
      </c>
      <c r="P73" s="2">
        <v>5236.5</v>
      </c>
      <c r="Q73" s="2">
        <v>9017.4</v>
      </c>
      <c r="R73" s="2">
        <v>9667</v>
      </c>
      <c r="S73" s="2">
        <v>10311.4</v>
      </c>
      <c r="T73" s="2">
        <v>11117.93</v>
      </c>
      <c r="U73" s="2">
        <v>13912.08</v>
      </c>
    </row>
    <row r="74" spans="1:21" x14ac:dyDescent="0.25">
      <c r="A74" t="s">
        <v>1091</v>
      </c>
      <c r="I74">
        <v>67</v>
      </c>
      <c r="J74">
        <v>68</v>
      </c>
      <c r="K74">
        <v>76</v>
      </c>
      <c r="L74">
        <v>86</v>
      </c>
      <c r="M74">
        <v>82</v>
      </c>
      <c r="N74">
        <v>68</v>
      </c>
      <c r="O74">
        <v>81</v>
      </c>
      <c r="P74">
        <v>81</v>
      </c>
      <c r="Q74">
        <v>125</v>
      </c>
      <c r="R74">
        <v>129</v>
      </c>
      <c r="S74">
        <v>131</v>
      </c>
      <c r="T74">
        <v>131.94</v>
      </c>
      <c r="U74">
        <v>164.88</v>
      </c>
    </row>
    <row r="75" spans="1:21" x14ac:dyDescent="0.25">
      <c r="A75" t="s">
        <v>1092</v>
      </c>
      <c r="T75">
        <v>84.92</v>
      </c>
      <c r="U75">
        <v>85.57</v>
      </c>
    </row>
    <row r="76" spans="1:21" x14ac:dyDescent="0.25">
      <c r="A76" t="s">
        <v>741</v>
      </c>
    </row>
    <row r="77" spans="1:21" x14ac:dyDescent="0.25">
      <c r="A77" t="s">
        <v>1098</v>
      </c>
    </row>
    <row r="78" spans="1:21" x14ac:dyDescent="0.25">
      <c r="A78" t="s">
        <v>1090</v>
      </c>
      <c r="I78">
        <v>107.5</v>
      </c>
      <c r="J78">
        <v>113.4</v>
      </c>
      <c r="K78">
        <v>186.4</v>
      </c>
      <c r="L78">
        <v>274.3</v>
      </c>
      <c r="M78">
        <v>401.2</v>
      </c>
      <c r="N78">
        <v>427</v>
      </c>
      <c r="O78">
        <v>431.9</v>
      </c>
      <c r="P78">
        <v>623.70000000000005</v>
      </c>
      <c r="Q78">
        <v>780.2</v>
      </c>
      <c r="R78">
        <v>774.4</v>
      </c>
      <c r="S78">
        <v>427</v>
      </c>
      <c r="T78" s="2">
        <v>1081.3499999999999</v>
      </c>
      <c r="U78" s="2">
        <v>1282.54</v>
      </c>
    </row>
    <row r="79" spans="1:21" x14ac:dyDescent="0.25">
      <c r="A79" t="s">
        <v>1091</v>
      </c>
      <c r="I79">
        <v>9</v>
      </c>
      <c r="J79">
        <v>7</v>
      </c>
      <c r="K79">
        <v>13</v>
      </c>
      <c r="L79">
        <v>16</v>
      </c>
      <c r="M79">
        <v>22</v>
      </c>
      <c r="N79">
        <v>22</v>
      </c>
      <c r="O79">
        <v>22</v>
      </c>
      <c r="P79">
        <v>28</v>
      </c>
      <c r="Q79">
        <v>32</v>
      </c>
      <c r="R79">
        <v>28</v>
      </c>
      <c r="S79">
        <v>16</v>
      </c>
      <c r="T79">
        <v>36.869999999999997</v>
      </c>
      <c r="U79">
        <v>42.67</v>
      </c>
    </row>
    <row r="80" spans="1:21" x14ac:dyDescent="0.25">
      <c r="A80" t="s">
        <v>1092</v>
      </c>
      <c r="T80">
        <v>30.68</v>
      </c>
      <c r="U80">
        <v>30.44</v>
      </c>
    </row>
    <row r="81" spans="1:21" x14ac:dyDescent="0.25">
      <c r="A81" t="s">
        <v>741</v>
      </c>
    </row>
    <row r="82" spans="1:21" x14ac:dyDescent="0.25">
      <c r="A82" t="s">
        <v>1099</v>
      </c>
    </row>
    <row r="83" spans="1:21" x14ac:dyDescent="0.25">
      <c r="A83" t="s">
        <v>1090</v>
      </c>
      <c r="I83">
        <v>747.7</v>
      </c>
      <c r="J83">
        <v>552.5</v>
      </c>
      <c r="K83">
        <v>743.5</v>
      </c>
      <c r="L83">
        <v>860.1</v>
      </c>
      <c r="M83">
        <v>679.7</v>
      </c>
      <c r="N83" s="2">
        <v>1012.3</v>
      </c>
      <c r="O83" s="2">
        <v>1321.3</v>
      </c>
      <c r="P83" s="2">
        <v>1653.7</v>
      </c>
      <c r="Q83" s="2">
        <v>2202.5</v>
      </c>
      <c r="R83" s="2">
        <v>1991.2</v>
      </c>
      <c r="S83" s="2">
        <v>1001.3</v>
      </c>
      <c r="T83" s="2">
        <v>1831.93</v>
      </c>
      <c r="U83" s="2">
        <v>1980.97</v>
      </c>
    </row>
    <row r="84" spans="1:21" x14ac:dyDescent="0.25">
      <c r="A84" t="s">
        <v>1091</v>
      </c>
      <c r="I84">
        <v>74</v>
      </c>
      <c r="J84">
        <v>55</v>
      </c>
      <c r="K84">
        <v>71</v>
      </c>
      <c r="L84">
        <v>78</v>
      </c>
      <c r="M84">
        <v>65</v>
      </c>
      <c r="N84">
        <v>103</v>
      </c>
      <c r="O84">
        <v>131</v>
      </c>
      <c r="P84">
        <v>151</v>
      </c>
      <c r="Q84">
        <v>184</v>
      </c>
      <c r="R84">
        <v>152</v>
      </c>
      <c r="S84">
        <v>78</v>
      </c>
      <c r="T84">
        <v>144.61000000000001</v>
      </c>
      <c r="U84">
        <v>146.88</v>
      </c>
    </row>
    <row r="85" spans="1:21" x14ac:dyDescent="0.25">
      <c r="A85" t="s">
        <v>1092</v>
      </c>
      <c r="T85">
        <v>12.68</v>
      </c>
      <c r="U85">
        <v>13.12</v>
      </c>
    </row>
    <row r="86" spans="1:21" x14ac:dyDescent="0.25">
      <c r="A86" t="s">
        <v>741</v>
      </c>
    </row>
    <row r="87" spans="1:21" x14ac:dyDescent="0.25">
      <c r="A87" t="s">
        <v>1100</v>
      </c>
    </row>
    <row r="88" spans="1:21" x14ac:dyDescent="0.25">
      <c r="A88" t="s">
        <v>1090</v>
      </c>
      <c r="I88">
        <v>73</v>
      </c>
      <c r="J88">
        <v>71.2</v>
      </c>
      <c r="K88">
        <v>99.7</v>
      </c>
      <c r="L88">
        <v>98.6</v>
      </c>
      <c r="M88">
        <v>133.5</v>
      </c>
      <c r="N88">
        <v>146.4</v>
      </c>
      <c r="O88">
        <v>142.30000000000001</v>
      </c>
      <c r="P88">
        <v>211.5</v>
      </c>
      <c r="Q88">
        <v>278.39999999999998</v>
      </c>
      <c r="R88">
        <v>369.2</v>
      </c>
      <c r="S88">
        <v>307.3</v>
      </c>
      <c r="T88">
        <v>325.33999999999997</v>
      </c>
      <c r="U88">
        <v>387.12</v>
      </c>
    </row>
    <row r="89" spans="1:21" x14ac:dyDescent="0.25">
      <c r="A89" t="s">
        <v>1091</v>
      </c>
      <c r="I89">
        <v>18</v>
      </c>
      <c r="J89">
        <v>20</v>
      </c>
      <c r="K89">
        <v>26</v>
      </c>
      <c r="L89">
        <v>26</v>
      </c>
      <c r="M89">
        <v>34</v>
      </c>
      <c r="N89">
        <v>34</v>
      </c>
      <c r="O89">
        <v>33</v>
      </c>
      <c r="P89">
        <v>45</v>
      </c>
      <c r="Q89">
        <v>55</v>
      </c>
      <c r="R89">
        <v>65</v>
      </c>
      <c r="S89">
        <v>54</v>
      </c>
      <c r="T89">
        <v>54.57</v>
      </c>
      <c r="U89">
        <v>68.53</v>
      </c>
    </row>
    <row r="90" spans="1:21" x14ac:dyDescent="0.25">
      <c r="A90" t="s">
        <v>1092</v>
      </c>
      <c r="T90">
        <v>5.85</v>
      </c>
      <c r="U90">
        <v>5.69</v>
      </c>
    </row>
    <row r="91" spans="1:21" x14ac:dyDescent="0.25">
      <c r="A91" t="s">
        <v>741</v>
      </c>
    </row>
    <row r="92" spans="1:21" x14ac:dyDescent="0.25">
      <c r="A92" t="s">
        <v>1084</v>
      </c>
    </row>
    <row r="93" spans="1:21" x14ac:dyDescent="0.25">
      <c r="A93" t="s">
        <v>1090</v>
      </c>
      <c r="I93">
        <v>73.2</v>
      </c>
      <c r="J93">
        <v>111</v>
      </c>
      <c r="K93">
        <v>281.89999999999998</v>
      </c>
      <c r="L93">
        <v>339.1</v>
      </c>
      <c r="M93">
        <v>274.39999999999998</v>
      </c>
      <c r="N93">
        <v>350.6</v>
      </c>
      <c r="O93">
        <v>513.70000000000005</v>
      </c>
      <c r="P93">
        <v>659.6</v>
      </c>
      <c r="Q93">
        <v>536.1</v>
      </c>
      <c r="R93">
        <v>645.5</v>
      </c>
      <c r="S93">
        <v>824.6</v>
      </c>
      <c r="T93" s="2">
        <v>1015.2</v>
      </c>
      <c r="U93" s="2">
        <v>1321.63</v>
      </c>
    </row>
    <row r="94" spans="1:21" x14ac:dyDescent="0.25">
      <c r="A94" t="s">
        <v>1091</v>
      </c>
      <c r="I94">
        <v>45</v>
      </c>
      <c r="J94">
        <v>55</v>
      </c>
      <c r="K94">
        <v>95</v>
      </c>
      <c r="L94">
        <v>114</v>
      </c>
      <c r="M94">
        <v>115</v>
      </c>
      <c r="N94">
        <v>137</v>
      </c>
      <c r="O94">
        <v>196</v>
      </c>
      <c r="P94">
        <v>216</v>
      </c>
      <c r="Q94">
        <v>151</v>
      </c>
      <c r="R94">
        <v>165</v>
      </c>
      <c r="S94">
        <v>208</v>
      </c>
      <c r="T94">
        <v>229.91</v>
      </c>
      <c r="U94">
        <v>304.13</v>
      </c>
    </row>
    <row r="95" spans="1:21" x14ac:dyDescent="0.25">
      <c r="A95" t="s">
        <v>741</v>
      </c>
    </row>
    <row r="96" spans="1:21" x14ac:dyDescent="0.25">
      <c r="A96" t="s">
        <v>1101</v>
      </c>
    </row>
    <row r="97" spans="1:21" x14ac:dyDescent="0.25">
      <c r="A97" t="s">
        <v>1090</v>
      </c>
      <c r="B97" s="2">
        <v>2516.7600000000002</v>
      </c>
      <c r="C97" s="2">
        <v>1174.8599999999999</v>
      </c>
      <c r="D97" s="2">
        <v>3894.7</v>
      </c>
      <c r="E97" s="2">
        <v>4883.91</v>
      </c>
      <c r="F97" s="2">
        <v>3801.63</v>
      </c>
      <c r="G97" s="2">
        <v>3993.13</v>
      </c>
      <c r="H97" s="2">
        <v>4242.8</v>
      </c>
      <c r="I97" s="2">
        <v>4237.2</v>
      </c>
      <c r="J97" s="2">
        <v>4718.8999999999996</v>
      </c>
      <c r="K97" s="2">
        <v>6424.4</v>
      </c>
      <c r="L97" s="2">
        <v>8259.1</v>
      </c>
      <c r="M97" s="2">
        <v>8996.2000000000007</v>
      </c>
      <c r="N97" s="2">
        <v>10316.6</v>
      </c>
      <c r="O97" s="2">
        <v>13652.8</v>
      </c>
      <c r="P97" s="2">
        <v>15430</v>
      </c>
      <c r="Q97" s="2">
        <v>21938.6</v>
      </c>
      <c r="R97" s="2">
        <v>21768.7</v>
      </c>
      <c r="S97" s="2">
        <v>24474.3</v>
      </c>
      <c r="T97" s="2">
        <v>32660.11</v>
      </c>
      <c r="U97" s="2">
        <v>42774.53</v>
      </c>
    </row>
    <row r="98" spans="1:21" x14ac:dyDescent="0.25">
      <c r="A98" t="s">
        <v>1091</v>
      </c>
      <c r="I98">
        <v>214</v>
      </c>
      <c r="J98">
        <v>209</v>
      </c>
      <c r="K98">
        <v>292</v>
      </c>
      <c r="L98">
        <v>338</v>
      </c>
      <c r="M98">
        <v>344</v>
      </c>
      <c r="N98">
        <v>395</v>
      </c>
      <c r="O98">
        <v>505</v>
      </c>
      <c r="P98">
        <v>561</v>
      </c>
      <c r="Q98">
        <v>600</v>
      </c>
      <c r="R98">
        <v>583</v>
      </c>
      <c r="S98">
        <v>535</v>
      </c>
    </row>
    <row r="99" spans="1:21" x14ac:dyDescent="0.25">
      <c r="A99" t="s">
        <v>1092</v>
      </c>
    </row>
    <row r="100" spans="1:21" x14ac:dyDescent="0.25">
      <c r="A100" t="s">
        <v>741</v>
      </c>
    </row>
    <row r="101" spans="1:21" x14ac:dyDescent="0.25">
      <c r="A101" t="s">
        <v>1102</v>
      </c>
    </row>
    <row r="102" spans="1:21" x14ac:dyDescent="0.25">
      <c r="A102" t="s">
        <v>1090</v>
      </c>
      <c r="B102">
        <v>436.92</v>
      </c>
      <c r="C102">
        <v>421.21</v>
      </c>
      <c r="D102">
        <v>613.20000000000005</v>
      </c>
      <c r="E102">
        <v>767.12</v>
      </c>
      <c r="F102">
        <v>929.92</v>
      </c>
      <c r="G102" s="2">
        <v>1252.2</v>
      </c>
      <c r="H102" s="2">
        <v>1613.5</v>
      </c>
      <c r="I102" s="2">
        <v>2050.1799999999998</v>
      </c>
      <c r="J102" s="2">
        <v>2156.1999999999998</v>
      </c>
      <c r="K102" s="2">
        <v>2538.3000000000002</v>
      </c>
      <c r="L102" s="2">
        <v>2684.9</v>
      </c>
      <c r="M102" s="2">
        <v>2823.8</v>
      </c>
      <c r="N102" s="2">
        <v>3661.9</v>
      </c>
      <c r="O102" s="2">
        <v>4958.2</v>
      </c>
      <c r="P102" s="2">
        <v>5743</v>
      </c>
      <c r="Q102" s="2">
        <v>5619.9</v>
      </c>
      <c r="R102" s="2">
        <v>6493.9</v>
      </c>
      <c r="S102" s="2">
        <v>8193</v>
      </c>
      <c r="T102" s="2">
        <v>11053.73</v>
      </c>
      <c r="U102" s="2">
        <v>12878.29</v>
      </c>
    </row>
    <row r="103" spans="1:21" x14ac:dyDescent="0.25">
      <c r="A103" t="s">
        <v>1091</v>
      </c>
    </row>
    <row r="104" spans="1:21" x14ac:dyDescent="0.25">
      <c r="A104" t="s">
        <v>1092</v>
      </c>
    </row>
    <row r="105" spans="1:21" x14ac:dyDescent="0.25">
      <c r="A105" t="s">
        <v>741</v>
      </c>
    </row>
    <row r="106" spans="1:21" x14ac:dyDescent="0.25">
      <c r="A106" t="s">
        <v>17</v>
      </c>
    </row>
    <row r="107" spans="1:21" x14ac:dyDescent="0.25">
      <c r="A107" t="s">
        <v>252</v>
      </c>
    </row>
    <row r="108" spans="1:21" x14ac:dyDescent="0.25">
      <c r="A108" t="s">
        <v>723</v>
      </c>
      <c r="B108">
        <v>188.68</v>
      </c>
      <c r="C108">
        <v>316.45</v>
      </c>
      <c r="D108">
        <v>214.07</v>
      </c>
      <c r="E108">
        <v>185.21</v>
      </c>
      <c r="F108">
        <v>249.29</v>
      </c>
      <c r="G108">
        <v>284.69</v>
      </c>
      <c r="H108">
        <v>285.5</v>
      </c>
      <c r="I108">
        <v>276.98</v>
      </c>
      <c r="J108">
        <v>272.88</v>
      </c>
      <c r="K108">
        <v>218.27</v>
      </c>
      <c r="L108">
        <v>212.25</v>
      </c>
      <c r="M108">
        <v>212.59</v>
      </c>
      <c r="N108">
        <v>232.88</v>
      </c>
      <c r="O108">
        <v>214.77</v>
      </c>
      <c r="P108">
        <v>250.91</v>
      </c>
      <c r="Q108">
        <v>240.68</v>
      </c>
      <c r="R108">
        <v>289.47000000000003</v>
      </c>
      <c r="S108">
        <v>270.73</v>
      </c>
      <c r="T108">
        <v>290.43</v>
      </c>
      <c r="U108">
        <v>260.27</v>
      </c>
    </row>
    <row r="109" spans="1:21" x14ac:dyDescent="0.25">
      <c r="A109" t="s">
        <v>17</v>
      </c>
    </row>
    <row r="110" spans="1:21" x14ac:dyDescent="0.25">
      <c r="A110" t="s">
        <v>58</v>
      </c>
    </row>
    <row r="111" spans="1:21" x14ac:dyDescent="0.25">
      <c r="A111" t="s">
        <v>16</v>
      </c>
      <c r="B111" s="2">
        <v>2953.68</v>
      </c>
      <c r="C111" s="2">
        <v>1596.06</v>
      </c>
      <c r="D111" s="2">
        <v>4507.9399999999996</v>
      </c>
      <c r="E111" s="2">
        <v>5651.04</v>
      </c>
      <c r="F111" s="2">
        <v>4731.5600000000004</v>
      </c>
      <c r="G111" s="2">
        <v>5245.33</v>
      </c>
      <c r="H111" s="2">
        <v>5856.28</v>
      </c>
      <c r="I111" s="2">
        <v>6287.38</v>
      </c>
      <c r="J111" s="2">
        <v>6875.1</v>
      </c>
      <c r="K111" s="2">
        <v>8962.7000000000007</v>
      </c>
      <c r="L111" s="2">
        <v>10944</v>
      </c>
      <c r="M111" s="2">
        <v>11820</v>
      </c>
      <c r="N111" s="2">
        <v>13978.5</v>
      </c>
      <c r="O111" s="2">
        <v>18611</v>
      </c>
      <c r="P111" s="2">
        <v>21173.4</v>
      </c>
      <c r="Q111" s="2">
        <v>27558.5</v>
      </c>
      <c r="R111" s="2">
        <v>28262.9</v>
      </c>
      <c r="S111" s="2">
        <v>32667.3</v>
      </c>
    </row>
    <row r="112" spans="1:21" x14ac:dyDescent="0.25">
      <c r="A112" t="s">
        <v>1101</v>
      </c>
      <c r="B112" s="2">
        <v>2516.7600000000002</v>
      </c>
      <c r="C112" s="2">
        <v>1174.8599999999999</v>
      </c>
      <c r="D112" s="2">
        <v>3894.7</v>
      </c>
      <c r="E112" s="2">
        <v>4883.91</v>
      </c>
      <c r="F112" s="2">
        <v>3801.63</v>
      </c>
      <c r="G112" s="2">
        <v>3993.13</v>
      </c>
      <c r="H112" s="2">
        <v>4242.8</v>
      </c>
      <c r="I112" s="2">
        <v>4237.2</v>
      </c>
      <c r="J112" s="2">
        <v>4718.8999999999996</v>
      </c>
      <c r="K112" s="2">
        <v>6424.4</v>
      </c>
      <c r="L112" s="2">
        <v>8259.1</v>
      </c>
      <c r="M112" s="2">
        <v>8996.2000000000007</v>
      </c>
      <c r="N112" s="2">
        <v>10316.6</v>
      </c>
      <c r="O112" s="2">
        <v>13652.8</v>
      </c>
      <c r="P112" s="2">
        <v>15430</v>
      </c>
      <c r="Q112" s="2">
        <v>21938.6</v>
      </c>
      <c r="R112" s="2">
        <v>21768.7</v>
      </c>
      <c r="S112" s="2">
        <v>24474.3</v>
      </c>
      <c r="T112" s="2">
        <v>32660.11</v>
      </c>
      <c r="U112" s="2">
        <v>42774.53</v>
      </c>
    </row>
    <row r="113" spans="1:21" x14ac:dyDescent="0.25">
      <c r="A113" t="s">
        <v>1103</v>
      </c>
      <c r="I113" s="2">
        <v>4237.2</v>
      </c>
      <c r="J113" s="2">
        <v>4607.8999999999996</v>
      </c>
      <c r="K113" s="2">
        <v>6142.5</v>
      </c>
      <c r="L113" s="2">
        <v>7920</v>
      </c>
      <c r="M113" s="2">
        <v>8721.7999999999993</v>
      </c>
      <c r="N113" s="2">
        <v>9966.5</v>
      </c>
      <c r="O113" s="2">
        <v>13139.1</v>
      </c>
      <c r="P113" s="2">
        <v>14770.7</v>
      </c>
      <c r="Q113" s="2">
        <v>21402.5</v>
      </c>
      <c r="R113" s="2">
        <v>21123.200000000001</v>
      </c>
      <c r="S113" s="2">
        <v>23649.7</v>
      </c>
      <c r="T113" s="2">
        <v>31505.66</v>
      </c>
      <c r="U113" s="2">
        <v>40949.15</v>
      </c>
    </row>
    <row r="114" spans="1:21" x14ac:dyDescent="0.25">
      <c r="A114" t="s">
        <v>1104</v>
      </c>
      <c r="I114">
        <v>70.5</v>
      </c>
      <c r="J114">
        <v>331.2</v>
      </c>
      <c r="K114" s="2">
        <v>1084.2</v>
      </c>
      <c r="L114" s="2">
        <v>1880.1</v>
      </c>
      <c r="M114" s="2">
        <v>2799.7</v>
      </c>
      <c r="N114" s="2">
        <v>4463.8</v>
      </c>
      <c r="O114" s="2">
        <v>6284</v>
      </c>
      <c r="P114" s="2">
        <v>7045.3</v>
      </c>
      <c r="Q114" s="2">
        <v>9124</v>
      </c>
      <c r="R114" s="2">
        <v>8321.4</v>
      </c>
      <c r="S114" s="2">
        <v>11602.7</v>
      </c>
      <c r="T114" s="2">
        <v>16873.22</v>
      </c>
      <c r="U114" s="2">
        <v>23847.51</v>
      </c>
    </row>
    <row r="115" spans="1:21" x14ac:dyDescent="0.25">
      <c r="A115" t="s">
        <v>1105</v>
      </c>
      <c r="T115" s="2">
        <v>1722.22</v>
      </c>
      <c r="U115" s="2">
        <v>1917.01</v>
      </c>
    </row>
    <row r="116" spans="1:21" x14ac:dyDescent="0.25">
      <c r="A116" t="s">
        <v>1106</v>
      </c>
      <c r="T116" s="2">
        <v>15890.09</v>
      </c>
      <c r="U116" s="2">
        <v>22249.49</v>
      </c>
    </row>
    <row r="117" spans="1:21" x14ac:dyDescent="0.25">
      <c r="A117" t="s">
        <v>1107</v>
      </c>
      <c r="I117" s="2">
        <v>3238.5</v>
      </c>
      <c r="J117" s="2">
        <v>3539.6</v>
      </c>
      <c r="K117" s="2">
        <v>4028.7</v>
      </c>
      <c r="L117" s="2">
        <v>4806.8999999999996</v>
      </c>
      <c r="M117" s="2">
        <v>4707.7</v>
      </c>
      <c r="N117" s="2">
        <v>3917</v>
      </c>
      <c r="O117" s="2">
        <v>4959.6000000000004</v>
      </c>
      <c r="P117" s="2">
        <v>5236.5</v>
      </c>
      <c r="Q117" s="2">
        <v>9017.4</v>
      </c>
      <c r="R117" s="2">
        <v>9667</v>
      </c>
      <c r="S117" s="2">
        <v>10311.4</v>
      </c>
      <c r="T117" s="2">
        <v>11117.93</v>
      </c>
      <c r="U117" s="2">
        <v>13912.08</v>
      </c>
    </row>
    <row r="118" spans="1:21" x14ac:dyDescent="0.25">
      <c r="A118" t="s">
        <v>1108</v>
      </c>
      <c r="I118">
        <v>107.5</v>
      </c>
      <c r="J118">
        <v>113.4</v>
      </c>
      <c r="K118">
        <v>186.4</v>
      </c>
      <c r="L118">
        <v>274.3</v>
      </c>
      <c r="M118">
        <v>401.2</v>
      </c>
      <c r="N118">
        <v>427</v>
      </c>
      <c r="O118">
        <v>431.9</v>
      </c>
      <c r="P118">
        <v>623.70000000000005</v>
      </c>
      <c r="Q118">
        <v>780.2</v>
      </c>
      <c r="R118">
        <v>774.4</v>
      </c>
      <c r="S118">
        <v>427</v>
      </c>
      <c r="T118" s="2">
        <v>1081.3499999999999</v>
      </c>
      <c r="U118" s="2">
        <v>1282.54</v>
      </c>
    </row>
    <row r="119" spans="1:21" x14ac:dyDescent="0.25">
      <c r="A119" t="s">
        <v>1109</v>
      </c>
      <c r="I119">
        <v>747.7</v>
      </c>
      <c r="J119">
        <v>552.5</v>
      </c>
      <c r="K119">
        <v>743.5</v>
      </c>
      <c r="L119">
        <v>860.1</v>
      </c>
      <c r="M119">
        <v>679.7</v>
      </c>
      <c r="N119" s="2">
        <v>1012.3</v>
      </c>
      <c r="O119" s="2">
        <v>1321.3</v>
      </c>
      <c r="P119" s="2">
        <v>1653.7</v>
      </c>
      <c r="Q119" s="2">
        <v>2202.5</v>
      </c>
      <c r="R119" s="2">
        <v>1991.2</v>
      </c>
      <c r="S119" s="2">
        <v>1001.3</v>
      </c>
      <c r="T119" s="2">
        <v>1831.93</v>
      </c>
      <c r="U119" s="2">
        <v>1980.97</v>
      </c>
    </row>
    <row r="120" spans="1:21" x14ac:dyDescent="0.25">
      <c r="A120" t="s">
        <v>1110</v>
      </c>
      <c r="I120">
        <v>73</v>
      </c>
      <c r="J120">
        <v>71.2</v>
      </c>
      <c r="K120">
        <v>99.7</v>
      </c>
      <c r="L120">
        <v>98.6</v>
      </c>
      <c r="M120">
        <v>133.5</v>
      </c>
      <c r="N120">
        <v>146.4</v>
      </c>
      <c r="O120">
        <v>142.30000000000001</v>
      </c>
      <c r="P120">
        <v>211.5</v>
      </c>
      <c r="Q120">
        <v>278.39999999999998</v>
      </c>
      <c r="R120">
        <v>369.2</v>
      </c>
      <c r="S120">
        <v>307.3</v>
      </c>
      <c r="T120">
        <v>325.33999999999997</v>
      </c>
      <c r="U120">
        <v>387.12</v>
      </c>
    </row>
    <row r="121" spans="1:21" x14ac:dyDescent="0.25">
      <c r="A121" t="s">
        <v>1111</v>
      </c>
      <c r="I121">
        <v>73.2</v>
      </c>
      <c r="J121">
        <v>111</v>
      </c>
      <c r="K121">
        <v>281.89999999999998</v>
      </c>
      <c r="L121">
        <v>339.1</v>
      </c>
      <c r="M121">
        <v>274.39999999999998</v>
      </c>
      <c r="N121">
        <v>350.6</v>
      </c>
      <c r="O121">
        <v>513.70000000000005</v>
      </c>
      <c r="P121">
        <v>659.6</v>
      </c>
      <c r="Q121">
        <v>536.1</v>
      </c>
      <c r="R121">
        <v>645.5</v>
      </c>
      <c r="S121">
        <v>824.6</v>
      </c>
      <c r="T121" s="2">
        <v>1015.2</v>
      </c>
      <c r="U121" s="2">
        <v>1321.63</v>
      </c>
    </row>
    <row r="122" spans="1:21" x14ac:dyDescent="0.25">
      <c r="A122" t="s">
        <v>1112</v>
      </c>
      <c r="B122">
        <v>436.92</v>
      </c>
      <c r="C122">
        <v>421.21</v>
      </c>
      <c r="D122">
        <v>613.20000000000005</v>
      </c>
      <c r="E122">
        <v>767.12</v>
      </c>
      <c r="F122">
        <v>929.92</v>
      </c>
      <c r="G122" s="2">
        <v>1252.2</v>
      </c>
      <c r="H122" s="2">
        <v>1613.5</v>
      </c>
      <c r="I122" s="2">
        <v>2050.1799999999998</v>
      </c>
      <c r="J122" s="2">
        <v>2156.1999999999998</v>
      </c>
      <c r="K122" s="2">
        <v>2538.3000000000002</v>
      </c>
      <c r="L122" s="2">
        <v>2684.9</v>
      </c>
      <c r="M122" s="2">
        <v>2823.8</v>
      </c>
      <c r="N122" s="2">
        <v>3661.9</v>
      </c>
      <c r="O122" s="2">
        <v>4958.2</v>
      </c>
      <c r="P122" s="2">
        <v>5743</v>
      </c>
      <c r="Q122" s="2">
        <v>5619.9</v>
      </c>
      <c r="R122" s="2">
        <v>6493.9</v>
      </c>
      <c r="S122" s="2">
        <v>8193</v>
      </c>
      <c r="T122" s="2">
        <v>11053.73</v>
      </c>
      <c r="U122" s="2">
        <v>12878.29</v>
      </c>
    </row>
    <row r="123" spans="1:21" x14ac:dyDescent="0.25">
      <c r="A123" t="s">
        <v>17</v>
      </c>
    </row>
    <row r="124" spans="1:21" x14ac:dyDescent="0.25">
      <c r="A124" t="s">
        <v>72</v>
      </c>
    </row>
    <row r="125" spans="1:21" x14ac:dyDescent="0.25">
      <c r="A125" t="s">
        <v>1113</v>
      </c>
      <c r="B125" s="2">
        <v>2516.7600000000002</v>
      </c>
      <c r="C125" s="2">
        <v>1174.8599999999999</v>
      </c>
      <c r="D125" s="2">
        <v>3894.7</v>
      </c>
      <c r="E125" s="2">
        <v>4883.91</v>
      </c>
      <c r="F125" s="2">
        <v>3801.63</v>
      </c>
      <c r="G125" s="2">
        <v>3993.13</v>
      </c>
      <c r="H125" s="2">
        <v>4242.8</v>
      </c>
      <c r="I125" s="2">
        <v>4237.2</v>
      </c>
      <c r="J125" s="2">
        <v>4718.8999999999996</v>
      </c>
      <c r="K125" s="2">
        <v>6424.4</v>
      </c>
      <c r="L125" s="2">
        <v>8259.1</v>
      </c>
      <c r="M125" s="2">
        <v>8996.2000000000007</v>
      </c>
      <c r="N125" s="2">
        <v>10316.6</v>
      </c>
      <c r="O125" s="2">
        <v>13652.8</v>
      </c>
      <c r="P125" s="2">
        <v>15430</v>
      </c>
      <c r="Q125" s="2">
        <v>21938.6</v>
      </c>
      <c r="R125" s="2">
        <v>21768.7</v>
      </c>
      <c r="S125" s="2">
        <v>24474.3</v>
      </c>
      <c r="T125" s="2">
        <v>32660.11</v>
      </c>
      <c r="U125" s="2">
        <v>42774.53</v>
      </c>
    </row>
    <row r="126" spans="1:21" x14ac:dyDescent="0.25">
      <c r="A126" t="s">
        <v>736</v>
      </c>
      <c r="O126" s="2">
        <v>6007.23</v>
      </c>
      <c r="P126" s="2">
        <v>6480.73</v>
      </c>
      <c r="Q126" s="2">
        <v>6581.7</v>
      </c>
      <c r="R126" s="2">
        <v>2394.59</v>
      </c>
      <c r="S126" s="2">
        <v>5384.35</v>
      </c>
      <c r="T126" s="2">
        <v>6915.98</v>
      </c>
      <c r="U126" s="2">
        <v>10600</v>
      </c>
    </row>
    <row r="127" spans="1:21" x14ac:dyDescent="0.25">
      <c r="A127" t="s">
        <v>1114</v>
      </c>
      <c r="O127" s="2">
        <v>4778.4799999999996</v>
      </c>
      <c r="P127" s="2">
        <v>4474.79</v>
      </c>
      <c r="Q127" s="2">
        <v>5265.36</v>
      </c>
      <c r="R127" s="2">
        <v>4571.49</v>
      </c>
      <c r="S127" s="2">
        <v>6118.58</v>
      </c>
      <c r="T127" s="2">
        <v>4692.62</v>
      </c>
      <c r="U127" s="2">
        <v>2400</v>
      </c>
    </row>
    <row r="128" spans="1:21" x14ac:dyDescent="0.25">
      <c r="A128" t="s">
        <v>585</v>
      </c>
      <c r="O128" s="2">
        <v>2184.4499999999998</v>
      </c>
      <c r="P128" s="2">
        <v>2160.2399999999998</v>
      </c>
      <c r="Q128" s="2">
        <v>6362.31</v>
      </c>
      <c r="R128" s="2">
        <v>8925.2900000000009</v>
      </c>
      <c r="S128" s="2">
        <v>8076.52</v>
      </c>
      <c r="T128" s="2">
        <v>7042.74</v>
      </c>
      <c r="U128" s="2">
        <v>7598.5</v>
      </c>
    </row>
    <row r="129" spans="1:21" x14ac:dyDescent="0.25">
      <c r="A129" t="s">
        <v>644</v>
      </c>
      <c r="P129">
        <v>308.61</v>
      </c>
      <c r="Q129">
        <v>877.56</v>
      </c>
      <c r="R129" s="2">
        <v>1088.45</v>
      </c>
      <c r="S129">
        <v>244.74</v>
      </c>
    </row>
    <row r="130" spans="1:21" x14ac:dyDescent="0.25">
      <c r="A130" t="s">
        <v>586</v>
      </c>
      <c r="O130">
        <v>136.53</v>
      </c>
      <c r="P130">
        <v>617.21</v>
      </c>
      <c r="Q130">
        <v>438.38</v>
      </c>
      <c r="R130">
        <v>870.76</v>
      </c>
      <c r="S130" s="2">
        <v>1223.72</v>
      </c>
      <c r="T130">
        <v>262.58</v>
      </c>
    </row>
    <row r="131" spans="1:21" x14ac:dyDescent="0.25">
      <c r="A131" t="s">
        <v>73</v>
      </c>
      <c r="O131">
        <v>682.64</v>
      </c>
      <c r="P131" s="2">
        <v>1080.1199999999999</v>
      </c>
      <c r="Q131" s="2">
        <v>2193.9</v>
      </c>
      <c r="R131" s="2">
        <v>3700.73</v>
      </c>
      <c r="S131" s="2">
        <v>2936.92</v>
      </c>
      <c r="T131">
        <v>999.47</v>
      </c>
    </row>
    <row r="132" spans="1:21" x14ac:dyDescent="0.25">
      <c r="A132" t="s">
        <v>1115</v>
      </c>
      <c r="P132">
        <v>308.61</v>
      </c>
      <c r="Q132">
        <v>219.39</v>
      </c>
      <c r="R132">
        <v>217.69</v>
      </c>
      <c r="S132">
        <v>489.49</v>
      </c>
      <c r="T132">
        <v>62.46</v>
      </c>
    </row>
    <row r="133" spans="1:21" x14ac:dyDescent="0.25">
      <c r="A133" t="s">
        <v>735</v>
      </c>
      <c r="B133">
        <v>72.25</v>
      </c>
      <c r="C133">
        <v>155.83000000000001</v>
      </c>
      <c r="D133">
        <v>215.36</v>
      </c>
      <c r="E133">
        <v>436.31</v>
      </c>
      <c r="F133">
        <v>98.55</v>
      </c>
      <c r="G133">
        <v>139.31</v>
      </c>
      <c r="H133">
        <v>132.59</v>
      </c>
      <c r="I133">
        <v>121.39</v>
      </c>
      <c r="J133">
        <v>245.6</v>
      </c>
      <c r="K133">
        <v>163.69999999999999</v>
      </c>
      <c r="L133">
        <v>222.5</v>
      </c>
      <c r="M133">
        <v>120</v>
      </c>
      <c r="N133">
        <v>84.9</v>
      </c>
      <c r="O133">
        <v>126.2</v>
      </c>
      <c r="P133">
        <v>475.5</v>
      </c>
      <c r="Q133">
        <v>282.10000000000002</v>
      </c>
      <c r="R133">
        <v>285</v>
      </c>
      <c r="S133">
        <v>608.4</v>
      </c>
    </row>
    <row r="134" spans="1:21" x14ac:dyDescent="0.25">
      <c r="A134" t="s">
        <v>17</v>
      </c>
    </row>
    <row r="135" spans="1:21" x14ac:dyDescent="0.25">
      <c r="A135" t="s">
        <v>570</v>
      </c>
    </row>
    <row r="136" spans="1:21" x14ac:dyDescent="0.25">
      <c r="A136" t="s">
        <v>1116</v>
      </c>
      <c r="B136" s="2">
        <v>2516.7600000000002</v>
      </c>
      <c r="C136" s="2">
        <v>1174.8599999999999</v>
      </c>
      <c r="D136" s="2">
        <v>3894.7</v>
      </c>
      <c r="E136" s="2">
        <v>4883.91</v>
      </c>
      <c r="F136" s="2">
        <v>3801.63</v>
      </c>
      <c r="G136" s="2">
        <v>3993.13</v>
      </c>
      <c r="H136" s="2">
        <v>4242.8</v>
      </c>
      <c r="I136" s="2">
        <v>4237.2</v>
      </c>
      <c r="J136" s="2">
        <v>4718.8999999999996</v>
      </c>
      <c r="K136" s="2">
        <v>6424.4</v>
      </c>
      <c r="L136" s="2">
        <v>8259.1</v>
      </c>
      <c r="M136" s="2">
        <v>8996.2000000000007</v>
      </c>
      <c r="N136" s="2">
        <v>10316.6</v>
      </c>
      <c r="O136" s="2">
        <v>13652.8</v>
      </c>
      <c r="P136" s="2">
        <v>15430</v>
      </c>
      <c r="Q136" s="2">
        <v>21938.6</v>
      </c>
      <c r="R136" s="2">
        <v>21768.7</v>
      </c>
      <c r="S136" s="2">
        <v>24474.3</v>
      </c>
      <c r="T136" s="2">
        <v>32660.11</v>
      </c>
      <c r="U136" s="2">
        <v>42774.53</v>
      </c>
    </row>
    <row r="137" spans="1:21" x14ac:dyDescent="0.25">
      <c r="A137" t="s">
        <v>1117</v>
      </c>
      <c r="H137" s="2">
        <v>2115</v>
      </c>
      <c r="I137" s="2">
        <v>2122.1999999999998</v>
      </c>
      <c r="J137" s="2">
        <v>3212.4</v>
      </c>
      <c r="K137" s="2">
        <v>3404.93</v>
      </c>
      <c r="L137" s="2">
        <v>3716.6</v>
      </c>
      <c r="M137" s="2">
        <v>6567.23</v>
      </c>
      <c r="N137" s="2">
        <v>7427.95</v>
      </c>
      <c r="O137" s="2">
        <v>9966.5400000000009</v>
      </c>
      <c r="P137" s="2">
        <v>9977</v>
      </c>
      <c r="Q137" s="2">
        <v>15984.7</v>
      </c>
      <c r="R137" s="2">
        <v>13195.1</v>
      </c>
      <c r="S137" s="2">
        <v>16153.04</v>
      </c>
      <c r="T137" s="2">
        <v>16429.86</v>
      </c>
      <c r="U137" s="2">
        <v>22751.9</v>
      </c>
    </row>
    <row r="138" spans="1:21" x14ac:dyDescent="0.25">
      <c r="A138" t="s">
        <v>1118</v>
      </c>
      <c r="H138" s="2">
        <v>2241</v>
      </c>
      <c r="I138" s="2">
        <v>2115</v>
      </c>
      <c r="J138" s="2">
        <v>1506.5</v>
      </c>
      <c r="K138" s="2">
        <v>3019.47</v>
      </c>
      <c r="L138" s="2">
        <v>4542.51</v>
      </c>
      <c r="M138" s="2">
        <v>2428.9699999999998</v>
      </c>
      <c r="N138" s="2">
        <v>2888.65</v>
      </c>
      <c r="O138" s="2">
        <v>3686.26</v>
      </c>
      <c r="P138" s="2">
        <v>5453</v>
      </c>
      <c r="Q138" s="2">
        <v>5953.9</v>
      </c>
      <c r="R138" s="2">
        <v>8573.6</v>
      </c>
      <c r="S138" s="2">
        <v>8321.26</v>
      </c>
      <c r="T138" s="2">
        <v>13758.95</v>
      </c>
      <c r="U138" s="2">
        <v>18917.46</v>
      </c>
    </row>
    <row r="139" spans="1:21" x14ac:dyDescent="0.25">
      <c r="A139" t="s">
        <v>17</v>
      </c>
    </row>
    <row r="140" spans="1:21" x14ac:dyDescent="0.25">
      <c r="A140" t="s">
        <v>79</v>
      </c>
    </row>
    <row r="141" spans="1:21" x14ac:dyDescent="0.25">
      <c r="A141" t="s">
        <v>80</v>
      </c>
      <c r="B141" s="2">
        <v>2953.68</v>
      </c>
      <c r="C141" s="2">
        <v>1596.06</v>
      </c>
      <c r="D141" s="2">
        <v>4507.8999999999996</v>
      </c>
      <c r="E141" s="2">
        <v>5651</v>
      </c>
      <c r="F141" s="2">
        <v>4732</v>
      </c>
      <c r="G141" s="2">
        <v>5245.3</v>
      </c>
      <c r="H141" s="2">
        <v>5856</v>
      </c>
      <c r="I141" s="2">
        <v>6287.4</v>
      </c>
      <c r="J141" s="2">
        <v>6794.8</v>
      </c>
      <c r="K141" s="2">
        <v>9052.7999999999993</v>
      </c>
      <c r="L141" s="2">
        <v>10944</v>
      </c>
      <c r="M141" s="2">
        <v>11820</v>
      </c>
      <c r="N141" s="2">
        <v>13978.5</v>
      </c>
      <c r="O141" s="2">
        <v>18611</v>
      </c>
      <c r="P141" s="2">
        <v>21173</v>
      </c>
      <c r="Q141" s="2">
        <v>27559</v>
      </c>
      <c r="R141" s="2">
        <v>28262.9</v>
      </c>
      <c r="S141" s="2">
        <v>32667</v>
      </c>
      <c r="T141" s="2">
        <v>43575.09</v>
      </c>
      <c r="U141" s="2">
        <v>55778.25</v>
      </c>
    </row>
    <row r="142" spans="1:21" x14ac:dyDescent="0.25">
      <c r="A142" t="s">
        <v>17</v>
      </c>
    </row>
    <row r="143" spans="1:21" x14ac:dyDescent="0.25">
      <c r="A143" t="s">
        <v>82</v>
      </c>
      <c r="B143" s="2">
        <v>1938.16</v>
      </c>
      <c r="C143" s="2">
        <v>1137.67</v>
      </c>
      <c r="D143" s="2">
        <v>2552.77</v>
      </c>
      <c r="E143" s="2">
        <v>3201.65</v>
      </c>
      <c r="F143" s="2">
        <v>2726.3</v>
      </c>
      <c r="G143" s="2">
        <v>3068.06</v>
      </c>
      <c r="H143" s="2">
        <v>3259.9</v>
      </c>
      <c r="I143" s="2">
        <v>3391.63</v>
      </c>
      <c r="J143" s="2">
        <v>3729.8</v>
      </c>
      <c r="K143" s="2">
        <v>4942.5</v>
      </c>
      <c r="L143" s="2">
        <v>5914.8</v>
      </c>
      <c r="M143" s="2">
        <v>6540.2</v>
      </c>
      <c r="N143" s="2">
        <v>7181.3</v>
      </c>
      <c r="O143" s="2">
        <v>8802</v>
      </c>
      <c r="P143" s="2">
        <v>10473.299999999999</v>
      </c>
      <c r="Q143" s="2">
        <v>13422.4</v>
      </c>
      <c r="R143" s="2">
        <v>13770.9</v>
      </c>
      <c r="S143" s="2">
        <v>15409.3</v>
      </c>
      <c r="T143" s="2">
        <v>19576.689999999999</v>
      </c>
      <c r="U143" s="2">
        <v>24151.08</v>
      </c>
    </row>
    <row r="144" spans="1:21" x14ac:dyDescent="0.25">
      <c r="A144" t="s">
        <v>84</v>
      </c>
      <c r="B144" s="2">
        <v>1015.51</v>
      </c>
      <c r="C144">
        <v>458.39</v>
      </c>
      <c r="D144" s="2">
        <v>1955.17</v>
      </c>
      <c r="E144" s="2">
        <v>2449.39</v>
      </c>
      <c r="F144" s="2">
        <v>2005.26</v>
      </c>
      <c r="G144" s="2">
        <v>2177.2600000000002</v>
      </c>
      <c r="H144" s="2">
        <v>2596.37</v>
      </c>
      <c r="I144" s="2">
        <v>2895.74</v>
      </c>
      <c r="J144" s="2">
        <v>3145.3</v>
      </c>
      <c r="K144" s="2">
        <v>4020.2</v>
      </c>
      <c r="L144" s="2">
        <v>5029.2</v>
      </c>
      <c r="M144" s="2">
        <v>5279.8</v>
      </c>
      <c r="N144" s="2">
        <v>6797.2</v>
      </c>
      <c r="O144" s="2">
        <v>9809</v>
      </c>
      <c r="P144" s="2">
        <v>10700.1</v>
      </c>
      <c r="Q144" s="2">
        <v>14136.1</v>
      </c>
      <c r="R144" s="2">
        <v>14492</v>
      </c>
      <c r="S144" s="2">
        <v>17258</v>
      </c>
      <c r="T144" s="2">
        <v>23751.88</v>
      </c>
      <c r="U144" s="2">
        <v>30847.86</v>
      </c>
    </row>
    <row r="145" spans="1:21" x14ac:dyDescent="0.25">
      <c r="A145" t="s">
        <v>85</v>
      </c>
      <c r="C145">
        <v>28.72</v>
      </c>
      <c r="D145">
        <v>43.37</v>
      </c>
      <c r="E145">
        <v>43.35</v>
      </c>
      <c r="F145">
        <v>42.38</v>
      </c>
      <c r="G145">
        <v>39.770000000000003</v>
      </c>
      <c r="H145">
        <v>44.3</v>
      </c>
      <c r="I145">
        <v>46.06</v>
      </c>
      <c r="J145">
        <v>44.81</v>
      </c>
      <c r="K145">
        <v>41.84</v>
      </c>
      <c r="L145">
        <v>45.95</v>
      </c>
      <c r="M145">
        <v>44.67</v>
      </c>
      <c r="N145">
        <v>48.63</v>
      </c>
      <c r="O145">
        <v>52.71</v>
      </c>
      <c r="P145">
        <v>50.5</v>
      </c>
      <c r="Q145">
        <v>51.3</v>
      </c>
      <c r="R145">
        <v>51.3</v>
      </c>
      <c r="S145">
        <v>52.8</v>
      </c>
      <c r="T145">
        <v>54.88</v>
      </c>
      <c r="U145">
        <v>56.32</v>
      </c>
    </row>
    <row r="146" spans="1:21" x14ac:dyDescent="0.25">
      <c r="A146" t="s">
        <v>17</v>
      </c>
    </row>
    <row r="147" spans="1:21" x14ac:dyDescent="0.25">
      <c r="A147" t="s">
        <v>275</v>
      </c>
      <c r="B147">
        <v>779.88</v>
      </c>
      <c r="C147">
        <v>621.52</v>
      </c>
      <c r="D147">
        <v>704.47</v>
      </c>
      <c r="E147">
        <v>808.17</v>
      </c>
      <c r="F147">
        <v>848.48</v>
      </c>
      <c r="G147" s="2">
        <v>1193.77</v>
      </c>
      <c r="H147" s="2">
        <v>1395.15</v>
      </c>
      <c r="I147" s="2">
        <v>1413.81</v>
      </c>
      <c r="J147" s="2">
        <v>1480.6</v>
      </c>
      <c r="K147" s="2">
        <v>1676.3</v>
      </c>
      <c r="L147" s="2">
        <v>2063.9</v>
      </c>
      <c r="M147" s="2">
        <v>2489</v>
      </c>
      <c r="N147" s="2">
        <v>2745.7</v>
      </c>
      <c r="O147" s="2">
        <v>3272.6</v>
      </c>
      <c r="P147" s="2">
        <v>4199.3999999999996</v>
      </c>
      <c r="Q147" s="2">
        <v>5093.8</v>
      </c>
      <c r="R147" s="2">
        <v>5469.4</v>
      </c>
      <c r="S147" s="2">
        <v>5956.6</v>
      </c>
      <c r="T147" s="2">
        <v>6483.54</v>
      </c>
      <c r="U147" s="2">
        <v>7308.36</v>
      </c>
    </row>
    <row r="148" spans="1:21" x14ac:dyDescent="0.25">
      <c r="A148" t="s">
        <v>1119</v>
      </c>
      <c r="B148">
        <v>212.34</v>
      </c>
      <c r="C148">
        <v>154.76</v>
      </c>
      <c r="D148">
        <v>181.05</v>
      </c>
      <c r="E148">
        <v>217.9</v>
      </c>
      <c r="F148">
        <v>259.3</v>
      </c>
      <c r="G148">
        <v>311.74</v>
      </c>
      <c r="H148">
        <v>321.11</v>
      </c>
      <c r="I148">
        <v>345.73</v>
      </c>
      <c r="J148">
        <v>374.8</v>
      </c>
      <c r="K148">
        <v>416.6</v>
      </c>
      <c r="L148">
        <v>488</v>
      </c>
      <c r="M148">
        <v>520.5</v>
      </c>
      <c r="N148">
        <v>544.9</v>
      </c>
      <c r="O148">
        <v>725.6</v>
      </c>
      <c r="P148">
        <v>945.9</v>
      </c>
      <c r="Q148" s="2">
        <v>1113.2</v>
      </c>
      <c r="R148" s="2">
        <v>1165.7</v>
      </c>
      <c r="S148" s="2">
        <v>1257.8</v>
      </c>
      <c r="T148" s="2">
        <v>1405.42</v>
      </c>
      <c r="U148" s="2">
        <v>1600.49</v>
      </c>
    </row>
    <row r="149" spans="1:21" x14ac:dyDescent="0.25">
      <c r="A149" t="s">
        <v>1120</v>
      </c>
      <c r="C149">
        <v>466.76</v>
      </c>
      <c r="D149">
        <v>523.42999999999995</v>
      </c>
      <c r="E149">
        <v>590.27</v>
      </c>
      <c r="F149">
        <v>589.17999999999995</v>
      </c>
      <c r="G149">
        <v>882.03</v>
      </c>
      <c r="H149" s="2">
        <v>1074.04</v>
      </c>
      <c r="I149" s="2">
        <v>1068.08</v>
      </c>
      <c r="J149" s="2">
        <v>1105.8</v>
      </c>
      <c r="K149" s="2">
        <v>1259.7</v>
      </c>
      <c r="L149" s="2">
        <v>1575.9</v>
      </c>
      <c r="M149" s="2">
        <v>1968.5</v>
      </c>
      <c r="N149" s="2">
        <v>2200.8000000000002</v>
      </c>
      <c r="O149" s="2">
        <v>2547</v>
      </c>
      <c r="P149" s="2">
        <v>3253.5</v>
      </c>
      <c r="Q149" s="2">
        <v>3980.6</v>
      </c>
      <c r="R149" s="2">
        <v>4303.7</v>
      </c>
      <c r="S149" s="2">
        <v>4698.8</v>
      </c>
      <c r="T149" s="2">
        <v>5113.12</v>
      </c>
      <c r="U149" s="2">
        <v>5720.82</v>
      </c>
    </row>
    <row r="150" spans="1:21" x14ac:dyDescent="0.25">
      <c r="A150" t="s">
        <v>1121</v>
      </c>
      <c r="J150">
        <v>0</v>
      </c>
      <c r="K150">
        <v>16.7</v>
      </c>
      <c r="L150">
        <v>-6.2</v>
      </c>
      <c r="M150">
        <v>-18.2</v>
      </c>
      <c r="N150">
        <v>-88.6</v>
      </c>
      <c r="O150">
        <v>-199.1</v>
      </c>
      <c r="P150">
        <v>-138</v>
      </c>
      <c r="Q150">
        <v>-191.3</v>
      </c>
      <c r="R150">
        <v>-209.8</v>
      </c>
      <c r="S150">
        <v>-216.7</v>
      </c>
      <c r="T150">
        <v>-256.51</v>
      </c>
      <c r="U150">
        <v>-273.82</v>
      </c>
    </row>
    <row r="151" spans="1:21" x14ac:dyDescent="0.25">
      <c r="A151" t="s">
        <v>17</v>
      </c>
    </row>
    <row r="152" spans="1:21" x14ac:dyDescent="0.25">
      <c r="A152" t="s">
        <v>91</v>
      </c>
      <c r="C152">
        <v>-165.01</v>
      </c>
      <c r="D152" s="2">
        <v>1250.7</v>
      </c>
      <c r="E152" s="2">
        <v>1641.2</v>
      </c>
      <c r="F152" s="2">
        <v>1156.8</v>
      </c>
      <c r="G152" s="2">
        <v>1275.0999999999999</v>
      </c>
      <c r="H152" s="2">
        <v>1282.2</v>
      </c>
      <c r="I152" s="2">
        <v>1565.1</v>
      </c>
      <c r="J152" s="2">
        <v>1657.7</v>
      </c>
      <c r="K152" s="2">
        <v>2567.6</v>
      </c>
      <c r="L152" s="2">
        <v>2965.3</v>
      </c>
      <c r="M152" s="2">
        <v>2790.8</v>
      </c>
      <c r="N152" s="2">
        <v>4051.5</v>
      </c>
      <c r="O152" s="2">
        <v>6750</v>
      </c>
      <c r="P152" s="2">
        <v>6501</v>
      </c>
      <c r="Q152" s="2">
        <v>9042.2999999999993</v>
      </c>
      <c r="R152" s="2">
        <v>9022.6</v>
      </c>
      <c r="S152" s="2">
        <v>11301.4</v>
      </c>
      <c r="T152" s="2">
        <v>17558.45</v>
      </c>
      <c r="U152" s="2">
        <v>24343.18</v>
      </c>
    </row>
    <row r="153" spans="1:21" x14ac:dyDescent="0.25">
      <c r="A153" t="s">
        <v>92</v>
      </c>
      <c r="J153">
        <v>25.6</v>
      </c>
      <c r="K153">
        <v>27.2</v>
      </c>
      <c r="L153">
        <v>27.1</v>
      </c>
      <c r="M153">
        <v>23.6</v>
      </c>
      <c r="N153">
        <v>29</v>
      </c>
      <c r="O153">
        <v>36.299999999999997</v>
      </c>
      <c r="P153">
        <v>30.7</v>
      </c>
      <c r="Q153">
        <v>32.799999999999997</v>
      </c>
      <c r="R153">
        <v>31.9</v>
      </c>
      <c r="S153">
        <v>34.6</v>
      </c>
      <c r="T153">
        <v>39.869999999999997</v>
      </c>
      <c r="U153">
        <v>42.85</v>
      </c>
    </row>
    <row r="154" spans="1:21" x14ac:dyDescent="0.25">
      <c r="A154" t="s">
        <v>17</v>
      </c>
    </row>
    <row r="155" spans="1:21" x14ac:dyDescent="0.25">
      <c r="A155" t="s">
        <v>93</v>
      </c>
      <c r="B155">
        <v>119.19</v>
      </c>
      <c r="C155">
        <v>141.63</v>
      </c>
      <c r="D155">
        <v>151.44</v>
      </c>
      <c r="E155">
        <v>165.19</v>
      </c>
      <c r="F155">
        <v>186.62</v>
      </c>
      <c r="G155">
        <v>228.78</v>
      </c>
      <c r="H155">
        <v>254.64</v>
      </c>
      <c r="I155">
        <v>296.88</v>
      </c>
      <c r="J155">
        <v>356.9</v>
      </c>
      <c r="K155">
        <v>417.5</v>
      </c>
      <c r="L155">
        <v>422.7</v>
      </c>
      <c r="M155">
        <v>448.5</v>
      </c>
      <c r="N155">
        <v>490.8</v>
      </c>
      <c r="O155">
        <v>471</v>
      </c>
      <c r="P155">
        <v>583.6</v>
      </c>
      <c r="Q155">
        <v>739.8</v>
      </c>
      <c r="R155">
        <v>918.6</v>
      </c>
      <c r="S155" s="2">
        <v>1025.9000000000001</v>
      </c>
      <c r="T155" s="2">
        <v>1072.75</v>
      </c>
      <c r="U155" s="2">
        <v>1169.44</v>
      </c>
    </row>
    <row r="156" spans="1:21" x14ac:dyDescent="0.25">
      <c r="A156" t="s">
        <v>277</v>
      </c>
      <c r="C156">
        <v>-24.81</v>
      </c>
      <c r="D156" s="2">
        <v>1402.1</v>
      </c>
      <c r="E156" s="2">
        <v>1806.4</v>
      </c>
      <c r="F156" s="2">
        <v>1343.4</v>
      </c>
      <c r="G156" s="2">
        <v>1596</v>
      </c>
      <c r="H156" s="2">
        <v>1536.8</v>
      </c>
      <c r="I156" s="2">
        <v>1862</v>
      </c>
      <c r="J156" s="2">
        <v>2014.6</v>
      </c>
      <c r="K156" s="2">
        <v>3274.6</v>
      </c>
      <c r="L156" s="2">
        <v>3388</v>
      </c>
      <c r="M156" s="2">
        <v>3239.3</v>
      </c>
      <c r="N156" s="2">
        <v>4542.3</v>
      </c>
      <c r="O156" s="2">
        <v>7221.1</v>
      </c>
      <c r="P156" s="2">
        <v>7084.3</v>
      </c>
      <c r="Q156" s="2">
        <v>9782.1</v>
      </c>
      <c r="R156" s="2">
        <v>9941.7999999999993</v>
      </c>
      <c r="S156" s="2">
        <v>12327.3</v>
      </c>
      <c r="T156" s="2">
        <v>18692.080000000002</v>
      </c>
      <c r="U156" s="2">
        <v>25196.32</v>
      </c>
    </row>
    <row r="157" spans="1:21" x14ac:dyDescent="0.25">
      <c r="A157" t="s">
        <v>481</v>
      </c>
      <c r="B157">
        <v>12.01</v>
      </c>
      <c r="C157">
        <v>-1.35</v>
      </c>
      <c r="D157">
        <v>31.1</v>
      </c>
      <c r="E157">
        <v>31.97</v>
      </c>
      <c r="F157">
        <v>28.39</v>
      </c>
      <c r="G157">
        <v>24.34</v>
      </c>
      <c r="H157">
        <v>26.24</v>
      </c>
      <c r="I157">
        <v>29.62</v>
      </c>
      <c r="J157">
        <v>30.77</v>
      </c>
      <c r="K157">
        <v>31.88</v>
      </c>
      <c r="L157">
        <v>30.96</v>
      </c>
      <c r="M157">
        <v>27.41</v>
      </c>
      <c r="N157">
        <v>32.49</v>
      </c>
      <c r="O157">
        <v>38.799999999999997</v>
      </c>
      <c r="P157">
        <v>33.46</v>
      </c>
      <c r="Q157">
        <v>35.5</v>
      </c>
      <c r="R157">
        <v>35.17</v>
      </c>
      <c r="S157">
        <v>37.74</v>
      </c>
      <c r="T157">
        <v>42.35</v>
      </c>
      <c r="U157">
        <v>44.83</v>
      </c>
    </row>
    <row r="158" spans="1:21" x14ac:dyDescent="0.25">
      <c r="A158" t="s">
        <v>17</v>
      </c>
    </row>
    <row r="159" spans="1:21" x14ac:dyDescent="0.25">
      <c r="A159" t="s">
        <v>1122</v>
      </c>
      <c r="B159">
        <v>-22.6</v>
      </c>
      <c r="C159">
        <v>8.43</v>
      </c>
      <c r="D159">
        <v>8.18</v>
      </c>
      <c r="E159">
        <v>-7.42</v>
      </c>
      <c r="F159">
        <v>6.2</v>
      </c>
      <c r="G159">
        <v>24.47</v>
      </c>
      <c r="H159">
        <v>8.6</v>
      </c>
      <c r="I159">
        <v>8.1</v>
      </c>
      <c r="J159">
        <v>-33.700000000000003</v>
      </c>
      <c r="K159">
        <v>50.3</v>
      </c>
      <c r="L159">
        <v>28.3</v>
      </c>
      <c r="M159">
        <v>25</v>
      </c>
      <c r="N159">
        <v>34.9</v>
      </c>
      <c r="O159">
        <v>44.6</v>
      </c>
      <c r="P159">
        <v>44.6</v>
      </c>
      <c r="Q159">
        <v>-41.2</v>
      </c>
      <c r="R159">
        <v>-19.8</v>
      </c>
      <c r="S159">
        <v>-104.7</v>
      </c>
      <c r="T159">
        <v>-119.88</v>
      </c>
      <c r="U159">
        <v>-141.61000000000001</v>
      </c>
    </row>
    <row r="160" spans="1:21" x14ac:dyDescent="0.25">
      <c r="A160" t="s">
        <v>484</v>
      </c>
      <c r="B160">
        <v>49.9</v>
      </c>
      <c r="C160">
        <v>51.19</v>
      </c>
      <c r="D160">
        <v>23.3</v>
      </c>
      <c r="E160">
        <v>33.74</v>
      </c>
      <c r="F160">
        <v>22.78</v>
      </c>
      <c r="G160">
        <v>33.6</v>
      </c>
      <c r="H160">
        <v>19.899999999999999</v>
      </c>
      <c r="I160">
        <v>19</v>
      </c>
      <c r="J160">
        <v>38</v>
      </c>
      <c r="K160">
        <v>57.5</v>
      </c>
      <c r="L160">
        <v>41.8</v>
      </c>
      <c r="M160">
        <v>36.6</v>
      </c>
      <c r="N160">
        <v>43.3</v>
      </c>
      <c r="O160">
        <v>54.6</v>
      </c>
      <c r="P160">
        <v>60.8</v>
      </c>
      <c r="Q160">
        <v>152.69999999999999</v>
      </c>
      <c r="R160">
        <v>162.6</v>
      </c>
      <c r="S160">
        <v>118.3</v>
      </c>
      <c r="T160">
        <v>87.91</v>
      </c>
      <c r="U160">
        <v>90</v>
      </c>
    </row>
    <row r="161" spans="1:21" x14ac:dyDescent="0.25">
      <c r="A161" t="s">
        <v>398</v>
      </c>
      <c r="B161">
        <v>72.5</v>
      </c>
      <c r="C161">
        <v>42.77</v>
      </c>
      <c r="D161">
        <v>15.13</v>
      </c>
      <c r="E161">
        <v>41.16</v>
      </c>
      <c r="F161">
        <v>16.59</v>
      </c>
      <c r="G161">
        <v>9.1300000000000008</v>
      </c>
      <c r="H161">
        <v>11.3</v>
      </c>
      <c r="I161">
        <v>10.9</v>
      </c>
      <c r="J161">
        <v>71.7</v>
      </c>
      <c r="K161">
        <v>7.2</v>
      </c>
      <c r="L161">
        <v>13.5</v>
      </c>
      <c r="M161">
        <v>11.6</v>
      </c>
      <c r="N161">
        <v>8.4</v>
      </c>
      <c r="O161">
        <v>10</v>
      </c>
      <c r="P161">
        <v>16.2</v>
      </c>
      <c r="Q161">
        <v>193.9</v>
      </c>
      <c r="R161">
        <v>182.4</v>
      </c>
      <c r="S161">
        <v>223</v>
      </c>
      <c r="T161">
        <v>258.16000000000003</v>
      </c>
      <c r="U161">
        <v>334.39</v>
      </c>
    </row>
    <row r="162" spans="1:21" x14ac:dyDescent="0.25">
      <c r="A162" t="s">
        <v>100</v>
      </c>
      <c r="C162">
        <v>-171.55</v>
      </c>
      <c r="D162" s="2">
        <v>1242.5</v>
      </c>
      <c r="E162" s="2">
        <v>1648.6</v>
      </c>
      <c r="F162" s="2">
        <v>1150.5999999999999</v>
      </c>
      <c r="G162" s="2">
        <v>1256.3</v>
      </c>
      <c r="H162" s="2">
        <v>1273.5999999999999</v>
      </c>
      <c r="I162" s="2">
        <v>1548.6</v>
      </c>
      <c r="J162" s="2">
        <v>1691.4</v>
      </c>
      <c r="K162" s="2">
        <v>2521.6</v>
      </c>
      <c r="L162" s="2">
        <v>2937</v>
      </c>
      <c r="M162" s="2">
        <v>2765.8</v>
      </c>
      <c r="N162" s="2">
        <v>4016.6</v>
      </c>
      <c r="O162" s="2">
        <v>6705.5</v>
      </c>
      <c r="P162" s="2">
        <v>6456.1</v>
      </c>
      <c r="Q162" s="2">
        <v>9083.5</v>
      </c>
      <c r="R162" s="2">
        <v>9042.4</v>
      </c>
      <c r="S162" s="2">
        <v>11406.1</v>
      </c>
      <c r="T162" s="2">
        <v>17928.29</v>
      </c>
      <c r="U162" s="2">
        <v>24654.400000000001</v>
      </c>
    </row>
    <row r="163" spans="1:21" x14ac:dyDescent="0.25">
      <c r="A163" t="s">
        <v>17</v>
      </c>
    </row>
    <row r="164" spans="1:21" x14ac:dyDescent="0.25">
      <c r="A164" t="s">
        <v>101</v>
      </c>
      <c r="B164">
        <v>-12.73</v>
      </c>
      <c r="C164">
        <v>-20.63</v>
      </c>
      <c r="D164">
        <v>220.7</v>
      </c>
      <c r="E164">
        <v>181.68</v>
      </c>
      <c r="F164">
        <v>4.26</v>
      </c>
      <c r="G164">
        <v>7.99</v>
      </c>
      <c r="H164">
        <v>77</v>
      </c>
      <c r="I164">
        <v>161.44999999999999</v>
      </c>
      <c r="J164">
        <v>234.4</v>
      </c>
      <c r="K164">
        <v>306</v>
      </c>
      <c r="L164">
        <v>351.6</v>
      </c>
      <c r="M164">
        <v>191.7</v>
      </c>
      <c r="N164">
        <v>551.5</v>
      </c>
      <c r="O164" s="2">
        <v>1021.4</v>
      </c>
      <c r="P164">
        <v>969.9</v>
      </c>
      <c r="Q164" s="2">
        <v>1435.8</v>
      </c>
      <c r="R164" s="2">
        <v>1680.6</v>
      </c>
      <c r="S164" s="2">
        <v>2013.4</v>
      </c>
      <c r="T164" s="2">
        <v>3007.98</v>
      </c>
      <c r="U164" s="2">
        <v>4109.9799999999996</v>
      </c>
    </row>
    <row r="165" spans="1:21" x14ac:dyDescent="0.25">
      <c r="A165" t="s">
        <v>102</v>
      </c>
      <c r="D165">
        <v>17.760000000000002</v>
      </c>
      <c r="E165">
        <v>11.02</v>
      </c>
      <c r="F165">
        <v>0.37</v>
      </c>
      <c r="G165">
        <v>0.78</v>
      </c>
      <c r="H165">
        <v>6.05</v>
      </c>
      <c r="I165">
        <v>10.43</v>
      </c>
      <c r="J165">
        <v>13.08</v>
      </c>
      <c r="K165">
        <v>12.81</v>
      </c>
      <c r="L165">
        <v>11.97</v>
      </c>
      <c r="M165">
        <v>6.93</v>
      </c>
      <c r="N165">
        <v>13.73</v>
      </c>
      <c r="O165">
        <v>15.23</v>
      </c>
      <c r="P165">
        <v>15.02</v>
      </c>
      <c r="Q165">
        <v>15.81</v>
      </c>
      <c r="R165">
        <v>18.59</v>
      </c>
      <c r="S165">
        <v>17.649999999999999</v>
      </c>
      <c r="T165">
        <v>17.12</v>
      </c>
      <c r="U165">
        <v>17.29</v>
      </c>
    </row>
    <row r="166" spans="1:21" x14ac:dyDescent="0.25">
      <c r="A166" t="s">
        <v>17</v>
      </c>
    </row>
    <row r="167" spans="1:21" x14ac:dyDescent="0.25">
      <c r="A167" t="s">
        <v>106</v>
      </c>
      <c r="B167">
        <v>322.37</v>
      </c>
      <c r="C167">
        <v>-150.93</v>
      </c>
      <c r="D167" s="2">
        <v>1021.8</v>
      </c>
      <c r="E167" s="2">
        <v>1467</v>
      </c>
      <c r="F167" s="2">
        <v>1146</v>
      </c>
      <c r="G167" s="2">
        <v>1015</v>
      </c>
      <c r="H167" s="2">
        <v>1197</v>
      </c>
      <c r="I167" s="2">
        <v>1387.2</v>
      </c>
      <c r="J167" s="2">
        <v>1471.9</v>
      </c>
      <c r="K167" s="2">
        <v>2118.5</v>
      </c>
      <c r="L167" s="2">
        <v>2591.6</v>
      </c>
      <c r="M167" s="2">
        <v>2592.3000000000002</v>
      </c>
      <c r="N167" s="2">
        <v>3553.7</v>
      </c>
      <c r="O167" s="2">
        <v>5883.2</v>
      </c>
      <c r="P167" s="2">
        <v>5624</v>
      </c>
      <c r="Q167" s="2">
        <v>7839</v>
      </c>
      <c r="R167" s="2">
        <v>7571.6</v>
      </c>
      <c r="S167" s="2">
        <v>9609.4</v>
      </c>
      <c r="T167" s="2">
        <v>14817.79</v>
      </c>
      <c r="U167" s="2">
        <v>20606.849999999999</v>
      </c>
    </row>
    <row r="168" spans="1:21" x14ac:dyDescent="0.25">
      <c r="A168" t="s">
        <v>280</v>
      </c>
      <c r="B168">
        <v>10.91</v>
      </c>
      <c r="C168">
        <v>-9.4600000000000009</v>
      </c>
      <c r="D168">
        <v>22.67</v>
      </c>
      <c r="E168">
        <v>25.96</v>
      </c>
      <c r="F168">
        <v>24.23</v>
      </c>
      <c r="G168">
        <v>19.36</v>
      </c>
      <c r="H168">
        <v>20.43</v>
      </c>
      <c r="I168">
        <v>22.06</v>
      </c>
      <c r="J168">
        <v>22.66</v>
      </c>
      <c r="K168">
        <v>23.06</v>
      </c>
      <c r="L168">
        <v>23.68</v>
      </c>
      <c r="M168">
        <v>21.93</v>
      </c>
      <c r="N168">
        <v>25.42</v>
      </c>
      <c r="O168">
        <v>31.61</v>
      </c>
      <c r="P168">
        <v>26.56</v>
      </c>
      <c r="Q168">
        <v>28.44</v>
      </c>
      <c r="R168">
        <v>26.79</v>
      </c>
      <c r="S168">
        <v>29.42</v>
      </c>
      <c r="T168">
        <v>33.74</v>
      </c>
      <c r="U168">
        <v>36.01</v>
      </c>
    </row>
    <row r="169" spans="1:21" x14ac:dyDescent="0.25">
      <c r="A169" t="s">
        <v>17</v>
      </c>
    </row>
    <row r="170" spans="1:21" x14ac:dyDescent="0.25">
      <c r="A170" t="s">
        <v>108</v>
      </c>
      <c r="B170">
        <v>431.62</v>
      </c>
      <c r="C170">
        <v>432.62</v>
      </c>
      <c r="D170">
        <v>435.15</v>
      </c>
      <c r="E170">
        <v>425.62</v>
      </c>
      <c r="F170">
        <v>424.1</v>
      </c>
      <c r="G170">
        <v>429.77</v>
      </c>
      <c r="H170">
        <v>437.14</v>
      </c>
      <c r="I170">
        <v>430.64</v>
      </c>
      <c r="J170">
        <v>425.6</v>
      </c>
      <c r="K170">
        <v>429.8</v>
      </c>
      <c r="L170">
        <v>424.9</v>
      </c>
      <c r="M170">
        <v>420.8</v>
      </c>
      <c r="N170">
        <v>418.3</v>
      </c>
      <c r="O170">
        <v>409.8</v>
      </c>
      <c r="P170">
        <v>397.7</v>
      </c>
      <c r="Q170">
        <v>393.8</v>
      </c>
      <c r="R170">
        <v>393.3</v>
      </c>
      <c r="S170">
        <v>388.5</v>
      </c>
      <c r="T170">
        <v>384.38</v>
      </c>
      <c r="U170">
        <v>379.93</v>
      </c>
    </row>
    <row r="171" spans="1:21" x14ac:dyDescent="0.25">
      <c r="A171" t="s">
        <v>109</v>
      </c>
      <c r="B171">
        <v>434.21</v>
      </c>
      <c r="C171">
        <v>432.62</v>
      </c>
      <c r="D171">
        <v>438.97</v>
      </c>
      <c r="E171">
        <v>429.05</v>
      </c>
      <c r="F171">
        <v>426.99</v>
      </c>
      <c r="G171">
        <v>433.45</v>
      </c>
      <c r="H171">
        <v>439.69</v>
      </c>
      <c r="I171">
        <v>432.64</v>
      </c>
      <c r="J171">
        <v>427.7</v>
      </c>
      <c r="K171">
        <v>431.6</v>
      </c>
      <c r="L171">
        <v>426.4</v>
      </c>
      <c r="M171">
        <v>421.6</v>
      </c>
      <c r="N171">
        <v>419.1</v>
      </c>
      <c r="O171">
        <v>410.4</v>
      </c>
      <c r="P171">
        <v>398</v>
      </c>
      <c r="Q171">
        <v>394.1</v>
      </c>
      <c r="R171">
        <v>393.6</v>
      </c>
      <c r="S171">
        <v>388.9</v>
      </c>
      <c r="T171">
        <v>432.48</v>
      </c>
      <c r="U171">
        <v>426.95</v>
      </c>
    </row>
    <row r="172" spans="1:21" x14ac:dyDescent="0.25">
      <c r="A172" t="s">
        <v>888</v>
      </c>
      <c r="B172">
        <v>0.75</v>
      </c>
      <c r="C172">
        <v>-0.35</v>
      </c>
      <c r="D172">
        <v>2.35</v>
      </c>
      <c r="E172">
        <v>3.45</v>
      </c>
      <c r="F172">
        <v>2.7</v>
      </c>
      <c r="G172">
        <v>2.36</v>
      </c>
      <c r="H172">
        <v>2.74</v>
      </c>
      <c r="I172">
        <v>3.21</v>
      </c>
      <c r="J172">
        <v>3.44</v>
      </c>
      <c r="K172">
        <v>4.91</v>
      </c>
      <c r="L172">
        <v>6.08</v>
      </c>
      <c r="M172">
        <v>6.15</v>
      </c>
      <c r="N172">
        <v>8.48</v>
      </c>
      <c r="O172">
        <v>14.34</v>
      </c>
      <c r="P172">
        <v>14.14</v>
      </c>
      <c r="Q172">
        <v>19.89</v>
      </c>
      <c r="R172">
        <v>19.239999999999998</v>
      </c>
      <c r="S172">
        <v>24.71</v>
      </c>
      <c r="T172">
        <v>37.979999999999997</v>
      </c>
      <c r="U172">
        <v>52.42</v>
      </c>
    </row>
    <row r="173" spans="1:21" x14ac:dyDescent="0.25">
      <c r="A173" t="s">
        <v>17</v>
      </c>
    </row>
    <row r="174" spans="1:21" x14ac:dyDescent="0.25">
      <c r="A174" t="s">
        <v>281</v>
      </c>
      <c r="B174">
        <v>2</v>
      </c>
      <c r="C174">
        <v>0.2</v>
      </c>
      <c r="D174">
        <v>0.4</v>
      </c>
      <c r="E174">
        <v>0.46</v>
      </c>
      <c r="F174">
        <v>0.53</v>
      </c>
      <c r="G174">
        <v>0.61</v>
      </c>
      <c r="H174">
        <v>0.7</v>
      </c>
      <c r="I174">
        <v>1.05</v>
      </c>
      <c r="J174">
        <v>1.2</v>
      </c>
      <c r="K174">
        <v>1.4</v>
      </c>
      <c r="L174">
        <v>2.1</v>
      </c>
      <c r="M174">
        <v>2.4</v>
      </c>
      <c r="N174">
        <v>2.75</v>
      </c>
      <c r="O174">
        <v>5.5</v>
      </c>
      <c r="P174">
        <v>5.8</v>
      </c>
      <c r="Q174">
        <v>6.1</v>
      </c>
      <c r="R174">
        <v>6.4</v>
      </c>
      <c r="S174">
        <v>7.5</v>
      </c>
      <c r="T174">
        <v>9.75</v>
      </c>
      <c r="U174">
        <v>12.5</v>
      </c>
    </row>
    <row r="175" spans="1:21" x14ac:dyDescent="0.25">
      <c r="A175" t="s">
        <v>1123</v>
      </c>
      <c r="B175">
        <v>350.82</v>
      </c>
      <c r="D175">
        <v>17.09</v>
      </c>
      <c r="E175">
        <v>12.97</v>
      </c>
      <c r="F175">
        <v>18.829999999999998</v>
      </c>
      <c r="G175">
        <v>26.48</v>
      </c>
      <c r="H175">
        <v>25.33</v>
      </c>
      <c r="I175">
        <v>32.4</v>
      </c>
      <c r="J175">
        <v>33.119999999999997</v>
      </c>
      <c r="K175">
        <v>28.95</v>
      </c>
      <c r="L175">
        <v>34.119999999999997</v>
      </c>
      <c r="M175">
        <v>38.869999999999997</v>
      </c>
      <c r="N175">
        <v>32.229999999999997</v>
      </c>
      <c r="O175">
        <v>37.64</v>
      </c>
      <c r="P175">
        <v>40.69</v>
      </c>
      <c r="Q175">
        <v>30.61</v>
      </c>
      <c r="R175">
        <v>33.24</v>
      </c>
      <c r="S175">
        <v>30.08</v>
      </c>
      <c r="T175">
        <v>25.58</v>
      </c>
      <c r="U175">
        <v>24.85</v>
      </c>
    </row>
    <row r="176" spans="1:21" x14ac:dyDescent="0.25">
      <c r="A176" t="s">
        <v>17</v>
      </c>
    </row>
    <row r="177" spans="1:21" x14ac:dyDescent="0.25">
      <c r="A177" t="s">
        <v>111</v>
      </c>
    </row>
    <row r="178" spans="1:21" x14ac:dyDescent="0.25">
      <c r="A178" t="s">
        <v>121</v>
      </c>
      <c r="B178">
        <v>322.37</v>
      </c>
      <c r="C178">
        <v>-150.93</v>
      </c>
      <c r="D178" s="2">
        <v>1021.8</v>
      </c>
      <c r="E178" s="2">
        <v>1467</v>
      </c>
      <c r="F178" s="2">
        <v>1146</v>
      </c>
      <c r="G178" s="2">
        <v>1119.25</v>
      </c>
      <c r="H178" s="2">
        <v>1197</v>
      </c>
      <c r="I178" s="2">
        <v>1390.13</v>
      </c>
      <c r="J178" s="2">
        <v>1478.43</v>
      </c>
      <c r="K178" s="2">
        <v>2127.35</v>
      </c>
      <c r="L178" s="2">
        <v>2605.85</v>
      </c>
      <c r="M178" s="2">
        <v>2598.15</v>
      </c>
      <c r="N178" s="2">
        <v>3557.83</v>
      </c>
      <c r="O178" s="2">
        <v>5871.28</v>
      </c>
      <c r="P178" s="2">
        <v>5624</v>
      </c>
      <c r="Q178" s="2">
        <v>7839</v>
      </c>
      <c r="R178" s="2">
        <v>7571.6</v>
      </c>
      <c r="S178" s="2">
        <v>9609.4</v>
      </c>
      <c r="T178" s="2">
        <v>14837.78</v>
      </c>
      <c r="U178" s="2">
        <v>20658.830000000002</v>
      </c>
    </row>
    <row r="179" spans="1:21" x14ac:dyDescent="0.25">
      <c r="A179" t="s">
        <v>124</v>
      </c>
      <c r="B179">
        <v>0.75</v>
      </c>
      <c r="C179">
        <v>-0.35</v>
      </c>
      <c r="D179">
        <v>2.35</v>
      </c>
      <c r="E179">
        <v>3.45</v>
      </c>
      <c r="F179">
        <v>2.7</v>
      </c>
      <c r="G179">
        <v>2.6</v>
      </c>
      <c r="H179">
        <v>2.74</v>
      </c>
      <c r="I179">
        <v>3.22</v>
      </c>
      <c r="J179">
        <v>3.46</v>
      </c>
      <c r="K179">
        <v>4.93</v>
      </c>
      <c r="L179">
        <v>6.11</v>
      </c>
      <c r="M179">
        <v>6.16</v>
      </c>
      <c r="N179">
        <v>8.49</v>
      </c>
      <c r="O179">
        <v>14.34</v>
      </c>
      <c r="P179">
        <v>14.13</v>
      </c>
      <c r="Q179">
        <v>19.89</v>
      </c>
      <c r="R179">
        <v>19.239999999999998</v>
      </c>
      <c r="S179">
        <v>24.71</v>
      </c>
      <c r="T179">
        <v>38.03</v>
      </c>
      <c r="U179">
        <v>52.59</v>
      </c>
    </row>
    <row r="180" spans="1:21" x14ac:dyDescent="0.25">
      <c r="A180" t="s">
        <v>1124</v>
      </c>
      <c r="B180">
        <v>0.75</v>
      </c>
      <c r="C180">
        <v>-0.35</v>
      </c>
      <c r="D180">
        <v>2.35</v>
      </c>
      <c r="E180">
        <v>3.45</v>
      </c>
      <c r="F180">
        <v>2.7</v>
      </c>
      <c r="G180">
        <v>2.6</v>
      </c>
      <c r="H180">
        <v>2.74</v>
      </c>
      <c r="I180">
        <v>3.22</v>
      </c>
      <c r="J180">
        <v>3.46</v>
      </c>
      <c r="K180">
        <v>4.93</v>
      </c>
      <c r="L180">
        <v>6.11</v>
      </c>
      <c r="M180">
        <v>6.16</v>
      </c>
      <c r="N180">
        <v>8.49</v>
      </c>
      <c r="O180">
        <v>14.34</v>
      </c>
      <c r="P180">
        <v>14.13</v>
      </c>
      <c r="Q180">
        <v>19.89</v>
      </c>
      <c r="R180">
        <v>19.239999999999998</v>
      </c>
      <c r="S180">
        <v>24.71</v>
      </c>
      <c r="T180">
        <v>38.03</v>
      </c>
      <c r="U180">
        <v>52.59</v>
      </c>
    </row>
    <row r="181" spans="1:21" x14ac:dyDescent="0.25">
      <c r="A181" t="s">
        <v>17</v>
      </c>
    </row>
    <row r="182" spans="1:21" x14ac:dyDescent="0.25">
      <c r="A182" t="s">
        <v>134</v>
      </c>
    </row>
    <row r="183" spans="1:21" x14ac:dyDescent="0.25">
      <c r="A183" t="s">
        <v>135</v>
      </c>
    </row>
    <row r="184" spans="1:21" x14ac:dyDescent="0.25">
      <c r="A184" t="s">
        <v>136</v>
      </c>
      <c r="B184" s="2">
        <v>2973.25</v>
      </c>
      <c r="C184" s="2">
        <v>2627.07</v>
      </c>
      <c r="D184" s="2">
        <v>4944.47</v>
      </c>
      <c r="E184" s="2">
        <v>5706.81</v>
      </c>
      <c r="F184" s="2">
        <v>5831.84</v>
      </c>
      <c r="G184" s="2">
        <v>7025.58</v>
      </c>
      <c r="H184" s="2">
        <v>7146.21</v>
      </c>
      <c r="I184" s="2">
        <v>7707.7</v>
      </c>
      <c r="J184" s="2">
        <v>8557.43</v>
      </c>
      <c r="K184" s="2">
        <v>8885.7999999999993</v>
      </c>
      <c r="L184" s="2">
        <v>10531.4</v>
      </c>
      <c r="M184" s="2">
        <v>12131.1</v>
      </c>
      <c r="N184" s="2">
        <v>15930</v>
      </c>
      <c r="O184" s="2">
        <v>18190.2</v>
      </c>
      <c r="P184" s="2">
        <v>23064.9</v>
      </c>
      <c r="Q184" s="2">
        <v>24393.9</v>
      </c>
      <c r="R184" s="2">
        <v>30737.4</v>
      </c>
      <c r="S184" s="2">
        <v>30616.1</v>
      </c>
      <c r="T184" s="2">
        <v>41279.089999999997</v>
      </c>
      <c r="U184" s="2">
        <v>53899.01</v>
      </c>
    </row>
    <row r="185" spans="1:21" x14ac:dyDescent="0.25">
      <c r="A185" t="s">
        <v>493</v>
      </c>
      <c r="C185" s="2">
        <v>1037.07</v>
      </c>
      <c r="D185" s="2">
        <v>1949.83</v>
      </c>
      <c r="E185" s="2">
        <v>2731.78</v>
      </c>
      <c r="F185" s="2">
        <v>2697.6</v>
      </c>
      <c r="G185" s="2">
        <v>3010.58</v>
      </c>
      <c r="H185" s="2">
        <v>2754.35</v>
      </c>
      <c r="I185" s="2">
        <v>3408.72</v>
      </c>
      <c r="J185" s="2">
        <v>4056.87</v>
      </c>
      <c r="K185" s="2">
        <v>3288.3</v>
      </c>
      <c r="L185" s="2">
        <v>4034.4</v>
      </c>
      <c r="M185" s="2">
        <v>4718.1000000000004</v>
      </c>
      <c r="N185" s="2">
        <v>7351.6</v>
      </c>
      <c r="O185" s="2">
        <v>7590.3</v>
      </c>
      <c r="P185" s="2">
        <v>7376</v>
      </c>
      <c r="Q185" s="2">
        <v>7010.1</v>
      </c>
      <c r="R185" s="2">
        <v>12741.3</v>
      </c>
      <c r="S185" s="2">
        <v>13321.9</v>
      </c>
      <c r="T185" s="2">
        <v>14888.15</v>
      </c>
      <c r="U185" s="2">
        <v>24005.41</v>
      </c>
    </row>
    <row r="186" spans="1:21" x14ac:dyDescent="0.25">
      <c r="A186" t="s">
        <v>139</v>
      </c>
      <c r="B186" s="2">
        <v>1109.18</v>
      </c>
      <c r="C186" s="2">
        <v>1037.07</v>
      </c>
      <c r="D186" s="2">
        <v>1949.83</v>
      </c>
      <c r="E186" s="2">
        <v>2731.78</v>
      </c>
      <c r="F186" s="2">
        <v>1767.6</v>
      </c>
      <c r="G186" s="2">
        <v>2330.69</v>
      </c>
      <c r="H186" s="2">
        <v>2419.4899999999998</v>
      </c>
      <c r="I186" s="2">
        <v>2458.7199999999998</v>
      </c>
      <c r="J186" s="2">
        <v>2906.87</v>
      </c>
      <c r="K186" s="2">
        <v>2259</v>
      </c>
      <c r="L186" s="2">
        <v>3121.1</v>
      </c>
      <c r="M186" s="2">
        <v>3532.3</v>
      </c>
      <c r="N186" s="2">
        <v>6049.4</v>
      </c>
      <c r="O186" s="2">
        <v>6951.8</v>
      </c>
      <c r="P186" s="2">
        <v>7268.3</v>
      </c>
      <c r="Q186" s="2">
        <v>7004.7</v>
      </c>
      <c r="R186" s="2">
        <v>12735.9</v>
      </c>
      <c r="S186" s="2">
        <v>12916</v>
      </c>
      <c r="T186" s="2">
        <v>15138.24</v>
      </c>
      <c r="U186" s="2">
        <v>23125.18</v>
      </c>
    </row>
    <row r="187" spans="1:21" x14ac:dyDescent="0.25">
      <c r="A187" t="s">
        <v>1125</v>
      </c>
      <c r="B187">
        <v>463.27</v>
      </c>
      <c r="C187">
        <v>398.99</v>
      </c>
      <c r="D187" s="2">
        <v>1136.18</v>
      </c>
      <c r="E187">
        <v>959.48</v>
      </c>
      <c r="F187">
        <v>870.46</v>
      </c>
      <c r="G187" s="2">
        <v>1128.79</v>
      </c>
      <c r="H187" s="2">
        <v>1248.5899999999999</v>
      </c>
      <c r="I187" s="2">
        <v>1084.22</v>
      </c>
      <c r="J187" s="2">
        <v>1147.5899999999999</v>
      </c>
      <c r="K187" s="2">
        <v>1799.4</v>
      </c>
      <c r="L187" s="2">
        <v>2109.3000000000002</v>
      </c>
      <c r="M187" s="2">
        <v>2351.3000000000002</v>
      </c>
      <c r="N187" s="2">
        <v>3020.8</v>
      </c>
      <c r="O187" s="2">
        <v>4213.6000000000004</v>
      </c>
      <c r="P187" s="2">
        <v>6680.5</v>
      </c>
      <c r="Q187" s="2">
        <v>5713.3</v>
      </c>
      <c r="R187" s="2">
        <v>4560.1000000000004</v>
      </c>
      <c r="S187" s="2">
        <v>3636.5</v>
      </c>
      <c r="T187" s="2">
        <v>8131.46</v>
      </c>
      <c r="U187" s="2">
        <v>9815.7999999999993</v>
      </c>
    </row>
    <row r="188" spans="1:21" x14ac:dyDescent="0.25">
      <c r="A188" t="s">
        <v>1126</v>
      </c>
      <c r="B188">
        <v>463.27</v>
      </c>
      <c r="C188">
        <v>377.44</v>
      </c>
      <c r="D188" s="2">
        <v>1123.53</v>
      </c>
      <c r="E188">
        <v>880.63</v>
      </c>
      <c r="F188">
        <v>605.29</v>
      </c>
      <c r="G188">
        <v>878.32</v>
      </c>
      <c r="H188" s="2">
        <v>1052.5</v>
      </c>
      <c r="I188">
        <v>803.7</v>
      </c>
      <c r="J188">
        <v>700.21</v>
      </c>
      <c r="K188" s="2">
        <v>1740.3</v>
      </c>
      <c r="L188" s="2">
        <v>1498.2</v>
      </c>
      <c r="M188" s="2">
        <v>1786.8</v>
      </c>
      <c r="N188" s="2">
        <v>1310.3</v>
      </c>
      <c r="O188" s="2">
        <v>3028</v>
      </c>
      <c r="P188" s="2">
        <v>5323.8</v>
      </c>
      <c r="Q188" s="2">
        <v>4334.1000000000004</v>
      </c>
      <c r="R188" s="2">
        <v>4477.5</v>
      </c>
      <c r="S188" s="2">
        <v>3023</v>
      </c>
      <c r="T188" s="2">
        <v>8024.16</v>
      </c>
      <c r="U188" s="2">
        <v>9123.2999999999993</v>
      </c>
    </row>
    <row r="189" spans="1:21" x14ac:dyDescent="0.25">
      <c r="A189" t="s">
        <v>1127</v>
      </c>
      <c r="C189">
        <v>21.55</v>
      </c>
      <c r="D189">
        <v>12.65</v>
      </c>
      <c r="E189">
        <v>78.849999999999994</v>
      </c>
      <c r="F189">
        <v>265.17</v>
      </c>
      <c r="G189">
        <v>250.47</v>
      </c>
      <c r="H189">
        <v>196.09</v>
      </c>
      <c r="I189">
        <v>280.52</v>
      </c>
      <c r="J189">
        <v>447.38</v>
      </c>
      <c r="K189">
        <v>59.1</v>
      </c>
      <c r="L189">
        <v>611.1</v>
      </c>
      <c r="M189">
        <v>564.5</v>
      </c>
      <c r="N189" s="2">
        <v>1710.5</v>
      </c>
      <c r="O189" s="2">
        <v>1185.5999999999999</v>
      </c>
      <c r="P189" s="2">
        <v>1356.7</v>
      </c>
      <c r="Q189" s="2">
        <v>1379.2</v>
      </c>
      <c r="R189">
        <v>82.6</v>
      </c>
      <c r="S189">
        <v>613.5</v>
      </c>
      <c r="T189">
        <v>584.45000000000005</v>
      </c>
      <c r="U189">
        <v>593.42999999999995</v>
      </c>
    </row>
    <row r="190" spans="1:21" x14ac:dyDescent="0.25">
      <c r="A190" t="s">
        <v>1128</v>
      </c>
      <c r="C190">
        <v>36.5</v>
      </c>
      <c r="D190">
        <v>47.74</v>
      </c>
      <c r="E190">
        <v>79.650000000000006</v>
      </c>
      <c r="F190">
        <v>82.33</v>
      </c>
      <c r="G190">
        <v>99.71</v>
      </c>
      <c r="H190">
        <v>85</v>
      </c>
      <c r="I190">
        <v>80.41</v>
      </c>
      <c r="J190">
        <v>11.62</v>
      </c>
      <c r="K190">
        <v>61.6</v>
      </c>
      <c r="L190">
        <v>79.7</v>
      </c>
      <c r="M190">
        <v>178.7</v>
      </c>
      <c r="N190">
        <v>67.3</v>
      </c>
      <c r="O190">
        <v>42</v>
      </c>
      <c r="P190">
        <v>33.4</v>
      </c>
      <c r="Q190" s="2">
        <v>1001.2</v>
      </c>
      <c r="R190">
        <v>283.60000000000002</v>
      </c>
      <c r="S190">
        <v>88.9</v>
      </c>
      <c r="T190">
        <v>85.29</v>
      </c>
      <c r="U190">
        <v>85.29</v>
      </c>
    </row>
    <row r="191" spans="1:21" x14ac:dyDescent="0.25">
      <c r="A191" t="s">
        <v>1129</v>
      </c>
      <c r="K191">
        <v>270.39999999999998</v>
      </c>
      <c r="L191">
        <v>95.9</v>
      </c>
      <c r="M191">
        <v>231</v>
      </c>
      <c r="N191">
        <v>119.2</v>
      </c>
      <c r="O191">
        <v>164.6</v>
      </c>
      <c r="P191">
        <v>131.9</v>
      </c>
      <c r="Q191">
        <v>240.1</v>
      </c>
      <c r="R191">
        <v>320.60000000000002</v>
      </c>
      <c r="S191">
        <v>440.6</v>
      </c>
      <c r="T191">
        <v>480.67</v>
      </c>
      <c r="U191">
        <v>487.54</v>
      </c>
    </row>
    <row r="192" spans="1:21" x14ac:dyDescent="0.25">
      <c r="A192" t="s">
        <v>340</v>
      </c>
      <c r="B192">
        <v>999.15</v>
      </c>
      <c r="C192">
        <v>986.34</v>
      </c>
      <c r="D192" s="2">
        <v>1497.18</v>
      </c>
      <c r="E192" s="2">
        <v>1624.63</v>
      </c>
      <c r="F192" s="2">
        <v>1856.97</v>
      </c>
      <c r="G192" s="2">
        <v>2393.02</v>
      </c>
      <c r="H192" s="2">
        <v>2549.84</v>
      </c>
      <c r="I192" s="2">
        <v>2573.73</v>
      </c>
      <c r="J192" s="2">
        <v>2780.88</v>
      </c>
      <c r="K192" s="2">
        <v>2955.6</v>
      </c>
      <c r="L192" s="2">
        <v>3439.5</v>
      </c>
      <c r="M192" s="2">
        <v>3809.2</v>
      </c>
      <c r="N192" s="2">
        <v>4569.3999999999996</v>
      </c>
      <c r="O192" s="2">
        <v>5179.2</v>
      </c>
      <c r="P192" s="2">
        <v>7199.7</v>
      </c>
      <c r="Q192" s="2">
        <v>8850.7000000000007</v>
      </c>
      <c r="R192" s="2">
        <v>10891.5</v>
      </c>
      <c r="S192" s="2">
        <v>11429.3</v>
      </c>
      <c r="T192" s="2">
        <v>14811.62</v>
      </c>
      <c r="U192" s="2">
        <v>17084.63</v>
      </c>
    </row>
    <row r="193" spans="1:21" x14ac:dyDescent="0.25">
      <c r="A193" t="s">
        <v>76</v>
      </c>
      <c r="B193">
        <v>66.2</v>
      </c>
      <c r="C193">
        <v>27.65</v>
      </c>
      <c r="D193">
        <v>25.11</v>
      </c>
      <c r="E193">
        <v>33.03</v>
      </c>
      <c r="F193">
        <v>42.01</v>
      </c>
      <c r="G193">
        <v>38.53</v>
      </c>
      <c r="H193">
        <v>40.17</v>
      </c>
      <c r="I193">
        <v>40.71</v>
      </c>
      <c r="J193">
        <v>33.11</v>
      </c>
      <c r="K193">
        <v>28.52</v>
      </c>
      <c r="L193">
        <v>31.48</v>
      </c>
      <c r="M193">
        <v>27.68</v>
      </c>
      <c r="N193">
        <v>25.56</v>
      </c>
      <c r="O193">
        <v>26.25</v>
      </c>
      <c r="P193">
        <v>26.91</v>
      </c>
      <c r="Q193">
        <v>33.729999999999997</v>
      </c>
      <c r="R193">
        <v>33.81</v>
      </c>
      <c r="S193">
        <v>27.88</v>
      </c>
      <c r="T193">
        <v>33.69</v>
      </c>
      <c r="U193">
        <v>32.26</v>
      </c>
    </row>
    <row r="194" spans="1:21" x14ac:dyDescent="0.25">
      <c r="A194" t="s">
        <v>1130</v>
      </c>
      <c r="B194">
        <v>0</v>
      </c>
      <c r="C194">
        <v>0</v>
      </c>
      <c r="D194">
        <v>0</v>
      </c>
      <c r="E194">
        <v>0</v>
      </c>
      <c r="F194">
        <v>930.01</v>
      </c>
      <c r="G194">
        <v>679.88</v>
      </c>
      <c r="H194">
        <v>334.86</v>
      </c>
      <c r="I194">
        <v>950</v>
      </c>
      <c r="J194" s="2">
        <v>1150</v>
      </c>
      <c r="K194" s="2">
        <v>1029.3</v>
      </c>
      <c r="L194">
        <v>913.3</v>
      </c>
      <c r="M194" s="2">
        <v>1185.8</v>
      </c>
      <c r="N194" s="2">
        <v>1302.2</v>
      </c>
      <c r="O194">
        <v>638.5</v>
      </c>
      <c r="P194">
        <v>107.7</v>
      </c>
      <c r="Q194">
        <v>5.4</v>
      </c>
      <c r="R194">
        <v>5.4</v>
      </c>
      <c r="S194">
        <v>405.9</v>
      </c>
      <c r="T194">
        <v>843.05</v>
      </c>
      <c r="U194">
        <v>776.27</v>
      </c>
    </row>
    <row r="195" spans="1:21" x14ac:dyDescent="0.25">
      <c r="A195" t="s">
        <v>78</v>
      </c>
      <c r="B195">
        <v>236.08</v>
      </c>
      <c r="C195">
        <v>145.94</v>
      </c>
      <c r="D195">
        <v>214.16</v>
      </c>
      <c r="E195">
        <v>238.1</v>
      </c>
      <c r="F195">
        <v>246.01</v>
      </c>
      <c r="G195">
        <v>336.42</v>
      </c>
      <c r="H195">
        <v>390.09</v>
      </c>
      <c r="I195">
        <v>488.82</v>
      </c>
      <c r="J195">
        <v>560.47</v>
      </c>
      <c r="K195">
        <v>510.5</v>
      </c>
      <c r="L195">
        <v>772.6</v>
      </c>
      <c r="M195">
        <v>842.8</v>
      </c>
      <c r="N195">
        <v>801.7</v>
      </c>
      <c r="O195" s="2">
        <v>1000.5</v>
      </c>
      <c r="P195" s="2">
        <v>1643.4</v>
      </c>
      <c r="Q195" s="2">
        <v>1578.5</v>
      </c>
      <c r="R195" s="2">
        <v>1940.3</v>
      </c>
      <c r="S195" s="2">
        <v>1432.8</v>
      </c>
      <c r="T195" s="2">
        <v>1774.19</v>
      </c>
      <c r="U195" s="2">
        <v>1808.12</v>
      </c>
    </row>
    <row r="196" spans="1:21" x14ac:dyDescent="0.25">
      <c r="A196" t="s">
        <v>146</v>
      </c>
      <c r="C196" s="2">
        <v>1487.46</v>
      </c>
      <c r="D196" s="2">
        <v>1235.8900000000001</v>
      </c>
      <c r="E196" s="2">
        <v>1554.01</v>
      </c>
      <c r="F196" s="2">
        <v>1578.64</v>
      </c>
      <c r="G196" s="2">
        <v>4488.1499999999996</v>
      </c>
      <c r="H196" s="2">
        <v>5057.74</v>
      </c>
      <c r="I196" s="2">
        <v>5587.33</v>
      </c>
      <c r="J196" s="2">
        <v>8648.5300000000007</v>
      </c>
      <c r="K196" s="2">
        <v>9303.1</v>
      </c>
      <c r="L196" s="2">
        <v>9605.5</v>
      </c>
      <c r="M196" s="2">
        <v>10498.5</v>
      </c>
      <c r="N196" s="2">
        <v>11337.4</v>
      </c>
      <c r="O196" s="2">
        <v>12040.8</v>
      </c>
      <c r="P196" s="2">
        <v>13235.5</v>
      </c>
      <c r="Q196" s="2">
        <v>15563.6</v>
      </c>
      <c r="R196" s="2">
        <v>17852.2</v>
      </c>
      <c r="S196" s="2">
        <v>19950.5</v>
      </c>
      <c r="T196" s="2">
        <v>21355.95</v>
      </c>
      <c r="U196" s="2">
        <v>22850.35</v>
      </c>
    </row>
    <row r="197" spans="1:21" x14ac:dyDescent="0.25">
      <c r="A197" t="s">
        <v>409</v>
      </c>
      <c r="B197">
        <v>540.64</v>
      </c>
      <c r="C197">
        <v>662.21</v>
      </c>
      <c r="D197">
        <v>745.33</v>
      </c>
      <c r="E197" s="2">
        <v>1053.6099999999999</v>
      </c>
      <c r="F197" s="2">
        <v>1029.92</v>
      </c>
      <c r="G197" s="2">
        <v>1217.8399999999999</v>
      </c>
      <c r="H197" s="2">
        <v>1447.52</v>
      </c>
      <c r="I197" s="2">
        <v>1620.68</v>
      </c>
      <c r="J197" s="2">
        <v>1687.24</v>
      </c>
      <c r="K197" s="2">
        <v>1714.5</v>
      </c>
      <c r="L197" s="2">
        <v>1727.1</v>
      </c>
      <c r="M197" s="2">
        <v>1999.3</v>
      </c>
      <c r="N197" s="2">
        <v>2470.3000000000002</v>
      </c>
      <c r="O197" s="2">
        <v>2982.7</v>
      </c>
      <c r="P197" s="2">
        <v>3944.2</v>
      </c>
      <c r="Q197" s="2">
        <v>5493.2</v>
      </c>
      <c r="R197" s="2">
        <v>6846.8</v>
      </c>
      <c r="S197" s="2">
        <v>7893.8</v>
      </c>
      <c r="T197" s="2">
        <v>8614.17</v>
      </c>
      <c r="U197" s="2">
        <v>9855.7000000000007</v>
      </c>
    </row>
    <row r="198" spans="1:21" x14ac:dyDescent="0.25">
      <c r="A198" t="s">
        <v>310</v>
      </c>
      <c r="M198">
        <v>205.4</v>
      </c>
      <c r="N198">
        <v>180.1</v>
      </c>
      <c r="O198">
        <v>159.5</v>
      </c>
      <c r="T198">
        <v>334.83</v>
      </c>
      <c r="U198">
        <v>334.83</v>
      </c>
    </row>
    <row r="199" spans="1:21" x14ac:dyDescent="0.25">
      <c r="A199" t="s">
        <v>1131</v>
      </c>
      <c r="C199">
        <v>0</v>
      </c>
      <c r="D199">
        <v>28.91</v>
      </c>
      <c r="E199">
        <v>0</v>
      </c>
      <c r="F199">
        <v>38.619999999999997</v>
      </c>
      <c r="G199">
        <v>46.02</v>
      </c>
      <c r="H199">
        <v>55.26</v>
      </c>
      <c r="I199">
        <v>124.04</v>
      </c>
      <c r="J199">
        <v>117.23</v>
      </c>
      <c r="K199">
        <v>159.4</v>
      </c>
      <c r="L199">
        <v>275.10000000000002</v>
      </c>
      <c r="M199">
        <v>421.1</v>
      </c>
      <c r="N199">
        <v>400.5</v>
      </c>
      <c r="O199">
        <v>383</v>
      </c>
      <c r="P199">
        <v>364.4</v>
      </c>
      <c r="Q199">
        <v>989.8</v>
      </c>
      <c r="R199" s="2">
        <v>1773.8</v>
      </c>
      <c r="S199" s="2">
        <v>1667.2</v>
      </c>
      <c r="T199" s="2">
        <v>1766.8</v>
      </c>
      <c r="U199" s="2">
        <v>1766.8</v>
      </c>
    </row>
    <row r="200" spans="1:21" x14ac:dyDescent="0.25">
      <c r="A200" t="s">
        <v>514</v>
      </c>
      <c r="B200">
        <v>88.2</v>
      </c>
      <c r="C200">
        <v>16.07</v>
      </c>
      <c r="D200">
        <v>235.71</v>
      </c>
      <c r="E200">
        <v>307.25</v>
      </c>
      <c r="F200">
        <v>311.54000000000002</v>
      </c>
      <c r="G200">
        <v>298.56</v>
      </c>
      <c r="H200">
        <v>444.82</v>
      </c>
      <c r="I200">
        <v>450.88</v>
      </c>
      <c r="J200">
        <v>612.30999999999995</v>
      </c>
      <c r="K200">
        <v>708.2</v>
      </c>
      <c r="L200">
        <v>806.1</v>
      </c>
      <c r="M200">
        <v>830.4</v>
      </c>
      <c r="N200">
        <v>951.5</v>
      </c>
      <c r="O200" s="2">
        <v>1011.4</v>
      </c>
      <c r="P200">
        <v>739.8</v>
      </c>
      <c r="Q200">
        <v>651.79999999999995</v>
      </c>
      <c r="R200">
        <v>790.8</v>
      </c>
      <c r="S200" s="2">
        <v>1057.0999999999999</v>
      </c>
      <c r="T200" s="2">
        <v>1570.45</v>
      </c>
      <c r="U200" s="2">
        <v>1570.45</v>
      </c>
    </row>
    <row r="201" spans="1:21" x14ac:dyDescent="0.25">
      <c r="A201" t="s">
        <v>1132</v>
      </c>
      <c r="C201">
        <v>0</v>
      </c>
      <c r="D201">
        <v>28.91</v>
      </c>
      <c r="E201">
        <v>0</v>
      </c>
      <c r="F201">
        <v>38.619999999999997</v>
      </c>
      <c r="G201">
        <v>46.02</v>
      </c>
      <c r="H201">
        <v>55.26</v>
      </c>
      <c r="I201">
        <v>124.04</v>
      </c>
      <c r="J201">
        <v>117.23</v>
      </c>
      <c r="K201">
        <v>159.4</v>
      </c>
      <c r="L201">
        <v>275.10000000000002</v>
      </c>
      <c r="M201">
        <v>421.1</v>
      </c>
      <c r="N201">
        <v>400.5</v>
      </c>
      <c r="O201">
        <v>383</v>
      </c>
      <c r="P201">
        <v>0</v>
      </c>
      <c r="Q201">
        <v>60.6</v>
      </c>
      <c r="R201">
        <v>317.2</v>
      </c>
      <c r="S201">
        <v>13.3</v>
      </c>
      <c r="T201">
        <v>13.3</v>
      </c>
      <c r="U201">
        <v>13.3</v>
      </c>
    </row>
    <row r="202" spans="1:21" x14ac:dyDescent="0.25">
      <c r="A202" t="s">
        <v>312</v>
      </c>
      <c r="B202">
        <v>158.15</v>
      </c>
      <c r="C202">
        <v>486.57</v>
      </c>
      <c r="D202">
        <v>154.94</v>
      </c>
      <c r="E202">
        <v>154.41</v>
      </c>
      <c r="F202">
        <v>159.11000000000001</v>
      </c>
      <c r="G202" s="2">
        <v>2786.22</v>
      </c>
      <c r="H202" s="2">
        <v>3081.38</v>
      </c>
      <c r="I202" s="2">
        <v>3362.72</v>
      </c>
      <c r="J202" s="2">
        <v>6196.82</v>
      </c>
      <c r="K202" s="2">
        <v>5707.1</v>
      </c>
      <c r="L202" s="2">
        <v>5645.1</v>
      </c>
      <c r="M202" s="2">
        <v>5645.5</v>
      </c>
      <c r="N202" s="2">
        <v>5678</v>
      </c>
      <c r="O202" s="2">
        <v>5507.7</v>
      </c>
      <c r="P202" s="2">
        <v>5398</v>
      </c>
      <c r="Q202" s="2">
        <v>5330.3</v>
      </c>
      <c r="R202" s="2">
        <v>5209.8999999999996</v>
      </c>
      <c r="S202" s="2">
        <v>5128.7</v>
      </c>
      <c r="T202" s="2">
        <v>5170.9399999999996</v>
      </c>
      <c r="U202" s="2">
        <v>5141.9399999999996</v>
      </c>
    </row>
    <row r="203" spans="1:21" x14ac:dyDescent="0.25">
      <c r="A203" t="s">
        <v>1133</v>
      </c>
      <c r="B203">
        <v>0</v>
      </c>
      <c r="K203">
        <v>982.2</v>
      </c>
      <c r="L203">
        <v>915.8</v>
      </c>
      <c r="M203">
        <v>833</v>
      </c>
      <c r="N203">
        <v>820.7</v>
      </c>
      <c r="O203">
        <v>892.5</v>
      </c>
      <c r="P203">
        <v>923.6</v>
      </c>
      <c r="Q203">
        <v>919.6</v>
      </c>
      <c r="R203">
        <v>903</v>
      </c>
      <c r="S203" s="2">
        <v>2143.3000000000002</v>
      </c>
      <c r="T203" s="2">
        <v>2054.06</v>
      </c>
      <c r="U203" s="2">
        <v>2119.54</v>
      </c>
    </row>
    <row r="204" spans="1:21" x14ac:dyDescent="0.25">
      <c r="A204" t="s">
        <v>311</v>
      </c>
      <c r="B204">
        <v>148.13</v>
      </c>
      <c r="C204">
        <v>266.64999999999998</v>
      </c>
      <c r="D204">
        <v>71.010000000000005</v>
      </c>
      <c r="E204">
        <v>38.74</v>
      </c>
      <c r="F204">
        <v>39.44</v>
      </c>
      <c r="G204">
        <v>139.51</v>
      </c>
      <c r="H204">
        <v>28.76</v>
      </c>
      <c r="I204">
        <v>29.01</v>
      </c>
      <c r="J204">
        <v>34.94</v>
      </c>
      <c r="K204">
        <v>31.7</v>
      </c>
      <c r="L204">
        <v>236.3</v>
      </c>
      <c r="M204">
        <v>445.3</v>
      </c>
      <c r="N204">
        <v>671.5</v>
      </c>
      <c r="O204" s="2">
        <v>1098.7</v>
      </c>
      <c r="P204" s="2">
        <v>1672.8</v>
      </c>
      <c r="Q204" s="2">
        <v>1872.3</v>
      </c>
      <c r="R204" s="2">
        <v>1940.7</v>
      </c>
      <c r="S204" s="2">
        <v>1719.4</v>
      </c>
      <c r="T204" s="2">
        <v>1807.08</v>
      </c>
      <c r="U204" s="2">
        <v>1824.04</v>
      </c>
    </row>
    <row r="205" spans="1:21" x14ac:dyDescent="0.25">
      <c r="A205" t="s">
        <v>496</v>
      </c>
      <c r="B205">
        <v>131.44999999999999</v>
      </c>
      <c r="C205">
        <v>139.63999999999999</v>
      </c>
      <c r="D205">
        <v>141.29</v>
      </c>
      <c r="E205">
        <v>146.04</v>
      </c>
      <c r="F205">
        <v>149.16999999999999</v>
      </c>
      <c r="G205" s="2">
        <v>2088.59</v>
      </c>
      <c r="H205" s="2">
        <v>2357.54</v>
      </c>
      <c r="I205" s="2">
        <v>2624.55</v>
      </c>
      <c r="J205" s="2">
        <v>4873.8900000000003</v>
      </c>
      <c r="K205" s="2">
        <v>4541.1000000000004</v>
      </c>
      <c r="L205" s="2">
        <v>4541.1000000000004</v>
      </c>
      <c r="M205" s="2">
        <v>4541.1000000000004</v>
      </c>
      <c r="N205" s="2">
        <v>4629.1000000000004</v>
      </c>
      <c r="O205" s="2">
        <v>4555.6000000000004</v>
      </c>
      <c r="P205" s="2">
        <v>4555.6000000000004</v>
      </c>
      <c r="Q205" s="2">
        <v>4588.6000000000004</v>
      </c>
      <c r="R205" s="2">
        <v>4588.6000000000004</v>
      </c>
      <c r="S205" s="2">
        <v>4588.6000000000004</v>
      </c>
      <c r="T205" s="2">
        <v>4565.33</v>
      </c>
      <c r="U205" s="2">
        <v>4539.5</v>
      </c>
    </row>
    <row r="206" spans="1:21" x14ac:dyDescent="0.25">
      <c r="A206" t="s">
        <v>497</v>
      </c>
      <c r="C206">
        <v>346.94</v>
      </c>
      <c r="D206">
        <v>13.65</v>
      </c>
      <c r="E206">
        <v>8.3699999999999992</v>
      </c>
      <c r="F206">
        <v>9.94</v>
      </c>
      <c r="G206">
        <v>697.63</v>
      </c>
      <c r="H206">
        <v>723.84</v>
      </c>
      <c r="I206">
        <v>738.17</v>
      </c>
      <c r="J206" s="2">
        <v>1322.92</v>
      </c>
      <c r="K206" s="2">
        <v>1166</v>
      </c>
      <c r="L206" s="2">
        <v>1104</v>
      </c>
      <c r="M206" s="2">
        <v>1104.4000000000001</v>
      </c>
      <c r="N206" s="2">
        <v>1048.9000000000001</v>
      </c>
      <c r="O206">
        <v>952.1</v>
      </c>
      <c r="P206">
        <v>842.4</v>
      </c>
      <c r="Q206">
        <v>741.7</v>
      </c>
      <c r="R206">
        <v>621.29999999999995</v>
      </c>
      <c r="S206">
        <v>540.1</v>
      </c>
      <c r="T206">
        <v>564.88</v>
      </c>
      <c r="U206">
        <v>580.48</v>
      </c>
    </row>
    <row r="207" spans="1:21" x14ac:dyDescent="0.25">
      <c r="A207" t="s">
        <v>155</v>
      </c>
      <c r="B207" s="2">
        <v>3939.39</v>
      </c>
      <c r="C207" s="2">
        <v>4114.53</v>
      </c>
      <c r="D207" s="2">
        <v>6180.36</v>
      </c>
      <c r="E207" s="2">
        <v>7260.82</v>
      </c>
      <c r="F207" s="2">
        <v>7410.48</v>
      </c>
      <c r="G207" s="2">
        <v>11513.73</v>
      </c>
      <c r="H207" s="2">
        <v>12203.95</v>
      </c>
      <c r="I207" s="2">
        <v>13295.03</v>
      </c>
      <c r="J207" s="2">
        <v>17205.96</v>
      </c>
      <c r="K207" s="2">
        <v>18188.900000000001</v>
      </c>
      <c r="L207" s="2">
        <v>20136.900000000001</v>
      </c>
      <c r="M207" s="2">
        <v>22629.599999999999</v>
      </c>
      <c r="N207" s="2">
        <v>27267.4</v>
      </c>
      <c r="O207" s="2">
        <v>30231</v>
      </c>
      <c r="P207" s="2">
        <v>36300.400000000001</v>
      </c>
      <c r="Q207" s="2">
        <v>39957.5</v>
      </c>
      <c r="R207" s="2">
        <v>48589.599999999999</v>
      </c>
      <c r="S207" s="2">
        <v>50566.6</v>
      </c>
      <c r="T207" s="2">
        <v>62098.94</v>
      </c>
      <c r="U207" s="2">
        <v>76096.87</v>
      </c>
    </row>
    <row r="208" spans="1:21" x14ac:dyDescent="0.25">
      <c r="A208" t="s">
        <v>17</v>
      </c>
    </row>
    <row r="209" spans="1:21" x14ac:dyDescent="0.25">
      <c r="A209" t="s">
        <v>156</v>
      </c>
    </row>
    <row r="210" spans="1:21" x14ac:dyDescent="0.25">
      <c r="A210" t="s">
        <v>157</v>
      </c>
      <c r="B210" s="2">
        <v>1008.34</v>
      </c>
      <c r="C210" s="2">
        <v>1037.74</v>
      </c>
      <c r="D210" s="2">
        <v>2157.25</v>
      </c>
      <c r="E210" s="2">
        <v>2233.04</v>
      </c>
      <c r="F210" s="2">
        <v>2086.2800000000002</v>
      </c>
      <c r="G210" s="2">
        <v>2868.66</v>
      </c>
      <c r="H210" s="2">
        <v>2888.87</v>
      </c>
      <c r="I210" s="2">
        <v>3107.17</v>
      </c>
      <c r="J210" s="2">
        <v>3280.6</v>
      </c>
      <c r="K210" s="2">
        <v>3170</v>
      </c>
      <c r="L210" s="2">
        <v>3791.9</v>
      </c>
      <c r="M210" s="2">
        <v>4694.1000000000004</v>
      </c>
      <c r="N210" s="2">
        <v>6603.5</v>
      </c>
      <c r="O210" s="2">
        <v>12298</v>
      </c>
      <c r="P210" s="2">
        <v>17983.599999999999</v>
      </c>
      <c r="Q210" s="2">
        <v>16274.7</v>
      </c>
      <c r="R210" s="2">
        <v>20051.400000000001</v>
      </c>
      <c r="S210" s="2">
        <v>24263.9</v>
      </c>
      <c r="T210" s="2">
        <v>27881.77</v>
      </c>
      <c r="U210" s="2">
        <v>30857.41</v>
      </c>
    </row>
    <row r="211" spans="1:21" x14ac:dyDescent="0.25">
      <c r="A211" t="s">
        <v>158</v>
      </c>
      <c r="B211">
        <v>193.69</v>
      </c>
      <c r="C211">
        <v>206.23</v>
      </c>
      <c r="D211">
        <v>555.4</v>
      </c>
      <c r="E211">
        <v>444.27</v>
      </c>
      <c r="F211">
        <v>188.96</v>
      </c>
      <c r="G211">
        <v>625.87</v>
      </c>
      <c r="H211">
        <v>496.24</v>
      </c>
      <c r="I211">
        <v>418.89</v>
      </c>
      <c r="J211">
        <v>593.20000000000005</v>
      </c>
      <c r="K211">
        <v>837.3</v>
      </c>
      <c r="L211">
        <v>964</v>
      </c>
      <c r="M211" s="2">
        <v>1062.2</v>
      </c>
      <c r="N211" s="2">
        <v>1377.9</v>
      </c>
      <c r="O211" s="2">
        <v>2116.3000000000002</v>
      </c>
      <c r="P211" s="2">
        <v>2563.5</v>
      </c>
      <c r="Q211" s="2">
        <v>2347.3000000000002</v>
      </c>
      <c r="R211" s="2">
        <v>3500.4</v>
      </c>
      <c r="S211" s="2">
        <v>3521.8</v>
      </c>
      <c r="T211" s="2">
        <v>4459.21</v>
      </c>
      <c r="U211" s="2">
        <v>5387.05</v>
      </c>
    </row>
    <row r="212" spans="1:21" x14ac:dyDescent="0.25">
      <c r="A212" t="s">
        <v>1134</v>
      </c>
      <c r="C212">
        <v>798.44</v>
      </c>
      <c r="D212" s="2">
        <v>1518.75</v>
      </c>
      <c r="E212" s="2">
        <v>1768.65</v>
      </c>
      <c r="F212" s="2">
        <v>1880.37</v>
      </c>
      <c r="G212" s="2">
        <v>2216.88</v>
      </c>
      <c r="H212" s="2">
        <v>2347.8000000000002</v>
      </c>
      <c r="I212" s="2">
        <v>2675.59</v>
      </c>
      <c r="M212" s="2">
        <v>1039.9000000000001</v>
      </c>
      <c r="N212" s="2">
        <v>1146</v>
      </c>
      <c r="P212" s="2">
        <v>1875.9</v>
      </c>
      <c r="Q212" s="2">
        <v>2177.4</v>
      </c>
      <c r="R212" s="2">
        <v>2686.6</v>
      </c>
      <c r="S212" s="2">
        <v>2567.3000000000002</v>
      </c>
      <c r="T212" s="2">
        <v>3386.02</v>
      </c>
      <c r="U212" s="2">
        <v>3851.45</v>
      </c>
    </row>
    <row r="213" spans="1:21" x14ac:dyDescent="0.25">
      <c r="A213" t="s">
        <v>694</v>
      </c>
      <c r="D213">
        <v>1.43</v>
      </c>
      <c r="E213">
        <v>2.59</v>
      </c>
      <c r="F213">
        <v>3.61</v>
      </c>
      <c r="G213">
        <v>4.3899999999999997</v>
      </c>
      <c r="H213">
        <v>4.26</v>
      </c>
      <c r="I213">
        <v>4.21</v>
      </c>
      <c r="J213">
        <v>247.67</v>
      </c>
      <c r="K213">
        <v>25.2</v>
      </c>
      <c r="L213">
        <v>0</v>
      </c>
      <c r="M213">
        <v>0</v>
      </c>
      <c r="N213">
        <v>15.4</v>
      </c>
      <c r="O213">
        <v>509.1</v>
      </c>
      <c r="P213">
        <v>746.2</v>
      </c>
      <c r="Q213">
        <v>0.1</v>
      </c>
      <c r="R213" s="2">
        <v>1010.3</v>
      </c>
      <c r="S213">
        <v>990.2</v>
      </c>
      <c r="T213" s="2">
        <v>1503.32</v>
      </c>
      <c r="U213" s="2">
        <v>1494.81</v>
      </c>
    </row>
    <row r="214" spans="1:21" x14ac:dyDescent="0.25">
      <c r="A214" t="s">
        <v>501</v>
      </c>
      <c r="C214">
        <v>15.03</v>
      </c>
      <c r="D214">
        <v>61.2</v>
      </c>
      <c r="E214">
        <v>15</v>
      </c>
      <c r="F214">
        <v>10.79</v>
      </c>
      <c r="G214">
        <v>15.8</v>
      </c>
      <c r="H214">
        <v>36.29</v>
      </c>
      <c r="I214">
        <v>3.65</v>
      </c>
      <c r="J214">
        <v>201.93</v>
      </c>
      <c r="K214">
        <v>152</v>
      </c>
      <c r="L214">
        <v>187.9</v>
      </c>
      <c r="M214">
        <v>65.599999999999994</v>
      </c>
      <c r="N214">
        <v>110</v>
      </c>
      <c r="O214">
        <v>301.89999999999998</v>
      </c>
      <c r="P214">
        <v>315.3</v>
      </c>
      <c r="Q214">
        <v>308.89999999999998</v>
      </c>
      <c r="R214">
        <v>283.3</v>
      </c>
      <c r="S214">
        <v>486.6</v>
      </c>
      <c r="T214">
        <v>524.76</v>
      </c>
      <c r="U214">
        <v>542.12</v>
      </c>
    </row>
    <row r="215" spans="1:21" x14ac:dyDescent="0.25">
      <c r="A215" t="s">
        <v>1135</v>
      </c>
      <c r="K215" s="2">
        <v>1530</v>
      </c>
      <c r="L215" s="2">
        <v>1728.6</v>
      </c>
      <c r="M215" s="2">
        <v>2526.4</v>
      </c>
      <c r="N215" s="2">
        <v>3954.2</v>
      </c>
      <c r="O215" s="2">
        <v>7935.2</v>
      </c>
      <c r="P215" s="2">
        <v>12481</v>
      </c>
      <c r="Q215" s="2">
        <v>11441</v>
      </c>
      <c r="R215" s="2">
        <v>12570.8</v>
      </c>
      <c r="S215" s="2">
        <v>16006.3</v>
      </c>
      <c r="T215" s="2">
        <v>16227.17</v>
      </c>
      <c r="U215" s="2">
        <v>21902.36</v>
      </c>
    </row>
    <row r="216" spans="1:21" x14ac:dyDescent="0.25">
      <c r="A216" t="s">
        <v>164</v>
      </c>
      <c r="C216" s="2">
        <v>1025.99</v>
      </c>
      <c r="D216" s="2">
        <v>1249.21</v>
      </c>
      <c r="E216" s="2">
        <v>1583.62</v>
      </c>
      <c r="F216" s="2">
        <v>1257.3</v>
      </c>
      <c r="G216" s="2">
        <v>1722.64</v>
      </c>
      <c r="H216" s="2">
        <v>1802.48</v>
      </c>
      <c r="I216" s="2">
        <v>1799.03</v>
      </c>
      <c r="J216" s="2">
        <v>4104.88</v>
      </c>
      <c r="K216" s="2">
        <v>4242.5</v>
      </c>
      <c r="L216" s="2">
        <v>4704</v>
      </c>
      <c r="M216" s="2">
        <v>5343.3</v>
      </c>
      <c r="N216" s="2">
        <v>6798.5</v>
      </c>
      <c r="O216" s="2">
        <v>7792.4</v>
      </c>
      <c r="P216" s="2">
        <v>9506</v>
      </c>
      <c r="Q216" s="2">
        <v>10230.4</v>
      </c>
      <c r="R216" s="2">
        <v>10061.4</v>
      </c>
      <c r="S216" s="2">
        <v>6690.5</v>
      </c>
      <c r="T216" s="2">
        <v>6699.81</v>
      </c>
      <c r="U216" s="2">
        <v>6808.92</v>
      </c>
    </row>
    <row r="217" spans="1:21" x14ac:dyDescent="0.25">
      <c r="A217" t="s">
        <v>315</v>
      </c>
      <c r="B217">
        <v>647.04999999999995</v>
      </c>
      <c r="C217">
        <v>704.96</v>
      </c>
      <c r="D217">
        <v>708.63</v>
      </c>
      <c r="E217">
        <v>733.78</v>
      </c>
      <c r="F217">
        <v>755.88</v>
      </c>
      <c r="G217" s="2">
        <v>1070.19</v>
      </c>
      <c r="H217" s="2">
        <v>1149.8800000000001</v>
      </c>
      <c r="I217" s="2">
        <v>1125.47</v>
      </c>
      <c r="J217" s="2">
        <v>3071.79</v>
      </c>
      <c r="K217" s="2">
        <v>3000.1</v>
      </c>
      <c r="L217" s="2">
        <v>3026.5</v>
      </c>
      <c r="M217" s="2">
        <v>3108.3</v>
      </c>
      <c r="N217" s="2">
        <v>4662.8</v>
      </c>
      <c r="O217" s="2">
        <v>4075</v>
      </c>
      <c r="P217" s="2">
        <v>3514.2</v>
      </c>
      <c r="Q217" s="2">
        <v>4631.5</v>
      </c>
      <c r="R217" s="2">
        <v>3677.3</v>
      </c>
      <c r="S217" s="2">
        <v>2709</v>
      </c>
      <c r="T217" s="2">
        <v>2013.3</v>
      </c>
      <c r="U217" s="2">
        <v>1847.5</v>
      </c>
    </row>
    <row r="218" spans="1:21" x14ac:dyDescent="0.25">
      <c r="A218" t="s">
        <v>1136</v>
      </c>
      <c r="K218">
        <v>622</v>
      </c>
      <c r="L218" s="2">
        <v>1224.5999999999999</v>
      </c>
      <c r="M218" s="2">
        <v>1759.6</v>
      </c>
      <c r="N218" s="2">
        <v>1639.9</v>
      </c>
      <c r="O218" s="2">
        <v>3225.7</v>
      </c>
      <c r="P218" s="2">
        <v>5269.9</v>
      </c>
      <c r="Q218" s="2">
        <v>4825.5</v>
      </c>
      <c r="R218" s="2">
        <v>5625.4</v>
      </c>
      <c r="S218" s="2">
        <v>3366.3</v>
      </c>
      <c r="T218" s="2">
        <v>3606.57</v>
      </c>
      <c r="U218" s="2">
        <v>3868.55</v>
      </c>
    </row>
    <row r="219" spans="1:21" x14ac:dyDescent="0.25">
      <c r="A219" t="s">
        <v>1137</v>
      </c>
      <c r="B219">
        <v>279.74</v>
      </c>
      <c r="I219">
        <v>414.37</v>
      </c>
      <c r="J219">
        <v>615.73</v>
      </c>
      <c r="K219">
        <v>279.3</v>
      </c>
      <c r="L219">
        <v>201.7</v>
      </c>
      <c r="M219">
        <v>241</v>
      </c>
      <c r="N219">
        <v>257.5</v>
      </c>
      <c r="O219">
        <v>251.1</v>
      </c>
      <c r="P219">
        <v>454.9</v>
      </c>
      <c r="Q219">
        <v>401.2</v>
      </c>
      <c r="R219">
        <v>459.5</v>
      </c>
      <c r="S219">
        <v>432.2</v>
      </c>
      <c r="T219">
        <v>535.6</v>
      </c>
      <c r="U219">
        <v>661.4</v>
      </c>
    </row>
    <row r="220" spans="1:21" x14ac:dyDescent="0.25">
      <c r="A220" t="s">
        <v>502</v>
      </c>
      <c r="B220">
        <v>295.23</v>
      </c>
      <c r="C220">
        <v>321.02999999999997</v>
      </c>
      <c r="D220">
        <v>540.57000000000005</v>
      </c>
      <c r="E220">
        <v>849.84</v>
      </c>
      <c r="F220">
        <v>501.42</v>
      </c>
      <c r="G220">
        <v>652.46</v>
      </c>
      <c r="H220">
        <v>652.61</v>
      </c>
      <c r="I220">
        <v>673.55</v>
      </c>
      <c r="J220" s="2">
        <v>1033.0899999999999</v>
      </c>
      <c r="K220" s="2">
        <v>1242.4000000000001</v>
      </c>
      <c r="L220" s="2">
        <v>1677.5</v>
      </c>
      <c r="M220" s="2">
        <v>2081.1999999999998</v>
      </c>
      <c r="N220" s="2">
        <v>2005.9</v>
      </c>
      <c r="O220" s="2">
        <v>3599.4</v>
      </c>
      <c r="P220" s="2">
        <v>5991.8</v>
      </c>
      <c r="Q220" s="2">
        <v>5598.9</v>
      </c>
      <c r="R220" s="2">
        <v>6384.1</v>
      </c>
      <c r="S220" s="2">
        <v>3981.5</v>
      </c>
      <c r="T220" s="2">
        <v>4234.76</v>
      </c>
      <c r="U220" s="2">
        <v>4322.04</v>
      </c>
    </row>
    <row r="221" spans="1:21" x14ac:dyDescent="0.25">
      <c r="A221" t="s">
        <v>1138</v>
      </c>
      <c r="C221">
        <v>263.97000000000003</v>
      </c>
      <c r="D221">
        <v>155.69</v>
      </c>
      <c r="E221">
        <v>176.73</v>
      </c>
      <c r="F221">
        <v>88.31</v>
      </c>
      <c r="G221">
        <v>364.7</v>
      </c>
      <c r="H221">
        <v>237.32</v>
      </c>
      <c r="I221">
        <v>256.74</v>
      </c>
      <c r="J221">
        <v>396.84</v>
      </c>
      <c r="K221">
        <v>341.1</v>
      </c>
      <c r="L221">
        <v>251.2</v>
      </c>
      <c r="M221">
        <v>234.4</v>
      </c>
      <c r="N221">
        <v>238.3</v>
      </c>
      <c r="O221">
        <v>240.6</v>
      </c>
      <c r="P221">
        <v>267</v>
      </c>
      <c r="Q221">
        <v>372.2</v>
      </c>
      <c r="R221">
        <v>299.2</v>
      </c>
      <c r="S221">
        <v>183</v>
      </c>
      <c r="T221">
        <v>266.31</v>
      </c>
      <c r="U221">
        <v>287.29000000000002</v>
      </c>
    </row>
    <row r="222" spans="1:21" x14ac:dyDescent="0.25">
      <c r="A222" t="s">
        <v>318</v>
      </c>
      <c r="B222">
        <v>233.67</v>
      </c>
      <c r="C222">
        <v>283.88</v>
      </c>
      <c r="D222">
        <v>415.3</v>
      </c>
      <c r="E222">
        <v>665.9</v>
      </c>
      <c r="F222">
        <v>402.26</v>
      </c>
      <c r="G222">
        <v>367</v>
      </c>
      <c r="H222">
        <v>444.05</v>
      </c>
      <c r="I222">
        <v>445.83</v>
      </c>
      <c r="J222">
        <v>671.19</v>
      </c>
      <c r="K222">
        <v>933</v>
      </c>
      <c r="L222" s="2">
        <v>1662.6</v>
      </c>
      <c r="M222" s="2">
        <v>2292.1</v>
      </c>
      <c r="N222" s="2">
        <v>2439.1</v>
      </c>
      <c r="O222" s="2">
        <v>4457.5</v>
      </c>
      <c r="P222" s="2">
        <v>7397.6</v>
      </c>
      <c r="Q222" s="2">
        <v>7099</v>
      </c>
      <c r="R222" s="2">
        <v>8025.6</v>
      </c>
      <c r="S222" s="2">
        <v>5517.9</v>
      </c>
      <c r="T222" s="2">
        <v>3908.44</v>
      </c>
      <c r="U222" s="2">
        <v>3930.42</v>
      </c>
    </row>
    <row r="223" spans="1:21" x14ac:dyDescent="0.25">
      <c r="A223" t="s">
        <v>167</v>
      </c>
      <c r="C223" s="2">
        <v>2063.7199999999998</v>
      </c>
      <c r="D223" s="2">
        <v>3406.45</v>
      </c>
      <c r="E223" s="2">
        <v>3816.66</v>
      </c>
      <c r="F223" s="2">
        <v>3343.59</v>
      </c>
      <c r="G223" s="2">
        <v>4591.3</v>
      </c>
      <c r="H223" s="2">
        <v>4691.3599999999997</v>
      </c>
      <c r="I223" s="2">
        <v>4906.2</v>
      </c>
      <c r="J223" s="2">
        <v>7385.48</v>
      </c>
      <c r="K223" s="2">
        <v>7412.5</v>
      </c>
      <c r="L223" s="2">
        <v>8495.9</v>
      </c>
      <c r="M223" s="2">
        <v>10037.4</v>
      </c>
      <c r="N223" s="2">
        <v>13402</v>
      </c>
      <c r="O223" s="2">
        <v>20090.400000000001</v>
      </c>
      <c r="P223" s="2">
        <v>27489.599999999999</v>
      </c>
      <c r="Q223" s="2">
        <v>26505.1</v>
      </c>
      <c r="R223" s="2">
        <v>30112.799999999999</v>
      </c>
      <c r="S223" s="2">
        <v>30954.400000000001</v>
      </c>
      <c r="T223" s="2">
        <v>34378.33</v>
      </c>
      <c r="U223" s="2">
        <v>37213.54</v>
      </c>
    </row>
    <row r="224" spans="1:21" x14ac:dyDescent="0.25">
      <c r="A224" t="s">
        <v>170</v>
      </c>
      <c r="B224" s="2">
        <v>1988.77</v>
      </c>
      <c r="C224" s="2">
        <v>2050.81</v>
      </c>
      <c r="D224" s="2">
        <v>2773.91</v>
      </c>
      <c r="E224" s="2">
        <v>3444.15</v>
      </c>
      <c r="F224" s="2">
        <v>4066.89</v>
      </c>
      <c r="G224" s="2">
        <v>6922.43</v>
      </c>
      <c r="H224" s="2">
        <v>7512.59</v>
      </c>
      <c r="I224" s="2">
        <v>8388.83</v>
      </c>
      <c r="J224" s="2">
        <v>9820.48</v>
      </c>
      <c r="K224" s="2">
        <v>10776.4</v>
      </c>
      <c r="L224" s="2">
        <v>11641</v>
      </c>
      <c r="M224" s="2">
        <v>12592.2</v>
      </c>
      <c r="N224" s="2">
        <v>13865.4</v>
      </c>
      <c r="O224" s="2">
        <v>10140.6</v>
      </c>
      <c r="P224" s="2">
        <v>8810.7999999999993</v>
      </c>
      <c r="Q224" s="2">
        <v>13452.4</v>
      </c>
      <c r="R224" s="2">
        <v>18476.8</v>
      </c>
      <c r="S224" s="2">
        <v>19612.2</v>
      </c>
      <c r="T224" s="2">
        <v>28075.25</v>
      </c>
      <c r="U224" s="2">
        <v>38985.5</v>
      </c>
    </row>
    <row r="225" spans="1:21" x14ac:dyDescent="0.25">
      <c r="A225" t="s">
        <v>503</v>
      </c>
      <c r="C225">
        <v>923.49</v>
      </c>
      <c r="D225">
        <v>471.25</v>
      </c>
      <c r="E225">
        <v>473.04</v>
      </c>
      <c r="F225">
        <v>483.65</v>
      </c>
      <c r="G225" s="2">
        <v>2912.86</v>
      </c>
      <c r="H225" s="2">
        <v>3002.05</v>
      </c>
      <c r="I225" s="2">
        <v>3070.33</v>
      </c>
      <c r="J225" s="2">
        <v>3693.59</v>
      </c>
      <c r="K225" s="2">
        <v>3732.5</v>
      </c>
      <c r="L225" s="2">
        <v>3741.3</v>
      </c>
      <c r="M225" s="2">
        <v>3772</v>
      </c>
      <c r="N225" s="2">
        <v>3780.1</v>
      </c>
      <c r="O225" s="2">
        <v>3876.1</v>
      </c>
      <c r="P225" s="2">
        <v>3940.8</v>
      </c>
      <c r="Q225" s="2">
        <v>3998.1</v>
      </c>
      <c r="R225" s="2">
        <v>4049</v>
      </c>
      <c r="S225" s="2">
        <v>4107.1000000000004</v>
      </c>
      <c r="T225" s="2">
        <v>4217.33</v>
      </c>
      <c r="U225" s="2">
        <v>4356.92</v>
      </c>
    </row>
    <row r="226" spans="1:21" x14ac:dyDescent="0.25">
      <c r="A226" t="s">
        <v>171</v>
      </c>
      <c r="C226">
        <v>40.450000000000003</v>
      </c>
      <c r="D226">
        <v>39.29</v>
      </c>
      <c r="E226">
        <v>38.35</v>
      </c>
      <c r="F226">
        <v>37.47</v>
      </c>
      <c r="G226">
        <v>40.090000000000003</v>
      </c>
      <c r="H226">
        <v>39.43</v>
      </c>
      <c r="I226">
        <v>38.79</v>
      </c>
      <c r="J226">
        <v>39.39</v>
      </c>
      <c r="K226">
        <v>38.799999999999997</v>
      </c>
      <c r="L226">
        <v>38.6</v>
      </c>
      <c r="M226">
        <v>38.200000000000003</v>
      </c>
      <c r="N226">
        <v>37.6</v>
      </c>
      <c r="O226">
        <v>36.5</v>
      </c>
      <c r="P226">
        <v>36.299999999999997</v>
      </c>
      <c r="Q226">
        <v>36</v>
      </c>
      <c r="R226">
        <v>35.4</v>
      </c>
      <c r="S226">
        <v>34.9</v>
      </c>
      <c r="T226">
        <v>34.9</v>
      </c>
      <c r="U226">
        <v>34.9</v>
      </c>
    </row>
    <row r="227" spans="1:21" x14ac:dyDescent="0.25">
      <c r="A227" t="s">
        <v>325</v>
      </c>
      <c r="B227">
        <v>253.44</v>
      </c>
      <c r="C227">
        <v>219.62</v>
      </c>
      <c r="D227">
        <v>151.66999999999999</v>
      </c>
      <c r="E227">
        <v>416.42</v>
      </c>
      <c r="F227">
        <v>464.57</v>
      </c>
      <c r="G227">
        <v>364.7</v>
      </c>
      <c r="H227">
        <v>389.44</v>
      </c>
      <c r="I227">
        <v>476.92</v>
      </c>
      <c r="J227">
        <v>796.17</v>
      </c>
      <c r="K227">
        <v>557.9</v>
      </c>
      <c r="L227" s="2">
        <v>1621.8</v>
      </c>
      <c r="M227" s="2">
        <v>1019.6</v>
      </c>
      <c r="N227">
        <v>863.2</v>
      </c>
      <c r="O227" s="2">
        <v>2422.8000000000002</v>
      </c>
      <c r="P227" s="2">
        <v>4641.3</v>
      </c>
      <c r="Q227" s="2">
        <v>3306.2</v>
      </c>
      <c r="R227">
        <v>476</v>
      </c>
      <c r="S227" s="2">
        <v>2252.9</v>
      </c>
      <c r="T227" s="2">
        <v>-2675</v>
      </c>
      <c r="U227" s="2">
        <v>-10947</v>
      </c>
    </row>
    <row r="228" spans="1:21" x14ac:dyDescent="0.25">
      <c r="A228" t="s">
        <v>174</v>
      </c>
      <c r="B228">
        <v>29.62</v>
      </c>
      <c r="C228">
        <v>27.53</v>
      </c>
      <c r="D228">
        <v>48.59</v>
      </c>
      <c r="E228">
        <v>78.47</v>
      </c>
      <c r="F228">
        <v>78.989999999999995</v>
      </c>
      <c r="G228">
        <v>-42.44</v>
      </c>
      <c r="H228">
        <v>212.02</v>
      </c>
      <c r="I228">
        <v>472.32</v>
      </c>
      <c r="J228">
        <v>601.16999999999996</v>
      </c>
      <c r="K228">
        <v>251.5</v>
      </c>
      <c r="L228">
        <v>285</v>
      </c>
      <c r="M228">
        <v>277.8</v>
      </c>
      <c r="N228">
        <v>179.4</v>
      </c>
      <c r="O228">
        <v>333.5</v>
      </c>
      <c r="P228">
        <v>428.3</v>
      </c>
      <c r="Q228">
        <v>345</v>
      </c>
      <c r="R228">
        <v>454.1</v>
      </c>
      <c r="S228">
        <v>135.80000000000001</v>
      </c>
      <c r="T228">
        <v>135.80000000000001</v>
      </c>
      <c r="U228">
        <v>135.80000000000001</v>
      </c>
    </row>
    <row r="229" spans="1:21" x14ac:dyDescent="0.25">
      <c r="A229" t="s">
        <v>173</v>
      </c>
      <c r="B229" s="2">
        <v>1698.93</v>
      </c>
      <c r="C229" s="2">
        <v>1134.05</v>
      </c>
      <c r="D229" s="2">
        <v>2366.44</v>
      </c>
      <c r="E229" s="2">
        <v>3270.7</v>
      </c>
      <c r="F229" s="2">
        <v>3931.36</v>
      </c>
      <c r="G229" s="2">
        <v>4376.6099999999997</v>
      </c>
      <c r="H229" s="2">
        <v>4648.54</v>
      </c>
      <c r="I229" s="2">
        <v>5284.32</v>
      </c>
      <c r="J229" s="2">
        <v>6282.5</v>
      </c>
      <c r="K229" s="2">
        <v>7311.5</v>
      </c>
      <c r="L229" s="2">
        <v>9197.9</v>
      </c>
      <c r="M229" s="2">
        <v>9523.7999999999993</v>
      </c>
      <c r="N229" s="2">
        <v>10731.5</v>
      </c>
      <c r="O229" s="2">
        <v>8317.2999999999993</v>
      </c>
      <c r="P229" s="2">
        <v>9046.7000000000007</v>
      </c>
      <c r="Q229" s="2">
        <v>12379.5</v>
      </c>
      <c r="R229" s="2">
        <v>14414.3</v>
      </c>
      <c r="S229" s="2">
        <v>17587.3</v>
      </c>
      <c r="T229" s="2">
        <v>30056.6</v>
      </c>
      <c r="U229" s="2">
        <v>43153.36</v>
      </c>
    </row>
    <row r="230" spans="1:21" x14ac:dyDescent="0.25">
      <c r="A230" t="s">
        <v>326</v>
      </c>
      <c r="B230" s="2">
        <v>3939.39</v>
      </c>
      <c r="C230" s="2">
        <v>4114.53</v>
      </c>
      <c r="D230" s="2">
        <v>6180.36</v>
      </c>
      <c r="E230" s="2">
        <v>7260.82</v>
      </c>
      <c r="F230" s="2">
        <v>7410.48</v>
      </c>
      <c r="G230" s="2">
        <v>11513.73</v>
      </c>
      <c r="H230" s="2">
        <v>12203.95</v>
      </c>
      <c r="I230" s="2">
        <v>13295.03</v>
      </c>
      <c r="J230" s="2">
        <v>17205.96</v>
      </c>
      <c r="K230" s="2">
        <v>18188.900000000001</v>
      </c>
      <c r="L230" s="2">
        <v>20136.900000000001</v>
      </c>
      <c r="M230" s="2">
        <v>22629.599999999999</v>
      </c>
      <c r="N230" s="2">
        <v>27267.4</v>
      </c>
      <c r="O230" s="2">
        <v>30231</v>
      </c>
      <c r="P230" s="2">
        <v>36300.400000000001</v>
      </c>
      <c r="Q230" s="2">
        <v>39957.5</v>
      </c>
      <c r="R230" s="2">
        <v>48589.599999999999</v>
      </c>
      <c r="S230" s="2">
        <v>50566.6</v>
      </c>
      <c r="T230" s="2">
        <v>62098.94</v>
      </c>
      <c r="U230" s="2">
        <v>76096.87</v>
      </c>
    </row>
    <row r="231" spans="1:21" x14ac:dyDescent="0.25">
      <c r="A231" t="s">
        <v>17</v>
      </c>
    </row>
    <row r="232" spans="1:21" x14ac:dyDescent="0.25">
      <c r="A232" t="s">
        <v>176</v>
      </c>
    </row>
    <row r="233" spans="1:21" x14ac:dyDescent="0.25">
      <c r="A233" t="s">
        <v>505</v>
      </c>
      <c r="B233">
        <v>-462.13</v>
      </c>
      <c r="C233">
        <v>-332.11</v>
      </c>
      <c r="D233" s="2">
        <v>-1239.77</v>
      </c>
      <c r="E233" s="2">
        <v>-1995.41</v>
      </c>
      <c r="F233" s="2">
        <v>-1938.11</v>
      </c>
      <c r="G233" s="2">
        <v>-1936.01</v>
      </c>
      <c r="H233" s="2">
        <v>-1600.21</v>
      </c>
      <c r="I233" s="2">
        <v>-2279.0300000000002</v>
      </c>
      <c r="J233">
        <v>-737.4</v>
      </c>
      <c r="K233">
        <v>-230.2</v>
      </c>
      <c r="L233" s="2">
        <v>-1007.9</v>
      </c>
      <c r="M233" s="2">
        <v>-1400.4</v>
      </c>
      <c r="N233" s="2">
        <v>-2497.1</v>
      </c>
      <c r="O233" s="2">
        <v>-2844.5</v>
      </c>
      <c r="P233" s="2">
        <v>-3068</v>
      </c>
      <c r="Q233" s="2">
        <v>-2331.8000000000002</v>
      </c>
      <c r="R233" s="2">
        <v>-7985.1</v>
      </c>
      <c r="S233" s="2">
        <v>-8870.2000000000007</v>
      </c>
      <c r="T233" s="2">
        <v>-12066.8</v>
      </c>
      <c r="U233" s="2">
        <v>-20622.16</v>
      </c>
    </row>
    <row r="234" spans="1:21" x14ac:dyDescent="0.25">
      <c r="A234" t="s">
        <v>1139</v>
      </c>
      <c r="B234">
        <v>-1.3</v>
      </c>
      <c r="D234">
        <v>-0.88</v>
      </c>
      <c r="E234">
        <v>-1.1000000000000001</v>
      </c>
      <c r="F234">
        <v>-1.44</v>
      </c>
      <c r="G234">
        <v>-1.52</v>
      </c>
      <c r="H234">
        <v>-1.04</v>
      </c>
      <c r="I234">
        <v>-1.22</v>
      </c>
      <c r="J234">
        <v>-0.35</v>
      </c>
      <c r="K234">
        <v>-0.08</v>
      </c>
      <c r="L234">
        <v>-0.3</v>
      </c>
      <c r="M234">
        <v>-0.43</v>
      </c>
      <c r="N234">
        <v>-0.55000000000000004</v>
      </c>
      <c r="O234">
        <v>-0.39</v>
      </c>
      <c r="P234">
        <v>-0.43</v>
      </c>
      <c r="Q234">
        <v>-0.24</v>
      </c>
      <c r="R234">
        <v>-0.8</v>
      </c>
      <c r="S234">
        <v>-0.72</v>
      </c>
      <c r="T234">
        <v>-0.65</v>
      </c>
      <c r="U234">
        <v>-0.8</v>
      </c>
    </row>
    <row r="235" spans="1:21" x14ac:dyDescent="0.25">
      <c r="A235" t="s">
        <v>810</v>
      </c>
      <c r="B235">
        <v>32.54</v>
      </c>
      <c r="C235">
        <v>34.369999999999997</v>
      </c>
      <c r="D235">
        <v>25.6</v>
      </c>
      <c r="E235">
        <v>21.38</v>
      </c>
      <c r="F235">
        <v>18.670000000000002</v>
      </c>
      <c r="G235">
        <v>15.52</v>
      </c>
      <c r="H235">
        <v>15.36</v>
      </c>
      <c r="I235">
        <v>13.47</v>
      </c>
      <c r="J235">
        <v>33.799999999999997</v>
      </c>
      <c r="K235">
        <v>28.38</v>
      </c>
      <c r="L235">
        <v>26</v>
      </c>
      <c r="M235">
        <v>26.35</v>
      </c>
      <c r="N235">
        <v>35.01</v>
      </c>
      <c r="O235">
        <v>46.8</v>
      </c>
      <c r="P235">
        <v>48.89</v>
      </c>
      <c r="Q235">
        <v>34.78</v>
      </c>
      <c r="R235">
        <v>25.74</v>
      </c>
      <c r="S235">
        <v>22.7</v>
      </c>
      <c r="T235">
        <v>8.32</v>
      </c>
      <c r="U235">
        <v>6.05</v>
      </c>
    </row>
    <row r="236" spans="1:21" x14ac:dyDescent="0.25">
      <c r="A236" t="s">
        <v>178</v>
      </c>
    </row>
    <row r="237" spans="1:21" x14ac:dyDescent="0.25">
      <c r="A237" t="s">
        <v>179</v>
      </c>
      <c r="T237">
        <v>25.33</v>
      </c>
      <c r="U237">
        <v>27.58</v>
      </c>
    </row>
    <row r="238" spans="1:21" x14ac:dyDescent="0.25">
      <c r="A238" t="s">
        <v>180</v>
      </c>
      <c r="B238">
        <v>16.55</v>
      </c>
      <c r="C238">
        <v>-7.47</v>
      </c>
      <c r="D238">
        <v>42.36</v>
      </c>
      <c r="E238">
        <v>47.18</v>
      </c>
      <c r="F238">
        <v>30.52</v>
      </c>
      <c r="G238">
        <v>18.48</v>
      </c>
      <c r="H238">
        <v>16.579999999999998</v>
      </c>
      <c r="I238">
        <v>17.45</v>
      </c>
      <c r="J238">
        <v>17.11</v>
      </c>
      <c r="K238">
        <v>20.07</v>
      </c>
      <c r="L238">
        <v>23.12</v>
      </c>
      <c r="M238">
        <v>21.39</v>
      </c>
      <c r="N238">
        <v>26.86</v>
      </c>
      <c r="O238">
        <v>49.01</v>
      </c>
      <c r="P238">
        <v>59.35</v>
      </c>
      <c r="Q238">
        <v>70.42</v>
      </c>
      <c r="R238">
        <v>47.43</v>
      </c>
      <c r="S238">
        <v>50.46</v>
      </c>
      <c r="T238">
        <v>60.62</v>
      </c>
      <c r="U238">
        <v>61.19</v>
      </c>
    </row>
    <row r="239" spans="1:21" x14ac:dyDescent="0.25">
      <c r="A239" t="s">
        <v>621</v>
      </c>
      <c r="B239">
        <v>1.84</v>
      </c>
      <c r="C239">
        <v>1.1499999999999999</v>
      </c>
      <c r="D239">
        <v>2.06</v>
      </c>
      <c r="E239">
        <v>2.0499999999999998</v>
      </c>
      <c r="F239">
        <v>1.57</v>
      </c>
      <c r="G239">
        <v>1.44</v>
      </c>
      <c r="H239">
        <v>1.32</v>
      </c>
      <c r="I239">
        <v>1.32</v>
      </c>
      <c r="J239">
        <v>1.39</v>
      </c>
      <c r="K239">
        <v>1.72</v>
      </c>
      <c r="L239">
        <v>1.85</v>
      </c>
      <c r="M239">
        <v>1.8</v>
      </c>
      <c r="N239">
        <v>1.71</v>
      </c>
      <c r="O239">
        <v>1.81</v>
      </c>
      <c r="P239">
        <v>1.69</v>
      </c>
      <c r="Q239">
        <v>1.67</v>
      </c>
      <c r="R239">
        <v>1.4</v>
      </c>
      <c r="S239">
        <v>1.38</v>
      </c>
      <c r="T239">
        <v>1.31</v>
      </c>
      <c r="U239">
        <v>1.46</v>
      </c>
    </row>
    <row r="240" spans="1:21" x14ac:dyDescent="0.25">
      <c r="A240" t="s">
        <v>186</v>
      </c>
      <c r="B240">
        <v>2.95</v>
      </c>
      <c r="C240">
        <v>2.5299999999999998</v>
      </c>
      <c r="D240">
        <v>2.29</v>
      </c>
      <c r="E240">
        <v>2.56</v>
      </c>
      <c r="F240">
        <v>2.8</v>
      </c>
      <c r="G240">
        <v>2.4500000000000002</v>
      </c>
      <c r="H240">
        <v>2.4700000000000002</v>
      </c>
      <c r="I240">
        <v>2.48</v>
      </c>
      <c r="J240">
        <v>2.61</v>
      </c>
      <c r="K240">
        <v>2.8</v>
      </c>
      <c r="L240">
        <v>2.78</v>
      </c>
      <c r="M240">
        <v>2.58</v>
      </c>
      <c r="N240">
        <v>2.41</v>
      </c>
      <c r="O240">
        <v>1.48</v>
      </c>
      <c r="P240">
        <v>1.28</v>
      </c>
      <c r="Q240">
        <v>1.5</v>
      </c>
      <c r="R240">
        <v>1.53</v>
      </c>
      <c r="S240">
        <v>1.26</v>
      </c>
      <c r="T240">
        <v>1.49</v>
      </c>
      <c r="U240">
        <v>1.84</v>
      </c>
    </row>
    <row r="241" spans="1:21" x14ac:dyDescent="0.25">
      <c r="A241" t="s">
        <v>1140</v>
      </c>
      <c r="B241">
        <v>12.41</v>
      </c>
      <c r="C241">
        <v>10.84</v>
      </c>
      <c r="D241">
        <v>7.89</v>
      </c>
      <c r="E241">
        <v>17.63</v>
      </c>
      <c r="F241">
        <v>12.69</v>
      </c>
      <c r="G241">
        <v>5.97</v>
      </c>
      <c r="H241">
        <v>5.14</v>
      </c>
      <c r="I241">
        <v>5.35</v>
      </c>
      <c r="J241">
        <v>9.26</v>
      </c>
      <c r="K241">
        <v>9.26</v>
      </c>
      <c r="L241">
        <v>10.37</v>
      </c>
      <c r="M241">
        <v>5.85</v>
      </c>
      <c r="N241">
        <v>2.98</v>
      </c>
      <c r="O241">
        <v>3.87</v>
      </c>
      <c r="P241">
        <v>8.5500000000000007</v>
      </c>
      <c r="Q241">
        <v>6.16</v>
      </c>
      <c r="R241">
        <v>0.55000000000000004</v>
      </c>
      <c r="S241">
        <v>2.73</v>
      </c>
      <c r="T241">
        <v>3.87</v>
      </c>
      <c r="U241">
        <v>3.87</v>
      </c>
    </row>
    <row r="242" spans="1:21" x14ac:dyDescent="0.25">
      <c r="A242" t="s">
        <v>424</v>
      </c>
      <c r="B242">
        <v>4.58</v>
      </c>
      <c r="C242">
        <v>4.74</v>
      </c>
      <c r="D242">
        <v>6.32</v>
      </c>
      <c r="E242">
        <v>8.0299999999999994</v>
      </c>
      <c r="F242">
        <v>9.52</v>
      </c>
      <c r="G242">
        <v>15.97</v>
      </c>
      <c r="H242">
        <v>17.09</v>
      </c>
      <c r="I242">
        <v>19.39</v>
      </c>
      <c r="J242">
        <v>22.96</v>
      </c>
      <c r="K242">
        <v>24.97</v>
      </c>
      <c r="L242">
        <v>27.3</v>
      </c>
      <c r="M242">
        <v>29.87</v>
      </c>
      <c r="N242">
        <v>33.08</v>
      </c>
      <c r="O242">
        <v>24.71</v>
      </c>
      <c r="P242">
        <v>22.14</v>
      </c>
      <c r="Q242">
        <v>34.130000000000003</v>
      </c>
      <c r="R242">
        <v>46.94</v>
      </c>
      <c r="S242">
        <v>50.43</v>
      </c>
      <c r="T242">
        <v>68.760000000000005</v>
      </c>
      <c r="U242">
        <v>96.32</v>
      </c>
    </row>
    <row r="243" spans="1:21" x14ac:dyDescent="0.25">
      <c r="A243" t="s">
        <v>814</v>
      </c>
      <c r="B243">
        <v>4.24</v>
      </c>
      <c r="C243">
        <v>3.61</v>
      </c>
      <c r="D243">
        <v>6</v>
      </c>
      <c r="E243">
        <v>7.95</v>
      </c>
      <c r="F243">
        <v>9.6</v>
      </c>
      <c r="G243">
        <v>9.3800000000000008</v>
      </c>
      <c r="H243">
        <v>10.24</v>
      </c>
      <c r="I243">
        <v>11.74</v>
      </c>
      <c r="J243">
        <v>8.43</v>
      </c>
      <c r="K243">
        <v>11.86</v>
      </c>
      <c r="L243">
        <v>14.24</v>
      </c>
      <c r="M243">
        <v>16.55</v>
      </c>
      <c r="N243">
        <v>19.66</v>
      </c>
      <c r="O243">
        <v>11.51</v>
      </c>
      <c r="P243">
        <v>8.65</v>
      </c>
      <c r="Q243">
        <v>20.64</v>
      </c>
      <c r="R243">
        <v>33.729999999999997</v>
      </c>
      <c r="S243">
        <v>37.58</v>
      </c>
      <c r="T243">
        <v>50.87</v>
      </c>
      <c r="U243">
        <v>75.66</v>
      </c>
    </row>
    <row r="244" spans="1:21" x14ac:dyDescent="0.25">
      <c r="A244" t="s">
        <v>611</v>
      </c>
      <c r="B244">
        <v>57.41</v>
      </c>
      <c r="C244">
        <v>91.24</v>
      </c>
      <c r="D244">
        <v>91.99</v>
      </c>
      <c r="E244">
        <v>61.97</v>
      </c>
      <c r="F244">
        <v>67.33</v>
      </c>
      <c r="G244">
        <v>78.55</v>
      </c>
      <c r="H244">
        <v>77.819999999999993</v>
      </c>
      <c r="I244">
        <v>62.94</v>
      </c>
      <c r="J244">
        <v>61.09</v>
      </c>
      <c r="K244">
        <v>73.28</v>
      </c>
      <c r="L244">
        <v>70.349999999999994</v>
      </c>
      <c r="M244">
        <v>72.61</v>
      </c>
      <c r="N244">
        <v>79.09</v>
      </c>
      <c r="O244">
        <v>82.64</v>
      </c>
      <c r="P244">
        <v>115.16</v>
      </c>
      <c r="Q244">
        <v>75.67</v>
      </c>
      <c r="R244">
        <v>59.05</v>
      </c>
      <c r="S244">
        <v>40.630000000000003</v>
      </c>
      <c r="T244">
        <v>92.75</v>
      </c>
      <c r="U244">
        <v>82.11</v>
      </c>
    </row>
    <row r="245" spans="1:21" x14ac:dyDescent="0.25">
      <c r="A245" t="s">
        <v>1141</v>
      </c>
      <c r="B245" s="2">
        <v>5377.63</v>
      </c>
      <c r="C245" s="2">
        <v>10114.540000000001</v>
      </c>
      <c r="D245" s="2">
        <v>13147.27</v>
      </c>
      <c r="E245" s="2">
        <v>14446.21</v>
      </c>
      <c r="F245" s="2">
        <v>21985.51</v>
      </c>
      <c r="G245" s="2">
        <v>29261.94</v>
      </c>
      <c r="H245" s="2">
        <v>40359.42</v>
      </c>
      <c r="I245" s="2">
        <v>33413.1</v>
      </c>
      <c r="J245" s="2">
        <v>49185.5</v>
      </c>
      <c r="K245" s="2">
        <v>69595.5</v>
      </c>
      <c r="L245" s="2">
        <v>60813.17</v>
      </c>
      <c r="M245" s="2">
        <v>113916.32</v>
      </c>
      <c r="N245" s="2">
        <v>189915.17</v>
      </c>
      <c r="O245" s="2">
        <v>256992.48</v>
      </c>
      <c r="P245" s="2">
        <v>245605.8</v>
      </c>
      <c r="Q245" s="2">
        <v>305742.78000000003</v>
      </c>
      <c r="R245" s="2">
        <v>268632</v>
      </c>
      <c r="S245" s="2">
        <v>464502.16</v>
      </c>
      <c r="T245" s="2">
        <v>658496.19999999995</v>
      </c>
      <c r="U245" s="2">
        <v>650071.66</v>
      </c>
    </row>
    <row r="246" spans="1:21" x14ac:dyDescent="0.25">
      <c r="A246" t="s">
        <v>17</v>
      </c>
    </row>
    <row r="247" spans="1:21" x14ac:dyDescent="0.25">
      <c r="A247" t="s">
        <v>188</v>
      </c>
    </row>
    <row r="248" spans="1:21" x14ac:dyDescent="0.25">
      <c r="A248" t="s">
        <v>189</v>
      </c>
    </row>
    <row r="249" spans="1:21" x14ac:dyDescent="0.25">
      <c r="A249" t="s">
        <v>121</v>
      </c>
      <c r="B249">
        <v>322.37</v>
      </c>
      <c r="C249">
        <v>-150.93</v>
      </c>
      <c r="D249" s="2">
        <v>1021.8</v>
      </c>
      <c r="E249" s="2">
        <v>1467</v>
      </c>
      <c r="F249" s="2">
        <v>1146</v>
      </c>
      <c r="G249" s="2">
        <v>1015</v>
      </c>
      <c r="H249" s="2">
        <v>1197</v>
      </c>
      <c r="I249" s="2">
        <v>1387.2</v>
      </c>
      <c r="J249" s="2">
        <v>1471.9</v>
      </c>
      <c r="K249" s="2">
        <v>2118.5</v>
      </c>
      <c r="L249" s="2">
        <v>2591.6</v>
      </c>
      <c r="M249" s="2">
        <v>2592.3000000000002</v>
      </c>
      <c r="N249" s="2">
        <v>3553.7</v>
      </c>
      <c r="O249" s="2">
        <v>5883.2</v>
      </c>
      <c r="P249" s="2">
        <v>5624</v>
      </c>
      <c r="Q249" s="2">
        <v>7839</v>
      </c>
      <c r="R249" s="2">
        <v>7571.6</v>
      </c>
      <c r="S249" s="2">
        <v>9609.4</v>
      </c>
      <c r="T249" s="2">
        <v>14817.79</v>
      </c>
      <c r="U249" s="2">
        <v>20606.849999999999</v>
      </c>
    </row>
    <row r="250" spans="1:21" x14ac:dyDescent="0.25">
      <c r="A250" t="s">
        <v>190</v>
      </c>
      <c r="B250">
        <v>119.19</v>
      </c>
      <c r="C250">
        <v>141.63</v>
      </c>
      <c r="D250">
        <v>151.44</v>
      </c>
      <c r="E250">
        <v>165.19</v>
      </c>
      <c r="F250">
        <v>186.62</v>
      </c>
      <c r="G250">
        <v>228.78</v>
      </c>
      <c r="H250">
        <v>254.64</v>
      </c>
      <c r="I250">
        <v>296.88</v>
      </c>
      <c r="J250">
        <v>356.9</v>
      </c>
      <c r="K250">
        <v>417.5</v>
      </c>
      <c r="L250">
        <v>422.7</v>
      </c>
      <c r="M250">
        <v>448.5</v>
      </c>
      <c r="N250">
        <v>490.8</v>
      </c>
      <c r="O250">
        <v>471</v>
      </c>
      <c r="P250">
        <v>583.6</v>
      </c>
      <c r="Q250">
        <v>739.8</v>
      </c>
      <c r="R250">
        <v>918.6</v>
      </c>
      <c r="S250" s="2">
        <v>1025.9000000000001</v>
      </c>
      <c r="T250" s="2">
        <v>1072.75</v>
      </c>
      <c r="U250" s="2">
        <v>1169.44</v>
      </c>
    </row>
    <row r="251" spans="1:21" x14ac:dyDescent="0.25">
      <c r="A251" t="s">
        <v>192</v>
      </c>
      <c r="B251">
        <v>11.49</v>
      </c>
      <c r="C251">
        <v>103.89</v>
      </c>
      <c r="D251">
        <v>5.46</v>
      </c>
      <c r="E251">
        <v>5.29</v>
      </c>
      <c r="F251">
        <v>6.08</v>
      </c>
      <c r="G251">
        <v>27.56</v>
      </c>
      <c r="H251">
        <v>43.88</v>
      </c>
      <c r="I251">
        <v>51.17</v>
      </c>
      <c r="J251">
        <v>63.5</v>
      </c>
      <c r="K251">
        <v>105.5</v>
      </c>
      <c r="L251">
        <v>103.7</v>
      </c>
      <c r="M251">
        <v>115.4</v>
      </c>
      <c r="N251">
        <v>123.5</v>
      </c>
      <c r="O251">
        <v>133</v>
      </c>
      <c r="P251">
        <v>135.1</v>
      </c>
      <c r="Q251">
        <v>127.6</v>
      </c>
      <c r="R251">
        <v>126</v>
      </c>
      <c r="S251">
        <v>123.5</v>
      </c>
      <c r="T251">
        <v>167.56</v>
      </c>
      <c r="U251">
        <v>196.97</v>
      </c>
    </row>
    <row r="252" spans="1:21" x14ac:dyDescent="0.25">
      <c r="A252" t="s">
        <v>613</v>
      </c>
      <c r="O252">
        <v>-49.8</v>
      </c>
      <c r="P252">
        <v>15.3</v>
      </c>
      <c r="Q252">
        <v>4.2</v>
      </c>
      <c r="R252">
        <v>4.4000000000000004</v>
      </c>
      <c r="S252">
        <v>94.6</v>
      </c>
      <c r="T252">
        <v>-260.85000000000002</v>
      </c>
      <c r="U252">
        <v>-293.91000000000003</v>
      </c>
    </row>
    <row r="253" spans="1:21" x14ac:dyDescent="0.25">
      <c r="A253" t="s">
        <v>1142</v>
      </c>
      <c r="C253">
        <v>15.9</v>
      </c>
      <c r="D253">
        <v>8.56</v>
      </c>
      <c r="E253">
        <v>12.27</v>
      </c>
      <c r="F253">
        <v>3.23</v>
      </c>
      <c r="G253">
        <v>13.06</v>
      </c>
      <c r="H253">
        <v>10.53</v>
      </c>
      <c r="I253">
        <v>2.29</v>
      </c>
      <c r="J253">
        <v>3.5</v>
      </c>
      <c r="K253">
        <v>9</v>
      </c>
      <c r="L253">
        <v>15.4</v>
      </c>
      <c r="M253">
        <v>4.7</v>
      </c>
      <c r="N253">
        <v>2.7</v>
      </c>
      <c r="T253">
        <v>8.6999999999999993</v>
      </c>
    </row>
    <row r="254" spans="1:21" x14ac:dyDescent="0.25">
      <c r="A254" t="s">
        <v>1143</v>
      </c>
      <c r="I254">
        <v>211.8</v>
      </c>
      <c r="J254">
        <v>73</v>
      </c>
      <c r="K254">
        <v>120.1</v>
      </c>
      <c r="L254">
        <v>218.2</v>
      </c>
      <c r="M254">
        <v>494.3</v>
      </c>
      <c r="N254">
        <v>473.2</v>
      </c>
      <c r="O254">
        <v>418</v>
      </c>
      <c r="P254">
        <v>466.9</v>
      </c>
      <c r="Q254">
        <v>693.2</v>
      </c>
      <c r="R254">
        <v>911.5</v>
      </c>
      <c r="S254">
        <v>772.8</v>
      </c>
      <c r="T254">
        <v>335.48</v>
      </c>
      <c r="U254">
        <v>433.14</v>
      </c>
    </row>
    <row r="255" spans="1:21" x14ac:dyDescent="0.25">
      <c r="A255" t="s">
        <v>1144</v>
      </c>
      <c r="C255">
        <v>4.05</v>
      </c>
      <c r="D255">
        <v>2.91</v>
      </c>
      <c r="E255">
        <v>3.37</v>
      </c>
      <c r="F255">
        <v>2.27</v>
      </c>
      <c r="G255">
        <v>2.82</v>
      </c>
      <c r="H255">
        <v>3.5</v>
      </c>
      <c r="I255">
        <v>1.63</v>
      </c>
      <c r="J255">
        <v>5.2</v>
      </c>
      <c r="K255">
        <v>2.8</v>
      </c>
      <c r="L255">
        <v>3.6</v>
      </c>
      <c r="M255">
        <v>7.8</v>
      </c>
      <c r="N255">
        <v>5.5</v>
      </c>
      <c r="O255">
        <v>-15.9</v>
      </c>
      <c r="P255">
        <v>39.299999999999997</v>
      </c>
      <c r="Q255">
        <v>37.5</v>
      </c>
      <c r="R255">
        <v>35.799999999999997</v>
      </c>
      <c r="S255">
        <v>49.7</v>
      </c>
      <c r="T255">
        <v>22.37</v>
      </c>
      <c r="U255">
        <v>49.7</v>
      </c>
    </row>
    <row r="256" spans="1:21" x14ac:dyDescent="0.25">
      <c r="A256" t="s">
        <v>67</v>
      </c>
      <c r="C256">
        <v>13.39</v>
      </c>
      <c r="D256">
        <v>12.11</v>
      </c>
      <c r="E256">
        <v>12.43</v>
      </c>
      <c r="F256">
        <v>18.71</v>
      </c>
      <c r="G256">
        <v>52.37</v>
      </c>
      <c r="H256">
        <v>63.38</v>
      </c>
      <c r="I256">
        <v>59.07</v>
      </c>
      <c r="J256">
        <v>47.7</v>
      </c>
      <c r="K256">
        <v>53.1</v>
      </c>
      <c r="L256">
        <v>46.3</v>
      </c>
      <c r="M256">
        <v>74.599999999999994</v>
      </c>
      <c r="N256">
        <v>53.9</v>
      </c>
      <c r="O256">
        <v>117.5</v>
      </c>
      <c r="P256">
        <v>68.900000000000006</v>
      </c>
      <c r="Q256">
        <v>134.80000000000001</v>
      </c>
      <c r="R256">
        <v>172.6</v>
      </c>
      <c r="S256">
        <v>202.3</v>
      </c>
      <c r="T256">
        <v>186.66</v>
      </c>
      <c r="U256">
        <v>212.51</v>
      </c>
    </row>
    <row r="257" spans="1:21" x14ac:dyDescent="0.25">
      <c r="A257" t="s">
        <v>546</v>
      </c>
      <c r="B257">
        <v>-34.159999999999997</v>
      </c>
      <c r="C257">
        <v>-49.42</v>
      </c>
      <c r="D257">
        <v>28.05</v>
      </c>
      <c r="E257">
        <v>63.25</v>
      </c>
      <c r="F257">
        <v>-72.37</v>
      </c>
      <c r="G257">
        <v>-22.66</v>
      </c>
      <c r="H257">
        <v>-59.05</v>
      </c>
      <c r="I257">
        <v>45.35</v>
      </c>
      <c r="J257">
        <v>-0.57999999999999996</v>
      </c>
      <c r="M257">
        <v>-236.8</v>
      </c>
      <c r="N257">
        <v>-211.3</v>
      </c>
      <c r="O257">
        <v>-419.6</v>
      </c>
      <c r="P257">
        <v>-564.20000000000005</v>
      </c>
      <c r="Q257">
        <v>-133.6</v>
      </c>
      <c r="R257">
        <v>-144.80000000000001</v>
      </c>
      <c r="T257">
        <v>4.0999999999999996</v>
      </c>
      <c r="U257">
        <v>90.35</v>
      </c>
    </row>
    <row r="258" spans="1:21" x14ac:dyDescent="0.25">
      <c r="A258" t="s">
        <v>1145</v>
      </c>
      <c r="B258">
        <v>331.44</v>
      </c>
      <c r="C258">
        <v>108.47</v>
      </c>
      <c r="D258">
        <v>65.91</v>
      </c>
      <c r="E258">
        <v>76.790000000000006</v>
      </c>
      <c r="F258">
        <v>136.88</v>
      </c>
      <c r="G258">
        <v>181.79</v>
      </c>
      <c r="H258">
        <v>176.98</v>
      </c>
      <c r="I258">
        <v>219.59</v>
      </c>
      <c r="J258">
        <v>98.4</v>
      </c>
      <c r="K258">
        <v>167.7</v>
      </c>
      <c r="L258">
        <v>71.5</v>
      </c>
      <c r="M258">
        <v>286.2</v>
      </c>
      <c r="N258">
        <v>208.9</v>
      </c>
      <c r="O258">
        <v>-98.7</v>
      </c>
      <c r="P258">
        <v>333.1</v>
      </c>
      <c r="Q258">
        <v>527</v>
      </c>
      <c r="R258">
        <v>594.9</v>
      </c>
      <c r="S258">
        <v>794.4</v>
      </c>
      <c r="T258">
        <v>-105.06</v>
      </c>
      <c r="U258">
        <v>-102.94</v>
      </c>
    </row>
    <row r="259" spans="1:21" x14ac:dyDescent="0.25">
      <c r="A259" t="s">
        <v>338</v>
      </c>
      <c r="B259">
        <v>-126.37</v>
      </c>
      <c r="C259">
        <v>36.04</v>
      </c>
      <c r="D259">
        <v>-339.29</v>
      </c>
      <c r="E259">
        <v>285.83</v>
      </c>
      <c r="F259">
        <v>-712.67</v>
      </c>
      <c r="G259">
        <v>-401.6</v>
      </c>
      <c r="H259">
        <v>-607.39</v>
      </c>
      <c r="I259">
        <v>17.52</v>
      </c>
      <c r="J259">
        <v>-394.9</v>
      </c>
      <c r="K259">
        <v>-886.7</v>
      </c>
      <c r="L259">
        <v>-59.4</v>
      </c>
      <c r="M259">
        <v>111.6</v>
      </c>
      <c r="N259">
        <v>531.6</v>
      </c>
      <c r="O259" s="2">
        <v>4892.3999999999996</v>
      </c>
      <c r="P259" s="2">
        <v>2441.1999999999998</v>
      </c>
      <c r="Q259" s="2">
        <v>-3663.6</v>
      </c>
      <c r="R259" s="2">
        <v>2053.3000000000002</v>
      </c>
      <c r="S259" s="2">
        <v>1026.5</v>
      </c>
      <c r="T259" s="2">
        <v>-3734.21</v>
      </c>
      <c r="U259">
        <v>469.21</v>
      </c>
    </row>
    <row r="260" spans="1:21" x14ac:dyDescent="0.25">
      <c r="A260" t="s">
        <v>1146</v>
      </c>
      <c r="B260">
        <v>132.15</v>
      </c>
      <c r="C260">
        <v>97.54</v>
      </c>
      <c r="D260">
        <v>-768.9</v>
      </c>
      <c r="E260">
        <v>229.91</v>
      </c>
      <c r="F260">
        <v>21.88</v>
      </c>
      <c r="G260">
        <v>-182.87</v>
      </c>
      <c r="H260">
        <v>-113.72</v>
      </c>
      <c r="I260">
        <v>243.1</v>
      </c>
      <c r="J260">
        <v>213.4</v>
      </c>
      <c r="K260" s="2">
        <v>-1136.4000000000001</v>
      </c>
      <c r="L260">
        <v>201.2</v>
      </c>
      <c r="M260">
        <v>-255</v>
      </c>
      <c r="N260">
        <v>507.5</v>
      </c>
      <c r="O260" s="2">
        <v>-1754.9</v>
      </c>
      <c r="P260" s="2">
        <v>-2338</v>
      </c>
      <c r="Q260">
        <v>959.9</v>
      </c>
      <c r="R260">
        <v>-139.9</v>
      </c>
      <c r="S260" s="2">
        <v>1415.5</v>
      </c>
      <c r="T260" s="2">
        <v>-4264.82</v>
      </c>
      <c r="U260" s="2">
        <v>-1875.43</v>
      </c>
    </row>
    <row r="261" spans="1:21" x14ac:dyDescent="0.25">
      <c r="A261" t="s">
        <v>302</v>
      </c>
      <c r="B261">
        <v>-87.8</v>
      </c>
      <c r="C261">
        <v>-158.02000000000001</v>
      </c>
      <c r="D261">
        <v>-706.23</v>
      </c>
      <c r="E261">
        <v>-276.24</v>
      </c>
      <c r="F261">
        <v>-352.72</v>
      </c>
      <c r="G261">
        <v>-518.12</v>
      </c>
      <c r="H261">
        <v>-293.39999999999998</v>
      </c>
      <c r="I261">
        <v>-87.78</v>
      </c>
      <c r="J261">
        <v>5.4</v>
      </c>
      <c r="K261">
        <v>-284.10000000000002</v>
      </c>
      <c r="L261">
        <v>-515.70000000000005</v>
      </c>
      <c r="M261">
        <v>-404.7</v>
      </c>
      <c r="N261">
        <v>-706.7</v>
      </c>
      <c r="O261">
        <v>-483.2</v>
      </c>
      <c r="P261" s="2">
        <v>-2080.9</v>
      </c>
      <c r="Q261" s="2">
        <v>-1646.9</v>
      </c>
      <c r="R261" s="2">
        <v>-1860.9</v>
      </c>
      <c r="S261">
        <v>-832.5</v>
      </c>
      <c r="T261" s="2">
        <v>-1010.28</v>
      </c>
      <c r="U261" s="2">
        <v>-3283.09</v>
      </c>
    </row>
    <row r="262" spans="1:21" x14ac:dyDescent="0.25">
      <c r="A262" t="s">
        <v>158</v>
      </c>
      <c r="B262">
        <v>-94.38</v>
      </c>
      <c r="C262">
        <v>10.43</v>
      </c>
      <c r="D262">
        <v>350.23</v>
      </c>
      <c r="E262">
        <v>-126.23</v>
      </c>
      <c r="F262">
        <v>-225.08</v>
      </c>
      <c r="G262">
        <v>321.49</v>
      </c>
      <c r="H262">
        <v>-136.19</v>
      </c>
      <c r="I262">
        <v>-77.09</v>
      </c>
      <c r="J262">
        <v>50.9</v>
      </c>
      <c r="K262">
        <v>266.60000000000002</v>
      </c>
      <c r="L262">
        <v>97.9</v>
      </c>
      <c r="M262">
        <v>-12.1</v>
      </c>
      <c r="N262">
        <v>334.3</v>
      </c>
      <c r="O262">
        <v>718.6</v>
      </c>
      <c r="P262">
        <v>406.2</v>
      </c>
      <c r="Q262">
        <v>-261.7</v>
      </c>
      <c r="R262" s="2">
        <v>1127.5999999999999</v>
      </c>
      <c r="S262">
        <v>13.4</v>
      </c>
      <c r="T262">
        <v>865.17</v>
      </c>
      <c r="U262">
        <v>802.33</v>
      </c>
    </row>
    <row r="263" spans="1:21" x14ac:dyDescent="0.25">
      <c r="A263" t="s">
        <v>1147</v>
      </c>
      <c r="C263">
        <v>72.45</v>
      </c>
      <c r="D263">
        <v>106.07</v>
      </c>
      <c r="E263">
        <v>152.47</v>
      </c>
      <c r="F263">
        <v>83.22</v>
      </c>
      <c r="G263">
        <v>211.51</v>
      </c>
      <c r="H263">
        <v>181.31</v>
      </c>
      <c r="I263">
        <v>324.01</v>
      </c>
      <c r="J263">
        <v>146.1</v>
      </c>
      <c r="K263">
        <v>220.8</v>
      </c>
      <c r="L263">
        <v>117.8</v>
      </c>
      <c r="M263">
        <v>124</v>
      </c>
      <c r="N263">
        <v>51.5</v>
      </c>
      <c r="O263">
        <v>-400.8</v>
      </c>
      <c r="P263">
        <v>-162.19999999999999</v>
      </c>
      <c r="Q263">
        <v>528.20000000000005</v>
      </c>
      <c r="R263">
        <v>622.70000000000005</v>
      </c>
      <c r="S263">
        <v>996.7</v>
      </c>
      <c r="T263">
        <v>232.16</v>
      </c>
      <c r="U263">
        <v>613</v>
      </c>
    </row>
    <row r="264" spans="1:21" x14ac:dyDescent="0.25">
      <c r="A264" t="s">
        <v>204</v>
      </c>
      <c r="B264">
        <v>280.75</v>
      </c>
      <c r="C264">
        <v>99.19</v>
      </c>
      <c r="D264">
        <v>940.05</v>
      </c>
      <c r="E264" s="2">
        <v>2070.44</v>
      </c>
      <c r="F264">
        <v>703.48</v>
      </c>
      <c r="G264" s="2">
        <v>1054.17</v>
      </c>
      <c r="H264" s="2">
        <v>1025.21</v>
      </c>
      <c r="I264" s="2">
        <v>2025.58</v>
      </c>
      <c r="J264" s="2">
        <v>1665.9</v>
      </c>
      <c r="K264" s="2">
        <v>1818.3</v>
      </c>
      <c r="L264" s="2">
        <v>3072.7</v>
      </c>
      <c r="M264" s="2">
        <v>3276.4</v>
      </c>
      <c r="N264" s="2">
        <v>4627.6000000000004</v>
      </c>
      <c r="O264" s="2">
        <v>10845.8</v>
      </c>
      <c r="P264" s="2">
        <v>8486.7999999999993</v>
      </c>
      <c r="Q264" s="2">
        <v>5443.4</v>
      </c>
      <c r="R264" s="2">
        <v>11166.2</v>
      </c>
      <c r="S264" s="2">
        <v>12658.5</v>
      </c>
      <c r="T264" s="2">
        <v>12079.76</v>
      </c>
      <c r="U264" s="2">
        <v>20618.22</v>
      </c>
    </row>
    <row r="265" spans="1:21" x14ac:dyDescent="0.25">
      <c r="A265" t="s">
        <v>17</v>
      </c>
    </row>
    <row r="266" spans="1:21" x14ac:dyDescent="0.25">
      <c r="A266" t="s">
        <v>205</v>
      </c>
    </row>
    <row r="267" spans="1:21" x14ac:dyDescent="0.25">
      <c r="A267" t="s">
        <v>1148</v>
      </c>
      <c r="B267">
        <v>-259.77</v>
      </c>
      <c r="C267">
        <v>-104.96</v>
      </c>
      <c r="D267">
        <v>-128.72999999999999</v>
      </c>
      <c r="E267">
        <v>-300.89999999999998</v>
      </c>
      <c r="F267">
        <v>-171.88</v>
      </c>
      <c r="G267">
        <v>-210.8</v>
      </c>
      <c r="H267">
        <v>-358.28</v>
      </c>
      <c r="I267">
        <v>-371.77</v>
      </c>
      <c r="J267">
        <v>-316.3</v>
      </c>
      <c r="K267">
        <v>-338.9</v>
      </c>
      <c r="L267">
        <v>-574</v>
      </c>
      <c r="M267">
        <v>-766.6</v>
      </c>
      <c r="N267">
        <v>-962</v>
      </c>
      <c r="O267">
        <v>-900.7</v>
      </c>
      <c r="P267" s="2">
        <v>-1281.8</v>
      </c>
      <c r="Q267" s="2">
        <v>-2155.6</v>
      </c>
      <c r="R267" s="2">
        <v>-2067.1999999999998</v>
      </c>
      <c r="S267" s="2">
        <v>-1573.6</v>
      </c>
      <c r="T267" s="2">
        <v>-1844.24</v>
      </c>
      <c r="U267" s="2">
        <v>-2222.77</v>
      </c>
    </row>
    <row r="268" spans="1:21" x14ac:dyDescent="0.25">
      <c r="A268" t="s">
        <v>1149</v>
      </c>
      <c r="C268">
        <v>0</v>
      </c>
      <c r="D268">
        <v>0</v>
      </c>
      <c r="E268">
        <v>0</v>
      </c>
      <c r="F268">
        <v>-7.66</v>
      </c>
      <c r="G268">
        <v>-4</v>
      </c>
      <c r="H268">
        <v>-2.95</v>
      </c>
      <c r="I268">
        <v>-1.1100000000000001</v>
      </c>
      <c r="J268">
        <v>-8.4</v>
      </c>
      <c r="K268">
        <v>-19.100000000000001</v>
      </c>
      <c r="L268">
        <v>-35.5</v>
      </c>
      <c r="M268">
        <v>-119.3</v>
      </c>
      <c r="N268">
        <v>-38.799999999999997</v>
      </c>
      <c r="O268">
        <v>-39.6</v>
      </c>
      <c r="P268">
        <v>-37.5</v>
      </c>
      <c r="Q268">
        <v>-40.6</v>
      </c>
      <c r="R268">
        <v>-15.9</v>
      </c>
      <c r="S268">
        <v>-57.6</v>
      </c>
      <c r="T268">
        <v>-110.51</v>
      </c>
      <c r="U268">
        <v>-103.01</v>
      </c>
    </row>
    <row r="269" spans="1:21" x14ac:dyDescent="0.25">
      <c r="A269" t="s">
        <v>1150</v>
      </c>
      <c r="F269">
        <v>449.99</v>
      </c>
      <c r="G269" s="2">
        <v>1195.03</v>
      </c>
      <c r="H269">
        <v>849.78</v>
      </c>
      <c r="I269">
        <v>334.86</v>
      </c>
      <c r="J269" s="2">
        <v>2320</v>
      </c>
      <c r="K269" s="2">
        <v>1250</v>
      </c>
      <c r="L269" s="2">
        <v>1034.0999999999999</v>
      </c>
      <c r="M269" s="2">
        <v>1019</v>
      </c>
      <c r="N269" s="2">
        <v>1359.1</v>
      </c>
      <c r="O269" s="2">
        <v>1826.4</v>
      </c>
      <c r="P269">
        <v>864.7</v>
      </c>
      <c r="Q269">
        <v>125.6</v>
      </c>
      <c r="R269">
        <v>305.2</v>
      </c>
      <c r="S269">
        <v>5.3</v>
      </c>
      <c r="T269">
        <v>400.4</v>
      </c>
    </row>
    <row r="270" spans="1:21" x14ac:dyDescent="0.25">
      <c r="A270" t="s">
        <v>672</v>
      </c>
      <c r="F270" s="2">
        <v>-1380</v>
      </c>
      <c r="G270">
        <v>-904.86</v>
      </c>
      <c r="H270">
        <v>-504.76</v>
      </c>
      <c r="I270">
        <v>-950</v>
      </c>
      <c r="J270" s="2">
        <v>-2520</v>
      </c>
      <c r="K270" s="2">
        <v>-1129.3</v>
      </c>
      <c r="L270">
        <v>-918.1</v>
      </c>
      <c r="M270" s="2">
        <v>-1291.5</v>
      </c>
      <c r="N270" s="2">
        <v>-1475.5</v>
      </c>
      <c r="O270" s="2">
        <v>-1162.7</v>
      </c>
      <c r="P270">
        <v>-334.3</v>
      </c>
      <c r="Q270">
        <v>-23.6</v>
      </c>
      <c r="R270">
        <v>-305.2</v>
      </c>
      <c r="S270">
        <v>-406.2</v>
      </c>
      <c r="T270" s="2">
        <v>-1243.6600000000001</v>
      </c>
      <c r="U270">
        <v>892.51</v>
      </c>
    </row>
    <row r="271" spans="1:21" x14ac:dyDescent="0.25">
      <c r="A271" t="s">
        <v>1151</v>
      </c>
      <c r="C271">
        <v>0</v>
      </c>
      <c r="D271">
        <v>0</v>
      </c>
      <c r="E271">
        <v>0</v>
      </c>
      <c r="F271">
        <v>-10.29</v>
      </c>
      <c r="G271">
        <v>-443.71</v>
      </c>
      <c r="H271">
        <v>0</v>
      </c>
      <c r="I271">
        <v>0</v>
      </c>
      <c r="J271" s="2">
        <v>-2641.3</v>
      </c>
      <c r="K271" s="2">
        <v>-1019.7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-33.6</v>
      </c>
      <c r="R271">
        <v>0</v>
      </c>
      <c r="S271" s="2">
        <v>-1302.2</v>
      </c>
      <c r="T271">
        <v>-2.1</v>
      </c>
      <c r="U271">
        <v>0</v>
      </c>
    </row>
    <row r="272" spans="1:21" x14ac:dyDescent="0.25">
      <c r="A272" t="s">
        <v>1152</v>
      </c>
      <c r="B272">
        <v>-0.04</v>
      </c>
      <c r="C272">
        <v>0</v>
      </c>
      <c r="D272">
        <v>0</v>
      </c>
      <c r="E272">
        <v>0</v>
      </c>
      <c r="F272">
        <v>-930.01</v>
      </c>
      <c r="G272">
        <v>290.18</v>
      </c>
      <c r="H272">
        <v>345.02</v>
      </c>
      <c r="I272">
        <v>-787.04</v>
      </c>
      <c r="J272">
        <v>-222.4</v>
      </c>
      <c r="K272">
        <v>148.69999999999999</v>
      </c>
      <c r="L272">
        <v>118</v>
      </c>
      <c r="M272">
        <v>-271.60000000000002</v>
      </c>
      <c r="N272">
        <v>-351.4</v>
      </c>
      <c r="O272">
        <v>868.3</v>
      </c>
      <c r="P272">
        <v>290.39999999999998</v>
      </c>
      <c r="Q272">
        <v>-459.5</v>
      </c>
      <c r="R272">
        <v>-526.20000000000005</v>
      </c>
      <c r="S272">
        <v>-844.4</v>
      </c>
      <c r="T272">
        <v>-349.18</v>
      </c>
      <c r="U272">
        <v>53.48</v>
      </c>
    </row>
    <row r="273" spans="1:21" x14ac:dyDescent="0.25">
      <c r="A273" t="s">
        <v>212</v>
      </c>
      <c r="I273">
        <v>-171.9</v>
      </c>
      <c r="J273">
        <v>-22.4</v>
      </c>
      <c r="K273">
        <v>28</v>
      </c>
      <c r="L273">
        <v>2</v>
      </c>
      <c r="M273">
        <v>0.9</v>
      </c>
      <c r="N273">
        <v>-235</v>
      </c>
      <c r="O273">
        <v>204.6</v>
      </c>
      <c r="P273">
        <v>-240</v>
      </c>
      <c r="Q273">
        <v>-561.5</v>
      </c>
      <c r="R273">
        <v>-526.20000000000005</v>
      </c>
      <c r="S273">
        <v>-443.5</v>
      </c>
      <c r="T273">
        <v>-18.739999999999998</v>
      </c>
    </row>
    <row r="274" spans="1:21" x14ac:dyDescent="0.25">
      <c r="A274" t="s">
        <v>213</v>
      </c>
      <c r="B274">
        <v>-259.81</v>
      </c>
      <c r="C274">
        <v>-98.08</v>
      </c>
      <c r="D274">
        <v>-124.9</v>
      </c>
      <c r="E274">
        <v>-300.89999999999998</v>
      </c>
      <c r="F274" s="2">
        <v>-1119.83</v>
      </c>
      <c r="G274">
        <v>-368.34</v>
      </c>
      <c r="H274">
        <v>-16.21</v>
      </c>
      <c r="I274" s="2">
        <v>-1159.9100000000001</v>
      </c>
      <c r="J274" s="2">
        <v>-3188.4</v>
      </c>
      <c r="K274" s="2">
        <v>-1229</v>
      </c>
      <c r="L274">
        <v>-491.5</v>
      </c>
      <c r="M274" s="2">
        <v>-1157.5</v>
      </c>
      <c r="N274" s="2">
        <v>-1352.2</v>
      </c>
      <c r="O274">
        <v>-72</v>
      </c>
      <c r="P274" s="2">
        <v>-1028.9000000000001</v>
      </c>
      <c r="Q274" s="2">
        <v>-2689.3</v>
      </c>
      <c r="R274" s="2">
        <v>-2609.3000000000002</v>
      </c>
      <c r="S274" s="2">
        <v>-3777.8</v>
      </c>
      <c r="T274" s="2">
        <v>-2584.63</v>
      </c>
      <c r="U274" s="2">
        <v>-2438.44</v>
      </c>
    </row>
    <row r="275" spans="1:21" x14ac:dyDescent="0.25">
      <c r="A275" t="s">
        <v>17</v>
      </c>
    </row>
    <row r="276" spans="1:21" x14ac:dyDescent="0.25">
      <c r="A276" t="s">
        <v>214</v>
      </c>
    </row>
    <row r="277" spans="1:21" x14ac:dyDescent="0.25">
      <c r="A277" t="s">
        <v>347</v>
      </c>
      <c r="B277">
        <v>-107.84</v>
      </c>
      <c r="C277">
        <v>-86.49</v>
      </c>
      <c r="D277">
        <v>-86.96</v>
      </c>
      <c r="E277">
        <v>-172.65</v>
      </c>
      <c r="F277">
        <v>-188.89</v>
      </c>
      <c r="G277">
        <v>-216.09</v>
      </c>
      <c r="H277">
        <v>-267.95999999999998</v>
      </c>
      <c r="I277">
        <v>-302.31</v>
      </c>
      <c r="J277">
        <v>-445.9</v>
      </c>
      <c r="K277">
        <v>-516.70000000000005</v>
      </c>
      <c r="L277">
        <v>-597.1</v>
      </c>
      <c r="M277" s="2">
        <v>-1325.7</v>
      </c>
      <c r="N277" s="2">
        <v>-1066.4000000000001</v>
      </c>
      <c r="O277" s="2">
        <v>-1368.3</v>
      </c>
      <c r="P277" s="2">
        <v>-2559.8000000000002</v>
      </c>
      <c r="Q277" s="2">
        <v>-2348.3000000000002</v>
      </c>
      <c r="R277" s="2">
        <v>-2452.9</v>
      </c>
      <c r="S277" s="2">
        <v>-2550.3000000000002</v>
      </c>
      <c r="T277" s="2">
        <v>-3209.67</v>
      </c>
      <c r="U277" s="2">
        <v>-4061.39</v>
      </c>
    </row>
    <row r="278" spans="1:21" x14ac:dyDescent="0.25">
      <c r="A278" t="s">
        <v>822</v>
      </c>
      <c r="C278">
        <v>-1.42</v>
      </c>
      <c r="D278">
        <v>-1.44</v>
      </c>
      <c r="E278">
        <v>-2.54</v>
      </c>
      <c r="F278">
        <v>-2.78</v>
      </c>
      <c r="G278">
        <v>-4.0999999999999996</v>
      </c>
      <c r="H278">
        <v>-4.13</v>
      </c>
      <c r="I278">
        <v>-3.64</v>
      </c>
      <c r="J278">
        <v>-4.7</v>
      </c>
      <c r="K278">
        <v>-243</v>
      </c>
      <c r="L278">
        <v>-2.8</v>
      </c>
      <c r="M278">
        <v>-3.8</v>
      </c>
      <c r="N278" s="2">
        <v>1483</v>
      </c>
      <c r="O278">
        <v>-12.1</v>
      </c>
      <c r="P278">
        <v>-516.20000000000005</v>
      </c>
      <c r="Q278">
        <v>-752.8</v>
      </c>
      <c r="R278">
        <v>-25.7</v>
      </c>
      <c r="S278" s="2">
        <v>-1066.7</v>
      </c>
      <c r="T278">
        <v>-911.3</v>
      </c>
      <c r="U278">
        <v>-548.79999999999995</v>
      </c>
    </row>
    <row r="279" spans="1:21" x14ac:dyDescent="0.25">
      <c r="A279" t="s">
        <v>1153</v>
      </c>
      <c r="C279">
        <v>0.03</v>
      </c>
      <c r="D279">
        <v>0</v>
      </c>
      <c r="E279">
        <v>0</v>
      </c>
      <c r="K279">
        <v>0</v>
      </c>
      <c r="L279">
        <v>0</v>
      </c>
      <c r="M279">
        <v>0</v>
      </c>
      <c r="N279" s="2">
        <v>1486.3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-360.6</v>
      </c>
      <c r="U279">
        <v>0</v>
      </c>
    </row>
    <row r="280" spans="1:21" x14ac:dyDescent="0.25">
      <c r="A280" t="s">
        <v>1154</v>
      </c>
      <c r="B280">
        <v>0</v>
      </c>
      <c r="C280">
        <v>0.03</v>
      </c>
      <c r="D280">
        <v>0</v>
      </c>
      <c r="E280">
        <v>0</v>
      </c>
      <c r="K280">
        <v>0</v>
      </c>
      <c r="L280">
        <v>0</v>
      </c>
      <c r="M280">
        <v>0</v>
      </c>
      <c r="N280" s="2">
        <v>1486.3</v>
      </c>
      <c r="O280">
        <v>0</v>
      </c>
      <c r="T280">
        <v>-693.2</v>
      </c>
    </row>
    <row r="281" spans="1:21" x14ac:dyDescent="0.25">
      <c r="A281" t="s">
        <v>1155</v>
      </c>
      <c r="C281">
        <v>13.03</v>
      </c>
      <c r="D281">
        <v>31.11</v>
      </c>
      <c r="E281">
        <v>-666.38</v>
      </c>
      <c r="F281">
        <v>-356.03</v>
      </c>
      <c r="G281">
        <v>-268.18</v>
      </c>
      <c r="H281">
        <v>-660.32</v>
      </c>
      <c r="I281">
        <v>-531.66</v>
      </c>
      <c r="J281">
        <v>182.7</v>
      </c>
      <c r="K281">
        <v>-449.4</v>
      </c>
      <c r="L281" s="2">
        <v>-1124.4000000000001</v>
      </c>
      <c r="M281">
        <v>-382.8</v>
      </c>
      <c r="N281" s="2">
        <v>-1169.5999999999999</v>
      </c>
      <c r="O281" s="2">
        <v>-8511.2999999999993</v>
      </c>
      <c r="P281" s="2">
        <v>-4062.3</v>
      </c>
      <c r="Q281">
        <v>97.2</v>
      </c>
      <c r="R281">
        <v>-353.5</v>
      </c>
      <c r="S281" s="2">
        <v>-5053.5</v>
      </c>
      <c r="T281" s="2">
        <v>-4888.3900000000003</v>
      </c>
      <c r="U281" s="2">
        <v>-4982.5</v>
      </c>
    </row>
    <row r="282" spans="1:21" x14ac:dyDescent="0.25">
      <c r="A282" t="s">
        <v>1156</v>
      </c>
      <c r="B282">
        <v>-87.61</v>
      </c>
      <c r="C282">
        <v>0</v>
      </c>
      <c r="D282">
        <v>0</v>
      </c>
      <c r="E282">
        <v>-700.45</v>
      </c>
      <c r="F282" s="2">
        <v>-4263.7</v>
      </c>
      <c r="G282">
        <v>-300</v>
      </c>
      <c r="H282">
        <v>-700</v>
      </c>
      <c r="I282">
        <v>-564.89</v>
      </c>
      <c r="J282">
        <v>-400</v>
      </c>
      <c r="K282">
        <v>-500</v>
      </c>
      <c r="L282" s="2">
        <v>-1146.2</v>
      </c>
      <c r="M282">
        <v>-410</v>
      </c>
      <c r="N282" s="2">
        <v>-1207.5</v>
      </c>
      <c r="O282" s="2">
        <v>-8560.2999999999993</v>
      </c>
      <c r="P282" s="2">
        <v>-4639.7</v>
      </c>
      <c r="Q282" s="2">
        <v>-1000</v>
      </c>
      <c r="R282">
        <v>-500</v>
      </c>
      <c r="S282" s="2">
        <v>-5950</v>
      </c>
      <c r="T282" s="2">
        <v>-5039.12</v>
      </c>
      <c r="U282" s="2">
        <v>-6421.4</v>
      </c>
    </row>
    <row r="283" spans="1:21" x14ac:dyDescent="0.25">
      <c r="A283" t="s">
        <v>1157</v>
      </c>
      <c r="B283">
        <v>11.48</v>
      </c>
      <c r="C283">
        <v>13.03</v>
      </c>
      <c r="D283">
        <v>31.11</v>
      </c>
      <c r="E283">
        <v>34.07</v>
      </c>
      <c r="F283" s="2">
        <v>3907.67</v>
      </c>
      <c r="G283">
        <v>31.82</v>
      </c>
      <c r="H283">
        <v>39.68</v>
      </c>
      <c r="I283">
        <v>33.229999999999997</v>
      </c>
      <c r="J283">
        <v>582.70000000000005</v>
      </c>
      <c r="K283">
        <v>50.6</v>
      </c>
      <c r="L283">
        <v>21.8</v>
      </c>
      <c r="M283">
        <v>27.2</v>
      </c>
      <c r="N283">
        <v>37.9</v>
      </c>
      <c r="O283">
        <v>49</v>
      </c>
      <c r="P283">
        <v>577.4</v>
      </c>
      <c r="Q283" s="2">
        <v>1097.2</v>
      </c>
      <c r="R283">
        <v>146.5</v>
      </c>
      <c r="S283">
        <v>896.5</v>
      </c>
      <c r="T283">
        <v>114.97</v>
      </c>
      <c r="U283">
        <v>112.61</v>
      </c>
    </row>
    <row r="284" spans="1:21" x14ac:dyDescent="0.25">
      <c r="A284" t="s">
        <v>218</v>
      </c>
      <c r="B284">
        <v>-184.24</v>
      </c>
      <c r="C284">
        <v>-74.87</v>
      </c>
      <c r="D284">
        <v>92.7</v>
      </c>
      <c r="E284">
        <v>-991.56</v>
      </c>
      <c r="F284">
        <v>-545.58000000000004</v>
      </c>
      <c r="G284">
        <v>-113.11</v>
      </c>
      <c r="H284">
        <v>-928.44</v>
      </c>
      <c r="I284">
        <v>-833.95</v>
      </c>
      <c r="J284" s="2">
        <v>1963.6</v>
      </c>
      <c r="K284" s="2">
        <v>-1209.0999999999999</v>
      </c>
      <c r="L284" s="2">
        <v>-1724.3</v>
      </c>
      <c r="M284" s="2">
        <v>-1712.3</v>
      </c>
      <c r="N284">
        <v>-753</v>
      </c>
      <c r="O284" s="2">
        <v>-9891.7000000000007</v>
      </c>
      <c r="P284" s="2">
        <v>-7193.3</v>
      </c>
      <c r="Q284" s="2">
        <v>-3003.9</v>
      </c>
      <c r="R284" s="2">
        <v>-2832.1</v>
      </c>
      <c r="S284" s="2">
        <v>-8670.5</v>
      </c>
      <c r="T284" s="2">
        <v>-8156.58</v>
      </c>
      <c r="U284" s="2">
        <v>-9319.4699999999993</v>
      </c>
    </row>
    <row r="285" spans="1:21" x14ac:dyDescent="0.25">
      <c r="A285" t="s">
        <v>17</v>
      </c>
    </row>
    <row r="286" spans="1:21" x14ac:dyDescent="0.25">
      <c r="A286" t="s">
        <v>176</v>
      </c>
    </row>
    <row r="287" spans="1:21" x14ac:dyDescent="0.25">
      <c r="A287" t="s">
        <v>219</v>
      </c>
      <c r="C287">
        <v>1.65</v>
      </c>
      <c r="D287">
        <v>4.91</v>
      </c>
      <c r="E287">
        <v>3.97</v>
      </c>
      <c r="F287">
        <v>-2.25</v>
      </c>
      <c r="G287">
        <v>-9.6199999999999992</v>
      </c>
      <c r="H287">
        <v>8.24</v>
      </c>
      <c r="I287">
        <v>7.51</v>
      </c>
      <c r="J287">
        <v>7.1</v>
      </c>
      <c r="K287">
        <v>-28.1</v>
      </c>
      <c r="L287">
        <v>5.2</v>
      </c>
      <c r="M287">
        <v>4.5999999999999996</v>
      </c>
      <c r="N287">
        <v>-5.3</v>
      </c>
      <c r="O287">
        <v>20.3</v>
      </c>
      <c r="P287">
        <v>-3.1</v>
      </c>
      <c r="Q287">
        <v>-13.8</v>
      </c>
      <c r="R287">
        <v>6.4</v>
      </c>
      <c r="S287">
        <v>-30.1</v>
      </c>
      <c r="T287">
        <v>71.25</v>
      </c>
      <c r="U287">
        <v>12.32</v>
      </c>
    </row>
    <row r="288" spans="1:21" x14ac:dyDescent="0.25">
      <c r="A288" t="s">
        <v>220</v>
      </c>
      <c r="B288">
        <v>203.43</v>
      </c>
      <c r="C288">
        <v>-72.11</v>
      </c>
      <c r="D288">
        <v>912.76</v>
      </c>
      <c r="E288">
        <v>781.95</v>
      </c>
      <c r="F288">
        <v>-964.19</v>
      </c>
      <c r="G288">
        <v>563.1</v>
      </c>
      <c r="H288">
        <v>88.79</v>
      </c>
      <c r="I288">
        <v>39.229999999999997</v>
      </c>
      <c r="J288">
        <v>448.2</v>
      </c>
      <c r="K288">
        <v>-647.9</v>
      </c>
      <c r="L288">
        <v>862.1</v>
      </c>
      <c r="M288">
        <v>411.2</v>
      </c>
      <c r="N288" s="2">
        <v>2517.1</v>
      </c>
      <c r="O288">
        <v>902.4</v>
      </c>
      <c r="P288">
        <v>316.5</v>
      </c>
      <c r="Q288">
        <v>-263.60000000000002</v>
      </c>
      <c r="R288" s="2">
        <v>5731.2</v>
      </c>
      <c r="S288">
        <v>180.1</v>
      </c>
      <c r="T288">
        <v>589.83000000000004</v>
      </c>
      <c r="U288" s="2">
        <v>8353.07</v>
      </c>
    </row>
    <row r="289" spans="1:21" x14ac:dyDescent="0.25">
      <c r="A289" t="s">
        <v>827</v>
      </c>
      <c r="B289" s="2">
        <v>1109.18</v>
      </c>
      <c r="C289" s="2">
        <v>1037.07</v>
      </c>
      <c r="D289" s="2">
        <v>1949.83</v>
      </c>
      <c r="E289" s="2">
        <v>2731.78</v>
      </c>
      <c r="F289" s="2">
        <v>1767.6</v>
      </c>
      <c r="G289" s="2">
        <v>2330.69</v>
      </c>
      <c r="H289" s="2">
        <v>2419.4899999999998</v>
      </c>
      <c r="I289" s="2">
        <v>2458.7199999999998</v>
      </c>
      <c r="J289" s="2">
        <v>2906.9</v>
      </c>
      <c r="K289" s="2">
        <v>2259</v>
      </c>
      <c r="L289" s="2">
        <v>3121.1</v>
      </c>
      <c r="M289" s="2">
        <v>3532.3</v>
      </c>
      <c r="N289" s="2">
        <v>6049.4</v>
      </c>
      <c r="O289" s="2">
        <v>6951.8</v>
      </c>
      <c r="P289" s="2">
        <v>7268.3</v>
      </c>
      <c r="Q289" s="2">
        <v>7004.7</v>
      </c>
      <c r="R289" s="2">
        <v>12735.9</v>
      </c>
      <c r="S289" s="2">
        <v>12916</v>
      </c>
      <c r="T289" s="2">
        <v>14108.48</v>
      </c>
      <c r="U289" s="2">
        <v>23515.79</v>
      </c>
    </row>
    <row r="290" spans="1:21" x14ac:dyDescent="0.25">
      <c r="A290" t="s">
        <v>826</v>
      </c>
      <c r="B290" s="2">
        <v>1271.6400000000001</v>
      </c>
      <c r="C290" s="2">
        <v>1109.18</v>
      </c>
      <c r="D290" s="2">
        <v>1037.07</v>
      </c>
      <c r="E290" s="2">
        <v>1949.83</v>
      </c>
      <c r="F290" s="2">
        <v>2731.78</v>
      </c>
      <c r="G290" s="2">
        <v>1767.6</v>
      </c>
      <c r="H290" s="2">
        <v>2330.69</v>
      </c>
      <c r="I290" s="2">
        <v>2419.4899999999998</v>
      </c>
      <c r="J290" s="2">
        <v>2458.6999999999998</v>
      </c>
      <c r="K290" s="2">
        <v>2906.9</v>
      </c>
      <c r="L290" s="2">
        <v>2259</v>
      </c>
      <c r="M290" s="2">
        <v>3121.1</v>
      </c>
      <c r="N290" s="2">
        <v>3532.3</v>
      </c>
      <c r="O290" s="2">
        <v>6049.4</v>
      </c>
      <c r="P290" s="2">
        <v>6951.8</v>
      </c>
      <c r="Q290" s="2">
        <v>7268.3</v>
      </c>
      <c r="R290" s="2">
        <v>7004.7</v>
      </c>
      <c r="S290" s="2">
        <v>12735.9</v>
      </c>
      <c r="T290" s="2">
        <v>13229.02</v>
      </c>
      <c r="U290" s="2">
        <v>13105.73</v>
      </c>
    </row>
    <row r="291" spans="1:21" x14ac:dyDescent="0.25">
      <c r="A291" t="s">
        <v>178</v>
      </c>
    </row>
    <row r="292" spans="1:21" x14ac:dyDescent="0.25">
      <c r="A292" t="s">
        <v>224</v>
      </c>
      <c r="B292">
        <v>1.5</v>
      </c>
      <c r="C292">
        <v>0.23</v>
      </c>
      <c r="D292">
        <v>2.16</v>
      </c>
      <c r="E292">
        <v>4.8600000000000003</v>
      </c>
      <c r="F292">
        <v>1.66</v>
      </c>
      <c r="G292">
        <v>2.4500000000000002</v>
      </c>
      <c r="H292">
        <v>2.35</v>
      </c>
      <c r="I292">
        <v>4.7</v>
      </c>
      <c r="J292">
        <v>3.91</v>
      </c>
      <c r="K292">
        <v>4.2300000000000004</v>
      </c>
      <c r="L292">
        <v>7.23</v>
      </c>
      <c r="M292">
        <v>7.79</v>
      </c>
      <c r="N292">
        <v>11.06</v>
      </c>
      <c r="O292">
        <v>26.47</v>
      </c>
      <c r="P292">
        <v>21.34</v>
      </c>
      <c r="Q292">
        <v>13.82</v>
      </c>
      <c r="R292">
        <v>28.39</v>
      </c>
      <c r="S292">
        <v>32.58</v>
      </c>
      <c r="T292">
        <v>40.46</v>
      </c>
      <c r="U292">
        <v>56.57</v>
      </c>
    </row>
    <row r="293" spans="1:21" x14ac:dyDescent="0.25">
      <c r="A293" t="s">
        <v>225</v>
      </c>
      <c r="B293">
        <v>386.86</v>
      </c>
      <c r="C293">
        <v>-5.77</v>
      </c>
      <c r="D293">
        <v>811.32</v>
      </c>
      <c r="E293" s="2">
        <v>1769.54</v>
      </c>
      <c r="F293">
        <v>531.6</v>
      </c>
      <c r="G293">
        <v>843.37</v>
      </c>
      <c r="H293">
        <v>666.93</v>
      </c>
      <c r="I293" s="2">
        <v>1653.81</v>
      </c>
      <c r="J293" s="2">
        <v>1349.6</v>
      </c>
      <c r="K293" s="2">
        <v>1479.4</v>
      </c>
      <c r="L293" s="2">
        <v>2498.6999999999998</v>
      </c>
      <c r="M293" s="2">
        <v>2509.8000000000002</v>
      </c>
      <c r="N293" s="2">
        <v>3665.6</v>
      </c>
      <c r="O293" s="2">
        <v>9945.1</v>
      </c>
      <c r="P293" s="2">
        <v>7205</v>
      </c>
      <c r="Q293" s="2">
        <v>3287.8</v>
      </c>
      <c r="R293" s="2">
        <v>9099</v>
      </c>
      <c r="S293" s="2">
        <v>11084.9</v>
      </c>
      <c r="T293" s="2">
        <v>10374.780000000001</v>
      </c>
      <c r="U293" s="2">
        <v>17734.03</v>
      </c>
    </row>
    <row r="294" spans="1:21" x14ac:dyDescent="0.25">
      <c r="A294" t="s">
        <v>226</v>
      </c>
      <c r="B294">
        <v>0.9</v>
      </c>
      <c r="C294">
        <v>-0.01</v>
      </c>
      <c r="D294">
        <v>1.86</v>
      </c>
      <c r="E294">
        <v>4.16</v>
      </c>
      <c r="F294">
        <v>1.25</v>
      </c>
      <c r="G294">
        <v>1.96</v>
      </c>
      <c r="H294">
        <v>1.53</v>
      </c>
      <c r="I294">
        <v>3.84</v>
      </c>
      <c r="J294">
        <v>3.17</v>
      </c>
      <c r="K294">
        <v>3.44</v>
      </c>
      <c r="L294">
        <v>5.88</v>
      </c>
      <c r="M294">
        <v>5.96</v>
      </c>
      <c r="N294">
        <v>8.76</v>
      </c>
      <c r="O294">
        <v>24.27</v>
      </c>
      <c r="P294">
        <v>18.12</v>
      </c>
      <c r="Q294">
        <v>8.35</v>
      </c>
      <c r="R294">
        <v>23.14</v>
      </c>
      <c r="S294">
        <v>28.53</v>
      </c>
      <c r="T294">
        <v>24.35</v>
      </c>
      <c r="U294">
        <v>48.64</v>
      </c>
    </row>
    <row r="295" spans="1:21" x14ac:dyDescent="0.25">
      <c r="A295" t="s">
        <v>228</v>
      </c>
      <c r="B295">
        <v>13.1</v>
      </c>
      <c r="C295">
        <v>-0.36</v>
      </c>
      <c r="D295">
        <v>18</v>
      </c>
      <c r="E295">
        <v>31.31</v>
      </c>
      <c r="F295">
        <v>11.24</v>
      </c>
      <c r="G295">
        <v>16.079999999999998</v>
      </c>
      <c r="H295">
        <v>11.39</v>
      </c>
      <c r="I295">
        <v>26.3</v>
      </c>
      <c r="J295">
        <v>19.63</v>
      </c>
      <c r="K295">
        <v>16.510000000000002</v>
      </c>
      <c r="L295">
        <v>22.83</v>
      </c>
      <c r="M295">
        <v>21.23</v>
      </c>
      <c r="N295">
        <v>26.22</v>
      </c>
      <c r="O295">
        <v>53.44</v>
      </c>
      <c r="P295">
        <v>34.03</v>
      </c>
      <c r="Q295">
        <v>11.93</v>
      </c>
      <c r="R295">
        <v>32.19</v>
      </c>
      <c r="S295">
        <v>33.93</v>
      </c>
      <c r="T295">
        <v>23.89</v>
      </c>
      <c r="U295">
        <v>31.85</v>
      </c>
    </row>
    <row r="296" spans="1:21" x14ac:dyDescent="0.25">
      <c r="A296" t="s">
        <v>17</v>
      </c>
    </row>
    <row r="297" spans="1:21" x14ac:dyDescent="0.25">
      <c r="A297" t="s">
        <v>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6CD5-61B9-44E8-8970-0E3E230925A4}">
  <dimension ref="A1:U218"/>
  <sheetViews>
    <sheetView workbookViewId="0">
      <selection sqref="A1:U218"/>
    </sheetView>
  </sheetViews>
  <sheetFormatPr defaultRowHeight="15" x14ac:dyDescent="0.25"/>
  <sheetData>
    <row r="1" spans="1:21" x14ac:dyDescent="0.25">
      <c r="A1" t="s">
        <v>1158</v>
      </c>
    </row>
    <row r="2" spans="1:21" x14ac:dyDescent="0.25">
      <c r="A2" t="s">
        <v>1159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K6">
        <v>-2.96</v>
      </c>
      <c r="L6">
        <v>-4.6500000000000004</v>
      </c>
      <c r="M6">
        <v>-5.96</v>
      </c>
      <c r="N6">
        <v>-1.39</v>
      </c>
      <c r="O6">
        <v>-3.86</v>
      </c>
      <c r="P6">
        <v>-1.75</v>
      </c>
      <c r="Q6">
        <v>1.6</v>
      </c>
      <c r="R6">
        <v>8.1300000000000008</v>
      </c>
      <c r="S6">
        <v>12.73</v>
      </c>
      <c r="T6">
        <v>4.54</v>
      </c>
      <c r="U6">
        <v>3.84</v>
      </c>
    </row>
    <row r="7" spans="1:21" x14ac:dyDescent="0.25">
      <c r="A7" t="s">
        <v>16</v>
      </c>
      <c r="K7">
        <v>15.83</v>
      </c>
      <c r="L7">
        <v>228.94</v>
      </c>
      <c r="M7" s="2">
        <v>1915.43</v>
      </c>
      <c r="N7" s="2">
        <v>5131</v>
      </c>
      <c r="O7" s="2">
        <v>12895.28</v>
      </c>
      <c r="P7" s="2">
        <v>26529.4</v>
      </c>
      <c r="Q7" s="2">
        <v>42032.08</v>
      </c>
      <c r="R7" s="2">
        <v>64751.81</v>
      </c>
      <c r="S7" s="2">
        <v>81634.33</v>
      </c>
      <c r="T7" s="2">
        <v>89450.44</v>
      </c>
      <c r="U7" s="2">
        <v>113734.57</v>
      </c>
    </row>
    <row r="8" spans="1:21" x14ac:dyDescent="0.25">
      <c r="A8" t="s">
        <v>17</v>
      </c>
    </row>
    <row r="9" spans="1:21" x14ac:dyDescent="0.25">
      <c r="A9" t="s">
        <v>29</v>
      </c>
      <c r="K9">
        <v>-22.88</v>
      </c>
      <c r="L9">
        <v>0.7</v>
      </c>
      <c r="M9">
        <v>355.85</v>
      </c>
      <c r="N9">
        <v>666</v>
      </c>
      <c r="O9" s="2">
        <v>1060.54</v>
      </c>
      <c r="P9" s="2">
        <v>4137.0200000000004</v>
      </c>
      <c r="Q9" s="2">
        <v>7355.26</v>
      </c>
      <c r="R9" s="2">
        <v>12399.68</v>
      </c>
      <c r="S9" s="2">
        <v>20976.93</v>
      </c>
      <c r="T9" s="2">
        <v>23453.57</v>
      </c>
      <c r="U9" s="2">
        <v>32111</v>
      </c>
    </row>
    <row r="10" spans="1:21" x14ac:dyDescent="0.25">
      <c r="A10" t="s">
        <v>92</v>
      </c>
      <c r="K10">
        <v>-135.12</v>
      </c>
      <c r="L10">
        <v>0.31</v>
      </c>
      <c r="M10">
        <v>18.579999999999998</v>
      </c>
      <c r="N10">
        <v>12.98</v>
      </c>
      <c r="O10">
        <v>8.2100000000000009</v>
      </c>
      <c r="P10">
        <v>15.69</v>
      </c>
      <c r="Q10">
        <v>18.59</v>
      </c>
      <c r="R10">
        <v>21.55</v>
      </c>
      <c r="S10">
        <v>25.03</v>
      </c>
      <c r="T10">
        <v>23.85</v>
      </c>
      <c r="U10">
        <v>23.06</v>
      </c>
    </row>
    <row r="11" spans="1:21" x14ac:dyDescent="0.25">
      <c r="A11" t="s">
        <v>680</v>
      </c>
      <c r="K11">
        <v>-9.8800000000000008</v>
      </c>
      <c r="L11">
        <v>103.91</v>
      </c>
      <c r="M11" s="2">
        <v>1219.26</v>
      </c>
      <c r="N11" s="2">
        <v>3093</v>
      </c>
      <c r="O11" s="2">
        <v>7579.15</v>
      </c>
      <c r="P11" s="2">
        <v>16755.63</v>
      </c>
      <c r="Q11" s="2">
        <v>27930.91</v>
      </c>
      <c r="R11" s="2">
        <v>41048.33</v>
      </c>
      <c r="S11" s="2">
        <v>55957.8</v>
      </c>
      <c r="T11" s="2">
        <v>60340</v>
      </c>
      <c r="U11" s="2">
        <v>80472.399999999994</v>
      </c>
    </row>
    <row r="12" spans="1:21" x14ac:dyDescent="0.25">
      <c r="A12" t="s">
        <v>481</v>
      </c>
      <c r="K12">
        <v>-62</v>
      </c>
      <c r="L12">
        <v>45</v>
      </c>
      <c r="M12">
        <v>64</v>
      </c>
      <c r="N12">
        <v>60</v>
      </c>
      <c r="O12">
        <v>56.93</v>
      </c>
      <c r="P12">
        <v>61.93</v>
      </c>
      <c r="Q12">
        <v>64.08</v>
      </c>
      <c r="R12">
        <v>64.459999999999994</v>
      </c>
      <c r="S12">
        <v>68.78</v>
      </c>
      <c r="T12">
        <v>68.86</v>
      </c>
      <c r="U12">
        <v>66.489999999999995</v>
      </c>
    </row>
    <row r="13" spans="1:21" x14ac:dyDescent="0.25">
      <c r="A13" t="s">
        <v>528</v>
      </c>
      <c r="K13">
        <v>-26.68</v>
      </c>
      <c r="L13">
        <v>-44.64</v>
      </c>
      <c r="M13">
        <v>-64.91</v>
      </c>
      <c r="N13">
        <v>-606</v>
      </c>
      <c r="O13" s="2">
        <v>-2192.94</v>
      </c>
      <c r="P13" s="2">
        <v>-1034.6300000000001</v>
      </c>
      <c r="Q13">
        <v>863.17</v>
      </c>
      <c r="R13" s="2">
        <v>4299.08</v>
      </c>
      <c r="S13" s="2">
        <v>9164.5</v>
      </c>
      <c r="T13">
        <v>-382</v>
      </c>
      <c r="U13">
        <v>788</v>
      </c>
    </row>
    <row r="14" spans="1:21" x14ac:dyDescent="0.25">
      <c r="A14" t="s">
        <v>17</v>
      </c>
    </row>
    <row r="15" spans="1:21" x14ac:dyDescent="0.25">
      <c r="A15" t="s">
        <v>242</v>
      </c>
      <c r="K15">
        <v>-72.400000000000006</v>
      </c>
      <c r="L15" s="2">
        <v>-2943.13</v>
      </c>
      <c r="M15" s="2">
        <v>-8702.08</v>
      </c>
      <c r="N15" s="2">
        <v>-10309</v>
      </c>
      <c r="O15" s="2">
        <v>-35658.57</v>
      </c>
      <c r="P15" s="2">
        <v>-47786.73</v>
      </c>
      <c r="Q15" s="2">
        <v>-49541.83</v>
      </c>
      <c r="R15" s="2">
        <v>-52918.33</v>
      </c>
      <c r="S15" s="2">
        <v>-57810.87</v>
      </c>
      <c r="T15" s="2">
        <v>-48129.38</v>
      </c>
      <c r="U15" s="2">
        <v>-59896.67</v>
      </c>
    </row>
    <row r="16" spans="1:21" x14ac:dyDescent="0.25">
      <c r="A16" t="s">
        <v>1160</v>
      </c>
      <c r="N16" s="2">
        <v>8200</v>
      </c>
      <c r="O16" s="2">
        <v>38526.370000000003</v>
      </c>
      <c r="P16" s="2">
        <v>52028.47</v>
      </c>
      <c r="Q16" s="2">
        <v>57344</v>
      </c>
      <c r="R16" s="2">
        <v>63977.17</v>
      </c>
      <c r="S16" s="2">
        <v>68412.98</v>
      </c>
      <c r="T16" s="2">
        <v>53550.71</v>
      </c>
      <c r="U16" s="2">
        <v>59926.03</v>
      </c>
    </row>
    <row r="17" spans="1:21" x14ac:dyDescent="0.25">
      <c r="A17" t="s">
        <v>17</v>
      </c>
    </row>
    <row r="18" spans="1:21" x14ac:dyDescent="0.25">
      <c r="A18" t="s">
        <v>36</v>
      </c>
      <c r="K18">
        <v>-71.489999999999995</v>
      </c>
      <c r="L18" s="2">
        <v>-1110.48</v>
      </c>
      <c r="M18" s="2">
        <v>-5952.91</v>
      </c>
      <c r="N18" s="2">
        <v>-7251</v>
      </c>
      <c r="O18" s="2">
        <v>-27167.57</v>
      </c>
      <c r="P18" s="2">
        <v>-30261.200000000001</v>
      </c>
      <c r="Q18" s="2">
        <v>-21274.92</v>
      </c>
      <c r="R18" s="2">
        <v>-11781.35</v>
      </c>
      <c r="S18" s="2">
        <v>1201.22</v>
      </c>
      <c r="T18">
        <v>533.86</v>
      </c>
      <c r="U18">
        <v>231.09</v>
      </c>
    </row>
    <row r="19" spans="1:21" x14ac:dyDescent="0.25">
      <c r="A19" t="s">
        <v>17</v>
      </c>
    </row>
    <row r="20" spans="1:21" x14ac:dyDescent="0.25">
      <c r="A20" t="s">
        <v>37</v>
      </c>
    </row>
    <row r="21" spans="1:21" x14ac:dyDescent="0.25">
      <c r="A21" t="s">
        <v>17</v>
      </c>
    </row>
    <row r="22" spans="1:21" x14ac:dyDescent="0.25">
      <c r="A22" t="s">
        <v>38</v>
      </c>
    </row>
    <row r="23" spans="1:21" x14ac:dyDescent="0.25">
      <c r="A23" t="s">
        <v>1161</v>
      </c>
      <c r="N23" s="2">
        <v>66800</v>
      </c>
      <c r="O23" s="2">
        <v>126516.76</v>
      </c>
      <c r="P23" s="2">
        <v>166887.88</v>
      </c>
      <c r="Q23" s="2">
        <v>203622.18</v>
      </c>
      <c r="R23" s="2">
        <v>314322.03000000003</v>
      </c>
      <c r="S23" s="2">
        <v>368099</v>
      </c>
    </row>
    <row r="24" spans="1:21" x14ac:dyDescent="0.25">
      <c r="A24" t="s">
        <v>1162</v>
      </c>
      <c r="L24" s="2">
        <v>9900</v>
      </c>
      <c r="M24" s="2">
        <v>15100</v>
      </c>
      <c r="N24" s="2">
        <v>60700</v>
      </c>
      <c r="O24" s="2">
        <v>119333.33</v>
      </c>
      <c r="P24" s="2">
        <v>146840</v>
      </c>
      <c r="Q24" s="2">
        <v>175794.57</v>
      </c>
      <c r="R24" s="2">
        <v>205299.61</v>
      </c>
      <c r="S24" s="2">
        <v>247785.1</v>
      </c>
      <c r="T24" s="2">
        <v>104200</v>
      </c>
      <c r="U24" s="2">
        <v>104200</v>
      </c>
    </row>
    <row r="25" spans="1:21" x14ac:dyDescent="0.25">
      <c r="A25" t="s">
        <v>1163</v>
      </c>
      <c r="M25" s="2">
        <v>8154</v>
      </c>
      <c r="N25" s="2">
        <v>26100</v>
      </c>
      <c r="O25" s="2">
        <v>52722.63</v>
      </c>
      <c r="P25" s="2">
        <v>75995.72</v>
      </c>
      <c r="Q25" s="2">
        <v>95930.55</v>
      </c>
      <c r="R25" s="2">
        <v>109145.74</v>
      </c>
      <c r="S25" s="2">
        <v>172202.89</v>
      </c>
    </row>
    <row r="26" spans="1:21" x14ac:dyDescent="0.25">
      <c r="A26" t="s">
        <v>17</v>
      </c>
    </row>
    <row r="27" spans="1:21" x14ac:dyDescent="0.25">
      <c r="A27" t="s">
        <v>1164</v>
      </c>
      <c r="O27" s="2">
        <v>18201.849999999999</v>
      </c>
      <c r="P27" s="2">
        <v>31044.33</v>
      </c>
      <c r="Q27" s="2">
        <v>47137.67</v>
      </c>
      <c r="R27" s="2">
        <v>70370.009999999995</v>
      </c>
      <c r="S27" s="2">
        <v>98502.41</v>
      </c>
    </row>
    <row r="28" spans="1:21" x14ac:dyDescent="0.25">
      <c r="A28" t="s">
        <v>17</v>
      </c>
    </row>
    <row r="29" spans="1:21" x14ac:dyDescent="0.25">
      <c r="A29" t="s">
        <v>1165</v>
      </c>
      <c r="M29">
        <v>1.3</v>
      </c>
      <c r="N29" s="2">
        <v>3100</v>
      </c>
      <c r="O29" s="2">
        <v>4360.26</v>
      </c>
      <c r="P29" s="2">
        <v>6023.28</v>
      </c>
      <c r="Q29" s="2">
        <v>7268.32</v>
      </c>
      <c r="R29" s="2">
        <v>8632</v>
      </c>
      <c r="S29" s="2">
        <v>9777.5</v>
      </c>
      <c r="T29" s="2">
        <v>10645.78</v>
      </c>
      <c r="U29" s="2">
        <v>11805.71</v>
      </c>
    </row>
    <row r="30" spans="1:21" x14ac:dyDescent="0.25">
      <c r="A30" t="s">
        <v>1166</v>
      </c>
      <c r="N30">
        <v>850</v>
      </c>
      <c r="O30" s="2">
        <v>1828.51</v>
      </c>
      <c r="P30" s="2">
        <v>3120.63</v>
      </c>
      <c r="Q30" s="2">
        <v>4540.04</v>
      </c>
      <c r="R30" s="2">
        <v>6035.42</v>
      </c>
      <c r="S30" s="2">
        <v>7750.87</v>
      </c>
      <c r="T30" s="2">
        <v>9146.74</v>
      </c>
      <c r="U30" s="2">
        <v>10141.459999999999</v>
      </c>
    </row>
    <row r="31" spans="1:21" x14ac:dyDescent="0.25">
      <c r="A31" t="s">
        <v>17</v>
      </c>
    </row>
    <row r="32" spans="1:21" x14ac:dyDescent="0.25">
      <c r="A32" t="s">
        <v>1167</v>
      </c>
      <c r="M32" s="2">
        <v>250000</v>
      </c>
      <c r="O32" s="2">
        <v>911791.5</v>
      </c>
      <c r="P32" s="2">
        <v>1391319.41</v>
      </c>
      <c r="Q32" s="2">
        <v>1921025.07</v>
      </c>
      <c r="R32" s="2">
        <v>1662061.59</v>
      </c>
    </row>
    <row r="33" spans="1:21" x14ac:dyDescent="0.25">
      <c r="A33" t="s">
        <v>1168</v>
      </c>
      <c r="O33" s="2">
        <v>-35355.83</v>
      </c>
      <c r="P33" s="2">
        <v>-41000</v>
      </c>
      <c r="Q33" s="2">
        <v>-45500</v>
      </c>
    </row>
    <row r="34" spans="1:21" x14ac:dyDescent="0.25">
      <c r="A34" t="s">
        <v>1169</v>
      </c>
      <c r="M34">
        <v>32</v>
      </c>
      <c r="N34">
        <v>43</v>
      </c>
      <c r="O34">
        <v>55</v>
      </c>
      <c r="P34">
        <v>63</v>
      </c>
    </row>
    <row r="35" spans="1:21" x14ac:dyDescent="0.25">
      <c r="A35" t="s">
        <v>17</v>
      </c>
    </row>
    <row r="36" spans="1:21" x14ac:dyDescent="0.25">
      <c r="A36" t="s">
        <v>58</v>
      </c>
    </row>
    <row r="37" spans="1:21" x14ac:dyDescent="0.25">
      <c r="A37" t="s">
        <v>16</v>
      </c>
    </row>
    <row r="38" spans="1:21" x14ac:dyDescent="0.25">
      <c r="A38" t="s">
        <v>1170</v>
      </c>
      <c r="O38" s="2">
        <v>12842.11</v>
      </c>
      <c r="P38" s="2">
        <v>26612.99</v>
      </c>
      <c r="Q38" s="2">
        <v>40632.370000000003</v>
      </c>
      <c r="R38" s="2">
        <v>57387.71</v>
      </c>
      <c r="S38" s="2">
        <v>79616.710000000006</v>
      </c>
    </row>
    <row r="39" spans="1:21" x14ac:dyDescent="0.25">
      <c r="A39" t="s">
        <v>1171</v>
      </c>
      <c r="O39">
        <v>174.24</v>
      </c>
      <c r="P39">
        <v>421.67</v>
      </c>
      <c r="Q39">
        <v>556.11</v>
      </c>
      <c r="R39">
        <v>973.19</v>
      </c>
    </row>
    <row r="40" spans="1:21" x14ac:dyDescent="0.25">
      <c r="A40" t="s">
        <v>17</v>
      </c>
    </row>
    <row r="41" spans="1:21" x14ac:dyDescent="0.25">
      <c r="A41" t="s">
        <v>79</v>
      </c>
    </row>
    <row r="42" spans="1:21" x14ac:dyDescent="0.25">
      <c r="A42" t="s">
        <v>80</v>
      </c>
      <c r="K42">
        <v>15.83</v>
      </c>
      <c r="L42">
        <v>228.94</v>
      </c>
      <c r="M42" s="2">
        <v>1915.43</v>
      </c>
      <c r="N42" s="2">
        <v>5131</v>
      </c>
      <c r="O42" s="2">
        <v>12895.28</v>
      </c>
      <c r="P42" s="2">
        <v>26529.4</v>
      </c>
      <c r="Q42" s="2">
        <v>42032.08</v>
      </c>
      <c r="R42" s="2">
        <v>64751.81</v>
      </c>
      <c r="S42" s="2">
        <v>81634.33</v>
      </c>
      <c r="T42" s="2">
        <v>89450.44</v>
      </c>
      <c r="U42" s="2">
        <v>113734.57</v>
      </c>
    </row>
    <row r="43" spans="1:21" x14ac:dyDescent="0.25">
      <c r="A43" t="s">
        <v>17</v>
      </c>
    </row>
    <row r="44" spans="1:21" x14ac:dyDescent="0.25">
      <c r="A44" t="s">
        <v>82</v>
      </c>
      <c r="K44">
        <v>12.12</v>
      </c>
      <c r="L44">
        <v>68.78</v>
      </c>
      <c r="M44">
        <v>493.35</v>
      </c>
      <c r="N44" s="2">
        <v>2906</v>
      </c>
      <c r="O44" s="2">
        <v>4139.3</v>
      </c>
      <c r="P44" s="2">
        <v>7716.7</v>
      </c>
      <c r="Q44" s="2">
        <v>12190.73</v>
      </c>
      <c r="R44" s="2">
        <v>17891.75</v>
      </c>
      <c r="S44" s="2">
        <v>22388.46</v>
      </c>
      <c r="T44" s="2">
        <v>23666.93</v>
      </c>
      <c r="U44" s="2">
        <v>32539.200000000001</v>
      </c>
    </row>
    <row r="45" spans="1:21" x14ac:dyDescent="0.25">
      <c r="A45" t="s">
        <v>83</v>
      </c>
      <c r="K45">
        <v>76.58</v>
      </c>
      <c r="L45">
        <v>30.04</v>
      </c>
      <c r="M45">
        <v>25.76</v>
      </c>
      <c r="N45">
        <v>56.64</v>
      </c>
      <c r="O45">
        <v>32.56</v>
      </c>
      <c r="P45">
        <v>29.39</v>
      </c>
      <c r="Q45">
        <v>28.4</v>
      </c>
      <c r="R45">
        <v>26.74</v>
      </c>
      <c r="S45">
        <v>26</v>
      </c>
      <c r="T45">
        <v>26</v>
      </c>
      <c r="U45">
        <v>578.29</v>
      </c>
    </row>
    <row r="46" spans="1:21" x14ac:dyDescent="0.25">
      <c r="A46" t="s">
        <v>84</v>
      </c>
      <c r="K46">
        <v>3.71</v>
      </c>
      <c r="L46">
        <v>160.16</v>
      </c>
      <c r="M46" s="2">
        <v>1422.08</v>
      </c>
      <c r="N46" s="2">
        <v>2225</v>
      </c>
      <c r="O46" s="2">
        <v>8655.41</v>
      </c>
      <c r="P46" s="2">
        <v>18729.16</v>
      </c>
      <c r="Q46" s="2">
        <v>28850.83</v>
      </c>
      <c r="R46" s="2">
        <v>43471.83</v>
      </c>
      <c r="S46" s="2">
        <v>59974.49</v>
      </c>
      <c r="T46" s="2">
        <v>58606.39</v>
      </c>
      <c r="U46" s="2">
        <v>61329.98</v>
      </c>
    </row>
    <row r="47" spans="1:21" x14ac:dyDescent="0.25">
      <c r="A47" t="s">
        <v>85</v>
      </c>
      <c r="K47">
        <v>23.42</v>
      </c>
      <c r="L47">
        <v>69.959999999999994</v>
      </c>
      <c r="M47">
        <v>59.05</v>
      </c>
      <c r="N47">
        <v>55.86</v>
      </c>
      <c r="O47">
        <v>67.14</v>
      </c>
      <c r="P47">
        <v>69.7</v>
      </c>
      <c r="Q47">
        <v>69.64</v>
      </c>
      <c r="R47">
        <v>70.599999999999994</v>
      </c>
      <c r="S47">
        <v>70.78</v>
      </c>
      <c r="T47">
        <v>69.739999999999995</v>
      </c>
      <c r="U47">
        <v>69.81</v>
      </c>
    </row>
    <row r="48" spans="1:21" x14ac:dyDescent="0.25">
      <c r="A48" t="s">
        <v>17</v>
      </c>
    </row>
    <row r="49" spans="1:21" x14ac:dyDescent="0.25">
      <c r="A49" t="s">
        <v>1172</v>
      </c>
      <c r="K49">
        <v>38.71</v>
      </c>
      <c r="L49">
        <v>243.39</v>
      </c>
      <c r="M49" s="2">
        <v>1591.07</v>
      </c>
      <c r="N49" s="2">
        <v>5177</v>
      </c>
      <c r="O49" s="2">
        <v>12502.39</v>
      </c>
      <c r="P49" s="2">
        <v>23597.7</v>
      </c>
      <c r="Q49" s="2">
        <v>35129.06</v>
      </c>
      <c r="R49" s="2">
        <v>55585.69</v>
      </c>
      <c r="S49" s="2">
        <v>64788.32</v>
      </c>
      <c r="T49" s="2">
        <v>23666.93</v>
      </c>
      <c r="U49" s="2">
        <v>32539.200000000001</v>
      </c>
    </row>
    <row r="50" spans="1:21" x14ac:dyDescent="0.25">
      <c r="A50" t="s">
        <v>283</v>
      </c>
      <c r="K50">
        <v>26.59</v>
      </c>
      <c r="L50">
        <v>174.61</v>
      </c>
      <c r="M50" s="2">
        <v>1097.72</v>
      </c>
      <c r="N50" s="2">
        <v>2271</v>
      </c>
      <c r="O50" s="2">
        <v>8363.09</v>
      </c>
      <c r="P50" s="2">
        <v>15881</v>
      </c>
      <c r="Q50" s="2">
        <v>22938.33</v>
      </c>
      <c r="R50" s="2">
        <v>37693.94</v>
      </c>
      <c r="S50" s="2">
        <v>42399.86</v>
      </c>
    </row>
    <row r="51" spans="1:21" x14ac:dyDescent="0.25">
      <c r="A51" t="s">
        <v>61</v>
      </c>
      <c r="K51">
        <v>167.96</v>
      </c>
      <c r="L51">
        <v>76.27</v>
      </c>
      <c r="M51">
        <v>57.31</v>
      </c>
      <c r="N51">
        <v>44.26</v>
      </c>
      <c r="O51">
        <v>64.83</v>
      </c>
      <c r="P51">
        <v>61.2</v>
      </c>
      <c r="Q51">
        <v>57.72</v>
      </c>
      <c r="R51">
        <v>55.79</v>
      </c>
      <c r="S51">
        <v>49.55</v>
      </c>
    </row>
    <row r="52" spans="1:21" x14ac:dyDescent="0.25">
      <c r="A52" t="s">
        <v>394</v>
      </c>
      <c r="K52">
        <v>2.48</v>
      </c>
      <c r="L52">
        <v>12.92</v>
      </c>
      <c r="M52">
        <v>18.39</v>
      </c>
      <c r="N52">
        <v>144</v>
      </c>
      <c r="O52">
        <v>286.60000000000002</v>
      </c>
      <c r="P52">
        <v>512.39</v>
      </c>
      <c r="Q52">
        <v>787.47</v>
      </c>
      <c r="R52" s="2">
        <v>1211.21</v>
      </c>
      <c r="S52" s="2">
        <v>1291.8</v>
      </c>
      <c r="T52" s="2">
        <v>1299.73</v>
      </c>
      <c r="U52" s="2">
        <v>1646.12</v>
      </c>
    </row>
    <row r="53" spans="1:21" x14ac:dyDescent="0.25">
      <c r="A53" t="s">
        <v>115</v>
      </c>
      <c r="K53">
        <v>6</v>
      </c>
      <c r="L53">
        <v>29.84</v>
      </c>
      <c r="M53">
        <v>118.64</v>
      </c>
      <c r="N53">
        <v>651</v>
      </c>
      <c r="O53">
        <v>789.83</v>
      </c>
      <c r="P53" s="2">
        <v>1375.59</v>
      </c>
      <c r="Q53" s="2">
        <v>2465.7399999999998</v>
      </c>
      <c r="R53" s="2">
        <v>3789</v>
      </c>
      <c r="S53" s="2">
        <v>2315.46</v>
      </c>
      <c r="T53" s="2">
        <v>2662.14</v>
      </c>
      <c r="U53" s="2">
        <v>3253</v>
      </c>
    </row>
    <row r="54" spans="1:21" x14ac:dyDescent="0.25">
      <c r="A54" t="s">
        <v>1173</v>
      </c>
      <c r="K54">
        <v>18.11</v>
      </c>
      <c r="L54">
        <v>131.86000000000001</v>
      </c>
      <c r="M54">
        <v>960.69</v>
      </c>
      <c r="N54" s="2">
        <v>1476</v>
      </c>
      <c r="O54" s="2">
        <v>7099.39</v>
      </c>
      <c r="P54" s="2">
        <v>13423.73</v>
      </c>
      <c r="Q54" s="2">
        <v>20921.009999999998</v>
      </c>
      <c r="R54" s="2">
        <v>30245.45</v>
      </c>
      <c r="S54" s="2">
        <v>37516.639999999999</v>
      </c>
      <c r="T54" s="2">
        <v>39482.370000000003</v>
      </c>
      <c r="U54" s="2">
        <v>52857.58</v>
      </c>
    </row>
    <row r="55" spans="1:21" x14ac:dyDescent="0.25">
      <c r="A55" t="s">
        <v>17</v>
      </c>
    </row>
    <row r="56" spans="1:21" x14ac:dyDescent="0.25">
      <c r="A56" t="s">
        <v>91</v>
      </c>
      <c r="K56">
        <v>-22.88</v>
      </c>
      <c r="L56">
        <v>-14.45</v>
      </c>
      <c r="M56">
        <v>324.36</v>
      </c>
      <c r="N56">
        <v>-46</v>
      </c>
      <c r="O56">
        <v>285.11</v>
      </c>
      <c r="P56" s="2">
        <v>2909.65</v>
      </c>
      <c r="Q56" s="2">
        <v>6285.02</v>
      </c>
      <c r="R56" s="2">
        <v>12617.89</v>
      </c>
      <c r="S56" s="2">
        <v>19006.72</v>
      </c>
      <c r="T56" s="2">
        <v>21898.54</v>
      </c>
      <c r="U56" s="2">
        <v>31089.82</v>
      </c>
    </row>
    <row r="57" spans="1:21" x14ac:dyDescent="0.25">
      <c r="A57" t="s">
        <v>92</v>
      </c>
      <c r="K57">
        <v>-144.54</v>
      </c>
      <c r="L57">
        <v>-6.31</v>
      </c>
      <c r="M57">
        <v>16.93</v>
      </c>
      <c r="N57">
        <v>-0.9</v>
      </c>
      <c r="O57">
        <v>2.08</v>
      </c>
      <c r="P57">
        <v>10.5</v>
      </c>
      <c r="Q57">
        <v>14.29</v>
      </c>
      <c r="R57">
        <v>17.23</v>
      </c>
      <c r="S57">
        <v>20.78</v>
      </c>
      <c r="T57">
        <v>20.46</v>
      </c>
      <c r="U57">
        <v>19.53</v>
      </c>
    </row>
    <row r="58" spans="1:21" x14ac:dyDescent="0.25">
      <c r="A58" t="s">
        <v>17</v>
      </c>
    </row>
    <row r="59" spans="1:21" x14ac:dyDescent="0.25">
      <c r="A59" t="s">
        <v>93</v>
      </c>
      <c r="K59">
        <v>11.7</v>
      </c>
      <c r="L59">
        <v>103.21</v>
      </c>
      <c r="M59">
        <v>863.41</v>
      </c>
      <c r="N59" s="2">
        <v>2454</v>
      </c>
      <c r="O59" s="2">
        <v>6472.02</v>
      </c>
      <c r="P59" s="2">
        <v>12341.76</v>
      </c>
      <c r="Q59" s="2">
        <v>19387.02</v>
      </c>
      <c r="R59" s="2">
        <v>27049.66</v>
      </c>
      <c r="S59" s="2">
        <v>35719.93</v>
      </c>
      <c r="T59" s="2">
        <v>36817.980000000003</v>
      </c>
      <c r="U59" s="2">
        <v>50479.199999999997</v>
      </c>
    </row>
    <row r="60" spans="1:21" x14ac:dyDescent="0.25">
      <c r="A60" t="s">
        <v>1174</v>
      </c>
      <c r="K60">
        <v>73.88</v>
      </c>
      <c r="L60">
        <v>45.08</v>
      </c>
      <c r="M60">
        <v>45.08</v>
      </c>
      <c r="N60">
        <v>47.83</v>
      </c>
      <c r="O60">
        <v>51.2</v>
      </c>
      <c r="P60">
        <v>48.13</v>
      </c>
      <c r="Q60">
        <v>48.2</v>
      </c>
      <c r="R60">
        <v>47.51</v>
      </c>
      <c r="S60">
        <v>46.29</v>
      </c>
      <c r="T60">
        <v>42.27</v>
      </c>
      <c r="U60">
        <v>43.77</v>
      </c>
    </row>
    <row r="61" spans="1:21" x14ac:dyDescent="0.25">
      <c r="A61" t="s">
        <v>17</v>
      </c>
    </row>
    <row r="62" spans="1:21" x14ac:dyDescent="0.25">
      <c r="A62" t="s">
        <v>886</v>
      </c>
      <c r="K62">
        <v>9.44</v>
      </c>
      <c r="L62">
        <v>28.4</v>
      </c>
      <c r="M62">
        <v>360.82</v>
      </c>
      <c r="N62" s="2">
        <v>1229</v>
      </c>
      <c r="O62" s="2">
        <v>3026.38</v>
      </c>
      <c r="P62" s="2">
        <v>5246.57</v>
      </c>
      <c r="Q62" s="2">
        <v>7146.24</v>
      </c>
      <c r="R62" s="2">
        <v>8106.34</v>
      </c>
      <c r="S62" s="2">
        <v>9350.25</v>
      </c>
      <c r="T62" s="2">
        <v>10467.1</v>
      </c>
      <c r="U62" s="2">
        <v>11451.01</v>
      </c>
    </row>
    <row r="63" spans="1:21" x14ac:dyDescent="0.25">
      <c r="A63" t="s">
        <v>83</v>
      </c>
      <c r="K63">
        <v>59.66</v>
      </c>
      <c r="L63">
        <v>12.41</v>
      </c>
      <c r="M63">
        <v>18.84</v>
      </c>
      <c r="N63">
        <v>23.95</v>
      </c>
      <c r="O63">
        <v>-20.05</v>
      </c>
      <c r="P63">
        <v>-16.77</v>
      </c>
      <c r="Q63">
        <v>-10.38</v>
      </c>
      <c r="R63">
        <v>-8.56</v>
      </c>
      <c r="S63">
        <v>12.8</v>
      </c>
      <c r="T63">
        <v>125.57</v>
      </c>
      <c r="U63">
        <v>203.51</v>
      </c>
    </row>
    <row r="64" spans="1:21" x14ac:dyDescent="0.25">
      <c r="A64" t="s">
        <v>98</v>
      </c>
      <c r="K64">
        <v>2.69</v>
      </c>
      <c r="L64">
        <v>515.19000000000005</v>
      </c>
      <c r="M64">
        <v>707.74</v>
      </c>
      <c r="N64">
        <v>-60</v>
      </c>
      <c r="O64">
        <v>-225.34</v>
      </c>
      <c r="P64">
        <v>-162.12</v>
      </c>
      <c r="Q64">
        <v>-236.89</v>
      </c>
      <c r="R64">
        <v>-320.79000000000002</v>
      </c>
      <c r="S64">
        <v>-660</v>
      </c>
    </row>
    <row r="65" spans="1:21" x14ac:dyDescent="0.25">
      <c r="A65" t="s">
        <v>1175</v>
      </c>
      <c r="K65">
        <v>2.88</v>
      </c>
      <c r="L65">
        <v>533.95000000000005</v>
      </c>
      <c r="M65">
        <v>755.93</v>
      </c>
      <c r="N65">
        <v>-27</v>
      </c>
      <c r="O65">
        <v>7.11</v>
      </c>
      <c r="P65">
        <v>0.88</v>
      </c>
      <c r="Q65">
        <v>2.33</v>
      </c>
    </row>
    <row r="66" spans="1:21" x14ac:dyDescent="0.25">
      <c r="A66" t="s">
        <v>1176</v>
      </c>
      <c r="K66">
        <v>-0.19</v>
      </c>
      <c r="L66">
        <v>-18.760000000000002</v>
      </c>
      <c r="M66">
        <v>-48.19</v>
      </c>
      <c r="N66">
        <v>-33</v>
      </c>
      <c r="O66">
        <v>-173.11</v>
      </c>
      <c r="P66">
        <v>-93.3</v>
      </c>
      <c r="Q66">
        <v>-122.82</v>
      </c>
      <c r="R66">
        <v>-174.67</v>
      </c>
      <c r="S66">
        <v>-323.14</v>
      </c>
      <c r="T66">
        <v>-491.51</v>
      </c>
      <c r="U66" s="2">
        <v>-1044.7</v>
      </c>
    </row>
    <row r="67" spans="1:21" x14ac:dyDescent="0.25">
      <c r="A67" t="s">
        <v>100</v>
      </c>
      <c r="K67">
        <v>-35.020000000000003</v>
      </c>
      <c r="L67">
        <v>-558.04999999999995</v>
      </c>
      <c r="M67">
        <v>-744.2</v>
      </c>
      <c r="N67" s="2">
        <v>-1215</v>
      </c>
      <c r="O67" s="2">
        <v>-2499.56</v>
      </c>
      <c r="P67" s="2">
        <v>-2115.77</v>
      </c>
      <c r="Q67">
        <v>-58.92</v>
      </c>
      <c r="R67" s="2">
        <v>5127.6099999999997</v>
      </c>
      <c r="S67" s="2">
        <v>10738.89</v>
      </c>
      <c r="T67" s="2">
        <v>12548.56</v>
      </c>
      <c r="U67" s="2">
        <v>26174.6</v>
      </c>
    </row>
    <row r="68" spans="1:21" x14ac:dyDescent="0.25">
      <c r="A68" t="s">
        <v>588</v>
      </c>
      <c r="K68">
        <v>-221.2</v>
      </c>
      <c r="L68">
        <v>-243.75</v>
      </c>
      <c r="M68">
        <v>-38.85</v>
      </c>
      <c r="N68">
        <v>-23.68</v>
      </c>
      <c r="O68">
        <v>-18.82</v>
      </c>
      <c r="P68">
        <v>-11.5</v>
      </c>
      <c r="Q68">
        <v>-1.7</v>
      </c>
      <c r="R68">
        <v>10.6</v>
      </c>
      <c r="S68">
        <v>14.8</v>
      </c>
      <c r="T68">
        <v>150.53</v>
      </c>
      <c r="U68">
        <v>465.18</v>
      </c>
    </row>
    <row r="69" spans="1:21" x14ac:dyDescent="0.25">
      <c r="A69" t="s">
        <v>17</v>
      </c>
    </row>
    <row r="70" spans="1:21" x14ac:dyDescent="0.25">
      <c r="A70" t="s">
        <v>101</v>
      </c>
      <c r="K70">
        <v>-4.1500000000000004</v>
      </c>
      <c r="L70">
        <v>35.700000000000003</v>
      </c>
      <c r="M70">
        <v>119.25</v>
      </c>
      <c r="N70">
        <v>-48</v>
      </c>
      <c r="O70">
        <v>256.14</v>
      </c>
      <c r="P70">
        <v>19.190000000000001</v>
      </c>
      <c r="Q70">
        <v>81.89</v>
      </c>
      <c r="R70">
        <v>103.12</v>
      </c>
      <c r="S70">
        <v>900.94</v>
      </c>
      <c r="T70">
        <v>-46.52</v>
      </c>
      <c r="U70">
        <v>-908.89</v>
      </c>
    </row>
    <row r="71" spans="1:21" x14ac:dyDescent="0.25">
      <c r="A71" t="s">
        <v>102</v>
      </c>
      <c r="K71">
        <v>11.9</v>
      </c>
      <c r="N71">
        <v>4</v>
      </c>
      <c r="P71">
        <v>2.93</v>
      </c>
      <c r="Q71">
        <v>2.52</v>
      </c>
      <c r="R71">
        <v>2.0099999999999998</v>
      </c>
      <c r="S71">
        <v>8.39</v>
      </c>
      <c r="T71">
        <v>10.25</v>
      </c>
      <c r="U71">
        <v>7</v>
      </c>
    </row>
    <row r="72" spans="1:21" x14ac:dyDescent="0.25">
      <c r="A72" t="s">
        <v>278</v>
      </c>
      <c r="K72">
        <v>11.9</v>
      </c>
      <c r="L72">
        <v>-6.4</v>
      </c>
      <c r="M72">
        <v>-16.100000000000001</v>
      </c>
      <c r="N72">
        <v>4</v>
      </c>
      <c r="O72">
        <v>-7.87</v>
      </c>
      <c r="P72">
        <v>2.93</v>
      </c>
      <c r="Q72">
        <v>2.52</v>
      </c>
      <c r="R72">
        <v>21.81</v>
      </c>
      <c r="S72">
        <v>10.130000000000001</v>
      </c>
      <c r="T72">
        <v>10.25</v>
      </c>
      <c r="U72">
        <v>7</v>
      </c>
    </row>
    <row r="73" spans="1:21" x14ac:dyDescent="0.25">
      <c r="A73" t="s">
        <v>17</v>
      </c>
    </row>
    <row r="74" spans="1:21" x14ac:dyDescent="0.25">
      <c r="A74" t="s">
        <v>106</v>
      </c>
      <c r="K74">
        <v>-30.87</v>
      </c>
      <c r="L74">
        <v>-593.75</v>
      </c>
      <c r="M74">
        <v>-863.45</v>
      </c>
      <c r="N74" s="2">
        <v>-1167</v>
      </c>
      <c r="O74" s="2">
        <v>-2719.39</v>
      </c>
      <c r="P74" s="2">
        <v>-2092.79</v>
      </c>
      <c r="Q74">
        <v>-328.21</v>
      </c>
      <c r="R74" s="2">
        <v>3964.42</v>
      </c>
      <c r="S74" s="2">
        <v>7885.29</v>
      </c>
      <c r="T74" s="2">
        <v>8872.33</v>
      </c>
      <c r="U74" s="2">
        <v>15564.25</v>
      </c>
    </row>
    <row r="75" spans="1:21" x14ac:dyDescent="0.25">
      <c r="A75" t="s">
        <v>280</v>
      </c>
      <c r="K75">
        <v>-196.18</v>
      </c>
      <c r="L75">
        <v>-259.33999999999997</v>
      </c>
      <c r="M75">
        <v>-45.08</v>
      </c>
      <c r="N75">
        <v>-22.74</v>
      </c>
      <c r="O75">
        <v>-21.34</v>
      </c>
      <c r="P75">
        <v>-10.38</v>
      </c>
      <c r="Q75">
        <v>-2.91</v>
      </c>
      <c r="R75">
        <v>3.21</v>
      </c>
      <c r="S75">
        <v>6.19</v>
      </c>
      <c r="T75">
        <v>12.76</v>
      </c>
      <c r="U75">
        <v>14.69</v>
      </c>
    </row>
    <row r="76" spans="1:21" x14ac:dyDescent="0.25">
      <c r="A76" t="s">
        <v>17</v>
      </c>
    </row>
    <row r="77" spans="1:21" x14ac:dyDescent="0.25">
      <c r="A77" t="s">
        <v>108</v>
      </c>
      <c r="K77">
        <v>9.0299999999999994</v>
      </c>
      <c r="L77">
        <v>9.61</v>
      </c>
      <c r="M77">
        <v>218</v>
      </c>
      <c r="N77">
        <v>435</v>
      </c>
      <c r="O77">
        <v>551.05999999999995</v>
      </c>
      <c r="P77">
        <v>583.63</v>
      </c>
      <c r="Q77">
        <v>606.34</v>
      </c>
      <c r="R77">
        <v>618.44000000000005</v>
      </c>
      <c r="S77">
        <v>656.68</v>
      </c>
      <c r="T77">
        <v>661.08</v>
      </c>
      <c r="U77">
        <v>734.82</v>
      </c>
    </row>
    <row r="78" spans="1:21" x14ac:dyDescent="0.25">
      <c r="A78" t="s">
        <v>888</v>
      </c>
      <c r="K78">
        <v>-3.44</v>
      </c>
      <c r="L78">
        <v>-61.8</v>
      </c>
      <c r="M78">
        <v>-4.3</v>
      </c>
      <c r="N78">
        <v>-2.75</v>
      </c>
      <c r="O78">
        <v>-4.95</v>
      </c>
      <c r="P78">
        <v>-3.97</v>
      </c>
      <c r="Q78">
        <v>-0.71</v>
      </c>
      <c r="R78">
        <v>5.32</v>
      </c>
      <c r="S78">
        <v>8.59</v>
      </c>
      <c r="T78">
        <v>1.21</v>
      </c>
      <c r="U78">
        <v>1.41</v>
      </c>
    </row>
    <row r="79" spans="1:21" x14ac:dyDescent="0.25">
      <c r="A79" t="s">
        <v>17</v>
      </c>
    </row>
    <row r="80" spans="1:21" x14ac:dyDescent="0.25">
      <c r="A80" t="s">
        <v>109</v>
      </c>
      <c r="K80">
        <v>9.0299999999999994</v>
      </c>
      <c r="L80">
        <v>9.61</v>
      </c>
      <c r="M80">
        <v>218</v>
      </c>
      <c r="N80">
        <v>436</v>
      </c>
      <c r="O80">
        <v>553.34</v>
      </c>
      <c r="P80">
        <v>590.05999999999995</v>
      </c>
      <c r="Q80">
        <v>624.49</v>
      </c>
      <c r="R80">
        <v>652.11</v>
      </c>
      <c r="S80">
        <v>696.74</v>
      </c>
      <c r="T80">
        <v>720.68</v>
      </c>
      <c r="U80">
        <v>797.75</v>
      </c>
    </row>
    <row r="81" spans="1:21" x14ac:dyDescent="0.25">
      <c r="A81" t="s">
        <v>110</v>
      </c>
      <c r="K81">
        <v>-3.43</v>
      </c>
      <c r="L81">
        <v>-61.85</v>
      </c>
      <c r="M81">
        <v>-79.27</v>
      </c>
      <c r="N81">
        <v>-2.81</v>
      </c>
      <c r="O81">
        <v>-4.8</v>
      </c>
      <c r="P81">
        <v>-3.81</v>
      </c>
      <c r="Q81">
        <v>-0.79</v>
      </c>
      <c r="R81">
        <v>7.53</v>
      </c>
      <c r="S81">
        <v>11.76</v>
      </c>
      <c r="T81">
        <v>13.9</v>
      </c>
      <c r="U81">
        <v>35.049999999999997</v>
      </c>
    </row>
    <row r="82" spans="1:21" x14ac:dyDescent="0.25">
      <c r="A82" t="s">
        <v>17</v>
      </c>
    </row>
    <row r="83" spans="1:21" x14ac:dyDescent="0.25">
      <c r="A83" t="s">
        <v>111</v>
      </c>
    </row>
    <row r="84" spans="1:21" x14ac:dyDescent="0.25">
      <c r="A84" t="s">
        <v>63</v>
      </c>
      <c r="K84">
        <v>3.71</v>
      </c>
      <c r="L84">
        <v>160.16</v>
      </c>
      <c r="M84" s="2">
        <v>1422</v>
      </c>
      <c r="N84" s="2">
        <v>3678</v>
      </c>
      <c r="O84" s="2">
        <v>8658.24</v>
      </c>
      <c r="P84" s="2">
        <v>18431.25</v>
      </c>
      <c r="Q84" s="2">
        <v>30822.42</v>
      </c>
      <c r="R84" s="2">
        <v>50292.51</v>
      </c>
      <c r="S84" s="2">
        <v>63086.99</v>
      </c>
      <c r="T84" s="2">
        <v>75059.990000000005</v>
      </c>
      <c r="U84" s="2">
        <v>84575.21</v>
      </c>
    </row>
    <row r="85" spans="1:21" x14ac:dyDescent="0.25">
      <c r="A85" t="s">
        <v>64</v>
      </c>
      <c r="N85">
        <v>71.680000000000007</v>
      </c>
      <c r="O85">
        <v>67.260000000000005</v>
      </c>
      <c r="P85">
        <v>69.19</v>
      </c>
      <c r="Q85">
        <v>69.72</v>
      </c>
      <c r="R85">
        <v>72.400000000000006</v>
      </c>
      <c r="S85">
        <v>71.650000000000006</v>
      </c>
      <c r="T85">
        <v>71.08</v>
      </c>
      <c r="U85">
        <v>71.14</v>
      </c>
    </row>
    <row r="86" spans="1:21" x14ac:dyDescent="0.25">
      <c r="A86" t="s">
        <v>116</v>
      </c>
      <c r="K86">
        <v>-22.88</v>
      </c>
      <c r="L86">
        <v>0.7</v>
      </c>
      <c r="M86">
        <v>355.85</v>
      </c>
      <c r="N86">
        <v>666</v>
      </c>
      <c r="O86" s="2">
        <v>1060.54</v>
      </c>
      <c r="P86" s="2">
        <v>4137.0200000000004</v>
      </c>
      <c r="Q86" s="2">
        <v>7355.26</v>
      </c>
      <c r="R86" s="2">
        <v>12399.68</v>
      </c>
      <c r="S86" s="2">
        <v>20976.93</v>
      </c>
      <c r="T86" s="2">
        <v>23453.57</v>
      </c>
      <c r="U86" s="2">
        <v>32111</v>
      </c>
    </row>
    <row r="87" spans="1:21" x14ac:dyDescent="0.25">
      <c r="A87" t="s">
        <v>269</v>
      </c>
      <c r="K87">
        <v>-135.12</v>
      </c>
      <c r="L87">
        <v>0.31</v>
      </c>
      <c r="M87">
        <v>18.579999999999998</v>
      </c>
      <c r="N87">
        <v>12.98</v>
      </c>
      <c r="O87">
        <v>8.2100000000000009</v>
      </c>
      <c r="P87">
        <v>15.69</v>
      </c>
      <c r="Q87">
        <v>18.59</v>
      </c>
      <c r="R87">
        <v>21.55</v>
      </c>
      <c r="S87">
        <v>25.03</v>
      </c>
      <c r="T87">
        <v>23.85</v>
      </c>
      <c r="U87">
        <v>23.06</v>
      </c>
    </row>
    <row r="88" spans="1:21" x14ac:dyDescent="0.25">
      <c r="A88" t="s">
        <v>117</v>
      </c>
      <c r="K88">
        <v>-9.8800000000000008</v>
      </c>
      <c r="L88">
        <v>103.91</v>
      </c>
      <c r="M88" s="2">
        <v>1219.26</v>
      </c>
      <c r="N88" s="2">
        <v>3093</v>
      </c>
      <c r="O88" s="2">
        <v>7579.15</v>
      </c>
      <c r="P88" s="2">
        <v>16755.63</v>
      </c>
      <c r="Q88" s="2">
        <v>27930.91</v>
      </c>
      <c r="R88" s="2">
        <v>41048.33</v>
      </c>
      <c r="S88" s="2">
        <v>55957.8</v>
      </c>
      <c r="T88" s="2">
        <v>60340</v>
      </c>
      <c r="U88" s="2">
        <v>80472.399999999994</v>
      </c>
    </row>
    <row r="89" spans="1:21" x14ac:dyDescent="0.25">
      <c r="A89" t="s">
        <v>286</v>
      </c>
      <c r="K89">
        <v>-62</v>
      </c>
      <c r="L89">
        <v>45</v>
      </c>
      <c r="M89">
        <v>64</v>
      </c>
      <c r="N89">
        <v>60</v>
      </c>
      <c r="O89">
        <v>56.93</v>
      </c>
      <c r="P89">
        <v>61.93</v>
      </c>
      <c r="Q89">
        <v>64.08</v>
      </c>
      <c r="R89">
        <v>64.459999999999994</v>
      </c>
      <c r="S89">
        <v>68.78</v>
      </c>
      <c r="T89">
        <v>68.86</v>
      </c>
      <c r="U89">
        <v>66.489999999999995</v>
      </c>
    </row>
    <row r="90" spans="1:21" x14ac:dyDescent="0.25">
      <c r="A90" t="s">
        <v>119</v>
      </c>
      <c r="K90">
        <v>-30.83</v>
      </c>
      <c r="L90">
        <v>-8.94</v>
      </c>
      <c r="M90">
        <v>54.34</v>
      </c>
      <c r="N90">
        <v>-524</v>
      </c>
      <c r="O90" s="2">
        <v>-1847.56</v>
      </c>
      <c r="P90">
        <v>-913.37</v>
      </c>
      <c r="Q90">
        <v>-316</v>
      </c>
      <c r="R90" s="2">
        <v>1610.89</v>
      </c>
      <c r="S90" s="2">
        <v>8462.83</v>
      </c>
      <c r="T90" s="2">
        <v>3748.5</v>
      </c>
      <c r="U90">
        <v>973</v>
      </c>
    </row>
    <row r="91" spans="1:21" x14ac:dyDescent="0.25">
      <c r="A91" t="s">
        <v>120</v>
      </c>
    </row>
    <row r="92" spans="1:21" x14ac:dyDescent="0.25">
      <c r="A92" t="s">
        <v>489</v>
      </c>
      <c r="K92">
        <v>-26.22</v>
      </c>
      <c r="L92">
        <v>15.59</v>
      </c>
      <c r="M92">
        <v>6.23</v>
      </c>
      <c r="N92">
        <v>-0.94</v>
      </c>
      <c r="O92">
        <v>1.35</v>
      </c>
      <c r="P92">
        <v>0.05</v>
      </c>
      <c r="Q92">
        <v>-0.85</v>
      </c>
      <c r="R92">
        <v>-1.46</v>
      </c>
      <c r="S92">
        <v>1.23</v>
      </c>
      <c r="T92">
        <v>-0.56000000000000005</v>
      </c>
      <c r="U92">
        <v>-16.149999999999999</v>
      </c>
    </row>
    <row r="93" spans="1:21" x14ac:dyDescent="0.25">
      <c r="A93" t="s">
        <v>121</v>
      </c>
      <c r="K93">
        <v>-26.68</v>
      </c>
      <c r="L93">
        <v>-44.64</v>
      </c>
      <c r="M93">
        <v>-64.91</v>
      </c>
      <c r="N93">
        <v>-606</v>
      </c>
      <c r="O93" s="2">
        <v>-2192.94</v>
      </c>
      <c r="P93" s="2">
        <v>-1034.6300000000001</v>
      </c>
      <c r="Q93">
        <v>863.17</v>
      </c>
      <c r="R93" s="2">
        <v>4299.08</v>
      </c>
      <c r="S93" s="2">
        <v>9164.5</v>
      </c>
      <c r="T93">
        <v>-382</v>
      </c>
      <c r="U93">
        <v>788</v>
      </c>
    </row>
    <row r="94" spans="1:21" x14ac:dyDescent="0.25">
      <c r="A94" t="s">
        <v>122</v>
      </c>
      <c r="N94">
        <v>-11.81</v>
      </c>
      <c r="O94">
        <v>-16.72</v>
      </c>
      <c r="P94">
        <v>-3.78</v>
      </c>
      <c r="Q94">
        <v>1.93</v>
      </c>
      <c r="R94">
        <v>6.91</v>
      </c>
      <c r="S94">
        <v>12.69</v>
      </c>
    </row>
    <row r="95" spans="1:21" x14ac:dyDescent="0.25">
      <c r="A95" t="s">
        <v>124</v>
      </c>
      <c r="K95">
        <v>-2.96</v>
      </c>
      <c r="L95">
        <v>-4.6500000000000004</v>
      </c>
      <c r="M95">
        <v>-5.96</v>
      </c>
      <c r="N95">
        <v>-1.39</v>
      </c>
      <c r="O95">
        <v>-3.86</v>
      </c>
      <c r="P95">
        <v>-1.75</v>
      </c>
      <c r="Q95">
        <v>1.6</v>
      </c>
      <c r="R95">
        <v>8.1300000000000008</v>
      </c>
      <c r="S95">
        <v>12.73</v>
      </c>
      <c r="T95">
        <v>4.54</v>
      </c>
      <c r="U95">
        <v>3.84</v>
      </c>
    </row>
    <row r="96" spans="1:21" x14ac:dyDescent="0.25">
      <c r="A96" t="s">
        <v>17</v>
      </c>
    </row>
    <row r="97" spans="1:21" x14ac:dyDescent="0.25">
      <c r="A97" t="s">
        <v>176</v>
      </c>
    </row>
    <row r="98" spans="1:21" x14ac:dyDescent="0.25">
      <c r="A98" t="s">
        <v>335</v>
      </c>
      <c r="K98">
        <v>1.49</v>
      </c>
      <c r="L98">
        <v>15.15</v>
      </c>
      <c r="M98">
        <v>31.49</v>
      </c>
      <c r="N98">
        <v>630</v>
      </c>
      <c r="O98">
        <v>725.11</v>
      </c>
      <c r="P98" s="2">
        <v>1031.68</v>
      </c>
      <c r="Q98">
        <v>234.25</v>
      </c>
      <c r="R98" s="2">
        <v>-1714.96</v>
      </c>
      <c r="S98" s="2">
        <v>2444.16</v>
      </c>
      <c r="T98" s="2">
        <v>2234.23</v>
      </c>
      <c r="U98" s="2">
        <v>2889.84</v>
      </c>
    </row>
    <row r="99" spans="1:21" x14ac:dyDescent="0.25">
      <c r="A99" t="s">
        <v>61</v>
      </c>
      <c r="N99">
        <v>12.28</v>
      </c>
      <c r="O99">
        <v>5.86</v>
      </c>
      <c r="P99">
        <v>4.62</v>
      </c>
      <c r="Q99">
        <v>3.49</v>
      </c>
      <c r="R99">
        <v>3.27</v>
      </c>
      <c r="S99">
        <v>3.02</v>
      </c>
      <c r="T99">
        <v>3.38</v>
      </c>
      <c r="U99">
        <v>3.37</v>
      </c>
    </row>
    <row r="100" spans="1:21" x14ac:dyDescent="0.25">
      <c r="A100" t="s">
        <v>128</v>
      </c>
      <c r="K100">
        <v>0.13</v>
      </c>
      <c r="L100">
        <v>0.69</v>
      </c>
      <c r="M100">
        <v>1.31</v>
      </c>
      <c r="N100">
        <v>15</v>
      </c>
      <c r="O100">
        <v>31.91</v>
      </c>
      <c r="P100">
        <v>58.09</v>
      </c>
      <c r="Q100">
        <v>70.430000000000007</v>
      </c>
      <c r="R100">
        <v>98.29</v>
      </c>
      <c r="S100">
        <v>121.24</v>
      </c>
      <c r="T100">
        <v>199.09</v>
      </c>
      <c r="U100">
        <v>221.02</v>
      </c>
    </row>
    <row r="101" spans="1:21" x14ac:dyDescent="0.25">
      <c r="A101" t="s">
        <v>394</v>
      </c>
      <c r="K101">
        <v>7.0000000000000007E-2</v>
      </c>
      <c r="L101">
        <v>1.74</v>
      </c>
      <c r="M101">
        <v>3.41</v>
      </c>
      <c r="N101">
        <v>31</v>
      </c>
      <c r="O101">
        <v>51.47</v>
      </c>
      <c r="P101">
        <v>85.37</v>
      </c>
      <c r="Q101">
        <v>103.29</v>
      </c>
      <c r="R101">
        <v>137.25</v>
      </c>
      <c r="S101">
        <v>186.82</v>
      </c>
      <c r="T101">
        <v>304.67</v>
      </c>
      <c r="U101">
        <v>340.03</v>
      </c>
    </row>
    <row r="102" spans="1:21" x14ac:dyDescent="0.25">
      <c r="A102" t="s">
        <v>115</v>
      </c>
      <c r="K102">
        <v>0.66</v>
      </c>
      <c r="L102">
        <v>5.62</v>
      </c>
      <c r="M102">
        <v>16.64</v>
      </c>
      <c r="N102">
        <v>363</v>
      </c>
      <c r="O102">
        <v>329.78</v>
      </c>
      <c r="P102">
        <v>499.57</v>
      </c>
      <c r="Q102">
        <v>627.70000000000005</v>
      </c>
      <c r="R102">
        <v>708.48</v>
      </c>
      <c r="S102">
        <v>923.03</v>
      </c>
      <c r="T102" s="2">
        <v>1115.24</v>
      </c>
      <c r="U102" s="2">
        <v>1211.55</v>
      </c>
    </row>
    <row r="103" spans="1:21" x14ac:dyDescent="0.25">
      <c r="A103" t="s">
        <v>1177</v>
      </c>
      <c r="K103">
        <v>0.62</v>
      </c>
      <c r="L103">
        <v>7.1</v>
      </c>
      <c r="M103">
        <v>10.14</v>
      </c>
      <c r="N103">
        <v>221</v>
      </c>
      <c r="O103">
        <v>241.01</v>
      </c>
      <c r="P103">
        <v>402.93</v>
      </c>
      <c r="Q103">
        <v>431</v>
      </c>
      <c r="R103">
        <v>508.97</v>
      </c>
      <c r="S103">
        <v>735.83</v>
      </c>
      <c r="T103" s="2">
        <v>1070.94</v>
      </c>
      <c r="U103" s="2">
        <v>1305.7</v>
      </c>
    </row>
    <row r="104" spans="1:21" x14ac:dyDescent="0.25">
      <c r="A104" t="s">
        <v>1178</v>
      </c>
      <c r="N104">
        <v>55</v>
      </c>
      <c r="O104">
        <v>3.34</v>
      </c>
      <c r="P104">
        <v>15.6</v>
      </c>
      <c r="Q104">
        <v>39</v>
      </c>
      <c r="R104">
        <v>48</v>
      </c>
    </row>
    <row r="105" spans="1:21" x14ac:dyDescent="0.25">
      <c r="A105" t="s">
        <v>664</v>
      </c>
      <c r="N105">
        <v>27</v>
      </c>
      <c r="O105">
        <v>34.42</v>
      </c>
      <c r="P105">
        <v>52.75</v>
      </c>
      <c r="Q105">
        <v>50.89</v>
      </c>
      <c r="R105">
        <v>42.2</v>
      </c>
      <c r="S105">
        <v>38.200000000000003</v>
      </c>
      <c r="T105">
        <v>42</v>
      </c>
      <c r="U105">
        <v>44</v>
      </c>
    </row>
    <row r="106" spans="1:21" x14ac:dyDescent="0.25">
      <c r="A106" t="s">
        <v>1179</v>
      </c>
      <c r="N106">
        <v>-27</v>
      </c>
      <c r="O106">
        <v>-111.88</v>
      </c>
      <c r="P106">
        <v>0</v>
      </c>
    </row>
    <row r="107" spans="1:21" x14ac:dyDescent="0.25">
      <c r="A107" t="s">
        <v>1180</v>
      </c>
      <c r="N107">
        <v>-130</v>
      </c>
      <c r="O107">
        <v>-36.83</v>
      </c>
      <c r="P107">
        <v>-103.92</v>
      </c>
      <c r="Q107">
        <v>-71.98</v>
      </c>
      <c r="R107">
        <v>-292.19</v>
      </c>
      <c r="S107" s="2">
        <v>-1080.45</v>
      </c>
    </row>
    <row r="108" spans="1:21" x14ac:dyDescent="0.25">
      <c r="A108" t="s">
        <v>17</v>
      </c>
    </row>
    <row r="109" spans="1:21" x14ac:dyDescent="0.25">
      <c r="A109" t="s">
        <v>134</v>
      </c>
    </row>
    <row r="110" spans="1:21" x14ac:dyDescent="0.25">
      <c r="A110" t="s">
        <v>135</v>
      </c>
    </row>
    <row r="111" spans="1:21" x14ac:dyDescent="0.25">
      <c r="A111" t="s">
        <v>136</v>
      </c>
      <c r="L111">
        <v>501.99</v>
      </c>
      <c r="M111" s="2">
        <v>1916.25</v>
      </c>
      <c r="N111" s="2">
        <v>7488</v>
      </c>
      <c r="O111" s="2">
        <v>11304.11</v>
      </c>
      <c r="P111" s="2">
        <v>16123.39</v>
      </c>
      <c r="Q111" s="2">
        <v>19802.75</v>
      </c>
      <c r="R111" s="2">
        <v>29270.22</v>
      </c>
      <c r="S111" s="2">
        <v>44795.63</v>
      </c>
      <c r="T111" s="2">
        <v>55567.77</v>
      </c>
      <c r="U111" s="2">
        <v>66060.600000000006</v>
      </c>
    </row>
    <row r="112" spans="1:21" x14ac:dyDescent="0.25">
      <c r="A112" t="s">
        <v>536</v>
      </c>
      <c r="L112">
        <v>217.15</v>
      </c>
      <c r="M112" s="2">
        <v>1361.08</v>
      </c>
      <c r="N112" s="2">
        <v>3127</v>
      </c>
      <c r="O112" s="2">
        <v>4812.71</v>
      </c>
      <c r="P112" s="2">
        <v>5103.4399999999996</v>
      </c>
      <c r="Q112" s="2">
        <v>4892.01</v>
      </c>
      <c r="R112" s="2">
        <v>9510.4599999999991</v>
      </c>
      <c r="S112" s="2">
        <v>21681.09</v>
      </c>
      <c r="T112" s="2">
        <v>35802.85</v>
      </c>
      <c r="U112" s="2">
        <v>43174.32</v>
      </c>
    </row>
    <row r="113" spans="1:21" x14ac:dyDescent="0.25">
      <c r="A113" t="s">
        <v>1181</v>
      </c>
      <c r="L113">
        <v>0</v>
      </c>
      <c r="M113">
        <v>0</v>
      </c>
      <c r="N113">
        <v>34</v>
      </c>
      <c r="O113">
        <v>15</v>
      </c>
      <c r="P113">
        <v>15</v>
      </c>
      <c r="Q113">
        <v>15</v>
      </c>
      <c r="R113">
        <v>15</v>
      </c>
      <c r="S113">
        <v>15</v>
      </c>
      <c r="T113">
        <v>15</v>
      </c>
      <c r="U113">
        <v>15</v>
      </c>
    </row>
    <row r="114" spans="1:21" x14ac:dyDescent="0.25">
      <c r="A114" t="s">
        <v>806</v>
      </c>
      <c r="L114">
        <v>165.38</v>
      </c>
      <c r="M114">
        <v>416.53</v>
      </c>
      <c r="N114" s="2">
        <v>3169</v>
      </c>
      <c r="O114" s="2">
        <v>5195.32</v>
      </c>
      <c r="P114" s="2">
        <v>9147.9599999999991</v>
      </c>
      <c r="Q114" s="2">
        <v>12345.73</v>
      </c>
      <c r="R114" s="2">
        <v>16097.97</v>
      </c>
      <c r="S114" s="2">
        <v>17410.38</v>
      </c>
      <c r="T114" s="2">
        <v>17451.669999999998</v>
      </c>
      <c r="U114" s="2">
        <v>20628.900000000001</v>
      </c>
    </row>
    <row r="115" spans="1:21" x14ac:dyDescent="0.25">
      <c r="A115" t="s">
        <v>145</v>
      </c>
      <c r="L115">
        <v>119.47</v>
      </c>
      <c r="M115">
        <v>138.63999999999999</v>
      </c>
      <c r="N115">
        <v>819</v>
      </c>
      <c r="O115" s="2">
        <v>1701</v>
      </c>
      <c r="P115" s="2">
        <v>2174</v>
      </c>
      <c r="Q115" s="2">
        <v>3184</v>
      </c>
    </row>
    <row r="116" spans="1:21" x14ac:dyDescent="0.25">
      <c r="A116" t="s">
        <v>1182</v>
      </c>
      <c r="L116">
        <v>42.94</v>
      </c>
      <c r="M116">
        <v>37.39</v>
      </c>
      <c r="N116">
        <v>819</v>
      </c>
      <c r="O116">
        <v>798.45</v>
      </c>
      <c r="P116">
        <v>798.45</v>
      </c>
      <c r="Q116">
        <v>828.94</v>
      </c>
      <c r="R116">
        <v>806.92</v>
      </c>
      <c r="S116">
        <v>873</v>
      </c>
      <c r="T116">
        <v>873</v>
      </c>
      <c r="U116">
        <v>873</v>
      </c>
    </row>
    <row r="117" spans="1:21" x14ac:dyDescent="0.25">
      <c r="A117" t="s">
        <v>1183</v>
      </c>
      <c r="L117">
        <v>76.53</v>
      </c>
      <c r="M117">
        <v>101.25</v>
      </c>
      <c r="N117">
        <v>339</v>
      </c>
      <c r="O117">
        <v>802.07</v>
      </c>
      <c r="P117" s="2">
        <v>1211.79</v>
      </c>
      <c r="Q117" s="2">
        <v>1700.55</v>
      </c>
      <c r="R117" s="2">
        <v>2356.29</v>
      </c>
      <c r="S117" s="2">
        <v>2727.25</v>
      </c>
      <c r="T117" s="2">
        <v>1573.25</v>
      </c>
      <c r="U117" s="2">
        <v>1591.38</v>
      </c>
    </row>
    <row r="118" spans="1:21" x14ac:dyDescent="0.25">
      <c r="A118" t="s">
        <v>146</v>
      </c>
      <c r="L118" s="2">
        <v>4474.9799999999996</v>
      </c>
      <c r="M118" s="2">
        <v>15916.35</v>
      </c>
      <c r="N118" s="2">
        <v>41814</v>
      </c>
      <c r="O118" s="2">
        <v>88497.39</v>
      </c>
      <c r="P118" s="2">
        <v>137955.79</v>
      </c>
      <c r="Q118" s="2">
        <v>184418.14</v>
      </c>
      <c r="R118" s="2">
        <v>204787.51</v>
      </c>
      <c r="S118" s="2">
        <v>223924.6</v>
      </c>
      <c r="T118" s="2">
        <v>256451.21</v>
      </c>
      <c r="U118" s="2">
        <v>267721.83</v>
      </c>
    </row>
    <row r="119" spans="1:21" x14ac:dyDescent="0.25">
      <c r="A119" t="s">
        <v>1184</v>
      </c>
      <c r="L119">
        <v>219.99</v>
      </c>
      <c r="M119">
        <v>637.36</v>
      </c>
      <c r="N119">
        <v>184</v>
      </c>
      <c r="O119">
        <v>514.58000000000004</v>
      </c>
      <c r="P119">
        <v>516.09</v>
      </c>
      <c r="Q119">
        <v>507</v>
      </c>
      <c r="R119">
        <v>507</v>
      </c>
      <c r="S119">
        <v>507</v>
      </c>
      <c r="T119">
        <v>507</v>
      </c>
      <c r="U119">
        <v>507</v>
      </c>
    </row>
    <row r="120" spans="1:21" x14ac:dyDescent="0.25">
      <c r="A120" t="s">
        <v>1185</v>
      </c>
      <c r="L120">
        <v>171.73</v>
      </c>
      <c r="M120">
        <v>29.31</v>
      </c>
      <c r="N120">
        <v>0</v>
      </c>
      <c r="O120">
        <v>5</v>
      </c>
      <c r="P120">
        <v>5</v>
      </c>
      <c r="Q120">
        <v>10</v>
      </c>
      <c r="R120">
        <v>15</v>
      </c>
      <c r="S120">
        <v>15</v>
      </c>
      <c r="T120">
        <v>15</v>
      </c>
      <c r="U120">
        <v>15</v>
      </c>
    </row>
    <row r="121" spans="1:21" x14ac:dyDescent="0.25">
      <c r="A121" t="s">
        <v>1186</v>
      </c>
      <c r="L121" s="2">
        <v>3483.99</v>
      </c>
      <c r="M121" s="2">
        <v>11914.77</v>
      </c>
      <c r="N121" s="2">
        <v>30557</v>
      </c>
      <c r="O121" s="2">
        <v>63749.47</v>
      </c>
      <c r="P121" s="2">
        <v>100887.33</v>
      </c>
      <c r="Q121" s="2">
        <v>132426.14000000001</v>
      </c>
      <c r="R121" s="2">
        <v>160905.95000000001</v>
      </c>
      <c r="S121" s="2">
        <v>197397.67</v>
      </c>
      <c r="T121" s="2">
        <v>193505.49</v>
      </c>
      <c r="U121" s="2">
        <v>217716.45</v>
      </c>
    </row>
    <row r="122" spans="1:21" x14ac:dyDescent="0.25">
      <c r="A122" t="s">
        <v>1187</v>
      </c>
      <c r="L122" s="2">
        <v>3600.79</v>
      </c>
      <c r="M122" s="2">
        <v>12880.01</v>
      </c>
      <c r="N122" s="2">
        <v>33941</v>
      </c>
      <c r="O122" s="2">
        <v>79330.2</v>
      </c>
      <c r="P122" s="2">
        <v>135228.47</v>
      </c>
      <c r="Q122" s="2">
        <v>202677.75</v>
      </c>
      <c r="R122" s="2">
        <v>279994.28999999998</v>
      </c>
      <c r="S122" s="2">
        <v>339188.58</v>
      </c>
      <c r="T122" s="2">
        <v>376639.49</v>
      </c>
      <c r="U122" s="2">
        <v>413163.15</v>
      </c>
    </row>
    <row r="123" spans="1:21" x14ac:dyDescent="0.25">
      <c r="A123" t="s">
        <v>900</v>
      </c>
      <c r="L123">
        <v>116.8</v>
      </c>
      <c r="M123">
        <v>965.23</v>
      </c>
      <c r="N123" s="2">
        <v>3384</v>
      </c>
      <c r="O123" s="2">
        <v>11010.84</v>
      </c>
      <c r="P123" s="2">
        <v>24859.81</v>
      </c>
      <c r="Q123" s="2">
        <v>48420.42</v>
      </c>
      <c r="R123" s="2">
        <v>82144.88</v>
      </c>
      <c r="S123" s="2">
        <v>111543.76</v>
      </c>
      <c r="T123" s="2">
        <v>134426.93</v>
      </c>
      <c r="U123" s="2">
        <v>150935.99</v>
      </c>
    </row>
    <row r="124" spans="1:21" x14ac:dyDescent="0.25">
      <c r="A124" t="s">
        <v>692</v>
      </c>
      <c r="L124">
        <v>461.97</v>
      </c>
      <c r="M124" s="2">
        <v>2589.5500000000002</v>
      </c>
      <c r="N124" s="2">
        <v>8231</v>
      </c>
      <c r="O124" s="2">
        <v>17481.88</v>
      </c>
      <c r="P124" s="2">
        <v>24027.98</v>
      </c>
      <c r="Q124" s="2">
        <v>31139.19</v>
      </c>
      <c r="R124" s="2">
        <v>40912.400000000001</v>
      </c>
      <c r="S124" s="2">
        <v>55068.54</v>
      </c>
      <c r="T124" s="2">
        <v>52598.73</v>
      </c>
      <c r="U124" s="2">
        <v>67510.75</v>
      </c>
    </row>
    <row r="125" spans="1:21" x14ac:dyDescent="0.25">
      <c r="A125" t="s">
        <v>312</v>
      </c>
      <c r="L125">
        <v>26.55</v>
      </c>
      <c r="M125">
        <v>24.45</v>
      </c>
      <c r="N125" s="2">
        <v>1336</v>
      </c>
      <c r="O125" s="2">
        <v>1346</v>
      </c>
      <c r="P125" s="2">
        <v>1346</v>
      </c>
      <c r="Q125" s="2">
        <v>1346</v>
      </c>
      <c r="R125" s="2">
        <v>1346</v>
      </c>
    </row>
    <row r="126" spans="1:21" x14ac:dyDescent="0.25">
      <c r="A126" t="s">
        <v>151</v>
      </c>
      <c r="L126">
        <v>7</v>
      </c>
      <c r="M126">
        <v>4.91</v>
      </c>
      <c r="N126">
        <v>235</v>
      </c>
      <c r="O126">
        <v>237.2</v>
      </c>
      <c r="P126">
        <v>227.93</v>
      </c>
      <c r="Q126">
        <v>211.11</v>
      </c>
      <c r="R126">
        <v>252.71</v>
      </c>
      <c r="S126">
        <v>255.04</v>
      </c>
      <c r="T126">
        <v>208</v>
      </c>
      <c r="U126">
        <v>245</v>
      </c>
    </row>
    <row r="127" spans="1:21" x14ac:dyDescent="0.25">
      <c r="A127" t="s">
        <v>152</v>
      </c>
      <c r="L127">
        <v>19.54</v>
      </c>
      <c r="M127">
        <v>19.54</v>
      </c>
      <c r="N127" s="2">
        <v>1101</v>
      </c>
      <c r="O127" s="2">
        <v>1066.76</v>
      </c>
      <c r="P127" s="2">
        <v>1066.76</v>
      </c>
      <c r="Q127" s="2">
        <v>1058.2</v>
      </c>
      <c r="R127" s="2">
        <v>1043.93</v>
      </c>
      <c r="S127" s="2">
        <v>1029.67</v>
      </c>
      <c r="T127" s="2">
        <v>1101</v>
      </c>
      <c r="U127" s="2">
        <v>1101</v>
      </c>
    </row>
    <row r="128" spans="1:21" x14ac:dyDescent="0.25">
      <c r="A128" t="s">
        <v>78</v>
      </c>
      <c r="L128">
        <v>110.76</v>
      </c>
      <c r="M128">
        <v>720.91</v>
      </c>
      <c r="N128" s="2">
        <v>1506</v>
      </c>
      <c r="O128" s="2">
        <v>2594.37</v>
      </c>
      <c r="P128" s="2">
        <v>3010.47</v>
      </c>
      <c r="Q128" s="2">
        <v>3571.85</v>
      </c>
      <c r="R128" s="2">
        <v>4397.5600000000004</v>
      </c>
      <c r="S128" s="2">
        <v>1795.93</v>
      </c>
      <c r="T128">
        <v>-415.52</v>
      </c>
      <c r="U128" s="2">
        <v>-5947.41</v>
      </c>
    </row>
    <row r="129" spans="1:21" x14ac:dyDescent="0.25">
      <c r="A129" t="s">
        <v>155</v>
      </c>
      <c r="L129" s="2">
        <v>4976.9799999999996</v>
      </c>
      <c r="M129" s="2">
        <v>17832.599999999999</v>
      </c>
      <c r="N129" s="2">
        <v>49302</v>
      </c>
      <c r="O129" s="2">
        <v>97137.31</v>
      </c>
      <c r="P129" s="2">
        <v>146451.65</v>
      </c>
      <c r="Q129" s="2">
        <v>195355.97</v>
      </c>
      <c r="R129" s="2">
        <v>235705.11</v>
      </c>
      <c r="S129" s="2">
        <v>296787.21000000002</v>
      </c>
      <c r="T129" s="2">
        <v>302987.98</v>
      </c>
      <c r="U129" s="2">
        <v>347066.64</v>
      </c>
    </row>
    <row r="130" spans="1:21" x14ac:dyDescent="0.25">
      <c r="A130" t="s">
        <v>17</v>
      </c>
    </row>
    <row r="131" spans="1:21" x14ac:dyDescent="0.25">
      <c r="A131" t="s">
        <v>156</v>
      </c>
    </row>
    <row r="132" spans="1:21" x14ac:dyDescent="0.25">
      <c r="A132" t="s">
        <v>157</v>
      </c>
      <c r="L132">
        <v>998.46</v>
      </c>
      <c r="M132" s="2">
        <v>4962.58</v>
      </c>
      <c r="N132" s="2">
        <v>16440</v>
      </c>
      <c r="O132" s="2">
        <v>23332.53</v>
      </c>
      <c r="P132" s="2">
        <v>30425.02</v>
      </c>
      <c r="Q132" s="2">
        <v>38685.410000000003</v>
      </c>
      <c r="R132" s="2">
        <v>48324.61</v>
      </c>
      <c r="S132" s="2">
        <v>59679.35</v>
      </c>
      <c r="T132" s="2">
        <v>64049.78</v>
      </c>
      <c r="U132" s="2">
        <v>68671.350000000006</v>
      </c>
    </row>
    <row r="133" spans="1:21" x14ac:dyDescent="0.25">
      <c r="A133" t="s">
        <v>158</v>
      </c>
      <c r="L133">
        <v>455.56</v>
      </c>
      <c r="M133">
        <v>868.26</v>
      </c>
      <c r="N133" s="2">
        <v>1623</v>
      </c>
      <c r="O133" s="2">
        <v>4540.96</v>
      </c>
      <c r="P133" s="2">
        <v>6911.68</v>
      </c>
      <c r="Q133" s="2">
        <v>9372.74</v>
      </c>
      <c r="R133" s="2">
        <v>12852.38</v>
      </c>
      <c r="S133" s="2">
        <v>13385.11</v>
      </c>
      <c r="T133" s="2">
        <v>15330.25</v>
      </c>
      <c r="U133" s="2">
        <v>18457.91</v>
      </c>
    </row>
    <row r="134" spans="1:21" x14ac:dyDescent="0.25">
      <c r="A134" t="s">
        <v>414</v>
      </c>
      <c r="L134">
        <v>77.78</v>
      </c>
      <c r="M134">
        <v>355.82</v>
      </c>
      <c r="N134" s="2">
        <v>5773</v>
      </c>
      <c r="O134" s="2">
        <v>6907.6</v>
      </c>
      <c r="P134" s="2">
        <v>8682.6299999999992</v>
      </c>
      <c r="Q134" s="2">
        <v>10820.99</v>
      </c>
      <c r="R134" s="2">
        <v>13133.6</v>
      </c>
      <c r="S134" s="2">
        <v>15064.16</v>
      </c>
      <c r="T134" s="2">
        <v>10925.32</v>
      </c>
      <c r="U134" s="2">
        <v>10868.64</v>
      </c>
    </row>
    <row r="135" spans="1:21" x14ac:dyDescent="0.25">
      <c r="A135" t="s">
        <v>313</v>
      </c>
      <c r="L135">
        <v>171.87</v>
      </c>
      <c r="M135" s="2">
        <v>2468.4299999999998</v>
      </c>
      <c r="N135" s="2">
        <v>6708</v>
      </c>
      <c r="O135" s="2">
        <v>7865.2</v>
      </c>
      <c r="P135" s="2">
        <v>7666.21</v>
      </c>
      <c r="Q135" s="2">
        <v>7996.39</v>
      </c>
      <c r="R135" s="2">
        <v>9118.2999999999993</v>
      </c>
      <c r="S135" s="2">
        <v>11711.99</v>
      </c>
      <c r="T135" s="2">
        <v>15827.63</v>
      </c>
      <c r="U135" s="2">
        <v>5099.29</v>
      </c>
    </row>
    <row r="136" spans="1:21" x14ac:dyDescent="0.25">
      <c r="A136" t="s">
        <v>161</v>
      </c>
      <c r="L136">
        <v>249.83</v>
      </c>
      <c r="M136">
        <v>768.93</v>
      </c>
      <c r="N136" s="2">
        <v>1709</v>
      </c>
      <c r="O136" s="2">
        <v>3620.66</v>
      </c>
      <c r="P136" s="2">
        <v>5823.82</v>
      </c>
      <c r="Q136" s="2">
        <v>8978.0300000000007</v>
      </c>
      <c r="R136" s="2">
        <v>10032.92</v>
      </c>
      <c r="S136" s="2">
        <v>15332.44</v>
      </c>
      <c r="T136" s="2">
        <v>10726.56</v>
      </c>
      <c r="U136" s="2">
        <v>11796.1</v>
      </c>
    </row>
    <row r="137" spans="1:21" x14ac:dyDescent="0.25">
      <c r="A137" t="s">
        <v>202</v>
      </c>
      <c r="L137">
        <v>39.79</v>
      </c>
      <c r="M137">
        <v>213.1</v>
      </c>
      <c r="N137">
        <v>427</v>
      </c>
      <c r="O137">
        <v>903.66</v>
      </c>
      <c r="P137" s="2">
        <v>1319.16</v>
      </c>
      <c r="Q137" s="2">
        <v>1602.05</v>
      </c>
      <c r="R137" s="2">
        <v>2190.2399999999998</v>
      </c>
      <c r="S137" s="2">
        <v>3002.7</v>
      </c>
      <c r="T137" s="2">
        <v>3283.21</v>
      </c>
      <c r="U137" s="2">
        <v>4829.2700000000004</v>
      </c>
    </row>
    <row r="138" spans="1:21" x14ac:dyDescent="0.25">
      <c r="A138" t="s">
        <v>1188</v>
      </c>
      <c r="L138">
        <v>3.53</v>
      </c>
      <c r="M138">
        <v>57.8</v>
      </c>
      <c r="N138">
        <v>38</v>
      </c>
      <c r="O138">
        <v>12.05</v>
      </c>
      <c r="P138">
        <v>9.41</v>
      </c>
      <c r="Q138">
        <v>11.79</v>
      </c>
      <c r="R138">
        <v>11.89</v>
      </c>
      <c r="S138">
        <v>8.44</v>
      </c>
      <c r="T138">
        <v>9.17</v>
      </c>
      <c r="U138">
        <v>7</v>
      </c>
    </row>
    <row r="139" spans="1:21" x14ac:dyDescent="0.25">
      <c r="A139" t="s">
        <v>78</v>
      </c>
      <c r="L139">
        <v>0.1</v>
      </c>
      <c r="M139">
        <v>230.24</v>
      </c>
      <c r="N139">
        <v>162</v>
      </c>
      <c r="O139">
        <v>69.45</v>
      </c>
      <c r="P139">
        <v>71.02</v>
      </c>
      <c r="Q139">
        <v>74.44</v>
      </c>
      <c r="R139">
        <v>68.23</v>
      </c>
      <c r="S139">
        <v>57.73</v>
      </c>
      <c r="T139">
        <v>70</v>
      </c>
      <c r="U139">
        <v>70</v>
      </c>
    </row>
    <row r="140" spans="1:21" x14ac:dyDescent="0.25">
      <c r="A140" t="s">
        <v>164</v>
      </c>
      <c r="L140" s="2">
        <v>4110.42</v>
      </c>
      <c r="M140" s="2">
        <v>11561.51</v>
      </c>
      <c r="N140" s="2">
        <v>29527</v>
      </c>
      <c r="O140" s="2">
        <v>67055.179999999993</v>
      </c>
      <c r="P140" s="2">
        <v>105236.43</v>
      </c>
      <c r="Q140" s="2">
        <v>143815.51999999999</v>
      </c>
      <c r="R140" s="2">
        <v>171068.34</v>
      </c>
      <c r="S140" s="2">
        <v>184760.17</v>
      </c>
      <c r="T140" s="2">
        <v>227659.28</v>
      </c>
      <c r="U140" s="2">
        <v>229470.86</v>
      </c>
    </row>
    <row r="141" spans="1:21" x14ac:dyDescent="0.25">
      <c r="A141" t="s">
        <v>315</v>
      </c>
      <c r="L141" s="2">
        <v>1351.39</v>
      </c>
      <c r="M141" s="2">
        <v>5457.92</v>
      </c>
      <c r="N141" s="2">
        <v>14665</v>
      </c>
      <c r="O141" s="2">
        <v>39827.300000000003</v>
      </c>
      <c r="P141" s="2">
        <v>65763.59</v>
      </c>
      <c r="Q141" s="2">
        <v>85389.54</v>
      </c>
      <c r="R141" s="2">
        <v>91095.28</v>
      </c>
      <c r="S141" s="2">
        <v>108946.18</v>
      </c>
      <c r="T141" s="2">
        <v>93337.25</v>
      </c>
      <c r="U141" s="2">
        <v>66628.45</v>
      </c>
    </row>
    <row r="142" spans="1:21" x14ac:dyDescent="0.25">
      <c r="A142" t="s">
        <v>1189</v>
      </c>
      <c r="L142">
        <v>527.04999999999995</v>
      </c>
      <c r="M142">
        <v>200.09</v>
      </c>
      <c r="N142">
        <v>1</v>
      </c>
      <c r="O142">
        <v>-3.33</v>
      </c>
      <c r="P142">
        <v>-6.67</v>
      </c>
      <c r="Q142">
        <v>-13.33</v>
      </c>
      <c r="R142">
        <v>-40</v>
      </c>
      <c r="S142">
        <v>-40</v>
      </c>
      <c r="T142">
        <v>-40</v>
      </c>
      <c r="U142">
        <v>-40</v>
      </c>
    </row>
    <row r="143" spans="1:21" x14ac:dyDescent="0.25">
      <c r="A143" t="s">
        <v>420</v>
      </c>
      <c r="L143" s="2">
        <v>1754.87</v>
      </c>
      <c r="M143" s="2">
        <v>3294.98</v>
      </c>
      <c r="N143" s="2">
        <v>6476</v>
      </c>
      <c r="O143" s="2">
        <v>10333.25</v>
      </c>
      <c r="P143" s="2">
        <v>15703.66</v>
      </c>
      <c r="Q143" s="2">
        <v>23517.79</v>
      </c>
      <c r="R143" s="2">
        <v>33078.5</v>
      </c>
      <c r="S143" s="2">
        <v>47408.75</v>
      </c>
      <c r="T143" s="2">
        <v>44561.54</v>
      </c>
      <c r="U143" s="2">
        <v>49910.05</v>
      </c>
    </row>
    <row r="144" spans="1:21" x14ac:dyDescent="0.25">
      <c r="A144" t="s">
        <v>419</v>
      </c>
      <c r="L144">
        <v>432.65</v>
      </c>
      <c r="M144" s="2">
        <v>2388.91</v>
      </c>
      <c r="N144" s="2">
        <v>7768</v>
      </c>
      <c r="O144" s="2">
        <v>16237.53</v>
      </c>
      <c r="P144" s="2">
        <v>22027.52</v>
      </c>
      <c r="Q144" s="2">
        <v>29909.439999999999</v>
      </c>
      <c r="R144" s="2">
        <v>39752.410000000003</v>
      </c>
      <c r="S144" s="2">
        <v>53727.4</v>
      </c>
      <c r="T144" s="2">
        <v>49585.93</v>
      </c>
      <c r="U144" s="2">
        <v>63724.800000000003</v>
      </c>
    </row>
    <row r="145" spans="1:21" x14ac:dyDescent="0.25">
      <c r="A145" t="s">
        <v>501</v>
      </c>
      <c r="L145">
        <v>36.450000000000003</v>
      </c>
      <c r="M145">
        <v>149.22999999999999</v>
      </c>
      <c r="N145">
        <v>115</v>
      </c>
      <c r="O145">
        <v>333.38</v>
      </c>
      <c r="P145">
        <v>402.41</v>
      </c>
      <c r="Q145">
        <v>535.16</v>
      </c>
      <c r="R145">
        <v>946.58</v>
      </c>
      <c r="S145">
        <v>265</v>
      </c>
      <c r="T145">
        <v>272.5</v>
      </c>
      <c r="U145">
        <v>256</v>
      </c>
    </row>
    <row r="146" spans="1:21" x14ac:dyDescent="0.25">
      <c r="A146" t="s">
        <v>78</v>
      </c>
      <c r="L146">
        <v>7.5</v>
      </c>
      <c r="M146">
        <v>36.26</v>
      </c>
      <c r="N146">
        <v>286</v>
      </c>
      <c r="O146">
        <v>396.19</v>
      </c>
      <c r="P146">
        <v>468.15</v>
      </c>
      <c r="Q146">
        <v>643.35</v>
      </c>
      <c r="R146">
        <v>917.11</v>
      </c>
      <c r="S146">
        <v>849.85</v>
      </c>
      <c r="T146">
        <v>355.67</v>
      </c>
      <c r="U146">
        <v>352</v>
      </c>
    </row>
    <row r="147" spans="1:21" x14ac:dyDescent="0.25">
      <c r="A147" t="s">
        <v>1188</v>
      </c>
      <c r="L147">
        <v>0.51</v>
      </c>
      <c r="M147">
        <v>34.119999999999997</v>
      </c>
      <c r="N147">
        <v>216</v>
      </c>
      <c r="O147">
        <v>220.66</v>
      </c>
      <c r="P147">
        <v>233.25</v>
      </c>
      <c r="Q147">
        <v>354.87</v>
      </c>
      <c r="R147">
        <v>482.35</v>
      </c>
      <c r="S147">
        <v>202.56</v>
      </c>
      <c r="T147">
        <v>193.5</v>
      </c>
      <c r="U147">
        <v>214</v>
      </c>
    </row>
    <row r="148" spans="1:21" x14ac:dyDescent="0.25">
      <c r="A148" t="s">
        <v>1190</v>
      </c>
      <c r="L148">
        <v>4.04</v>
      </c>
      <c r="M148">
        <v>91.92</v>
      </c>
      <c r="N148">
        <v>254</v>
      </c>
      <c r="O148">
        <v>47.7</v>
      </c>
      <c r="P148">
        <v>48.61</v>
      </c>
      <c r="Q148">
        <v>49.03</v>
      </c>
    </row>
    <row r="149" spans="1:21" x14ac:dyDescent="0.25">
      <c r="A149" t="s">
        <v>167</v>
      </c>
      <c r="L149" s="2">
        <v>5108.88</v>
      </c>
      <c r="M149" s="2">
        <v>16524.09</v>
      </c>
      <c r="N149" s="2">
        <v>45967</v>
      </c>
      <c r="O149" s="2">
        <v>91336.24</v>
      </c>
      <c r="P149" s="2">
        <v>137451.21</v>
      </c>
      <c r="Q149" s="2">
        <v>182009.39</v>
      </c>
      <c r="R149" s="2">
        <v>223298.76</v>
      </c>
      <c r="S149" s="2">
        <v>276736</v>
      </c>
      <c r="T149" s="2">
        <v>280328.13</v>
      </c>
      <c r="U149" s="2">
        <v>320131.59000000003</v>
      </c>
    </row>
    <row r="150" spans="1:21" x14ac:dyDescent="0.25">
      <c r="A150" t="s">
        <v>170</v>
      </c>
      <c r="L150">
        <v>-131.9</v>
      </c>
      <c r="M150" s="2">
        <v>1308.51</v>
      </c>
      <c r="N150" s="2">
        <v>3335</v>
      </c>
      <c r="O150" s="2">
        <v>5072.96</v>
      </c>
      <c r="P150" s="2">
        <v>7390.3</v>
      </c>
      <c r="Q150" s="2">
        <v>5367.36</v>
      </c>
      <c r="R150" s="2">
        <v>11859.2</v>
      </c>
      <c r="S150" s="2">
        <v>21253</v>
      </c>
      <c r="T150" s="2">
        <v>27769.33</v>
      </c>
      <c r="U150" s="2">
        <v>56835.75</v>
      </c>
    </row>
    <row r="151" spans="1:21" x14ac:dyDescent="0.25">
      <c r="A151" t="s">
        <v>325</v>
      </c>
      <c r="L151">
        <v>32.049999999999997</v>
      </c>
      <c r="M151">
        <v>33.520000000000003</v>
      </c>
      <c r="N151">
        <v>34</v>
      </c>
      <c r="O151">
        <v>34</v>
      </c>
      <c r="P151">
        <v>34</v>
      </c>
      <c r="Q151">
        <v>34</v>
      </c>
      <c r="R151">
        <v>34</v>
      </c>
      <c r="S151">
        <v>34</v>
      </c>
      <c r="T151">
        <v>34</v>
      </c>
      <c r="U151">
        <v>34</v>
      </c>
    </row>
    <row r="152" spans="1:21" x14ac:dyDescent="0.25">
      <c r="A152" t="s">
        <v>1191</v>
      </c>
      <c r="L152">
        <v>48.4</v>
      </c>
      <c r="M152" s="2">
        <v>1096.1600000000001</v>
      </c>
      <c r="N152" s="2">
        <v>6012</v>
      </c>
      <c r="O152" s="2">
        <v>10031.6</v>
      </c>
      <c r="P152" s="2">
        <v>11180.61</v>
      </c>
      <c r="Q152" s="2">
        <v>25155.94</v>
      </c>
      <c r="R152" s="2">
        <v>13706.81</v>
      </c>
      <c r="S152" s="2">
        <v>15730.34</v>
      </c>
      <c r="T152" s="2">
        <v>16781.29</v>
      </c>
      <c r="U152" s="2">
        <v>18329.57</v>
      </c>
    </row>
    <row r="153" spans="1:21" x14ac:dyDescent="0.25">
      <c r="A153" t="s">
        <v>700</v>
      </c>
      <c r="L153">
        <v>-0.15</v>
      </c>
      <c r="M153">
        <v>0</v>
      </c>
      <c r="O153">
        <v>-18</v>
      </c>
      <c r="P153">
        <v>-18</v>
      </c>
      <c r="Q153">
        <v>-18</v>
      </c>
      <c r="R153">
        <v>-18</v>
      </c>
      <c r="S153">
        <v>-18</v>
      </c>
      <c r="T153">
        <v>-18</v>
      </c>
      <c r="U153">
        <v>-18</v>
      </c>
    </row>
    <row r="154" spans="1:21" x14ac:dyDescent="0.25">
      <c r="A154" t="s">
        <v>1192</v>
      </c>
      <c r="L154">
        <v>-612.79</v>
      </c>
      <c r="M154" s="2">
        <v>-1476.24</v>
      </c>
      <c r="N154" s="2">
        <v>-2643</v>
      </c>
      <c r="O154" s="2">
        <v>-4878.29</v>
      </c>
      <c r="P154" s="2">
        <v>-5252.31</v>
      </c>
      <c r="Q154" s="2">
        <v>-6244.46</v>
      </c>
      <c r="R154">
        <v>-921.04</v>
      </c>
      <c r="S154" s="2">
        <v>8458.61</v>
      </c>
      <c r="T154" s="2">
        <v>15670.25</v>
      </c>
      <c r="U154" s="2">
        <v>73398.38</v>
      </c>
    </row>
    <row r="155" spans="1:21" x14ac:dyDescent="0.25">
      <c r="A155" t="s">
        <v>1193</v>
      </c>
      <c r="L155">
        <v>-131.9</v>
      </c>
      <c r="M155" s="2">
        <v>1308.51</v>
      </c>
      <c r="N155" s="2">
        <v>3335</v>
      </c>
      <c r="O155" s="2">
        <v>5815.91</v>
      </c>
      <c r="P155" s="2">
        <v>7336.46</v>
      </c>
      <c r="Q155" s="2">
        <v>5096.71</v>
      </c>
      <c r="R155" s="2">
        <v>11859.2</v>
      </c>
      <c r="S155" s="2">
        <v>21253.06</v>
      </c>
      <c r="T155" s="2">
        <v>27769.33</v>
      </c>
      <c r="U155" s="2">
        <v>56835.53</v>
      </c>
    </row>
    <row r="156" spans="1:21" x14ac:dyDescent="0.25">
      <c r="A156" t="s">
        <v>1194</v>
      </c>
      <c r="L156">
        <v>464.69</v>
      </c>
      <c r="M156" s="2">
        <v>1722.11</v>
      </c>
      <c r="N156">
        <v>0</v>
      </c>
      <c r="O156" s="2">
        <v>115448</v>
      </c>
      <c r="P156" s="2">
        <v>115448</v>
      </c>
      <c r="Q156">
        <v>0</v>
      </c>
    </row>
    <row r="157" spans="1:21" x14ac:dyDescent="0.25">
      <c r="A157" t="s">
        <v>326</v>
      </c>
      <c r="L157" s="2">
        <v>4976.9799999999996</v>
      </c>
      <c r="M157" s="2">
        <v>17832.599999999999</v>
      </c>
      <c r="N157" s="2">
        <v>49302</v>
      </c>
      <c r="O157" s="2">
        <v>97137.31</v>
      </c>
      <c r="P157" s="2">
        <v>146451.65</v>
      </c>
      <c r="Q157" s="2">
        <v>195355.97</v>
      </c>
      <c r="R157" s="2">
        <v>235705.11</v>
      </c>
      <c r="S157" s="2">
        <v>296787.21000000002</v>
      </c>
      <c r="T157" s="2">
        <v>302987.98</v>
      </c>
      <c r="U157" s="2">
        <v>347066.64</v>
      </c>
    </row>
    <row r="158" spans="1:21" x14ac:dyDescent="0.25">
      <c r="A158" t="s">
        <v>17</v>
      </c>
    </row>
    <row r="159" spans="1:21" x14ac:dyDescent="0.25">
      <c r="A159" t="s">
        <v>176</v>
      </c>
    </row>
    <row r="160" spans="1:21" x14ac:dyDescent="0.25">
      <c r="A160" t="s">
        <v>1195</v>
      </c>
      <c r="L160" s="2">
        <v>2464.4299999999998</v>
      </c>
      <c r="M160" s="2">
        <v>12342.39</v>
      </c>
      <c r="N160" s="2">
        <v>29822</v>
      </c>
      <c r="O160" s="2">
        <v>63890.15</v>
      </c>
      <c r="P160" s="2">
        <v>93706.45</v>
      </c>
      <c r="Q160" s="2">
        <v>112078.75</v>
      </c>
      <c r="R160" s="2">
        <v>123537.71</v>
      </c>
      <c r="S160" s="2">
        <v>124916.99</v>
      </c>
      <c r="T160" s="2">
        <v>152756.97</v>
      </c>
      <c r="U160" s="2">
        <v>194806.42</v>
      </c>
    </row>
    <row r="161" spans="1:21" x14ac:dyDescent="0.25">
      <c r="A161" t="s">
        <v>1196</v>
      </c>
      <c r="L161" s="2">
        <v>1523.25</v>
      </c>
      <c r="M161" s="2">
        <v>7926.34</v>
      </c>
      <c r="N161" s="2">
        <v>21615</v>
      </c>
      <c r="O161" s="2">
        <v>47256.92</v>
      </c>
      <c r="P161" s="2">
        <v>72455.02</v>
      </c>
      <c r="Q161" s="2">
        <v>90219.01</v>
      </c>
      <c r="R161" s="2">
        <v>100373.51</v>
      </c>
      <c r="S161" s="2">
        <v>118568.2</v>
      </c>
      <c r="T161" s="2">
        <v>136318.5</v>
      </c>
      <c r="U161" s="2">
        <v>132693.10999999999</v>
      </c>
    </row>
    <row r="162" spans="1:21" x14ac:dyDescent="0.25">
      <c r="A162" t="s">
        <v>1197</v>
      </c>
      <c r="M162">
        <v>-107</v>
      </c>
      <c r="N162">
        <v>-242</v>
      </c>
      <c r="O162">
        <v>-438.9</v>
      </c>
      <c r="P162">
        <v>-661.2</v>
      </c>
      <c r="Q162">
        <v>-739.08</v>
      </c>
      <c r="R162" s="2">
        <v>-1153.5</v>
      </c>
      <c r="S162" s="2">
        <v>-1302.82</v>
      </c>
      <c r="T162" s="2">
        <v>-2396.3200000000002</v>
      </c>
      <c r="U162" s="2">
        <v>-2773.59</v>
      </c>
    </row>
    <row r="163" spans="1:21" x14ac:dyDescent="0.25">
      <c r="A163" t="s">
        <v>1198</v>
      </c>
      <c r="L163">
        <v>472.44</v>
      </c>
      <c r="M163" s="2">
        <v>2602.02</v>
      </c>
      <c r="N163" s="2">
        <v>8195</v>
      </c>
      <c r="O163" s="2">
        <v>15422.38</v>
      </c>
      <c r="P163" s="2">
        <v>20582.71</v>
      </c>
      <c r="Q163" s="2">
        <v>25445.69</v>
      </c>
      <c r="R163" s="2">
        <v>16319</v>
      </c>
    </row>
    <row r="164" spans="1:21" x14ac:dyDescent="0.25">
      <c r="A164" t="s">
        <v>611</v>
      </c>
      <c r="L164">
        <v>263.66000000000003</v>
      </c>
      <c r="M164">
        <v>79.59</v>
      </c>
      <c r="N164">
        <v>225.43</v>
      </c>
      <c r="O164">
        <v>135.27000000000001</v>
      </c>
      <c r="P164">
        <v>123.83</v>
      </c>
      <c r="Q164">
        <v>112.14</v>
      </c>
      <c r="R164">
        <v>80.08</v>
      </c>
      <c r="S164">
        <v>73.88</v>
      </c>
      <c r="T164">
        <v>88</v>
      </c>
      <c r="U164">
        <v>90</v>
      </c>
    </row>
    <row r="165" spans="1:21" x14ac:dyDescent="0.25">
      <c r="A165" t="s">
        <v>186</v>
      </c>
      <c r="L165">
        <v>0.5</v>
      </c>
      <c r="M165">
        <v>0.39</v>
      </c>
      <c r="N165">
        <v>0.46</v>
      </c>
      <c r="O165">
        <v>0.43</v>
      </c>
      <c r="P165">
        <v>0.45</v>
      </c>
      <c r="Q165">
        <v>0.49</v>
      </c>
      <c r="R165">
        <v>0.19</v>
      </c>
      <c r="S165">
        <v>0.22</v>
      </c>
      <c r="T165">
        <v>0.87</v>
      </c>
      <c r="U165">
        <v>0.96</v>
      </c>
    </row>
    <row r="166" spans="1:21" x14ac:dyDescent="0.25">
      <c r="A166" t="s">
        <v>1199</v>
      </c>
      <c r="M166">
        <v>-1.78</v>
      </c>
      <c r="N166">
        <v>6.64</v>
      </c>
      <c r="O166">
        <v>8.31</v>
      </c>
      <c r="P166">
        <v>8.92</v>
      </c>
      <c r="Q166">
        <v>8.92</v>
      </c>
      <c r="R166">
        <v>46.4</v>
      </c>
      <c r="S166">
        <v>93.4</v>
      </c>
    </row>
    <row r="167" spans="1:21" x14ac:dyDescent="0.25">
      <c r="A167" t="s">
        <v>17</v>
      </c>
    </row>
    <row r="168" spans="1:21" x14ac:dyDescent="0.25">
      <c r="A168" t="s">
        <v>188</v>
      </c>
    </row>
    <row r="169" spans="1:21" x14ac:dyDescent="0.25">
      <c r="A169" t="s">
        <v>1200</v>
      </c>
    </row>
    <row r="170" spans="1:21" x14ac:dyDescent="0.25">
      <c r="A170" t="s">
        <v>121</v>
      </c>
      <c r="K170">
        <v>-30.87</v>
      </c>
      <c r="L170">
        <v>-593.75</v>
      </c>
      <c r="M170">
        <v>-863.45</v>
      </c>
      <c r="N170" s="2">
        <v>-1167</v>
      </c>
      <c r="O170" s="2">
        <v>-2719.39</v>
      </c>
      <c r="P170" s="2">
        <v>-2092.79</v>
      </c>
      <c r="Q170">
        <v>-328.21</v>
      </c>
      <c r="R170" s="2">
        <v>3964.42</v>
      </c>
      <c r="S170" s="2">
        <v>7885.29</v>
      </c>
      <c r="T170" s="2">
        <v>8872.33</v>
      </c>
      <c r="U170" s="2">
        <v>15564.25</v>
      </c>
    </row>
    <row r="171" spans="1:21" x14ac:dyDescent="0.25">
      <c r="A171" t="s">
        <v>190</v>
      </c>
      <c r="K171">
        <v>11.7</v>
      </c>
      <c r="L171">
        <v>103.21</v>
      </c>
      <c r="M171">
        <v>863.41</v>
      </c>
      <c r="N171" s="2">
        <v>2454</v>
      </c>
      <c r="O171" s="2">
        <v>6472.02</v>
      </c>
      <c r="P171" s="2">
        <v>12341.76</v>
      </c>
      <c r="Q171" s="2">
        <v>19387.02</v>
      </c>
      <c r="R171" s="2">
        <v>27049.66</v>
      </c>
      <c r="S171" s="2">
        <v>35719.93</v>
      </c>
      <c r="T171" s="2">
        <v>36817.980000000003</v>
      </c>
      <c r="U171" s="2">
        <v>50479.199999999997</v>
      </c>
    </row>
    <row r="172" spans="1:21" x14ac:dyDescent="0.25">
      <c r="A172" t="s">
        <v>61</v>
      </c>
      <c r="K172">
        <v>73.88</v>
      </c>
      <c r="L172">
        <v>45.08</v>
      </c>
      <c r="M172">
        <v>45.08</v>
      </c>
      <c r="N172">
        <v>47.83</v>
      </c>
      <c r="O172">
        <v>51.2</v>
      </c>
      <c r="P172">
        <v>48.13</v>
      </c>
      <c r="Q172">
        <v>48.2</v>
      </c>
      <c r="R172">
        <v>47.51</v>
      </c>
      <c r="S172">
        <v>46.29</v>
      </c>
      <c r="T172">
        <v>42.27</v>
      </c>
      <c r="U172">
        <v>43.77</v>
      </c>
    </row>
    <row r="173" spans="1:21" x14ac:dyDescent="0.25">
      <c r="A173" t="s">
        <v>703</v>
      </c>
      <c r="K173">
        <v>3.8</v>
      </c>
      <c r="L173">
        <v>16.53</v>
      </c>
      <c r="M173">
        <v>33.380000000000003</v>
      </c>
      <c r="N173">
        <v>110</v>
      </c>
      <c r="O173">
        <v>132.55000000000001</v>
      </c>
      <c r="P173">
        <v>171.58</v>
      </c>
      <c r="Q173">
        <v>219.46</v>
      </c>
      <c r="R173">
        <v>316.10000000000002</v>
      </c>
      <c r="S173">
        <v>354.31</v>
      </c>
      <c r="T173">
        <v>376.6</v>
      </c>
      <c r="U173">
        <v>312.73</v>
      </c>
    </row>
    <row r="174" spans="1:21" x14ac:dyDescent="0.25">
      <c r="A174" t="s">
        <v>335</v>
      </c>
      <c r="K174">
        <v>1.49</v>
      </c>
      <c r="L174">
        <v>15.15</v>
      </c>
      <c r="M174">
        <v>31.49</v>
      </c>
      <c r="N174">
        <v>630</v>
      </c>
      <c r="O174">
        <v>725.11</v>
      </c>
      <c r="P174" s="2">
        <v>1031.68</v>
      </c>
      <c r="Q174">
        <v>234.25</v>
      </c>
      <c r="R174" s="2">
        <v>-1714.96</v>
      </c>
      <c r="S174" s="2">
        <v>2444.16</v>
      </c>
      <c r="T174" s="2">
        <v>2234.23</v>
      </c>
      <c r="U174" s="2">
        <v>2889.84</v>
      </c>
    </row>
    <row r="175" spans="1:21" x14ac:dyDescent="0.25">
      <c r="A175" t="s">
        <v>61</v>
      </c>
      <c r="N175">
        <v>12.28</v>
      </c>
      <c r="O175">
        <v>5.86</v>
      </c>
      <c r="P175">
        <v>4.62</v>
      </c>
      <c r="Q175">
        <v>3.49</v>
      </c>
      <c r="R175">
        <v>3.27</v>
      </c>
      <c r="S175">
        <v>3.02</v>
      </c>
      <c r="T175">
        <v>3.38</v>
      </c>
      <c r="U175">
        <v>3.37</v>
      </c>
    </row>
    <row r="176" spans="1:21" x14ac:dyDescent="0.25">
      <c r="A176" t="s">
        <v>546</v>
      </c>
      <c r="K176">
        <v>-1.28</v>
      </c>
      <c r="L176">
        <v>35.82</v>
      </c>
      <c r="M176">
        <v>112.79</v>
      </c>
      <c r="N176">
        <v>-53</v>
      </c>
      <c r="O176">
        <v>238.75</v>
      </c>
      <c r="P176">
        <v>269.51</v>
      </c>
      <c r="Q176">
        <v>445.39</v>
      </c>
      <c r="R176" s="2">
        <v>2544.1999999999998</v>
      </c>
      <c r="S176" s="2">
        <v>6103.9</v>
      </c>
      <c r="T176" s="2">
        <v>10363.200000000001</v>
      </c>
      <c r="U176" s="2">
        <v>13920.13</v>
      </c>
    </row>
    <row r="177" spans="1:21" x14ac:dyDescent="0.25">
      <c r="A177" t="s">
        <v>338</v>
      </c>
    </row>
    <row r="178" spans="1:21" x14ac:dyDescent="0.25">
      <c r="A178" t="s">
        <v>141</v>
      </c>
      <c r="K178">
        <v>-1.89</v>
      </c>
      <c r="L178">
        <v>-162.41</v>
      </c>
      <c r="M178">
        <v>-279.72000000000003</v>
      </c>
      <c r="N178" s="2">
        <v>-2749</v>
      </c>
      <c r="O178" s="2">
        <v>-2218.41</v>
      </c>
      <c r="P178" s="2">
        <v>-4208.32</v>
      </c>
      <c r="Q178" s="2">
        <v>-3700.07</v>
      </c>
      <c r="R178" s="2">
        <v>-4185.3100000000004</v>
      </c>
      <c r="S178" s="2">
        <v>-2808.57</v>
      </c>
      <c r="T178">
        <v>-702.69</v>
      </c>
      <c r="U178" s="2">
        <v>-1786.59</v>
      </c>
    </row>
    <row r="179" spans="1:21" x14ac:dyDescent="0.25">
      <c r="A179" t="s">
        <v>1201</v>
      </c>
      <c r="K179">
        <v>0.36</v>
      </c>
      <c r="L179">
        <v>-54.46</v>
      </c>
      <c r="M179">
        <v>393.76</v>
      </c>
      <c r="N179">
        <v>253</v>
      </c>
    </row>
    <row r="180" spans="1:21" x14ac:dyDescent="0.25">
      <c r="A180" t="s">
        <v>1202</v>
      </c>
      <c r="K180">
        <v>1.4</v>
      </c>
      <c r="L180">
        <v>26.81</v>
      </c>
      <c r="M180">
        <v>510.57</v>
      </c>
      <c r="N180">
        <v>253</v>
      </c>
      <c r="O180" s="2">
        <v>1604.8</v>
      </c>
      <c r="P180" s="2">
        <v>4119.29</v>
      </c>
      <c r="Q180" s="2">
        <v>3998.59</v>
      </c>
      <c r="R180" s="2">
        <v>5274.85</v>
      </c>
      <c r="S180" s="2">
        <v>3686.97</v>
      </c>
      <c r="T180" s="2">
        <v>2188.6</v>
      </c>
      <c r="U180" s="2">
        <v>2519.9</v>
      </c>
    </row>
    <row r="181" spans="1:21" x14ac:dyDescent="0.25">
      <c r="A181" t="s">
        <v>1203</v>
      </c>
      <c r="K181">
        <v>0</v>
      </c>
      <c r="L181">
        <v>-9.3000000000000007</v>
      </c>
      <c r="M181">
        <v>-87.61</v>
      </c>
      <c r="N181">
        <v>0</v>
      </c>
      <c r="O181">
        <v>447.58</v>
      </c>
      <c r="P181" s="2">
        <v>3254.79</v>
      </c>
      <c r="Q181" s="2">
        <v>4965.28</v>
      </c>
      <c r="R181" s="2">
        <v>8125.37</v>
      </c>
      <c r="S181" s="2">
        <v>10538.33</v>
      </c>
      <c r="T181" s="2">
        <v>-1356.47</v>
      </c>
      <c r="U181">
        <v>-956.78</v>
      </c>
    </row>
    <row r="182" spans="1:21" x14ac:dyDescent="0.25">
      <c r="A182" t="s">
        <v>1204</v>
      </c>
      <c r="K182">
        <v>-1.05</v>
      </c>
      <c r="L182">
        <v>-71.959999999999994</v>
      </c>
      <c r="M182">
        <v>-29.2</v>
      </c>
      <c r="N182">
        <v>0</v>
      </c>
      <c r="O182">
        <v>-816.76</v>
      </c>
      <c r="P182">
        <v>-492.22</v>
      </c>
      <c r="Q182">
        <v>-538.54</v>
      </c>
      <c r="R182" s="2">
        <v>-1077.72</v>
      </c>
      <c r="S182">
        <v>-841.9</v>
      </c>
      <c r="T182">
        <v>-292.7</v>
      </c>
      <c r="U182">
        <v>-40</v>
      </c>
    </row>
    <row r="183" spans="1:21" x14ac:dyDescent="0.25">
      <c r="A183" t="s">
        <v>161</v>
      </c>
      <c r="K183">
        <v>9.35</v>
      </c>
      <c r="L183" s="2">
        <v>1986.3</v>
      </c>
      <c r="M183" s="2">
        <v>2049.0700000000002</v>
      </c>
      <c r="N183" s="2">
        <v>4174</v>
      </c>
      <c r="O183" s="2">
        <v>5019.96</v>
      </c>
      <c r="P183" s="2">
        <v>7452.06</v>
      </c>
      <c r="Q183" s="2">
        <v>8545.98</v>
      </c>
      <c r="R183" s="2">
        <v>11035.61</v>
      </c>
      <c r="S183" s="2">
        <v>16131.56</v>
      </c>
      <c r="T183" s="2">
        <v>2799.79</v>
      </c>
      <c r="U183" s="2">
        <v>-2373.52</v>
      </c>
    </row>
    <row r="184" spans="1:21" x14ac:dyDescent="0.25">
      <c r="A184" t="s">
        <v>154</v>
      </c>
      <c r="K184">
        <v>0.09</v>
      </c>
      <c r="L184">
        <v>-67.319999999999993</v>
      </c>
      <c r="M184">
        <v>-485.33</v>
      </c>
      <c r="O184">
        <v>-509.76</v>
      </c>
      <c r="P184" s="2">
        <v>-1093.25</v>
      </c>
      <c r="Q184" s="2">
        <v>-5380.48</v>
      </c>
      <c r="R184" s="2">
        <v>-11156.66</v>
      </c>
      <c r="S184" s="2">
        <v>-16271.48</v>
      </c>
    </row>
    <row r="185" spans="1:21" x14ac:dyDescent="0.25">
      <c r="A185" t="s">
        <v>166</v>
      </c>
      <c r="K185">
        <v>0</v>
      </c>
      <c r="L185">
        <v>-1.42</v>
      </c>
      <c r="M185">
        <v>0.11</v>
      </c>
      <c r="N185">
        <v>0</v>
      </c>
      <c r="O185">
        <v>21.01</v>
      </c>
      <c r="P185">
        <v>874.09</v>
      </c>
      <c r="Q185" s="2">
        <v>2164.31</v>
      </c>
      <c r="R185" s="2">
        <v>5624.08</v>
      </c>
      <c r="S185" s="2">
        <v>1485.81</v>
      </c>
      <c r="T185" s="2">
        <v>2861.37</v>
      </c>
      <c r="U185" s="2">
        <v>-1472.19</v>
      </c>
    </row>
    <row r="186" spans="1:21" x14ac:dyDescent="0.25">
      <c r="A186" t="s">
        <v>204</v>
      </c>
      <c r="K186">
        <v>0.91</v>
      </c>
      <c r="L186" s="2">
        <v>1832.65</v>
      </c>
      <c r="M186" s="2">
        <v>2749.17</v>
      </c>
      <c r="N186" s="2">
        <v>3058</v>
      </c>
      <c r="O186" s="2">
        <v>8904.43</v>
      </c>
      <c r="P186" s="2">
        <v>17704.7</v>
      </c>
      <c r="Q186" s="2">
        <v>29414.01</v>
      </c>
      <c r="R186" s="2">
        <v>45350.98</v>
      </c>
      <c r="S186" s="2">
        <v>61917.26</v>
      </c>
      <c r="T186" s="2">
        <v>51246.97</v>
      </c>
      <c r="U186" s="2">
        <v>68010.61</v>
      </c>
    </row>
    <row r="187" spans="1:21" x14ac:dyDescent="0.25">
      <c r="A187" t="s">
        <v>17</v>
      </c>
    </row>
    <row r="188" spans="1:21" x14ac:dyDescent="0.25">
      <c r="A188" t="s">
        <v>1205</v>
      </c>
    </row>
    <row r="189" spans="1:21" x14ac:dyDescent="0.25">
      <c r="A189" t="s">
        <v>206</v>
      </c>
      <c r="K189">
        <v>-72.400000000000006</v>
      </c>
      <c r="L189" s="2">
        <v>-2943.13</v>
      </c>
      <c r="M189" s="2">
        <v>-8702.08</v>
      </c>
      <c r="N189" s="2">
        <v>-10309</v>
      </c>
      <c r="O189" s="2">
        <v>-35658.57</v>
      </c>
      <c r="P189" s="2">
        <v>-47786.73</v>
      </c>
      <c r="Q189" s="2">
        <v>-49541.83</v>
      </c>
      <c r="R189" s="2">
        <v>-52918.33</v>
      </c>
      <c r="S189" s="2">
        <v>-57810.87</v>
      </c>
      <c r="T189" s="2">
        <v>-48129.38</v>
      </c>
      <c r="U189" s="2">
        <v>-59896.67</v>
      </c>
    </row>
    <row r="190" spans="1:21" x14ac:dyDescent="0.25">
      <c r="A190" t="s">
        <v>921</v>
      </c>
      <c r="K190">
        <v>0</v>
      </c>
      <c r="L190">
        <v>0</v>
      </c>
      <c r="M190">
        <v>185.22</v>
      </c>
      <c r="N190">
        <v>43</v>
      </c>
      <c r="O190">
        <v>-19.16</v>
      </c>
      <c r="P190">
        <v>0</v>
      </c>
      <c r="Q190">
        <v>0</v>
      </c>
    </row>
    <row r="191" spans="1:21" x14ac:dyDescent="0.25">
      <c r="A191" t="s">
        <v>1206</v>
      </c>
      <c r="K191">
        <v>7</v>
      </c>
      <c r="L191">
        <v>5.69</v>
      </c>
      <c r="M191">
        <v>2.4700000000000002</v>
      </c>
      <c r="N191">
        <v>0</v>
      </c>
      <c r="O191">
        <v>9.6</v>
      </c>
      <c r="P191">
        <v>12</v>
      </c>
    </row>
    <row r="192" spans="1:21" x14ac:dyDescent="0.25">
      <c r="A192" t="s">
        <v>431</v>
      </c>
      <c r="K192">
        <v>0</v>
      </c>
      <c r="L192">
        <v>-33</v>
      </c>
      <c r="M192">
        <v>-50</v>
      </c>
      <c r="N192">
        <v>0</v>
      </c>
      <c r="O192">
        <v>-202.13</v>
      </c>
      <c r="P192">
        <v>0</v>
      </c>
    </row>
    <row r="193" spans="1:21" x14ac:dyDescent="0.25">
      <c r="A193" t="s">
        <v>213</v>
      </c>
      <c r="K193">
        <v>-79.180000000000007</v>
      </c>
      <c r="L193" s="2">
        <v>-3147.71</v>
      </c>
      <c r="M193" s="2">
        <v>-8658.06</v>
      </c>
      <c r="N193" s="2">
        <v>-10271</v>
      </c>
      <c r="O193" s="2">
        <v>-36249.599999999999</v>
      </c>
      <c r="P193" s="2">
        <v>-48754.86</v>
      </c>
      <c r="Q193" s="2">
        <v>-51318.74</v>
      </c>
      <c r="R193" s="2">
        <v>-54553.599999999999</v>
      </c>
      <c r="S193" s="2">
        <v>-61025.42</v>
      </c>
      <c r="T193" s="2">
        <v>-49096.63</v>
      </c>
      <c r="U193" s="2">
        <v>-63475.54</v>
      </c>
    </row>
    <row r="194" spans="1:21" x14ac:dyDescent="0.25">
      <c r="A194" t="s">
        <v>17</v>
      </c>
    </row>
    <row r="195" spans="1:21" x14ac:dyDescent="0.25">
      <c r="A195" t="s">
        <v>1207</v>
      </c>
    </row>
    <row r="196" spans="1:21" x14ac:dyDescent="0.25">
      <c r="A196" t="s">
        <v>347</v>
      </c>
      <c r="K196">
        <v>0</v>
      </c>
      <c r="L196">
        <v>0</v>
      </c>
      <c r="M196">
        <v>-57.75</v>
      </c>
      <c r="N196">
        <v>-29</v>
      </c>
    </row>
    <row r="197" spans="1:21" x14ac:dyDescent="0.25">
      <c r="A197" t="s">
        <v>1208</v>
      </c>
      <c r="K197">
        <v>85.29</v>
      </c>
      <c r="L197" s="2">
        <v>1401.63</v>
      </c>
      <c r="M197" s="2">
        <v>6429.95</v>
      </c>
      <c r="N197" s="2">
        <v>8430</v>
      </c>
      <c r="O197" s="2">
        <v>25845.25</v>
      </c>
      <c r="P197" s="2">
        <v>28139.94</v>
      </c>
      <c r="Q197" s="2">
        <v>21447.360000000001</v>
      </c>
      <c r="R197" s="2">
        <v>3361.8</v>
      </c>
      <c r="S197" s="2">
        <v>-3620.7</v>
      </c>
      <c r="T197" s="2">
        <v>-19123.400000000001</v>
      </c>
      <c r="U197" s="2">
        <v>-17013.5</v>
      </c>
    </row>
    <row r="198" spans="1:21" x14ac:dyDescent="0.25">
      <c r="A198" t="s">
        <v>1209</v>
      </c>
      <c r="K198">
        <v>90</v>
      </c>
      <c r="L198" s="2">
        <v>1415.86</v>
      </c>
      <c r="M198" s="2">
        <v>7022.29</v>
      </c>
      <c r="N198" s="2">
        <v>11829</v>
      </c>
      <c r="O198" s="2">
        <v>32477.56</v>
      </c>
      <c r="P198" s="2">
        <v>33842.449999999997</v>
      </c>
      <c r="Q198" s="2">
        <v>27143.43</v>
      </c>
      <c r="R198" s="2">
        <v>24606.53</v>
      </c>
      <c r="S198" s="2">
        <v>21364.76</v>
      </c>
      <c r="T198" s="2">
        <v>37273.74</v>
      </c>
      <c r="U198" s="2">
        <v>9883.24</v>
      </c>
    </row>
    <row r="199" spans="1:21" x14ac:dyDescent="0.25">
      <c r="A199" t="s">
        <v>1210</v>
      </c>
      <c r="K199">
        <v>0</v>
      </c>
      <c r="L199">
        <v>1.67</v>
      </c>
      <c r="M199">
        <v>2.89</v>
      </c>
      <c r="O199">
        <v>0</v>
      </c>
      <c r="P199">
        <v>0</v>
      </c>
    </row>
    <row r="200" spans="1:21" x14ac:dyDescent="0.25">
      <c r="A200" t="s">
        <v>674</v>
      </c>
      <c r="K200">
        <v>0</v>
      </c>
      <c r="L200">
        <v>437.27</v>
      </c>
      <c r="M200" s="2">
        <v>1175.3699999999999</v>
      </c>
      <c r="N200">
        <v>20</v>
      </c>
      <c r="O200" s="2">
        <v>2349.4299999999998</v>
      </c>
      <c r="P200" s="2">
        <v>1155.1600000000001</v>
      </c>
      <c r="Q200" s="2">
        <v>1888.58</v>
      </c>
      <c r="R200">
        <v>0</v>
      </c>
    </row>
    <row r="201" spans="1:21" x14ac:dyDescent="0.25">
      <c r="A201" t="s">
        <v>563</v>
      </c>
      <c r="K201">
        <v>0</v>
      </c>
      <c r="L201">
        <v>-32.049999999999997</v>
      </c>
      <c r="M201">
        <v>-1.47</v>
      </c>
      <c r="N201">
        <v>0</v>
      </c>
    </row>
    <row r="202" spans="1:21" x14ac:dyDescent="0.25">
      <c r="A202" t="s">
        <v>1211</v>
      </c>
      <c r="K202">
        <v>0</v>
      </c>
      <c r="L202">
        <v>14.84</v>
      </c>
      <c r="M202">
        <v>0</v>
      </c>
      <c r="O202" s="2">
        <v>2980.48</v>
      </c>
      <c r="P202" s="2">
        <v>2288.2399999999998</v>
      </c>
      <c r="Q202" s="2">
        <v>2922.15</v>
      </c>
    </row>
    <row r="203" spans="1:21" x14ac:dyDescent="0.25">
      <c r="A203" t="s">
        <v>1212</v>
      </c>
      <c r="K203">
        <v>-3.84</v>
      </c>
      <c r="L203">
        <v>-19.100000000000001</v>
      </c>
      <c r="M203">
        <v>-81.45</v>
      </c>
      <c r="N203">
        <v>887</v>
      </c>
      <c r="O203">
        <v>-138</v>
      </c>
      <c r="P203">
        <v>-64.75</v>
      </c>
      <c r="Q203">
        <v>-133.58000000000001</v>
      </c>
      <c r="R203">
        <v>-185.67</v>
      </c>
      <c r="S203">
        <v>-80</v>
      </c>
      <c r="T203">
        <v>-80</v>
      </c>
      <c r="U203">
        <v>-80</v>
      </c>
    </row>
    <row r="204" spans="1:21" x14ac:dyDescent="0.25">
      <c r="A204" t="s">
        <v>218</v>
      </c>
      <c r="K204">
        <v>81.45</v>
      </c>
      <c r="L204" s="2">
        <v>1787.75</v>
      </c>
      <c r="M204" s="2">
        <v>7464.65</v>
      </c>
      <c r="N204" s="2">
        <v>9308</v>
      </c>
      <c r="O204" s="2">
        <v>28460.6</v>
      </c>
      <c r="P204" s="2">
        <v>31808.51</v>
      </c>
      <c r="Q204" s="2">
        <v>23067.41</v>
      </c>
      <c r="R204" s="2">
        <v>15568.42</v>
      </c>
      <c r="S204" s="2">
        <v>10841.82</v>
      </c>
      <c r="T204" s="2">
        <v>9291.5</v>
      </c>
      <c r="U204" s="2">
        <v>-4002.25</v>
      </c>
    </row>
    <row r="205" spans="1:21" x14ac:dyDescent="0.25">
      <c r="A205" t="s">
        <v>17</v>
      </c>
    </row>
    <row r="206" spans="1:21" x14ac:dyDescent="0.25">
      <c r="A206" t="s">
        <v>176</v>
      </c>
    </row>
    <row r="207" spans="1:21" x14ac:dyDescent="0.25">
      <c r="A207" t="s">
        <v>1213</v>
      </c>
      <c r="K207">
        <v>3.18</v>
      </c>
      <c r="L207">
        <v>472.69</v>
      </c>
      <c r="M207" s="2">
        <v>1555.76</v>
      </c>
      <c r="N207" s="2">
        <v>2095</v>
      </c>
      <c r="O207" s="2">
        <v>1443.13</v>
      </c>
      <c r="P207">
        <v>278.08</v>
      </c>
      <c r="Q207" s="2">
        <v>1074.51</v>
      </c>
      <c r="R207" s="2">
        <v>4603.79</v>
      </c>
      <c r="S207" s="2">
        <v>11926.7</v>
      </c>
      <c r="T207" s="2">
        <v>11441.85</v>
      </c>
      <c r="U207">
        <v>532.82000000000005</v>
      </c>
    </row>
    <row r="208" spans="1:21" x14ac:dyDescent="0.25">
      <c r="A208" t="s">
        <v>221</v>
      </c>
      <c r="K208">
        <v>4.2</v>
      </c>
      <c r="L208">
        <v>7.38</v>
      </c>
      <c r="M208">
        <v>480.08</v>
      </c>
      <c r="N208" s="2">
        <v>2035</v>
      </c>
      <c r="O208" s="2">
        <v>4127.6000000000004</v>
      </c>
      <c r="P208" s="2">
        <v>5779.35</v>
      </c>
      <c r="Q208" s="2">
        <v>4737.95</v>
      </c>
      <c r="R208" s="2">
        <v>6779.06</v>
      </c>
      <c r="S208" s="2">
        <v>14866.23</v>
      </c>
      <c r="T208" s="2">
        <v>31526.959999999999</v>
      </c>
      <c r="U208" s="2">
        <v>46070.96</v>
      </c>
    </row>
    <row r="209" spans="1:21" x14ac:dyDescent="0.25">
      <c r="A209" t="s">
        <v>222</v>
      </c>
      <c r="K209">
        <v>7.38</v>
      </c>
      <c r="L209">
        <v>480.08</v>
      </c>
      <c r="M209" s="2">
        <v>2035.83</v>
      </c>
      <c r="N209" s="2">
        <v>4130</v>
      </c>
      <c r="O209" s="2">
        <v>5641.45</v>
      </c>
      <c r="P209" s="2">
        <v>5822.62</v>
      </c>
      <c r="Q209" s="2">
        <v>6015.68</v>
      </c>
      <c r="R209" s="2">
        <v>10504.3</v>
      </c>
      <c r="S209" s="2">
        <v>22692.98</v>
      </c>
      <c r="T209" s="2">
        <v>38475.980000000003</v>
      </c>
      <c r="U209" s="2">
        <v>44343.82</v>
      </c>
    </row>
    <row r="210" spans="1:21" x14ac:dyDescent="0.25">
      <c r="A210" t="s">
        <v>178</v>
      </c>
    </row>
    <row r="211" spans="1:21" x14ac:dyDescent="0.25">
      <c r="A211" t="s">
        <v>1214</v>
      </c>
      <c r="N211" s="2">
        <v>8200</v>
      </c>
      <c r="O211" s="2">
        <v>38526.370000000003</v>
      </c>
      <c r="P211" s="2">
        <v>52028.47</v>
      </c>
      <c r="Q211" s="2">
        <v>57344</v>
      </c>
      <c r="R211" s="2">
        <v>63977.17</v>
      </c>
      <c r="S211" s="2">
        <v>68412.98</v>
      </c>
      <c r="T211" s="2">
        <v>53550.71</v>
      </c>
      <c r="U211" s="2">
        <v>59926.03</v>
      </c>
    </row>
    <row r="212" spans="1:21" x14ac:dyDescent="0.25">
      <c r="A212" t="s">
        <v>225</v>
      </c>
      <c r="K212">
        <v>-71.489999999999995</v>
      </c>
      <c r="L212" s="2">
        <v>-1110.48</v>
      </c>
      <c r="M212" s="2">
        <v>-5952.91</v>
      </c>
      <c r="N212" s="2">
        <v>-7251</v>
      </c>
      <c r="O212" s="2">
        <v>-27167.57</v>
      </c>
      <c r="P212" s="2">
        <v>-30261.200000000001</v>
      </c>
      <c r="Q212" s="2">
        <v>-21274.92</v>
      </c>
      <c r="R212" s="2">
        <v>-11781.35</v>
      </c>
      <c r="S212" s="2">
        <v>1201.22</v>
      </c>
      <c r="T212">
        <v>533.86</v>
      </c>
      <c r="U212">
        <v>231.09</v>
      </c>
    </row>
    <row r="213" spans="1:21" x14ac:dyDescent="0.25">
      <c r="A213" t="s">
        <v>228</v>
      </c>
      <c r="K213">
        <v>-451.64</v>
      </c>
      <c r="L213">
        <v>-485.05</v>
      </c>
      <c r="M213">
        <v>-310.79000000000002</v>
      </c>
      <c r="N213">
        <v>-141.32</v>
      </c>
      <c r="O213">
        <v>-211</v>
      </c>
      <c r="P213">
        <v>-118.18</v>
      </c>
      <c r="Q213">
        <v>-54.03</v>
      </c>
      <c r="R213">
        <v>-24.49</v>
      </c>
      <c r="S213">
        <v>-2.1</v>
      </c>
      <c r="T213">
        <v>13.79</v>
      </c>
      <c r="U213">
        <v>22.65</v>
      </c>
    </row>
    <row r="214" spans="1:21" x14ac:dyDescent="0.25">
      <c r="A214" t="s">
        <v>1215</v>
      </c>
      <c r="K214">
        <v>-7.92</v>
      </c>
      <c r="L214">
        <v>-115.58</v>
      </c>
      <c r="M214">
        <v>-27.31</v>
      </c>
      <c r="N214">
        <v>-16.63</v>
      </c>
      <c r="O214">
        <v>-61.17</v>
      </c>
      <c r="P214">
        <v>-47.53</v>
      </c>
      <c r="Q214">
        <v>-24.04</v>
      </c>
      <c r="R214">
        <v>-15.04</v>
      </c>
      <c r="S214">
        <v>4.24</v>
      </c>
      <c r="T214">
        <v>1.91</v>
      </c>
      <c r="U214">
        <v>5.92</v>
      </c>
    </row>
    <row r="215" spans="1:21" x14ac:dyDescent="0.25">
      <c r="A215" t="s">
        <v>229</v>
      </c>
      <c r="K215">
        <v>5.75</v>
      </c>
      <c r="L215">
        <v>800.48</v>
      </c>
      <c r="M215">
        <v>143.53</v>
      </c>
      <c r="N215">
        <v>59.6</v>
      </c>
      <c r="O215">
        <v>64.239999999999995</v>
      </c>
      <c r="P215">
        <v>73.8</v>
      </c>
      <c r="Q215">
        <v>73.069999999999993</v>
      </c>
      <c r="R215">
        <v>74</v>
      </c>
      <c r="S215">
        <v>76.94</v>
      </c>
      <c r="T215">
        <v>57.19</v>
      </c>
      <c r="U215">
        <v>48.76</v>
      </c>
    </row>
    <row r="216" spans="1:21" x14ac:dyDescent="0.25">
      <c r="A216" t="s">
        <v>230</v>
      </c>
      <c r="K216">
        <v>457.38</v>
      </c>
      <c r="L216" s="2">
        <v>1285.53</v>
      </c>
      <c r="M216">
        <v>454.32</v>
      </c>
      <c r="N216">
        <v>200.92</v>
      </c>
      <c r="O216">
        <v>274.67</v>
      </c>
      <c r="P216">
        <v>186.56</v>
      </c>
      <c r="Q216">
        <v>117.81</v>
      </c>
      <c r="R216">
        <v>91.11</v>
      </c>
      <c r="S216">
        <v>84.86</v>
      </c>
      <c r="T216">
        <v>59.62</v>
      </c>
      <c r="U216">
        <v>53.95</v>
      </c>
    </row>
    <row r="217" spans="1:21" x14ac:dyDescent="0.25">
      <c r="A217" t="s">
        <v>17</v>
      </c>
    </row>
    <row r="218" spans="1:21" x14ac:dyDescent="0.25">
      <c r="A218" t="s">
        <v>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A38D-890B-4263-9AD5-74ABAEDF572C}">
  <dimension ref="A1:U140"/>
  <sheetViews>
    <sheetView workbookViewId="0">
      <selection activeCell="U30" sqref="U30"/>
    </sheetView>
  </sheetViews>
  <sheetFormatPr defaultRowHeight="15" x14ac:dyDescent="0.25"/>
  <sheetData>
    <row r="1" spans="1:21" x14ac:dyDescent="0.25">
      <c r="A1" t="s">
        <v>1216</v>
      </c>
    </row>
    <row r="2" spans="1:21" x14ac:dyDescent="0.25">
      <c r="A2" t="s">
        <v>1217</v>
      </c>
    </row>
    <row r="3" spans="1:21" x14ac:dyDescent="0.25">
      <c r="A3" t="s">
        <v>2</v>
      </c>
      <c r="B3" t="s">
        <v>1070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  <c r="L3" t="s">
        <v>368</v>
      </c>
      <c r="M3" t="s">
        <v>369</v>
      </c>
      <c r="N3" t="s">
        <v>370</v>
      </c>
      <c r="O3" t="s">
        <v>371</v>
      </c>
      <c r="P3" t="s">
        <v>372</v>
      </c>
      <c r="Q3" t="s">
        <v>235</v>
      </c>
      <c r="R3" t="s">
        <v>3</v>
      </c>
      <c r="S3" t="s">
        <v>4</v>
      </c>
      <c r="T3" t="s">
        <v>236</v>
      </c>
      <c r="U3" t="s">
        <v>6</v>
      </c>
    </row>
    <row r="4" spans="1:21" x14ac:dyDescent="0.25">
      <c r="A4" t="s">
        <v>13</v>
      </c>
      <c r="B4" s="1">
        <v>39813</v>
      </c>
      <c r="C4" s="1">
        <v>40178</v>
      </c>
      <c r="D4" s="1">
        <v>40543</v>
      </c>
      <c r="E4" s="1">
        <v>40908</v>
      </c>
      <c r="F4" s="1">
        <v>41274</v>
      </c>
      <c r="G4" s="1">
        <v>41639</v>
      </c>
      <c r="H4" s="1">
        <v>42004</v>
      </c>
      <c r="I4" s="1">
        <v>42369</v>
      </c>
      <c r="J4" s="1">
        <v>42735</v>
      </c>
      <c r="K4" s="1">
        <v>43100</v>
      </c>
      <c r="L4" s="1">
        <v>43465</v>
      </c>
      <c r="M4" s="1">
        <v>43830</v>
      </c>
      <c r="N4" s="1">
        <v>44196</v>
      </c>
      <c r="O4" s="1">
        <v>44561</v>
      </c>
      <c r="P4" s="1">
        <v>44926</v>
      </c>
      <c r="Q4" s="1">
        <v>45291</v>
      </c>
      <c r="R4" s="1">
        <v>45657</v>
      </c>
      <c r="S4" s="1">
        <v>46022</v>
      </c>
      <c r="T4" s="1">
        <v>46387</v>
      </c>
      <c r="U4" s="1">
        <v>46752</v>
      </c>
    </row>
    <row r="5" spans="1:21" x14ac:dyDescent="0.25">
      <c r="A5" t="s">
        <v>14</v>
      </c>
    </row>
    <row r="6" spans="1:21" x14ac:dyDescent="0.25">
      <c r="A6" t="s">
        <v>15</v>
      </c>
      <c r="E6">
        <v>0.61</v>
      </c>
      <c r="F6">
        <v>0.81</v>
      </c>
      <c r="G6">
        <v>1.1399999999999999</v>
      </c>
      <c r="H6">
        <v>1.22</v>
      </c>
      <c r="I6">
        <v>0.67</v>
      </c>
      <c r="J6">
        <v>0.65</v>
      </c>
      <c r="K6">
        <v>0.8</v>
      </c>
      <c r="L6">
        <v>1.06</v>
      </c>
      <c r="M6">
        <v>1.0900000000000001</v>
      </c>
      <c r="N6">
        <v>0.83</v>
      </c>
      <c r="O6">
        <v>0.3</v>
      </c>
      <c r="P6">
        <v>0.42</v>
      </c>
      <c r="Q6">
        <v>0.87</v>
      </c>
      <c r="R6">
        <v>-0.83</v>
      </c>
      <c r="S6">
        <v>-1.77</v>
      </c>
      <c r="T6">
        <v>-2.1</v>
      </c>
      <c r="U6">
        <v>-2.75</v>
      </c>
    </row>
    <row r="7" spans="1:21" x14ac:dyDescent="0.25">
      <c r="A7" t="s">
        <v>16</v>
      </c>
      <c r="E7">
        <v>683.02</v>
      </c>
      <c r="F7">
        <v>927.34</v>
      </c>
      <c r="G7" s="2">
        <v>1241</v>
      </c>
      <c r="H7" s="2">
        <v>1344.48</v>
      </c>
      <c r="I7">
        <v>986.5</v>
      </c>
      <c r="J7" s="2">
        <v>1139.56</v>
      </c>
      <c r="K7" s="2">
        <v>1612.88</v>
      </c>
      <c r="L7" s="2">
        <v>2041.77</v>
      </c>
      <c r="M7" s="2">
        <v>2711.91</v>
      </c>
      <c r="N7" s="2">
        <v>3034.43</v>
      </c>
      <c r="O7" s="2">
        <v>4833.38</v>
      </c>
      <c r="P7" s="2">
        <v>7736.54</v>
      </c>
      <c r="Q7" s="2">
        <v>9473.0499999999993</v>
      </c>
      <c r="R7">
        <v>117.5</v>
      </c>
      <c r="S7">
        <v>529.79999999999995</v>
      </c>
      <c r="T7" s="2">
        <v>3371.83</v>
      </c>
      <c r="U7" s="2">
        <v>12234.67</v>
      </c>
    </row>
    <row r="8" spans="1:21" x14ac:dyDescent="0.25">
      <c r="A8" t="s">
        <v>17</v>
      </c>
    </row>
    <row r="9" spans="1:21" x14ac:dyDescent="0.25">
      <c r="A9" t="s">
        <v>452</v>
      </c>
      <c r="R9">
        <v>90</v>
      </c>
      <c r="S9" s="2">
        <v>1250</v>
      </c>
      <c r="T9" s="2">
        <v>7594.04</v>
      </c>
      <c r="U9" s="2">
        <v>17221.060000000001</v>
      </c>
    </row>
    <row r="10" spans="1:21" x14ac:dyDescent="0.25">
      <c r="A10" t="s">
        <v>17</v>
      </c>
    </row>
    <row r="11" spans="1:21" x14ac:dyDescent="0.25">
      <c r="A11" t="s">
        <v>680</v>
      </c>
      <c r="E11">
        <v>314.93</v>
      </c>
      <c r="F11">
        <v>423.65</v>
      </c>
      <c r="G11">
        <v>545.6</v>
      </c>
      <c r="H11">
        <v>557.53</v>
      </c>
      <c r="I11">
        <v>345.96</v>
      </c>
      <c r="J11">
        <v>392.05</v>
      </c>
      <c r="K11">
        <v>498.59</v>
      </c>
      <c r="L11">
        <v>633.27</v>
      </c>
      <c r="M11">
        <v>611.91</v>
      </c>
      <c r="N11">
        <v>691.57</v>
      </c>
      <c r="O11">
        <v>436.19</v>
      </c>
      <c r="P11">
        <v>951.16</v>
      </c>
      <c r="Q11" s="2">
        <v>1148.07</v>
      </c>
      <c r="R11">
        <v>-266.39999999999998</v>
      </c>
      <c r="S11">
        <v>-64.900000000000006</v>
      </c>
      <c r="T11" s="2">
        <v>1388.12</v>
      </c>
      <c r="U11" s="2">
        <v>6773.28</v>
      </c>
    </row>
    <row r="12" spans="1:21" x14ac:dyDescent="0.25">
      <c r="A12" t="s">
        <v>528</v>
      </c>
      <c r="E12">
        <v>196.83</v>
      </c>
      <c r="F12">
        <v>265.08</v>
      </c>
      <c r="G12">
        <v>423.3</v>
      </c>
      <c r="H12">
        <v>450.75</v>
      </c>
      <c r="I12">
        <v>200.94</v>
      </c>
      <c r="J12">
        <v>211.87</v>
      </c>
      <c r="K12">
        <v>263.38</v>
      </c>
      <c r="L12">
        <v>354.08</v>
      </c>
      <c r="M12">
        <v>363.98</v>
      </c>
      <c r="N12">
        <v>292.10000000000002</v>
      </c>
      <c r="O12">
        <v>108.63</v>
      </c>
      <c r="P12">
        <v>159.63999999999999</v>
      </c>
      <c r="Q12">
        <v>324.52999999999997</v>
      </c>
      <c r="R12">
        <v>-246.98</v>
      </c>
      <c r="S12">
        <v>-446.7</v>
      </c>
      <c r="T12">
        <v>-718.39</v>
      </c>
      <c r="U12">
        <v>-859.87</v>
      </c>
    </row>
    <row r="13" spans="1:21" x14ac:dyDescent="0.25">
      <c r="A13" t="s">
        <v>109</v>
      </c>
      <c r="C13">
        <v>308.16000000000003</v>
      </c>
      <c r="D13">
        <v>308.58</v>
      </c>
      <c r="E13">
        <v>328.16</v>
      </c>
      <c r="F13">
        <v>335.69</v>
      </c>
      <c r="G13">
        <v>334.57</v>
      </c>
      <c r="H13">
        <v>325.61</v>
      </c>
      <c r="I13">
        <v>323.70999999999998</v>
      </c>
      <c r="J13">
        <v>326.14</v>
      </c>
      <c r="K13">
        <v>331.24</v>
      </c>
      <c r="L13">
        <v>335.16</v>
      </c>
      <c r="M13">
        <v>335.43</v>
      </c>
      <c r="N13">
        <v>353.38</v>
      </c>
      <c r="O13">
        <v>362.39</v>
      </c>
      <c r="P13">
        <v>377.02</v>
      </c>
      <c r="Q13">
        <v>370.84</v>
      </c>
      <c r="R13">
        <v>281.01</v>
      </c>
      <c r="S13">
        <v>247.68</v>
      </c>
      <c r="T13">
        <v>291.43</v>
      </c>
      <c r="U13">
        <v>313.19</v>
      </c>
    </row>
    <row r="14" spans="1:21" x14ac:dyDescent="0.25">
      <c r="A14" t="s">
        <v>242</v>
      </c>
      <c r="I14">
        <v>215.23</v>
      </c>
      <c r="J14">
        <v>144.46</v>
      </c>
      <c r="K14">
        <v>212.45</v>
      </c>
      <c r="L14">
        <v>453</v>
      </c>
      <c r="M14">
        <v>317.64</v>
      </c>
      <c r="N14">
        <v>341.2</v>
      </c>
      <c r="O14">
        <v>605.52</v>
      </c>
      <c r="R14">
        <v>808.1</v>
      </c>
      <c r="S14" s="2">
        <v>4066</v>
      </c>
      <c r="T14" s="2">
        <v>23646.13</v>
      </c>
      <c r="U14" s="2">
        <v>28763.66</v>
      </c>
    </row>
    <row r="15" spans="1:21" x14ac:dyDescent="0.25">
      <c r="A15" t="s">
        <v>17</v>
      </c>
    </row>
    <row r="16" spans="1:21" x14ac:dyDescent="0.25">
      <c r="A16" t="s">
        <v>1218</v>
      </c>
      <c r="C16">
        <v>80.06</v>
      </c>
      <c r="D16">
        <v>110.4</v>
      </c>
      <c r="E16">
        <v>184.6</v>
      </c>
      <c r="F16">
        <v>243.02</v>
      </c>
      <c r="G16" s="2">
        <v>1015.18</v>
      </c>
      <c r="H16">
        <v>302.95999999999998</v>
      </c>
      <c r="I16">
        <v>332.3</v>
      </c>
      <c r="J16">
        <v>461.03</v>
      </c>
      <c r="K16">
        <v>741.04</v>
      </c>
      <c r="L16">
        <v>992.07</v>
      </c>
      <c r="M16">
        <v>909.41</v>
      </c>
      <c r="N16" s="2">
        <v>1784.73</v>
      </c>
      <c r="O16" s="2">
        <v>1055.94</v>
      </c>
      <c r="P16" s="2">
        <v>1135.57</v>
      </c>
      <c r="Q16" s="2">
        <v>1078.1199999999999</v>
      </c>
      <c r="R16" s="2">
        <v>2434.6999999999998</v>
      </c>
      <c r="S16" s="2">
        <v>3678.1</v>
      </c>
      <c r="T16" s="2">
        <v>5043.83</v>
      </c>
      <c r="U16" s="2">
        <v>3809.07</v>
      </c>
    </row>
    <row r="17" spans="1:21" x14ac:dyDescent="0.25">
      <c r="A17" t="s">
        <v>1219</v>
      </c>
      <c r="C17">
        <v>0</v>
      </c>
      <c r="D17">
        <v>0</v>
      </c>
      <c r="E17">
        <v>0</v>
      </c>
      <c r="F17">
        <v>0</v>
      </c>
      <c r="G17">
        <v>499.44</v>
      </c>
      <c r="H17">
        <v>448.53</v>
      </c>
      <c r="I17">
        <v>375.3</v>
      </c>
      <c r="J17">
        <v>306.19</v>
      </c>
      <c r="K17">
        <v>309.77999999999997</v>
      </c>
      <c r="L17">
        <v>276.69</v>
      </c>
      <c r="M17">
        <v>370.76</v>
      </c>
      <c r="N17" s="2">
        <v>1461.7</v>
      </c>
      <c r="O17" s="2">
        <v>1676.02</v>
      </c>
      <c r="P17" s="2">
        <v>1378.95</v>
      </c>
      <c r="Q17" s="2">
        <v>2283.56</v>
      </c>
      <c r="R17">
        <v>49.7</v>
      </c>
      <c r="S17" s="2">
        <v>4973.1000000000004</v>
      </c>
    </row>
    <row r="18" spans="1:21" x14ac:dyDescent="0.25">
      <c r="A18" t="s">
        <v>1220</v>
      </c>
      <c r="C18">
        <v>-80.06</v>
      </c>
      <c r="D18">
        <v>-110.4</v>
      </c>
      <c r="E18">
        <v>-184.6</v>
      </c>
      <c r="F18">
        <v>-245.51</v>
      </c>
      <c r="G18">
        <v>-518.38</v>
      </c>
      <c r="H18">
        <v>91.93</v>
      </c>
      <c r="I18">
        <v>3.03</v>
      </c>
      <c r="J18">
        <v>-204.37</v>
      </c>
      <c r="K18">
        <v>-431.26</v>
      </c>
      <c r="L18">
        <v>-715.38</v>
      </c>
      <c r="M18">
        <v>-538.65</v>
      </c>
      <c r="N18">
        <v>-323.02</v>
      </c>
      <c r="O18">
        <v>614.04999999999995</v>
      </c>
      <c r="P18">
        <v>241.28</v>
      </c>
      <c r="Q18" s="2">
        <v>1205.44</v>
      </c>
      <c r="R18" s="2">
        <v>-2385</v>
      </c>
      <c r="S18" s="2">
        <v>1295</v>
      </c>
      <c r="T18" s="2">
        <v>12060.23</v>
      </c>
      <c r="U18" s="2">
        <v>32615.25</v>
      </c>
    </row>
    <row r="19" spans="1:21" x14ac:dyDescent="0.25">
      <c r="A19" t="s">
        <v>17</v>
      </c>
    </row>
    <row r="20" spans="1:21" x14ac:dyDescent="0.25">
      <c r="A20" t="s">
        <v>36</v>
      </c>
      <c r="C20">
        <v>69.569999999999993</v>
      </c>
      <c r="D20">
        <v>124</v>
      </c>
      <c r="E20">
        <v>67.37</v>
      </c>
      <c r="F20">
        <v>243.22</v>
      </c>
      <c r="G20">
        <v>306.89999999999998</v>
      </c>
      <c r="H20">
        <v>155.38</v>
      </c>
      <c r="I20">
        <v>104.44</v>
      </c>
      <c r="J20">
        <v>235.06</v>
      </c>
      <c r="K20">
        <v>195.2</v>
      </c>
      <c r="L20">
        <v>-1.78</v>
      </c>
      <c r="M20">
        <v>368.55</v>
      </c>
      <c r="N20">
        <v>111.92</v>
      </c>
      <c r="O20">
        <v>-479.41</v>
      </c>
      <c r="P20">
        <v>-131.33000000000001</v>
      </c>
      <c r="Q20">
        <v>8.84</v>
      </c>
      <c r="R20">
        <v>-561.9</v>
      </c>
      <c r="S20" s="2">
        <v>-3681.2</v>
      </c>
      <c r="T20" s="2">
        <v>-14920.25</v>
      </c>
      <c r="U20" s="2">
        <v>-22552.55</v>
      </c>
    </row>
    <row r="21" spans="1:21" x14ac:dyDescent="0.25">
      <c r="A21" t="s">
        <v>17</v>
      </c>
    </row>
    <row r="22" spans="1:21" x14ac:dyDescent="0.25">
      <c r="A22" t="s">
        <v>37</v>
      </c>
    </row>
    <row r="23" spans="1:21" x14ac:dyDescent="0.25">
      <c r="A23" t="s">
        <v>17</v>
      </c>
    </row>
    <row r="24" spans="1:21" x14ac:dyDescent="0.25">
      <c r="A24" t="s">
        <v>38</v>
      </c>
    </row>
    <row r="25" spans="1:21" x14ac:dyDescent="0.25">
      <c r="A25" t="s">
        <v>452</v>
      </c>
      <c r="R25">
        <v>90</v>
      </c>
      <c r="S25" s="2">
        <v>1250</v>
      </c>
      <c r="T25" s="2">
        <v>7594.04</v>
      </c>
      <c r="U25" s="2">
        <v>17221.060000000001</v>
      </c>
    </row>
    <row r="26" spans="1:21" x14ac:dyDescent="0.25">
      <c r="A26" t="s">
        <v>17</v>
      </c>
    </row>
    <row r="27" spans="1:21" x14ac:dyDescent="0.25">
      <c r="A27" t="s">
        <v>79</v>
      </c>
    </row>
    <row r="28" spans="1:21" x14ac:dyDescent="0.25">
      <c r="A28" t="s">
        <v>80</v>
      </c>
      <c r="E28">
        <v>683.02</v>
      </c>
      <c r="F28">
        <v>927.34</v>
      </c>
      <c r="G28" s="2">
        <v>1241</v>
      </c>
      <c r="H28" s="2">
        <v>1344.48</v>
      </c>
      <c r="I28">
        <v>986.5</v>
      </c>
      <c r="J28" s="2">
        <v>1139.56</v>
      </c>
      <c r="K28" s="2">
        <v>1612.88</v>
      </c>
      <c r="L28" s="2">
        <v>2041.77</v>
      </c>
      <c r="M28" s="2">
        <v>2711.91</v>
      </c>
      <c r="N28" s="2">
        <v>3034.43</v>
      </c>
      <c r="O28" s="2">
        <v>4833.38</v>
      </c>
      <c r="P28" s="2">
        <v>7736.54</v>
      </c>
      <c r="Q28" s="2">
        <v>9473.0499999999993</v>
      </c>
      <c r="R28">
        <v>117.5</v>
      </c>
      <c r="S28">
        <v>529.79999999999995</v>
      </c>
      <c r="T28" s="2">
        <v>3371.83</v>
      </c>
      <c r="U28" s="2">
        <v>12234.67</v>
      </c>
    </row>
    <row r="29" spans="1:21" x14ac:dyDescent="0.25">
      <c r="A29" t="s">
        <v>17</v>
      </c>
    </row>
    <row r="30" spans="1:21" x14ac:dyDescent="0.25">
      <c r="A30" t="s">
        <v>82</v>
      </c>
      <c r="C30">
        <v>65.97</v>
      </c>
      <c r="D30">
        <v>85.16</v>
      </c>
      <c r="E30">
        <v>160.47999999999999</v>
      </c>
      <c r="F30">
        <v>231.71</v>
      </c>
      <c r="G30">
        <v>333.2</v>
      </c>
      <c r="H30">
        <v>379.66</v>
      </c>
      <c r="I30">
        <v>277.35000000000002</v>
      </c>
      <c r="J30">
        <v>296.49</v>
      </c>
      <c r="K30">
        <v>410.74</v>
      </c>
      <c r="L30">
        <v>574.08000000000004</v>
      </c>
      <c r="M30">
        <v>862.6</v>
      </c>
      <c r="N30" s="2">
        <v>1191.49</v>
      </c>
      <c r="O30" s="2">
        <v>2360.6</v>
      </c>
      <c r="P30" s="2">
        <v>3458.52</v>
      </c>
      <c r="Q30">
        <v>0.23</v>
      </c>
      <c r="R30">
        <v>43.7</v>
      </c>
      <c r="S30">
        <v>166.2</v>
      </c>
      <c r="T30">
        <v>840.39</v>
      </c>
      <c r="U30" s="2">
        <v>3029.33</v>
      </c>
    </row>
    <row r="31" spans="1:21" x14ac:dyDescent="0.25">
      <c r="A31" t="s">
        <v>84</v>
      </c>
      <c r="S31">
        <v>363.6</v>
      </c>
    </row>
    <row r="32" spans="1:21" x14ac:dyDescent="0.25">
      <c r="A32" t="s">
        <v>85</v>
      </c>
      <c r="E32">
        <v>76.5</v>
      </c>
      <c r="F32">
        <v>75.010000000000005</v>
      </c>
      <c r="G32">
        <v>73.150000000000006</v>
      </c>
      <c r="H32">
        <v>71.760000000000005</v>
      </c>
      <c r="I32">
        <v>71.89</v>
      </c>
      <c r="J32">
        <v>73.98</v>
      </c>
      <c r="K32">
        <v>74.55</v>
      </c>
      <c r="L32">
        <v>71.89</v>
      </c>
      <c r="M32">
        <v>68.19</v>
      </c>
      <c r="N32">
        <v>60.73</v>
      </c>
      <c r="O32">
        <v>51.16</v>
      </c>
      <c r="P32">
        <v>55.3</v>
      </c>
      <c r="Q32">
        <v>55</v>
      </c>
      <c r="R32">
        <v>37.53</v>
      </c>
      <c r="S32">
        <v>68.63</v>
      </c>
      <c r="T32">
        <v>74.27</v>
      </c>
      <c r="U32">
        <v>74.23</v>
      </c>
    </row>
    <row r="33" spans="1:21" x14ac:dyDescent="0.25">
      <c r="A33" t="s">
        <v>17</v>
      </c>
    </row>
    <row r="34" spans="1:21" x14ac:dyDescent="0.25">
      <c r="A34" t="s">
        <v>275</v>
      </c>
      <c r="F34">
        <v>622.58000000000004</v>
      </c>
      <c r="G34">
        <v>837.71</v>
      </c>
      <c r="H34">
        <v>938.67</v>
      </c>
      <c r="I34">
        <v>828.22</v>
      </c>
      <c r="J34">
        <v>946.74</v>
      </c>
      <c r="K34" s="2">
        <v>1392.66</v>
      </c>
      <c r="L34" s="2">
        <v>1708.42</v>
      </c>
      <c r="M34" s="2">
        <v>2330</v>
      </c>
      <c r="N34" s="2">
        <v>2808.61</v>
      </c>
      <c r="O34" s="2">
        <v>5013.55</v>
      </c>
      <c r="P34" s="2">
        <v>7540.25</v>
      </c>
      <c r="Q34">
        <v>3.5</v>
      </c>
      <c r="R34">
        <v>491.1</v>
      </c>
      <c r="S34" s="2">
        <v>1141.5</v>
      </c>
      <c r="T34" s="2">
        <v>4205.54</v>
      </c>
      <c r="U34" s="2">
        <v>13316.2</v>
      </c>
    </row>
    <row r="35" spans="1:21" x14ac:dyDescent="0.25">
      <c r="A35" t="s">
        <v>1221</v>
      </c>
      <c r="C35">
        <v>51.2</v>
      </c>
      <c r="D35">
        <v>68.290000000000006</v>
      </c>
      <c r="E35">
        <v>106.51</v>
      </c>
      <c r="F35">
        <v>137.78</v>
      </c>
      <c r="G35">
        <v>183.06</v>
      </c>
      <c r="H35">
        <v>234.17</v>
      </c>
      <c r="I35">
        <v>221.43</v>
      </c>
      <c r="J35">
        <v>237.62</v>
      </c>
      <c r="K35">
        <v>323.52</v>
      </c>
      <c r="L35">
        <v>361.13</v>
      </c>
      <c r="M35">
        <v>451.63</v>
      </c>
      <c r="N35">
        <v>505.02</v>
      </c>
      <c r="O35">
        <v>657.63</v>
      </c>
      <c r="P35" s="2">
        <v>1071.8499999999999</v>
      </c>
      <c r="Q35">
        <v>1.03</v>
      </c>
      <c r="R35">
        <v>114.8</v>
      </c>
      <c r="S35">
        <v>177.3</v>
      </c>
      <c r="T35">
        <v>659.76</v>
      </c>
      <c r="U35" s="2">
        <v>1490.31</v>
      </c>
    </row>
    <row r="36" spans="1:21" x14ac:dyDescent="0.25">
      <c r="A36" t="s">
        <v>61</v>
      </c>
      <c r="C36">
        <v>18.55</v>
      </c>
      <c r="D36">
        <v>16.579999999999998</v>
      </c>
      <c r="E36">
        <v>15.59</v>
      </c>
      <c r="F36">
        <v>14.86</v>
      </c>
      <c r="G36">
        <v>14.75</v>
      </c>
      <c r="H36">
        <v>17.420000000000002</v>
      </c>
      <c r="I36">
        <v>22.45</v>
      </c>
      <c r="J36">
        <v>20.85</v>
      </c>
      <c r="K36">
        <v>20.059999999999999</v>
      </c>
      <c r="L36">
        <v>17.690000000000001</v>
      </c>
      <c r="M36">
        <v>16.649999999999999</v>
      </c>
      <c r="N36">
        <v>16.64</v>
      </c>
      <c r="O36">
        <v>13.61</v>
      </c>
      <c r="P36">
        <v>13.85</v>
      </c>
      <c r="Q36">
        <v>888.78</v>
      </c>
      <c r="R36">
        <v>125.46</v>
      </c>
      <c r="S36">
        <v>33.47</v>
      </c>
      <c r="T36">
        <v>20.43</v>
      </c>
      <c r="U36">
        <v>13.02</v>
      </c>
    </row>
    <row r="37" spans="1:21" x14ac:dyDescent="0.25">
      <c r="A37" t="s">
        <v>276</v>
      </c>
      <c r="C37">
        <v>46.61</v>
      </c>
      <c r="D37">
        <v>60.55</v>
      </c>
      <c r="E37">
        <v>112.31</v>
      </c>
      <c r="F37">
        <v>157.96</v>
      </c>
      <c r="G37">
        <v>205.37</v>
      </c>
      <c r="H37">
        <v>206.09</v>
      </c>
      <c r="I37">
        <v>191.4</v>
      </c>
      <c r="J37">
        <v>268.44</v>
      </c>
      <c r="K37">
        <v>465.67</v>
      </c>
      <c r="L37">
        <v>579.09</v>
      </c>
      <c r="M37">
        <v>775.5</v>
      </c>
      <c r="N37">
        <v>866.3</v>
      </c>
      <c r="O37" s="2">
        <v>1668.13</v>
      </c>
      <c r="P37" s="2">
        <v>2552.04</v>
      </c>
      <c r="Q37">
        <v>1.89</v>
      </c>
      <c r="R37">
        <v>255.5</v>
      </c>
      <c r="S37">
        <v>380.1</v>
      </c>
      <c r="T37">
        <v>837.68</v>
      </c>
      <c r="U37" s="2">
        <v>1687.52</v>
      </c>
    </row>
    <row r="38" spans="1:21" x14ac:dyDescent="0.25">
      <c r="A38" t="s">
        <v>17</v>
      </c>
    </row>
    <row r="39" spans="1:21" x14ac:dyDescent="0.25">
      <c r="A39" t="s">
        <v>91</v>
      </c>
      <c r="E39">
        <v>239.82</v>
      </c>
      <c r="F39">
        <v>304.76</v>
      </c>
      <c r="G39">
        <v>403.29</v>
      </c>
      <c r="H39">
        <v>405.8</v>
      </c>
      <c r="I39">
        <v>217.42</v>
      </c>
      <c r="J39">
        <v>247.86</v>
      </c>
      <c r="K39">
        <v>305.86</v>
      </c>
      <c r="L39">
        <v>439.15</v>
      </c>
      <c r="M39">
        <v>383.43</v>
      </c>
      <c r="N39">
        <v>225.82</v>
      </c>
      <c r="O39">
        <v>-180.17</v>
      </c>
      <c r="P39">
        <v>196.28</v>
      </c>
      <c r="Q39">
        <v>336.96</v>
      </c>
      <c r="R39">
        <v>-346.5</v>
      </c>
      <c r="S39">
        <v>-596.20000000000005</v>
      </c>
      <c r="T39">
        <v>-914.35</v>
      </c>
      <c r="U39">
        <v>-437.82</v>
      </c>
    </row>
    <row r="40" spans="1:21" x14ac:dyDescent="0.25">
      <c r="A40" t="s">
        <v>92</v>
      </c>
      <c r="C40">
        <v>29.76</v>
      </c>
      <c r="D40">
        <v>38.58</v>
      </c>
      <c r="E40">
        <v>35.11</v>
      </c>
      <c r="F40">
        <v>32.86</v>
      </c>
      <c r="G40">
        <v>32.5</v>
      </c>
      <c r="H40">
        <v>30.18</v>
      </c>
      <c r="I40">
        <v>16.04</v>
      </c>
      <c r="J40">
        <v>16.920000000000002</v>
      </c>
      <c r="K40">
        <v>13.65</v>
      </c>
      <c r="L40">
        <v>16.329999999999998</v>
      </c>
      <c r="M40">
        <v>14.08</v>
      </c>
      <c r="N40">
        <v>7.44</v>
      </c>
      <c r="O40">
        <v>-3.73</v>
      </c>
      <c r="P40">
        <v>2.54</v>
      </c>
      <c r="Q40" s="2">
        <v>-2915.31</v>
      </c>
      <c r="R40">
        <v>-436.72</v>
      </c>
      <c r="S40">
        <v>-115.46</v>
      </c>
      <c r="T40">
        <v>-29.98</v>
      </c>
      <c r="U40">
        <v>-4.7699999999999996</v>
      </c>
    </row>
    <row r="41" spans="1:21" x14ac:dyDescent="0.25">
      <c r="A41" t="s">
        <v>17</v>
      </c>
    </row>
    <row r="42" spans="1:21" x14ac:dyDescent="0.25">
      <c r="A42" t="s">
        <v>93</v>
      </c>
      <c r="C42">
        <v>28.84</v>
      </c>
      <c r="D42">
        <v>38.909999999999997</v>
      </c>
      <c r="E42">
        <v>63.89</v>
      </c>
      <c r="F42">
        <v>95.13</v>
      </c>
      <c r="G42">
        <v>116.08</v>
      </c>
      <c r="H42">
        <v>118.75</v>
      </c>
      <c r="I42">
        <v>128.54</v>
      </c>
      <c r="J42">
        <v>144.19</v>
      </c>
      <c r="K42">
        <v>263.57</v>
      </c>
      <c r="L42">
        <v>194.12</v>
      </c>
      <c r="M42">
        <v>228.48</v>
      </c>
      <c r="N42">
        <v>245.8</v>
      </c>
      <c r="O42">
        <v>327.2</v>
      </c>
      <c r="P42">
        <v>457.85</v>
      </c>
      <c r="Q42">
        <v>0.35</v>
      </c>
      <c r="R42">
        <v>77.099999999999994</v>
      </c>
      <c r="S42">
        <v>417.9</v>
      </c>
      <c r="T42" s="2">
        <v>2052.9699999999998</v>
      </c>
      <c r="U42" s="2">
        <v>6739.88</v>
      </c>
    </row>
    <row r="43" spans="1:21" x14ac:dyDescent="0.25">
      <c r="A43" t="s">
        <v>277</v>
      </c>
      <c r="E43">
        <v>314.93</v>
      </c>
      <c r="F43">
        <v>423.65</v>
      </c>
      <c r="G43">
        <v>545.6</v>
      </c>
      <c r="H43">
        <v>557.53</v>
      </c>
      <c r="I43">
        <v>345.96</v>
      </c>
      <c r="J43">
        <v>392.05</v>
      </c>
      <c r="K43">
        <v>498.59</v>
      </c>
      <c r="L43">
        <v>633.27</v>
      </c>
      <c r="M43">
        <v>611.91</v>
      </c>
      <c r="N43">
        <v>691.57</v>
      </c>
      <c r="O43">
        <v>436.19</v>
      </c>
      <c r="P43">
        <v>951.16</v>
      </c>
      <c r="Q43" s="2">
        <v>1148.07</v>
      </c>
      <c r="R43">
        <v>-266.39999999999998</v>
      </c>
      <c r="S43">
        <v>-64.900000000000006</v>
      </c>
      <c r="T43" s="2">
        <v>1388.12</v>
      </c>
      <c r="U43" s="2">
        <v>6773.28</v>
      </c>
    </row>
    <row r="44" spans="1:21" x14ac:dyDescent="0.25">
      <c r="A44" t="s">
        <v>17</v>
      </c>
    </row>
    <row r="45" spans="1:21" x14ac:dyDescent="0.25">
      <c r="A45" t="s">
        <v>97</v>
      </c>
      <c r="K45">
        <v>49.88</v>
      </c>
      <c r="L45">
        <v>54.09</v>
      </c>
      <c r="M45">
        <v>51.26</v>
      </c>
      <c r="N45">
        <v>53.77</v>
      </c>
      <c r="O45">
        <v>62.63</v>
      </c>
      <c r="P45">
        <v>70.040000000000006</v>
      </c>
      <c r="Q45">
        <v>0.04</v>
      </c>
      <c r="R45">
        <v>63.6</v>
      </c>
      <c r="S45">
        <v>31.8</v>
      </c>
      <c r="T45">
        <v>99.71</v>
      </c>
      <c r="U45">
        <v>108.13</v>
      </c>
    </row>
    <row r="46" spans="1:21" x14ac:dyDescent="0.25">
      <c r="A46" t="s">
        <v>1222</v>
      </c>
      <c r="C46">
        <v>0.73</v>
      </c>
      <c r="D46">
        <v>-0.79</v>
      </c>
      <c r="E46">
        <v>-2.11</v>
      </c>
      <c r="F46">
        <v>-3.8</v>
      </c>
      <c r="G46">
        <v>-67.83</v>
      </c>
      <c r="H46">
        <v>-166.74</v>
      </c>
      <c r="I46">
        <v>-37.270000000000003</v>
      </c>
      <c r="J46">
        <v>50.96</v>
      </c>
      <c r="K46">
        <v>19.03</v>
      </c>
      <c r="L46">
        <v>-18.07</v>
      </c>
      <c r="M46">
        <v>18.55</v>
      </c>
      <c r="N46">
        <v>-33.409999999999997</v>
      </c>
      <c r="O46">
        <v>16.52</v>
      </c>
      <c r="P46">
        <v>-138.79</v>
      </c>
      <c r="Q46">
        <v>0.04</v>
      </c>
      <c r="R46">
        <v>17.399999999999999</v>
      </c>
      <c r="S46">
        <v>-80.599999999999994</v>
      </c>
      <c r="T46">
        <v>-118.82</v>
      </c>
      <c r="U46">
        <v>-91.5</v>
      </c>
    </row>
    <row r="47" spans="1:21" x14ac:dyDescent="0.25">
      <c r="A47" t="s">
        <v>1223</v>
      </c>
      <c r="K47">
        <v>-6.05</v>
      </c>
      <c r="L47">
        <v>3.1</v>
      </c>
      <c r="M47">
        <v>60.09</v>
      </c>
      <c r="N47">
        <v>30.23</v>
      </c>
      <c r="O47">
        <v>-86.4</v>
      </c>
      <c r="P47">
        <v>13.78</v>
      </c>
      <c r="Q47">
        <v>0.13</v>
      </c>
      <c r="R47">
        <v>-0.4</v>
      </c>
      <c r="S47">
        <v>24.3</v>
      </c>
      <c r="T47">
        <v>-69.650000000000006</v>
      </c>
      <c r="U47">
        <v>5</v>
      </c>
    </row>
    <row r="48" spans="1:21" x14ac:dyDescent="0.25">
      <c r="A48" t="s">
        <v>100</v>
      </c>
      <c r="E48">
        <v>249.5</v>
      </c>
      <c r="F48">
        <v>340.87</v>
      </c>
      <c r="G48">
        <v>525.05999999999995</v>
      </c>
      <c r="H48">
        <v>595.21</v>
      </c>
      <c r="I48">
        <v>278.66000000000003</v>
      </c>
      <c r="J48">
        <v>287.66000000000003</v>
      </c>
      <c r="K48">
        <v>347.86</v>
      </c>
      <c r="L48">
        <v>946.33</v>
      </c>
      <c r="M48">
        <v>531.77</v>
      </c>
      <c r="N48">
        <v>735.62</v>
      </c>
      <c r="O48">
        <v>-98.02</v>
      </c>
      <c r="P48" s="2">
        <v>1043.24</v>
      </c>
      <c r="Q48">
        <v>510.84</v>
      </c>
      <c r="R48">
        <v>-283</v>
      </c>
      <c r="S48">
        <v>116.2</v>
      </c>
      <c r="T48">
        <v>-331.43</v>
      </c>
      <c r="U48" s="2">
        <v>-1478.78</v>
      </c>
    </row>
    <row r="49" spans="1:21" x14ac:dyDescent="0.25">
      <c r="A49" t="s">
        <v>83</v>
      </c>
      <c r="C49">
        <v>30.27</v>
      </c>
      <c r="D49">
        <v>40.020000000000003</v>
      </c>
      <c r="E49">
        <v>36.53</v>
      </c>
      <c r="F49">
        <v>36.76</v>
      </c>
      <c r="G49">
        <v>42.31</v>
      </c>
      <c r="H49">
        <v>44.27</v>
      </c>
      <c r="I49">
        <v>22.74</v>
      </c>
      <c r="J49">
        <v>14.63</v>
      </c>
      <c r="K49">
        <v>14.99</v>
      </c>
      <c r="L49">
        <v>41.09</v>
      </c>
      <c r="M49">
        <v>13.03</v>
      </c>
      <c r="N49">
        <v>17.04</v>
      </c>
      <c r="O49">
        <v>-2.0299999999999998</v>
      </c>
      <c r="P49">
        <v>13.48</v>
      </c>
      <c r="Q49" s="2">
        <v>-3030.61</v>
      </c>
      <c r="R49">
        <v>-385.79</v>
      </c>
      <c r="S49">
        <v>2.6</v>
      </c>
      <c r="T49">
        <v>-11.06</v>
      </c>
      <c r="U49">
        <v>-17.309999999999999</v>
      </c>
    </row>
    <row r="50" spans="1:21" x14ac:dyDescent="0.25">
      <c r="A50" t="s">
        <v>17</v>
      </c>
    </row>
    <row r="51" spans="1:21" x14ac:dyDescent="0.25">
      <c r="A51" t="s">
        <v>101</v>
      </c>
      <c r="C51">
        <v>21.25</v>
      </c>
      <c r="D51">
        <v>39.07</v>
      </c>
      <c r="E51">
        <v>52.68</v>
      </c>
      <c r="F51">
        <v>75.790000000000006</v>
      </c>
      <c r="G51">
        <v>101.76</v>
      </c>
      <c r="H51">
        <v>144.47</v>
      </c>
      <c r="I51">
        <v>64.63</v>
      </c>
      <c r="J51">
        <v>64.900000000000006</v>
      </c>
      <c r="K51">
        <v>86.02</v>
      </c>
      <c r="L51">
        <v>131.16999999999999</v>
      </c>
      <c r="M51">
        <v>180.23</v>
      </c>
      <c r="N51">
        <v>181.43</v>
      </c>
      <c r="O51">
        <v>100.83</v>
      </c>
      <c r="P51">
        <v>337.13</v>
      </c>
      <c r="Q51">
        <v>0.02</v>
      </c>
      <c r="R51">
        <v>-1</v>
      </c>
      <c r="S51">
        <v>4</v>
      </c>
      <c r="T51">
        <v>12.65</v>
      </c>
      <c r="U51">
        <v>26.33</v>
      </c>
    </row>
    <row r="52" spans="1:21" x14ac:dyDescent="0.25">
      <c r="A52" t="s">
        <v>17</v>
      </c>
    </row>
    <row r="53" spans="1:21" x14ac:dyDescent="0.25">
      <c r="A53" t="s">
        <v>106</v>
      </c>
      <c r="E53">
        <v>196.83</v>
      </c>
      <c r="F53">
        <v>265.08</v>
      </c>
      <c r="G53">
        <v>423.3</v>
      </c>
      <c r="H53">
        <v>450.75</v>
      </c>
      <c r="I53">
        <v>159.69</v>
      </c>
      <c r="J53">
        <v>102.03</v>
      </c>
      <c r="K53">
        <v>150.49</v>
      </c>
      <c r="L53">
        <v>761.11</v>
      </c>
      <c r="M53">
        <v>198.32</v>
      </c>
      <c r="N53">
        <v>354.55</v>
      </c>
      <c r="O53">
        <v>-199.06</v>
      </c>
      <c r="P53">
        <v>585.25</v>
      </c>
      <c r="Q53">
        <v>235.25</v>
      </c>
      <c r="R53">
        <v>-644.79999999999995</v>
      </c>
      <c r="S53">
        <v>101.7</v>
      </c>
      <c r="T53">
        <v>-454.38</v>
      </c>
      <c r="U53" s="2">
        <v>-1541.24</v>
      </c>
    </row>
    <row r="54" spans="1:21" x14ac:dyDescent="0.25">
      <c r="A54" t="s">
        <v>17</v>
      </c>
    </row>
    <row r="55" spans="1:21" x14ac:dyDescent="0.25">
      <c r="A55" t="s">
        <v>109</v>
      </c>
      <c r="C55">
        <v>308.16000000000003</v>
      </c>
      <c r="D55">
        <v>308.58</v>
      </c>
      <c r="E55">
        <v>328.16</v>
      </c>
      <c r="F55">
        <v>335.69</v>
      </c>
      <c r="G55">
        <v>334.57</v>
      </c>
      <c r="H55">
        <v>325.61</v>
      </c>
      <c r="I55">
        <v>323.70999999999998</v>
      </c>
      <c r="J55">
        <v>326.14</v>
      </c>
      <c r="K55">
        <v>331.24</v>
      </c>
      <c r="L55">
        <v>335.16</v>
      </c>
      <c r="M55">
        <v>335.43</v>
      </c>
      <c r="N55">
        <v>353.38</v>
      </c>
      <c r="O55">
        <v>362.39</v>
      </c>
      <c r="P55">
        <v>377.02</v>
      </c>
      <c r="Q55">
        <v>370.84</v>
      </c>
      <c r="R55">
        <v>281.01</v>
      </c>
      <c r="S55">
        <v>247.68</v>
      </c>
      <c r="T55">
        <v>291.43</v>
      </c>
      <c r="U55">
        <v>313.19</v>
      </c>
    </row>
    <row r="56" spans="1:21" x14ac:dyDescent="0.25">
      <c r="A56" t="s">
        <v>110</v>
      </c>
      <c r="E56">
        <v>0.6</v>
      </c>
      <c r="F56">
        <v>0.79</v>
      </c>
      <c r="G56">
        <v>1.27</v>
      </c>
      <c r="H56">
        <v>1.38</v>
      </c>
      <c r="I56">
        <v>0.49</v>
      </c>
      <c r="J56">
        <v>0.31</v>
      </c>
      <c r="K56">
        <v>0.45</v>
      </c>
      <c r="L56">
        <v>2.27</v>
      </c>
      <c r="M56">
        <v>0.59</v>
      </c>
      <c r="N56">
        <v>1</v>
      </c>
      <c r="O56">
        <v>-0.55000000000000004</v>
      </c>
      <c r="P56">
        <v>1.22</v>
      </c>
      <c r="Q56">
        <v>0.63</v>
      </c>
      <c r="R56">
        <v>-1.99</v>
      </c>
      <c r="S56">
        <v>0.4</v>
      </c>
      <c r="T56">
        <v>-1.66</v>
      </c>
      <c r="U56">
        <v>-5.28</v>
      </c>
    </row>
    <row r="57" spans="1:21" x14ac:dyDescent="0.25">
      <c r="A57" t="s">
        <v>17</v>
      </c>
    </row>
    <row r="58" spans="1:21" x14ac:dyDescent="0.25">
      <c r="A58" t="s">
        <v>111</v>
      </c>
    </row>
    <row r="59" spans="1:21" x14ac:dyDescent="0.25">
      <c r="A59" t="s">
        <v>121</v>
      </c>
      <c r="E59">
        <v>196.83</v>
      </c>
      <c r="F59">
        <v>265.08</v>
      </c>
      <c r="G59">
        <v>423.3</v>
      </c>
      <c r="H59">
        <v>450.75</v>
      </c>
      <c r="I59">
        <v>200.94</v>
      </c>
      <c r="J59">
        <v>211.87</v>
      </c>
      <c r="K59">
        <v>263.38</v>
      </c>
      <c r="L59">
        <v>354.08</v>
      </c>
      <c r="M59">
        <v>363.98</v>
      </c>
      <c r="N59">
        <v>292.10000000000002</v>
      </c>
      <c r="O59">
        <v>108.63</v>
      </c>
      <c r="P59">
        <v>159.63999999999999</v>
      </c>
      <c r="Q59">
        <v>324.52999999999997</v>
      </c>
      <c r="R59">
        <v>-246.98</v>
      </c>
      <c r="S59">
        <v>-446.7</v>
      </c>
      <c r="T59">
        <v>-718.39</v>
      </c>
      <c r="U59">
        <v>-859.87</v>
      </c>
    </row>
    <row r="60" spans="1:21" x14ac:dyDescent="0.25">
      <c r="A60" t="s">
        <v>124</v>
      </c>
      <c r="E60">
        <v>0.61</v>
      </c>
      <c r="F60">
        <v>0.81</v>
      </c>
      <c r="G60">
        <v>1.1399999999999999</v>
      </c>
      <c r="H60">
        <v>1.22</v>
      </c>
      <c r="I60">
        <v>0.67</v>
      </c>
      <c r="J60">
        <v>0.65</v>
      </c>
      <c r="K60">
        <v>0.8</v>
      </c>
      <c r="L60">
        <v>1.06</v>
      </c>
      <c r="M60">
        <v>1.0900000000000001</v>
      </c>
      <c r="N60">
        <v>0.83</v>
      </c>
      <c r="O60">
        <v>0.3</v>
      </c>
      <c r="P60">
        <v>0.42</v>
      </c>
      <c r="Q60">
        <v>0.87</v>
      </c>
      <c r="R60">
        <v>-0.83</v>
      </c>
      <c r="S60">
        <v>-1.77</v>
      </c>
      <c r="T60">
        <v>-2.1</v>
      </c>
      <c r="U60">
        <v>-2.75</v>
      </c>
    </row>
    <row r="61" spans="1:21" x14ac:dyDescent="0.25">
      <c r="A61" t="s">
        <v>17</v>
      </c>
    </row>
    <row r="62" spans="1:21" x14ac:dyDescent="0.25">
      <c r="A62" t="s">
        <v>125</v>
      </c>
    </row>
    <row r="63" spans="1:21" x14ac:dyDescent="0.25">
      <c r="A63" t="s">
        <v>1224</v>
      </c>
      <c r="C63">
        <v>6.61</v>
      </c>
      <c r="D63">
        <v>5.27</v>
      </c>
      <c r="E63">
        <v>11.22</v>
      </c>
      <c r="F63">
        <v>12.12</v>
      </c>
      <c r="G63">
        <v>23.69</v>
      </c>
      <c r="H63">
        <v>9.9600000000000009</v>
      </c>
      <c r="I63">
        <v>44.84</v>
      </c>
      <c r="J63">
        <v>51.36</v>
      </c>
      <c r="K63">
        <v>71.900000000000006</v>
      </c>
      <c r="L63">
        <v>104.79</v>
      </c>
      <c r="M63">
        <v>152.38</v>
      </c>
      <c r="N63">
        <v>218.58</v>
      </c>
      <c r="O63">
        <v>282.66000000000003</v>
      </c>
      <c r="P63">
        <v>356.47</v>
      </c>
      <c r="Q63">
        <v>0.37</v>
      </c>
      <c r="R63">
        <v>56.6</v>
      </c>
      <c r="S63">
        <v>83.2</v>
      </c>
      <c r="T63">
        <v>318.01</v>
      </c>
      <c r="U63">
        <v>623.6</v>
      </c>
    </row>
    <row r="64" spans="1:21" x14ac:dyDescent="0.25">
      <c r="A64" t="s">
        <v>17</v>
      </c>
    </row>
    <row r="65" spans="1:21" x14ac:dyDescent="0.25">
      <c r="A65" t="s">
        <v>176</v>
      </c>
    </row>
    <row r="66" spans="1:21" x14ac:dyDescent="0.25">
      <c r="A66" t="s">
        <v>206</v>
      </c>
      <c r="I66">
        <v>215.23</v>
      </c>
      <c r="J66">
        <v>144.46</v>
      </c>
      <c r="K66">
        <v>212.45</v>
      </c>
      <c r="L66">
        <v>453</v>
      </c>
      <c r="M66">
        <v>317.64</v>
      </c>
      <c r="N66">
        <v>341.2</v>
      </c>
      <c r="O66">
        <v>605.52</v>
      </c>
      <c r="R66">
        <v>808.1</v>
      </c>
      <c r="S66" s="2">
        <v>4066</v>
      </c>
      <c r="T66" s="2">
        <v>23646.13</v>
      </c>
      <c r="U66" s="2">
        <v>28763.66</v>
      </c>
    </row>
    <row r="67" spans="1:21" x14ac:dyDescent="0.25">
      <c r="A67" t="s">
        <v>17</v>
      </c>
    </row>
    <row r="68" spans="1:21" x14ac:dyDescent="0.25">
      <c r="A68" t="s">
        <v>134</v>
      </c>
    </row>
    <row r="69" spans="1:21" x14ac:dyDescent="0.25">
      <c r="A69" t="s">
        <v>135</v>
      </c>
    </row>
    <row r="70" spans="1:21" x14ac:dyDescent="0.25">
      <c r="A70" t="s">
        <v>136</v>
      </c>
      <c r="C70">
        <v>183.89</v>
      </c>
      <c r="D70">
        <v>268.39</v>
      </c>
      <c r="E70">
        <v>469</v>
      </c>
      <c r="F70">
        <v>595.39</v>
      </c>
      <c r="G70" s="2">
        <v>1182.04</v>
      </c>
      <c r="H70">
        <v>610.89</v>
      </c>
      <c r="I70">
        <v>729.77</v>
      </c>
      <c r="J70" s="2">
        <v>1224.26</v>
      </c>
      <c r="K70" s="2">
        <v>1402.73</v>
      </c>
      <c r="L70" s="2">
        <v>1324.92</v>
      </c>
      <c r="M70" s="2">
        <v>1938.98</v>
      </c>
      <c r="N70" s="2">
        <v>3914.61</v>
      </c>
      <c r="O70" s="2">
        <v>2663.67</v>
      </c>
      <c r="P70" s="2">
        <v>3277.5</v>
      </c>
      <c r="Q70" s="2">
        <v>3472.7</v>
      </c>
      <c r="R70" s="2">
        <v>2533.3000000000002</v>
      </c>
      <c r="S70" s="2">
        <v>4711.3999999999996</v>
      </c>
      <c r="T70" s="2">
        <v>8095.54</v>
      </c>
      <c r="U70" s="2">
        <v>9939.0300000000007</v>
      </c>
    </row>
    <row r="71" spans="1:21" x14ac:dyDescent="0.25">
      <c r="A71" t="s">
        <v>536</v>
      </c>
      <c r="C71">
        <v>80.06</v>
      </c>
      <c r="D71">
        <v>110.4</v>
      </c>
      <c r="E71">
        <v>184.6</v>
      </c>
      <c r="F71">
        <v>243.02</v>
      </c>
      <c r="G71" s="2">
        <v>1015.18</v>
      </c>
      <c r="H71">
        <v>302.95999999999998</v>
      </c>
      <c r="I71">
        <v>332.3</v>
      </c>
      <c r="J71">
        <v>461.03</v>
      </c>
      <c r="K71">
        <v>741.04</v>
      </c>
      <c r="L71">
        <v>992.07</v>
      </c>
      <c r="M71">
        <v>909.41</v>
      </c>
      <c r="N71" s="2">
        <v>1784.73</v>
      </c>
      <c r="O71" s="2">
        <v>1055.94</v>
      </c>
      <c r="P71" s="2">
        <v>1135.57</v>
      </c>
      <c r="Q71" s="2">
        <v>1078.1199999999999</v>
      </c>
      <c r="R71" s="2">
        <v>2434.6999999999998</v>
      </c>
      <c r="S71" s="2">
        <v>3678.1</v>
      </c>
      <c r="T71" s="2">
        <v>5043.83</v>
      </c>
      <c r="U71" s="2">
        <v>3809.07</v>
      </c>
    </row>
    <row r="72" spans="1:21" x14ac:dyDescent="0.25">
      <c r="A72" t="s">
        <v>141</v>
      </c>
      <c r="C72">
        <v>12.02</v>
      </c>
      <c r="D72">
        <v>26.13</v>
      </c>
      <c r="E72">
        <v>38.79</v>
      </c>
      <c r="F72">
        <v>57.83</v>
      </c>
      <c r="G72">
        <v>84.66</v>
      </c>
      <c r="H72">
        <v>63.58</v>
      </c>
      <c r="I72">
        <v>76.58</v>
      </c>
      <c r="J72">
        <v>126.41</v>
      </c>
      <c r="K72">
        <v>169.29</v>
      </c>
      <c r="L72">
        <v>210.1</v>
      </c>
      <c r="M72">
        <v>287.45</v>
      </c>
      <c r="N72">
        <v>342.93</v>
      </c>
      <c r="O72">
        <v>580.33000000000004</v>
      </c>
      <c r="P72">
        <v>792.47</v>
      </c>
      <c r="Q72">
        <v>954.41</v>
      </c>
      <c r="R72">
        <v>11.2</v>
      </c>
      <c r="S72">
        <v>720.3</v>
      </c>
      <c r="T72" s="2">
        <v>1544.72</v>
      </c>
      <c r="U72" s="2">
        <v>3404.01</v>
      </c>
    </row>
    <row r="73" spans="1:21" x14ac:dyDescent="0.25">
      <c r="A73" t="s">
        <v>203</v>
      </c>
      <c r="K73">
        <v>22.04</v>
      </c>
      <c r="L73">
        <v>30.56</v>
      </c>
      <c r="M73">
        <v>53.44</v>
      </c>
      <c r="N73">
        <v>90.68</v>
      </c>
      <c r="O73">
        <v>168.67</v>
      </c>
      <c r="P73">
        <v>231.78</v>
      </c>
      <c r="Q73">
        <v>221.37</v>
      </c>
      <c r="R73">
        <v>22.2</v>
      </c>
      <c r="S73">
        <v>34.799999999999997</v>
      </c>
      <c r="T73">
        <v>150.35</v>
      </c>
      <c r="U73">
        <v>362.54</v>
      </c>
    </row>
    <row r="74" spans="1:21" x14ac:dyDescent="0.25">
      <c r="A74" t="s">
        <v>408</v>
      </c>
      <c r="O74">
        <v>53.93</v>
      </c>
      <c r="P74">
        <v>0</v>
      </c>
      <c r="Q74">
        <v>0</v>
      </c>
      <c r="T74">
        <v>888.51</v>
      </c>
      <c r="U74">
        <v>821.68</v>
      </c>
    </row>
    <row r="75" spans="1:21" x14ac:dyDescent="0.25">
      <c r="A75" t="s">
        <v>146</v>
      </c>
      <c r="C75">
        <v>97.27</v>
      </c>
      <c r="D75">
        <v>144.82</v>
      </c>
      <c r="E75">
        <v>591.78</v>
      </c>
      <c r="F75">
        <v>854.06</v>
      </c>
      <c r="G75">
        <v>985.81</v>
      </c>
      <c r="H75" s="2">
        <v>1013.29</v>
      </c>
      <c r="I75">
        <v>803.26</v>
      </c>
      <c r="J75">
        <v>639.12</v>
      </c>
      <c r="K75">
        <v>864.82</v>
      </c>
      <c r="L75" s="2">
        <v>2411.25</v>
      </c>
      <c r="M75" s="2">
        <v>2753.97</v>
      </c>
      <c r="N75" s="2">
        <v>3035.84</v>
      </c>
      <c r="O75" s="2">
        <v>4202.74</v>
      </c>
      <c r="P75" s="2">
        <v>5146.88</v>
      </c>
      <c r="Q75" s="2">
        <v>5313.94</v>
      </c>
      <c r="R75" s="2">
        <v>1015.3</v>
      </c>
      <c r="S75" s="2">
        <v>7719.2</v>
      </c>
      <c r="T75" s="2">
        <v>33323.370000000003</v>
      </c>
      <c r="U75" s="2">
        <v>58795.24</v>
      </c>
    </row>
    <row r="76" spans="1:21" x14ac:dyDescent="0.25">
      <c r="A76" t="s">
        <v>1225</v>
      </c>
      <c r="C76">
        <v>64.28</v>
      </c>
      <c r="D76">
        <v>97.69</v>
      </c>
      <c r="E76">
        <v>215.3</v>
      </c>
      <c r="F76">
        <v>264.95</v>
      </c>
      <c r="G76">
        <v>295.76</v>
      </c>
      <c r="H76">
        <v>243.73</v>
      </c>
      <c r="I76">
        <v>285.99</v>
      </c>
      <c r="J76">
        <v>307.27999999999997</v>
      </c>
      <c r="K76">
        <v>367.74</v>
      </c>
      <c r="L76">
        <v>573.04999999999995</v>
      </c>
      <c r="M76">
        <v>771.44</v>
      </c>
      <c r="N76">
        <v>832.69</v>
      </c>
      <c r="O76" s="2">
        <v>1309.69</v>
      </c>
      <c r="P76" s="2">
        <v>1744.46</v>
      </c>
      <c r="Q76" s="2">
        <v>2166.06</v>
      </c>
      <c r="R76">
        <v>846.7</v>
      </c>
      <c r="S76" s="2">
        <v>5553.3</v>
      </c>
      <c r="T76" s="2">
        <v>27611.78</v>
      </c>
      <c r="U76" s="2">
        <v>53023.53</v>
      </c>
    </row>
    <row r="77" spans="1:21" x14ac:dyDescent="0.25">
      <c r="A77" t="s">
        <v>900</v>
      </c>
      <c r="C77">
        <v>59.06</v>
      </c>
      <c r="D77">
        <v>91.27</v>
      </c>
      <c r="E77">
        <v>135.66</v>
      </c>
      <c r="F77">
        <v>225.61</v>
      </c>
      <c r="G77">
        <v>314.12</v>
      </c>
      <c r="H77">
        <v>207.31</v>
      </c>
      <c r="I77">
        <v>248.27</v>
      </c>
      <c r="J77">
        <v>371.25</v>
      </c>
      <c r="K77">
        <v>526.16999999999996</v>
      </c>
      <c r="L77">
        <v>601.42999999999995</v>
      </c>
      <c r="M77">
        <v>823.91</v>
      </c>
      <c r="N77">
        <v>908.51</v>
      </c>
      <c r="P77" s="2">
        <v>1424.64</v>
      </c>
      <c r="Q77" s="2">
        <v>1537.65</v>
      </c>
      <c r="R77">
        <v>236.4</v>
      </c>
      <c r="S77">
        <v>637</v>
      </c>
      <c r="T77" s="2">
        <v>2798.67</v>
      </c>
      <c r="U77" s="2">
        <v>11332.16</v>
      </c>
    </row>
    <row r="78" spans="1:21" x14ac:dyDescent="0.25">
      <c r="A78" t="s">
        <v>311</v>
      </c>
      <c r="C78">
        <v>0.33</v>
      </c>
      <c r="D78">
        <v>0.52</v>
      </c>
      <c r="E78">
        <v>0.06</v>
      </c>
      <c r="F78">
        <v>1.1499999999999999</v>
      </c>
      <c r="G78">
        <v>0.09</v>
      </c>
      <c r="H78">
        <v>0.96</v>
      </c>
      <c r="I78">
        <v>3.1</v>
      </c>
      <c r="J78">
        <v>10.81</v>
      </c>
      <c r="K78">
        <v>37.71</v>
      </c>
      <c r="L78">
        <v>50.8</v>
      </c>
      <c r="M78">
        <v>29.77</v>
      </c>
      <c r="N78">
        <v>22.09</v>
      </c>
      <c r="O78">
        <v>74.930000000000007</v>
      </c>
      <c r="P78">
        <v>53.33</v>
      </c>
      <c r="Q78">
        <v>108.61</v>
      </c>
      <c r="R78">
        <v>7.7</v>
      </c>
      <c r="S78">
        <v>11.8</v>
      </c>
      <c r="T78">
        <v>22.55</v>
      </c>
      <c r="U78">
        <v>33.270000000000003</v>
      </c>
    </row>
    <row r="79" spans="1:21" x14ac:dyDescent="0.25">
      <c r="A79" t="s">
        <v>150</v>
      </c>
      <c r="C79">
        <v>2.1</v>
      </c>
      <c r="D79">
        <v>4.22</v>
      </c>
      <c r="E79">
        <v>14.97</v>
      </c>
      <c r="F79">
        <v>10.57</v>
      </c>
      <c r="G79">
        <v>20.190000000000001</v>
      </c>
      <c r="H79">
        <v>91.64</v>
      </c>
      <c r="I79">
        <v>82.1</v>
      </c>
      <c r="J79">
        <v>90.04</v>
      </c>
      <c r="K79">
        <v>87.25</v>
      </c>
      <c r="L79">
        <v>166.48</v>
      </c>
      <c r="M79">
        <v>167.08</v>
      </c>
      <c r="N79">
        <v>294.43</v>
      </c>
      <c r="O79">
        <v>297.82</v>
      </c>
      <c r="P79">
        <v>433.92</v>
      </c>
      <c r="Q79">
        <v>316.79000000000002</v>
      </c>
      <c r="R79">
        <v>4.9000000000000004</v>
      </c>
      <c r="S79">
        <v>19.7</v>
      </c>
      <c r="T79">
        <v>76.88</v>
      </c>
      <c r="U79">
        <v>193.94</v>
      </c>
    </row>
    <row r="80" spans="1:21" x14ac:dyDescent="0.25">
      <c r="A80" t="s">
        <v>1226</v>
      </c>
      <c r="L80">
        <v>254.57</v>
      </c>
      <c r="M80">
        <v>342.03</v>
      </c>
      <c r="N80">
        <v>280.38</v>
      </c>
      <c r="O80">
        <v>482.78</v>
      </c>
      <c r="P80">
        <v>391.3</v>
      </c>
      <c r="Q80">
        <v>396.78</v>
      </c>
      <c r="R80">
        <v>44.8</v>
      </c>
      <c r="S80">
        <v>918.8</v>
      </c>
      <c r="T80" s="2">
        <v>2929.99</v>
      </c>
      <c r="U80" s="2">
        <v>5043.42</v>
      </c>
    </row>
    <row r="81" spans="1:21" x14ac:dyDescent="0.25">
      <c r="A81" t="s">
        <v>1227</v>
      </c>
      <c r="C81">
        <v>1.03</v>
      </c>
      <c r="D81">
        <v>8.68</v>
      </c>
      <c r="E81">
        <v>77.36</v>
      </c>
      <c r="F81">
        <v>349.29</v>
      </c>
      <c r="G81">
        <v>508.26</v>
      </c>
      <c r="H81">
        <v>468.19</v>
      </c>
      <c r="I81">
        <v>271.33</v>
      </c>
      <c r="J81">
        <v>38.69</v>
      </c>
      <c r="K81">
        <v>57.34</v>
      </c>
      <c r="L81">
        <v>54.91</v>
      </c>
      <c r="M81">
        <v>112.66</v>
      </c>
      <c r="N81">
        <v>166.57</v>
      </c>
      <c r="O81">
        <v>287.85000000000002</v>
      </c>
      <c r="P81">
        <v>384.16</v>
      </c>
      <c r="Q81">
        <v>629.54</v>
      </c>
      <c r="R81">
        <v>13.1</v>
      </c>
      <c r="S81">
        <v>367.9</v>
      </c>
      <c r="T81" s="2">
        <v>1110.17</v>
      </c>
      <c r="U81" s="2">
        <v>1291.8499999999999</v>
      </c>
    </row>
    <row r="82" spans="1:21" x14ac:dyDescent="0.25">
      <c r="A82" t="s">
        <v>155</v>
      </c>
      <c r="C82">
        <v>281.17</v>
      </c>
      <c r="D82">
        <v>413.21</v>
      </c>
      <c r="E82" s="2">
        <v>1060.79</v>
      </c>
      <c r="F82" s="2">
        <v>1449.45</v>
      </c>
      <c r="G82" s="2">
        <v>2167.85</v>
      </c>
      <c r="H82" s="2">
        <v>1624.18</v>
      </c>
      <c r="I82" s="2">
        <v>1533.02</v>
      </c>
      <c r="J82" s="2">
        <v>1863.38</v>
      </c>
      <c r="K82" s="2">
        <v>2267.5500000000002</v>
      </c>
      <c r="L82" s="2">
        <v>3736.18</v>
      </c>
      <c r="M82" s="2">
        <v>4692.95</v>
      </c>
      <c r="N82" s="2">
        <v>6950.45</v>
      </c>
      <c r="O82" s="2">
        <v>6866.41</v>
      </c>
      <c r="P82" s="2">
        <v>8424.3799999999992</v>
      </c>
      <c r="Q82" s="2">
        <v>8786.6299999999992</v>
      </c>
      <c r="R82" s="2">
        <v>3548.6</v>
      </c>
      <c r="S82" s="2">
        <v>12430.6</v>
      </c>
      <c r="T82" s="2">
        <v>41850.639999999999</v>
      </c>
      <c r="U82" s="2">
        <v>71281.53</v>
      </c>
    </row>
    <row r="83" spans="1:21" x14ac:dyDescent="0.25">
      <c r="A83" t="s">
        <v>17</v>
      </c>
    </row>
    <row r="84" spans="1:21" x14ac:dyDescent="0.25">
      <c r="A84" t="s">
        <v>156</v>
      </c>
    </row>
    <row r="85" spans="1:21" x14ac:dyDescent="0.25">
      <c r="A85" t="s">
        <v>157</v>
      </c>
      <c r="C85">
        <v>61.59</v>
      </c>
      <c r="D85">
        <v>96.19</v>
      </c>
      <c r="E85">
        <v>146.65</v>
      </c>
      <c r="F85">
        <v>218.7</v>
      </c>
      <c r="G85">
        <v>210.22</v>
      </c>
      <c r="H85">
        <v>168.11</v>
      </c>
      <c r="I85">
        <v>159.97999999999999</v>
      </c>
      <c r="J85">
        <v>238.78</v>
      </c>
      <c r="K85">
        <v>618.75</v>
      </c>
      <c r="L85">
        <v>429.07</v>
      </c>
      <c r="M85">
        <v>750.22</v>
      </c>
      <c r="N85">
        <v>831.97</v>
      </c>
      <c r="O85" s="2">
        <v>1479.93</v>
      </c>
      <c r="P85" s="2">
        <v>2565.9499999999998</v>
      </c>
      <c r="Q85" s="2">
        <v>3883.37</v>
      </c>
      <c r="R85">
        <v>264</v>
      </c>
      <c r="S85" s="2">
        <v>1527.8</v>
      </c>
      <c r="T85" s="2">
        <v>4912.4399999999996</v>
      </c>
      <c r="U85" s="2">
        <v>8944.57</v>
      </c>
    </row>
    <row r="86" spans="1:21" x14ac:dyDescent="0.25">
      <c r="A86" t="s">
        <v>1228</v>
      </c>
      <c r="L86">
        <v>236.31</v>
      </c>
      <c r="M86">
        <v>392.93</v>
      </c>
      <c r="N86">
        <v>471.99</v>
      </c>
      <c r="O86" s="2">
        <v>1125.47</v>
      </c>
      <c r="P86" s="2">
        <v>1677.67</v>
      </c>
      <c r="Q86" s="2">
        <v>2160.81</v>
      </c>
      <c r="R86">
        <v>228</v>
      </c>
      <c r="S86" s="2">
        <v>1210.0999999999999</v>
      </c>
      <c r="T86" s="2">
        <v>2063.98</v>
      </c>
      <c r="U86" s="2">
        <v>3392.65</v>
      </c>
    </row>
    <row r="87" spans="1:21" x14ac:dyDescent="0.25">
      <c r="A87" t="s">
        <v>608</v>
      </c>
      <c r="C87">
        <v>12.45</v>
      </c>
      <c r="D87">
        <v>19.059999999999999</v>
      </c>
      <c r="E87">
        <v>28.2</v>
      </c>
      <c r="F87">
        <v>47.62</v>
      </c>
      <c r="G87">
        <v>51.32</v>
      </c>
      <c r="H87">
        <v>50.31</v>
      </c>
      <c r="I87">
        <v>38.39</v>
      </c>
      <c r="J87">
        <v>48.39</v>
      </c>
      <c r="K87">
        <v>73.180000000000007</v>
      </c>
      <c r="L87">
        <v>58.53</v>
      </c>
      <c r="M87">
        <v>129.28</v>
      </c>
      <c r="N87">
        <v>154.21</v>
      </c>
      <c r="O87">
        <v>215.73</v>
      </c>
      <c r="P87">
        <v>384.35</v>
      </c>
      <c r="Q87">
        <v>439.67</v>
      </c>
      <c r="R87">
        <v>5.5</v>
      </c>
      <c r="S87">
        <v>17.7</v>
      </c>
      <c r="T87">
        <v>63.27</v>
      </c>
      <c r="U87">
        <v>77.91</v>
      </c>
    </row>
    <row r="88" spans="1:21" x14ac:dyDescent="0.25">
      <c r="A88" t="s">
        <v>1229</v>
      </c>
      <c r="P88">
        <v>291.04000000000002</v>
      </c>
      <c r="Q88" s="2">
        <v>1028.1500000000001</v>
      </c>
      <c r="R88">
        <v>6.1</v>
      </c>
      <c r="S88">
        <v>24.5</v>
      </c>
      <c r="T88">
        <v>69.37</v>
      </c>
      <c r="U88">
        <v>430.55</v>
      </c>
    </row>
    <row r="89" spans="1:21" x14ac:dyDescent="0.25">
      <c r="A89" t="s">
        <v>1230</v>
      </c>
      <c r="C89">
        <v>12.82</v>
      </c>
      <c r="D89">
        <v>18.010000000000002</v>
      </c>
      <c r="E89">
        <v>27.99</v>
      </c>
      <c r="F89">
        <v>35.74</v>
      </c>
      <c r="G89">
        <v>45.63</v>
      </c>
      <c r="H89">
        <v>31.04</v>
      </c>
      <c r="I89">
        <v>25.71</v>
      </c>
      <c r="J89">
        <v>34.729999999999997</v>
      </c>
      <c r="K89">
        <v>42.8</v>
      </c>
      <c r="L89">
        <v>39.74</v>
      </c>
      <c r="M89">
        <v>49.65</v>
      </c>
      <c r="N89">
        <v>85.25</v>
      </c>
      <c r="O89">
        <v>138.72999999999999</v>
      </c>
      <c r="P89">
        <v>212.89</v>
      </c>
      <c r="Q89">
        <v>254.73</v>
      </c>
      <c r="R89">
        <v>16.3</v>
      </c>
      <c r="S89">
        <v>275.5</v>
      </c>
      <c r="T89" s="2">
        <v>2528.33</v>
      </c>
      <c r="U89" s="2">
        <v>4983.7299999999996</v>
      </c>
    </row>
    <row r="90" spans="1:21" x14ac:dyDescent="0.25">
      <c r="A90" t="s">
        <v>164</v>
      </c>
      <c r="C90">
        <v>2</v>
      </c>
      <c r="D90">
        <v>2.13</v>
      </c>
      <c r="E90">
        <v>12.83</v>
      </c>
      <c r="F90">
        <v>18.2</v>
      </c>
      <c r="G90">
        <v>541.09</v>
      </c>
      <c r="H90">
        <v>499.08</v>
      </c>
      <c r="I90">
        <v>412.01</v>
      </c>
      <c r="J90">
        <v>341.2</v>
      </c>
      <c r="K90">
        <v>39.520000000000003</v>
      </c>
      <c r="L90">
        <v>211.99</v>
      </c>
      <c r="M90">
        <v>244.23</v>
      </c>
      <c r="N90" s="2">
        <v>1410.47</v>
      </c>
      <c r="O90" s="2">
        <v>1751.11</v>
      </c>
      <c r="P90" s="2">
        <v>1238.92</v>
      </c>
      <c r="Q90" s="2">
        <v>1593.68</v>
      </c>
      <c r="R90">
        <v>30.9</v>
      </c>
      <c r="S90" s="2">
        <v>6308.8</v>
      </c>
      <c r="T90" s="2">
        <v>26506.74</v>
      </c>
      <c r="U90" s="2">
        <v>49655.24</v>
      </c>
    </row>
    <row r="91" spans="1:21" x14ac:dyDescent="0.25">
      <c r="A91" t="s">
        <v>661</v>
      </c>
      <c r="L91">
        <v>181.12</v>
      </c>
      <c r="M91">
        <v>174.76</v>
      </c>
      <c r="N91">
        <v>172.95</v>
      </c>
      <c r="O91">
        <v>328.23</v>
      </c>
      <c r="P91">
        <v>240.54</v>
      </c>
      <c r="Q91">
        <v>285.45999999999998</v>
      </c>
      <c r="R91">
        <v>30.3</v>
      </c>
      <c r="S91">
        <v>760.5</v>
      </c>
      <c r="T91" s="2">
        <v>2422.88</v>
      </c>
      <c r="U91" s="2">
        <v>4242.79</v>
      </c>
    </row>
    <row r="92" spans="1:21" x14ac:dyDescent="0.25">
      <c r="A92" t="s">
        <v>1231</v>
      </c>
      <c r="R92">
        <v>0</v>
      </c>
      <c r="S92" s="2">
        <v>4103.2</v>
      </c>
      <c r="T92" s="2">
        <v>16250.08</v>
      </c>
      <c r="U92" s="2">
        <v>34153.879999999997</v>
      </c>
    </row>
    <row r="93" spans="1:21" x14ac:dyDescent="0.25">
      <c r="A93" t="s">
        <v>167</v>
      </c>
      <c r="C93">
        <v>63.58</v>
      </c>
      <c r="D93">
        <v>98.32</v>
      </c>
      <c r="E93">
        <v>159.47999999999999</v>
      </c>
      <c r="F93">
        <v>236.9</v>
      </c>
      <c r="G93">
        <v>751.31</v>
      </c>
      <c r="H93">
        <v>667.19</v>
      </c>
      <c r="I93">
        <v>571.99</v>
      </c>
      <c r="J93">
        <v>579.98</v>
      </c>
      <c r="K93">
        <v>658.27</v>
      </c>
      <c r="L93">
        <v>641.05999999999995</v>
      </c>
      <c r="M93">
        <v>994.46</v>
      </c>
      <c r="N93" s="2">
        <v>2242.44</v>
      </c>
      <c r="O93" s="2">
        <v>3231.05</v>
      </c>
      <c r="P93" s="2">
        <v>3804.87</v>
      </c>
      <c r="Q93" s="2">
        <v>5477.05</v>
      </c>
      <c r="R93">
        <v>294.89999999999998</v>
      </c>
      <c r="S93" s="2">
        <v>7836.6</v>
      </c>
      <c r="T93" s="2">
        <v>30678.14</v>
      </c>
      <c r="U93" s="2">
        <v>58500.31</v>
      </c>
    </row>
    <row r="94" spans="1:21" x14ac:dyDescent="0.25">
      <c r="A94" t="s">
        <v>170</v>
      </c>
      <c r="C94">
        <v>217.58</v>
      </c>
      <c r="D94">
        <v>314.89</v>
      </c>
      <c r="E94">
        <v>901.31</v>
      </c>
      <c r="F94" s="2">
        <v>1212.55</v>
      </c>
      <c r="G94" s="2">
        <v>1416.55</v>
      </c>
      <c r="H94">
        <v>956.99</v>
      </c>
      <c r="I94">
        <v>961.03</v>
      </c>
      <c r="J94" s="2">
        <v>1258.81</v>
      </c>
      <c r="K94" s="2">
        <v>1438.69</v>
      </c>
      <c r="L94" s="2">
        <v>2579.31</v>
      </c>
      <c r="M94" s="2">
        <v>3142.24</v>
      </c>
      <c r="N94" s="2">
        <v>4394.45</v>
      </c>
      <c r="O94" s="2">
        <v>3438.9</v>
      </c>
      <c r="P94" s="2">
        <v>4320.7700000000004</v>
      </c>
      <c r="Q94" s="2">
        <v>3309.4</v>
      </c>
      <c r="R94" s="2">
        <v>3256.9</v>
      </c>
      <c r="S94" s="2">
        <v>4613.2</v>
      </c>
      <c r="T94" s="2">
        <v>10913.74</v>
      </c>
      <c r="U94" s="2">
        <v>12471.39</v>
      </c>
    </row>
    <row r="95" spans="1:21" x14ac:dyDescent="0.25">
      <c r="A95" t="s">
        <v>1232</v>
      </c>
      <c r="C95">
        <v>32.659999999999997</v>
      </c>
      <c r="D95">
        <v>31.83</v>
      </c>
      <c r="E95">
        <v>18.52</v>
      </c>
      <c r="F95">
        <v>14.56</v>
      </c>
      <c r="G95">
        <v>7.36</v>
      </c>
      <c r="H95">
        <v>3.12</v>
      </c>
      <c r="I95">
        <v>1.03</v>
      </c>
      <c r="J95">
        <v>4.6399999999999997</v>
      </c>
      <c r="K95">
        <v>4.71</v>
      </c>
      <c r="L95">
        <v>3.79</v>
      </c>
      <c r="M95">
        <v>4.21</v>
      </c>
      <c r="N95">
        <v>3.75</v>
      </c>
      <c r="O95">
        <v>3.74</v>
      </c>
      <c r="P95">
        <v>3.85</v>
      </c>
      <c r="Q95">
        <v>3.15</v>
      </c>
      <c r="R95">
        <v>9.1999999999999993</v>
      </c>
      <c r="S95">
        <v>8.4</v>
      </c>
      <c r="T95">
        <v>8.43</v>
      </c>
      <c r="U95">
        <v>8.48</v>
      </c>
    </row>
    <row r="96" spans="1:21" x14ac:dyDescent="0.25">
      <c r="A96" t="s">
        <v>1233</v>
      </c>
      <c r="C96">
        <v>0</v>
      </c>
      <c r="D96">
        <v>0</v>
      </c>
      <c r="E96">
        <v>0</v>
      </c>
      <c r="G96">
        <v>209.33</v>
      </c>
      <c r="H96">
        <v>243.45</v>
      </c>
      <c r="I96">
        <v>171.8</v>
      </c>
      <c r="J96">
        <v>136.65</v>
      </c>
      <c r="K96">
        <v>66.25</v>
      </c>
      <c r="L96">
        <v>155.29</v>
      </c>
      <c r="M96">
        <v>6.63</v>
      </c>
      <c r="N96">
        <v>0.08</v>
      </c>
      <c r="O96">
        <v>36.340000000000003</v>
      </c>
      <c r="P96">
        <v>19.03</v>
      </c>
      <c r="Q96">
        <v>15.56</v>
      </c>
      <c r="R96" s="2">
        <v>1968.1</v>
      </c>
      <c r="S96" s="2">
        <v>1075.7</v>
      </c>
      <c r="T96">
        <v>782.1</v>
      </c>
      <c r="U96">
        <v>782.1</v>
      </c>
    </row>
    <row r="97" spans="1:21" x14ac:dyDescent="0.25">
      <c r="A97" t="s">
        <v>1234</v>
      </c>
      <c r="C97">
        <v>9.85</v>
      </c>
      <c r="D97">
        <v>15.29</v>
      </c>
      <c r="E97">
        <v>396.25</v>
      </c>
      <c r="F97">
        <v>445.68</v>
      </c>
      <c r="G97">
        <v>477.31</v>
      </c>
      <c r="H97">
        <v>278.02</v>
      </c>
      <c r="I97">
        <v>236.59</v>
      </c>
      <c r="J97">
        <v>270.74</v>
      </c>
      <c r="K97">
        <v>286.07</v>
      </c>
      <c r="L97" s="2">
        <v>1005.49</v>
      </c>
      <c r="M97" s="2">
        <v>1096.97</v>
      </c>
      <c r="N97" s="2">
        <v>2167.0700000000002</v>
      </c>
      <c r="O97" s="2">
        <v>1504.39</v>
      </c>
      <c r="P97" s="2">
        <v>1631.88</v>
      </c>
      <c r="Q97">
        <v>974.41</v>
      </c>
      <c r="R97" s="2">
        <v>2016.7</v>
      </c>
      <c r="S97" s="2">
        <v>2360.9</v>
      </c>
      <c r="T97" s="2">
        <v>8667.43</v>
      </c>
      <c r="U97" s="2">
        <v>10436.709999999999</v>
      </c>
    </row>
    <row r="98" spans="1:21" x14ac:dyDescent="0.25">
      <c r="A98" t="s">
        <v>700</v>
      </c>
      <c r="C98">
        <v>4.5599999999999996</v>
      </c>
      <c r="D98">
        <v>4.8499999999999996</v>
      </c>
      <c r="E98">
        <v>56.91</v>
      </c>
      <c r="F98">
        <v>31.45</v>
      </c>
      <c r="G98">
        <v>62.08</v>
      </c>
      <c r="H98">
        <v>17.559999999999999</v>
      </c>
      <c r="I98">
        <v>42.49</v>
      </c>
      <c r="J98">
        <v>14.63</v>
      </c>
      <c r="K98">
        <v>32.380000000000003</v>
      </c>
      <c r="L98">
        <v>117.98</v>
      </c>
      <c r="M98">
        <v>78.040000000000006</v>
      </c>
      <c r="N98">
        <v>242.32</v>
      </c>
      <c r="O98">
        <v>215.69</v>
      </c>
      <c r="P98">
        <v>331.36</v>
      </c>
      <c r="Q98">
        <v>185.14</v>
      </c>
      <c r="R98">
        <v>-22.1</v>
      </c>
      <c r="S98">
        <v>-0.1</v>
      </c>
      <c r="T98">
        <v>-12.9</v>
      </c>
      <c r="U98">
        <v>-12.9</v>
      </c>
    </row>
    <row r="99" spans="1:21" x14ac:dyDescent="0.25">
      <c r="A99" t="s">
        <v>173</v>
      </c>
      <c r="C99">
        <v>170.51</v>
      </c>
      <c r="D99">
        <v>262.92</v>
      </c>
      <c r="E99">
        <v>429.63</v>
      </c>
      <c r="F99">
        <v>720.85</v>
      </c>
      <c r="G99" s="2">
        <v>1079.1400000000001</v>
      </c>
      <c r="H99">
        <v>901.73</v>
      </c>
      <c r="I99">
        <v>852.72</v>
      </c>
      <c r="J99" s="2">
        <v>1105.46</v>
      </c>
      <c r="K99" s="2">
        <v>1181.79</v>
      </c>
      <c r="L99" s="2">
        <v>1607.33</v>
      </c>
      <c r="M99" s="2">
        <v>1969.65</v>
      </c>
      <c r="N99" s="2">
        <v>1981.4</v>
      </c>
      <c r="O99" s="2">
        <v>1751.42</v>
      </c>
      <c r="P99" s="2">
        <v>2372.6999999999998</v>
      </c>
      <c r="Q99" s="2">
        <v>2162.2600000000002</v>
      </c>
      <c r="R99" s="2">
        <v>3218</v>
      </c>
      <c r="S99" s="2">
        <v>3300.5</v>
      </c>
      <c r="T99" s="2">
        <v>2702.8</v>
      </c>
      <c r="U99">
        <v>630.79999999999995</v>
      </c>
    </row>
    <row r="100" spans="1:21" x14ac:dyDescent="0.25">
      <c r="A100" t="s">
        <v>1235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24.59</v>
      </c>
      <c r="K100">
        <v>170.59</v>
      </c>
      <c r="L100">
        <v>515.82000000000005</v>
      </c>
      <c r="M100">
        <v>556.25</v>
      </c>
      <c r="N100">
        <v>313.56</v>
      </c>
      <c r="O100">
        <v>196.46</v>
      </c>
      <c r="P100">
        <v>298.74</v>
      </c>
      <c r="Q100">
        <v>0.18</v>
      </c>
      <c r="R100">
        <v>0</v>
      </c>
      <c r="S100">
        <v>0</v>
      </c>
      <c r="T100">
        <v>1</v>
      </c>
      <c r="U100">
        <v>1</v>
      </c>
    </row>
    <row r="101" spans="1:21" x14ac:dyDescent="0.25">
      <c r="A101" t="s">
        <v>326</v>
      </c>
      <c r="C101">
        <v>281.17</v>
      </c>
      <c r="D101">
        <v>413.21</v>
      </c>
      <c r="E101" s="2">
        <v>1060.79</v>
      </c>
      <c r="F101" s="2">
        <v>1449.45</v>
      </c>
      <c r="G101" s="2">
        <v>2167.85</v>
      </c>
      <c r="H101" s="2">
        <v>1624.18</v>
      </c>
      <c r="I101" s="2">
        <v>1533.02</v>
      </c>
      <c r="J101" s="2">
        <v>1863.38</v>
      </c>
      <c r="K101" s="2">
        <v>2267.5500000000002</v>
      </c>
      <c r="L101" s="2">
        <v>3736.18</v>
      </c>
      <c r="M101" s="2">
        <v>4692.95</v>
      </c>
      <c r="N101" s="2">
        <v>6950.45</v>
      </c>
      <c r="O101" s="2">
        <v>6866.41</v>
      </c>
      <c r="P101" s="2">
        <v>8424.3799999999992</v>
      </c>
      <c r="Q101" s="2">
        <v>8786.6299999999992</v>
      </c>
      <c r="R101" s="2">
        <v>3548.6</v>
      </c>
      <c r="S101" s="2">
        <v>12430.6</v>
      </c>
      <c r="T101" s="2">
        <v>41850.639999999999</v>
      </c>
      <c r="U101" s="2">
        <v>71281.53</v>
      </c>
    </row>
    <row r="102" spans="1:21" x14ac:dyDescent="0.25">
      <c r="A102" t="s">
        <v>17</v>
      </c>
    </row>
    <row r="103" spans="1:21" x14ac:dyDescent="0.25">
      <c r="A103" t="s">
        <v>176</v>
      </c>
    </row>
    <row r="104" spans="1:21" x14ac:dyDescent="0.25">
      <c r="A104" t="s">
        <v>505</v>
      </c>
      <c r="C104">
        <v>-80.06</v>
      </c>
      <c r="D104">
        <v>-110.4</v>
      </c>
      <c r="E104">
        <v>-184.6</v>
      </c>
      <c r="F104">
        <v>-245.51</v>
      </c>
      <c r="G104">
        <v>-518.38</v>
      </c>
      <c r="H104">
        <v>91.93</v>
      </c>
      <c r="I104">
        <v>3.03</v>
      </c>
      <c r="J104">
        <v>-204.37</v>
      </c>
      <c r="K104">
        <v>-431.26</v>
      </c>
      <c r="L104">
        <v>-715.38</v>
      </c>
      <c r="M104">
        <v>-538.65</v>
      </c>
      <c r="N104">
        <v>-323.02</v>
      </c>
      <c r="O104">
        <v>614.04999999999995</v>
      </c>
      <c r="P104">
        <v>241.28</v>
      </c>
      <c r="Q104" s="2">
        <v>1205.44</v>
      </c>
      <c r="R104" s="2">
        <v>-2385</v>
      </c>
      <c r="S104" s="2">
        <v>1295</v>
      </c>
      <c r="T104" s="2">
        <v>12060.23</v>
      </c>
      <c r="U104" s="2">
        <v>32615.25</v>
      </c>
    </row>
    <row r="105" spans="1:21" x14ac:dyDescent="0.25">
      <c r="A105" t="s">
        <v>17</v>
      </c>
    </row>
    <row r="106" spans="1:21" x14ac:dyDescent="0.25">
      <c r="A106" t="s">
        <v>188</v>
      </c>
    </row>
    <row r="107" spans="1:21" x14ac:dyDescent="0.25">
      <c r="A107" t="s">
        <v>189</v>
      </c>
    </row>
    <row r="108" spans="1:21" x14ac:dyDescent="0.25">
      <c r="A108" t="s">
        <v>121</v>
      </c>
      <c r="E108">
        <v>196.83</v>
      </c>
      <c r="F108">
        <v>265.08</v>
      </c>
      <c r="G108">
        <v>423.3</v>
      </c>
      <c r="H108">
        <v>450.75</v>
      </c>
      <c r="I108">
        <v>159.69</v>
      </c>
      <c r="J108">
        <v>102.03</v>
      </c>
      <c r="K108">
        <v>150.49</v>
      </c>
      <c r="L108">
        <v>761.11</v>
      </c>
      <c r="M108">
        <v>198.32</v>
      </c>
      <c r="N108">
        <v>354.55</v>
      </c>
      <c r="O108">
        <v>-199.06</v>
      </c>
      <c r="P108">
        <v>585.25</v>
      </c>
      <c r="Q108">
        <v>235.25</v>
      </c>
      <c r="R108">
        <v>-644.79999999999995</v>
      </c>
      <c r="S108">
        <v>101.7</v>
      </c>
      <c r="T108">
        <v>-454.38</v>
      </c>
      <c r="U108" s="2">
        <v>-1541.24</v>
      </c>
    </row>
    <row r="109" spans="1:21" x14ac:dyDescent="0.25">
      <c r="A109" t="s">
        <v>1236</v>
      </c>
    </row>
    <row r="110" spans="1:21" x14ac:dyDescent="0.25">
      <c r="A110" t="s">
        <v>1237</v>
      </c>
      <c r="C110">
        <v>28.84</v>
      </c>
      <c r="D110">
        <v>38.909999999999997</v>
      </c>
      <c r="E110">
        <v>63.89</v>
      </c>
      <c r="F110">
        <v>95.13</v>
      </c>
      <c r="G110">
        <v>116.08</v>
      </c>
      <c r="H110">
        <v>118.75</v>
      </c>
      <c r="I110">
        <v>128.54</v>
      </c>
      <c r="J110">
        <v>144.19</v>
      </c>
      <c r="K110">
        <v>263.57</v>
      </c>
      <c r="L110">
        <v>194.12</v>
      </c>
      <c r="M110">
        <v>228.48</v>
      </c>
      <c r="N110">
        <v>245.8</v>
      </c>
      <c r="O110">
        <v>327.2</v>
      </c>
      <c r="P110">
        <v>457.85</v>
      </c>
      <c r="Q110">
        <v>0.35</v>
      </c>
      <c r="R110">
        <v>77.099999999999994</v>
      </c>
      <c r="S110">
        <v>417.9</v>
      </c>
      <c r="T110" s="2">
        <v>2052.9699999999998</v>
      </c>
      <c r="U110" s="2">
        <v>6739.88</v>
      </c>
    </row>
    <row r="111" spans="1:21" x14ac:dyDescent="0.25">
      <c r="A111" t="s">
        <v>1238</v>
      </c>
      <c r="C111">
        <v>1.26</v>
      </c>
      <c r="D111">
        <v>1.1200000000000001</v>
      </c>
      <c r="E111">
        <v>1.64</v>
      </c>
      <c r="F111">
        <v>4.4800000000000004</v>
      </c>
      <c r="G111">
        <v>3.49</v>
      </c>
      <c r="H111">
        <v>6.41</v>
      </c>
      <c r="I111">
        <v>26.3</v>
      </c>
      <c r="J111">
        <v>29.3</v>
      </c>
      <c r="K111">
        <v>36.15</v>
      </c>
      <c r="L111">
        <v>36.85</v>
      </c>
      <c r="M111">
        <v>40.4</v>
      </c>
      <c r="N111">
        <v>53.16</v>
      </c>
      <c r="O111">
        <v>80.73</v>
      </c>
      <c r="P111">
        <v>113.16</v>
      </c>
      <c r="Q111">
        <v>0.02</v>
      </c>
      <c r="R111">
        <v>1.9</v>
      </c>
      <c r="S111">
        <v>6.9</v>
      </c>
      <c r="T111">
        <v>18.53</v>
      </c>
      <c r="U111">
        <v>28.4</v>
      </c>
    </row>
    <row r="112" spans="1:21" x14ac:dyDescent="0.25">
      <c r="A112" t="s">
        <v>1239</v>
      </c>
      <c r="C112">
        <v>6.61</v>
      </c>
      <c r="D112">
        <v>5.27</v>
      </c>
      <c r="E112">
        <v>11.22</v>
      </c>
      <c r="F112">
        <v>12.12</v>
      </c>
      <c r="G112">
        <v>23.69</v>
      </c>
      <c r="H112">
        <v>9.9600000000000009</v>
      </c>
      <c r="I112">
        <v>44.84</v>
      </c>
      <c r="J112">
        <v>51.36</v>
      </c>
      <c r="K112">
        <v>71.900000000000006</v>
      </c>
      <c r="L112">
        <v>104.79</v>
      </c>
      <c r="M112">
        <v>152.38</v>
      </c>
      <c r="N112">
        <v>218.58</v>
      </c>
      <c r="O112">
        <v>282.66000000000003</v>
      </c>
      <c r="P112">
        <v>356.47</v>
      </c>
      <c r="Q112">
        <v>0.37</v>
      </c>
      <c r="R112">
        <v>56.6</v>
      </c>
      <c r="S112">
        <v>83.2</v>
      </c>
      <c r="T112">
        <v>318.01</v>
      </c>
      <c r="U112">
        <v>623.6</v>
      </c>
    </row>
    <row r="113" spans="1:21" x14ac:dyDescent="0.25">
      <c r="A113" t="s">
        <v>1240</v>
      </c>
      <c r="C113">
        <v>-1.17</v>
      </c>
      <c r="D113">
        <v>7.0000000000000007E-2</v>
      </c>
      <c r="E113">
        <v>-5.76</v>
      </c>
      <c r="F113">
        <v>2.3199999999999998</v>
      </c>
      <c r="G113">
        <v>-6.19</v>
      </c>
      <c r="H113">
        <v>3.05</v>
      </c>
      <c r="I113">
        <v>-3.1</v>
      </c>
      <c r="J113">
        <v>-12.97</v>
      </c>
      <c r="K113">
        <v>-24.4</v>
      </c>
      <c r="L113">
        <v>-36.21</v>
      </c>
      <c r="M113">
        <v>28.53</v>
      </c>
      <c r="N113">
        <v>9.52</v>
      </c>
      <c r="O113">
        <v>-70.06</v>
      </c>
      <c r="P113">
        <v>67.760000000000005</v>
      </c>
      <c r="Q113">
        <v>-0.02</v>
      </c>
      <c r="R113">
        <v>-2.8</v>
      </c>
      <c r="S113">
        <v>-3.4</v>
      </c>
      <c r="T113">
        <v>-1.93</v>
      </c>
      <c r="U113">
        <v>-62.95</v>
      </c>
    </row>
    <row r="114" spans="1:21" x14ac:dyDescent="0.25">
      <c r="A114" t="s">
        <v>1241</v>
      </c>
      <c r="C114">
        <v>2.02</v>
      </c>
      <c r="D114">
        <v>-0.36</v>
      </c>
      <c r="E114">
        <v>-3.44</v>
      </c>
      <c r="F114">
        <v>1.84</v>
      </c>
      <c r="G114">
        <v>-4.37</v>
      </c>
      <c r="H114">
        <v>-173.55</v>
      </c>
      <c r="I114">
        <v>-31.4</v>
      </c>
      <c r="J114">
        <v>57.54</v>
      </c>
      <c r="K114">
        <v>18.43</v>
      </c>
      <c r="L114">
        <v>-18.7</v>
      </c>
      <c r="M114">
        <v>20.010000000000002</v>
      </c>
      <c r="N114">
        <v>-39.4</v>
      </c>
      <c r="O114">
        <v>-3.19</v>
      </c>
      <c r="P114">
        <v>-139.29</v>
      </c>
      <c r="Q114">
        <v>0.03</v>
      </c>
      <c r="R114">
        <v>17.8</v>
      </c>
      <c r="S114">
        <v>-27.2</v>
      </c>
      <c r="T114">
        <v>-22.8</v>
      </c>
      <c r="U114">
        <v>0</v>
      </c>
    </row>
    <row r="115" spans="1:21" x14ac:dyDescent="0.25">
      <c r="A115" t="s">
        <v>1242</v>
      </c>
    </row>
    <row r="116" spans="1:21" x14ac:dyDescent="0.25">
      <c r="A116" t="s">
        <v>1126</v>
      </c>
      <c r="C116">
        <v>-0.85</v>
      </c>
      <c r="D116">
        <v>21.35</v>
      </c>
      <c r="E116">
        <v>-18.55</v>
      </c>
      <c r="F116">
        <v>-5.22</v>
      </c>
      <c r="G116">
        <v>-35.880000000000003</v>
      </c>
      <c r="H116">
        <v>-52.07</v>
      </c>
      <c r="I116">
        <v>1.39</v>
      </c>
      <c r="J116">
        <v>23.19</v>
      </c>
      <c r="K116">
        <v>-84.3</v>
      </c>
      <c r="L116">
        <v>-153.02000000000001</v>
      </c>
      <c r="M116">
        <v>-153.94</v>
      </c>
      <c r="N116">
        <v>-201.49</v>
      </c>
      <c r="O116">
        <v>-251.47</v>
      </c>
      <c r="P116">
        <v>241.29</v>
      </c>
      <c r="Q116">
        <v>0.08</v>
      </c>
      <c r="R116">
        <v>-48.7</v>
      </c>
      <c r="S116">
        <v>702.6</v>
      </c>
      <c r="T116" s="2">
        <v>-1151.53</v>
      </c>
      <c r="U116" s="2">
        <v>-2455.36</v>
      </c>
    </row>
    <row r="117" spans="1:21" x14ac:dyDescent="0.25">
      <c r="A117" t="s">
        <v>1243</v>
      </c>
      <c r="C117">
        <v>-14.7</v>
      </c>
      <c r="D117">
        <v>5.8</v>
      </c>
      <c r="E117">
        <v>-33.21</v>
      </c>
      <c r="F117">
        <v>-29.75</v>
      </c>
      <c r="G117">
        <v>-40.869999999999997</v>
      </c>
      <c r="H117">
        <v>-81.28</v>
      </c>
      <c r="I117">
        <v>-29.09</v>
      </c>
      <c r="J117">
        <v>-35.799999999999997</v>
      </c>
      <c r="K117">
        <v>-35.43</v>
      </c>
      <c r="L117">
        <v>-89.2</v>
      </c>
      <c r="M117">
        <v>-89.45</v>
      </c>
      <c r="N117">
        <v>-77.92</v>
      </c>
      <c r="O117">
        <v>-304.04000000000002</v>
      </c>
      <c r="P117">
        <v>-66.23</v>
      </c>
      <c r="Q117">
        <v>-7.0000000000000007E-2</v>
      </c>
      <c r="R117">
        <v>-14.8</v>
      </c>
      <c r="S117">
        <v>-17.8</v>
      </c>
      <c r="T117">
        <v>-108.65</v>
      </c>
      <c r="U117">
        <v>-252.49</v>
      </c>
    </row>
    <row r="118" spans="1:21" x14ac:dyDescent="0.25">
      <c r="A118" t="s">
        <v>1244</v>
      </c>
      <c r="S118">
        <v>-29</v>
      </c>
      <c r="T118">
        <v>352.41</v>
      </c>
      <c r="U118">
        <v>986.1</v>
      </c>
    </row>
    <row r="119" spans="1:21" x14ac:dyDescent="0.25">
      <c r="A119" t="s">
        <v>1245</v>
      </c>
      <c r="K119">
        <v>5.5</v>
      </c>
      <c r="L119">
        <v>7.66</v>
      </c>
      <c r="M119">
        <v>12.15</v>
      </c>
      <c r="N119">
        <v>36.369999999999997</v>
      </c>
      <c r="O119">
        <v>51.65</v>
      </c>
      <c r="P119">
        <v>77.91</v>
      </c>
      <c r="Q119">
        <v>0.02</v>
      </c>
      <c r="R119">
        <v>10</v>
      </c>
      <c r="S119" s="2">
        <v>1565.8</v>
      </c>
      <c r="T119" s="2">
        <v>7842.59</v>
      </c>
      <c r="U119" s="2">
        <v>6973.61</v>
      </c>
    </row>
    <row r="120" spans="1:21" x14ac:dyDescent="0.25">
      <c r="A120" t="s">
        <v>1246</v>
      </c>
      <c r="C120">
        <v>2.15</v>
      </c>
      <c r="D120">
        <v>-0.1</v>
      </c>
      <c r="E120">
        <v>-18.07</v>
      </c>
      <c r="F120">
        <v>-13.25</v>
      </c>
      <c r="G120">
        <v>-4.9000000000000004</v>
      </c>
      <c r="H120">
        <v>0</v>
      </c>
      <c r="I120">
        <v>0</v>
      </c>
      <c r="J120">
        <v>0</v>
      </c>
      <c r="Q120">
        <v>0.08</v>
      </c>
      <c r="R120">
        <v>-6.1</v>
      </c>
      <c r="S120">
        <v>-101.8</v>
      </c>
      <c r="T120">
        <v>25.61</v>
      </c>
      <c r="U120">
        <v>-12.42</v>
      </c>
    </row>
    <row r="121" spans="1:21" x14ac:dyDescent="0.25">
      <c r="A121" t="s">
        <v>204</v>
      </c>
      <c r="C121">
        <v>100.78</v>
      </c>
      <c r="D121">
        <v>196.44</v>
      </c>
      <c r="E121">
        <v>255.91</v>
      </c>
      <c r="F121">
        <v>371.65</v>
      </c>
      <c r="G121">
        <v>461.97</v>
      </c>
      <c r="H121">
        <v>411.71</v>
      </c>
      <c r="I121">
        <v>319.66000000000003</v>
      </c>
      <c r="J121">
        <v>379.52</v>
      </c>
      <c r="K121">
        <v>407.65</v>
      </c>
      <c r="L121">
        <v>451.23</v>
      </c>
      <c r="M121">
        <v>686.19</v>
      </c>
      <c r="N121">
        <v>453.11</v>
      </c>
      <c r="O121">
        <v>126.11</v>
      </c>
      <c r="P121">
        <v>618.21</v>
      </c>
      <c r="Q121">
        <v>9.82</v>
      </c>
      <c r="R121">
        <v>245.6</v>
      </c>
      <c r="S121">
        <v>384.8</v>
      </c>
      <c r="T121" s="2">
        <v>8159.42</v>
      </c>
      <c r="U121" s="2">
        <v>10255.620000000001</v>
      </c>
    </row>
    <row r="122" spans="1:21" x14ac:dyDescent="0.25">
      <c r="A122" t="s">
        <v>17</v>
      </c>
    </row>
    <row r="123" spans="1:21" x14ac:dyDescent="0.25">
      <c r="A123" t="s">
        <v>205</v>
      </c>
    </row>
    <row r="124" spans="1:21" x14ac:dyDescent="0.25">
      <c r="A124" t="s">
        <v>206</v>
      </c>
      <c r="C124">
        <v>-31.21</v>
      </c>
      <c r="D124">
        <v>-72.44</v>
      </c>
      <c r="E124">
        <v>-188.54</v>
      </c>
      <c r="F124">
        <v>-128.43</v>
      </c>
      <c r="G124">
        <v>-155.07</v>
      </c>
      <c r="H124">
        <v>-256.33</v>
      </c>
      <c r="I124">
        <v>-215.23</v>
      </c>
      <c r="J124">
        <v>-144.46</v>
      </c>
      <c r="K124">
        <v>-212.45</v>
      </c>
      <c r="L124">
        <v>-453</v>
      </c>
      <c r="M124">
        <v>-317.64</v>
      </c>
      <c r="N124">
        <v>-341.2</v>
      </c>
      <c r="O124">
        <v>-605.52</v>
      </c>
      <c r="P124">
        <v>-749.54</v>
      </c>
      <c r="Q124">
        <v>-0.98</v>
      </c>
      <c r="R124">
        <v>-807.5</v>
      </c>
      <c r="S124" s="2">
        <v>-4066</v>
      </c>
      <c r="T124" s="2">
        <v>-24005.3</v>
      </c>
      <c r="U124" s="2">
        <v>-30853.73</v>
      </c>
    </row>
    <row r="125" spans="1:21" x14ac:dyDescent="0.25">
      <c r="A125" t="s">
        <v>213</v>
      </c>
      <c r="C125">
        <v>-92.59</v>
      </c>
      <c r="D125">
        <v>-133.94</v>
      </c>
      <c r="E125">
        <v>-598.42999999999995</v>
      </c>
      <c r="F125">
        <v>-328.49</v>
      </c>
      <c r="G125">
        <v>-22.31</v>
      </c>
      <c r="H125">
        <v>-757.13</v>
      </c>
      <c r="I125">
        <v>-193.6</v>
      </c>
      <c r="J125">
        <v>-196.71</v>
      </c>
      <c r="K125">
        <v>-133.55000000000001</v>
      </c>
      <c r="L125">
        <v>415.19</v>
      </c>
      <c r="M125">
        <v>-759.75</v>
      </c>
      <c r="N125" s="2">
        <v>-1666.96</v>
      </c>
      <c r="O125">
        <v>298.47000000000003</v>
      </c>
      <c r="P125">
        <v>-337.19</v>
      </c>
      <c r="Q125">
        <v>-14.35</v>
      </c>
      <c r="R125">
        <v>311.60000000000002</v>
      </c>
      <c r="S125" s="2">
        <v>-4229.3</v>
      </c>
      <c r="T125" s="2">
        <v>-24205.96</v>
      </c>
      <c r="U125" s="2">
        <v>-31068.080000000002</v>
      </c>
    </row>
    <row r="126" spans="1:21" x14ac:dyDescent="0.25">
      <c r="A126" t="s">
        <v>17</v>
      </c>
    </row>
    <row r="127" spans="1:21" x14ac:dyDescent="0.25">
      <c r="A127" t="s">
        <v>214</v>
      </c>
    </row>
    <row r="128" spans="1:21" x14ac:dyDescent="0.25">
      <c r="A128" t="s">
        <v>1247</v>
      </c>
      <c r="G128">
        <v>619.5</v>
      </c>
      <c r="H128">
        <v>78.95</v>
      </c>
      <c r="I128">
        <v>0</v>
      </c>
      <c r="J128">
        <v>0</v>
      </c>
      <c r="N128" s="2">
        <v>2149.88</v>
      </c>
      <c r="O128">
        <v>0</v>
      </c>
      <c r="P128">
        <v>16.399999999999999</v>
      </c>
      <c r="Q128">
        <v>0</v>
      </c>
      <c r="R128">
        <v>700</v>
      </c>
      <c r="S128" s="2">
        <v>1150</v>
      </c>
      <c r="T128" s="2">
        <v>4631.46</v>
      </c>
      <c r="U128" s="2">
        <v>2490.9699999999998</v>
      </c>
    </row>
    <row r="129" spans="1:21" x14ac:dyDescent="0.25">
      <c r="A129" t="s">
        <v>1248</v>
      </c>
      <c r="C129">
        <v>1.1100000000000001</v>
      </c>
      <c r="D129">
        <v>0.03</v>
      </c>
      <c r="E129">
        <v>395.7</v>
      </c>
      <c r="F129">
        <v>11.64</v>
      </c>
      <c r="G129">
        <v>13.79</v>
      </c>
      <c r="H129">
        <v>5.0599999999999996</v>
      </c>
      <c r="I129">
        <v>2.77</v>
      </c>
      <c r="J129">
        <v>6.47</v>
      </c>
      <c r="K129">
        <v>5.62</v>
      </c>
      <c r="L129">
        <v>1.84</v>
      </c>
      <c r="M129">
        <v>2.41</v>
      </c>
      <c r="N129">
        <v>15.01</v>
      </c>
      <c r="O129">
        <v>15.65</v>
      </c>
      <c r="P129">
        <v>0</v>
      </c>
      <c r="Q129">
        <v>0</v>
      </c>
      <c r="R129">
        <v>0</v>
      </c>
      <c r="S129">
        <v>8.4</v>
      </c>
      <c r="T129">
        <v>55.6</v>
      </c>
      <c r="U129">
        <v>0</v>
      </c>
    </row>
    <row r="130" spans="1:21" x14ac:dyDescent="0.25">
      <c r="A130" t="s">
        <v>218</v>
      </c>
      <c r="C130">
        <v>-7.34</v>
      </c>
      <c r="D130">
        <v>-29.88</v>
      </c>
      <c r="E130">
        <v>395.43</v>
      </c>
      <c r="F130">
        <v>11.64</v>
      </c>
      <c r="G130">
        <v>360.06</v>
      </c>
      <c r="H130">
        <v>-310.04000000000002</v>
      </c>
      <c r="I130">
        <v>-102.47</v>
      </c>
      <c r="J130">
        <v>-83.29</v>
      </c>
      <c r="K130">
        <v>-10.07</v>
      </c>
      <c r="L130">
        <v>-524.66999999999996</v>
      </c>
      <c r="M130">
        <v>-37.020000000000003</v>
      </c>
      <c r="N130" s="2">
        <v>1941.14</v>
      </c>
      <c r="O130" s="2">
        <v>-1151.3800000000001</v>
      </c>
      <c r="P130">
        <v>-81.84</v>
      </c>
      <c r="Q130">
        <v>0</v>
      </c>
      <c r="R130">
        <v>656.8</v>
      </c>
      <c r="S130" s="2">
        <v>5125.5</v>
      </c>
      <c r="T130" s="2">
        <v>17994.72</v>
      </c>
      <c r="U130" s="2">
        <v>20088.439999999999</v>
      </c>
    </row>
    <row r="131" spans="1:21" x14ac:dyDescent="0.25">
      <c r="A131" t="s">
        <v>17</v>
      </c>
    </row>
    <row r="132" spans="1:21" x14ac:dyDescent="0.25">
      <c r="A132" t="s">
        <v>176</v>
      </c>
    </row>
    <row r="133" spans="1:21" x14ac:dyDescent="0.25">
      <c r="A133" t="s">
        <v>219</v>
      </c>
      <c r="C133">
        <v>3.79</v>
      </c>
      <c r="D133">
        <v>-0.79</v>
      </c>
      <c r="E133">
        <v>46.13</v>
      </c>
      <c r="F133">
        <v>-6.61</v>
      </c>
      <c r="G133">
        <v>16.12</v>
      </c>
      <c r="H133">
        <v>238.38</v>
      </c>
      <c r="I133">
        <v>83.35</v>
      </c>
      <c r="J133">
        <v>-51.77</v>
      </c>
      <c r="K133">
        <v>-16.739999999999998</v>
      </c>
      <c r="L133">
        <v>68.58</v>
      </c>
      <c r="M133">
        <v>-81.67</v>
      </c>
      <c r="N133">
        <v>328.81</v>
      </c>
      <c r="O133">
        <v>6.93</v>
      </c>
      <c r="P133">
        <v>-124.42</v>
      </c>
      <c r="Q133">
        <v>-1.21</v>
      </c>
      <c r="R133">
        <v>-23.6</v>
      </c>
      <c r="S133">
        <v>-9.6999999999999993</v>
      </c>
      <c r="T133">
        <v>0.71</v>
      </c>
      <c r="U133">
        <v>1.97</v>
      </c>
    </row>
    <row r="134" spans="1:21" x14ac:dyDescent="0.25">
      <c r="A134" t="s">
        <v>220</v>
      </c>
    </row>
    <row r="135" spans="1:21" x14ac:dyDescent="0.25">
      <c r="A135" t="s">
        <v>221</v>
      </c>
      <c r="C135">
        <v>71.41</v>
      </c>
      <c r="D135">
        <v>79.23</v>
      </c>
      <c r="E135">
        <v>103.14</v>
      </c>
      <c r="F135">
        <v>191.16</v>
      </c>
      <c r="G135">
        <v>233.27</v>
      </c>
      <c r="H135">
        <v>884.38</v>
      </c>
      <c r="I135">
        <v>315.89</v>
      </c>
      <c r="J135">
        <v>384.65</v>
      </c>
      <c r="K135">
        <v>494.05</v>
      </c>
      <c r="L135">
        <v>691.44</v>
      </c>
      <c r="M135" s="2">
        <v>1065.1199999999999</v>
      </c>
      <c r="N135">
        <v>784.55</v>
      </c>
      <c r="O135" s="2">
        <v>1797.34</v>
      </c>
      <c r="P135" s="2">
        <v>1177.45</v>
      </c>
      <c r="Q135">
        <v>14.21</v>
      </c>
      <c r="R135" s="2">
        <v>1091.2</v>
      </c>
      <c r="S135" s="2">
        <v>2450.3000000000002</v>
      </c>
      <c r="T135" s="2">
        <v>3324.1</v>
      </c>
      <c r="U135" s="2">
        <v>5883.66</v>
      </c>
    </row>
    <row r="136" spans="1:21" x14ac:dyDescent="0.25">
      <c r="A136" t="s">
        <v>222</v>
      </c>
      <c r="C136">
        <v>80.06</v>
      </c>
      <c r="D136">
        <v>110.4</v>
      </c>
      <c r="E136">
        <v>184.6</v>
      </c>
      <c r="F136">
        <v>243.02</v>
      </c>
      <c r="G136" s="2">
        <v>1015.18</v>
      </c>
      <c r="H136">
        <v>302.95999999999998</v>
      </c>
      <c r="I136">
        <v>351.36</v>
      </c>
      <c r="J136">
        <v>470.47</v>
      </c>
      <c r="K136">
        <v>750.92</v>
      </c>
      <c r="L136">
        <v>993.34</v>
      </c>
      <c r="M136">
        <v>910.02</v>
      </c>
      <c r="N136" s="2">
        <v>1785.37</v>
      </c>
      <c r="O136" s="2">
        <v>1057.5899999999999</v>
      </c>
      <c r="P136" s="2">
        <v>1153.45</v>
      </c>
      <c r="Q136">
        <v>12.19</v>
      </c>
      <c r="R136" s="2">
        <v>2450.3000000000002</v>
      </c>
      <c r="S136" s="2">
        <v>3721.6</v>
      </c>
      <c r="T136" s="2">
        <v>5494</v>
      </c>
      <c r="U136" s="2">
        <v>4910.78</v>
      </c>
    </row>
    <row r="137" spans="1:21" x14ac:dyDescent="0.25">
      <c r="A137" t="s">
        <v>178</v>
      </c>
    </row>
    <row r="138" spans="1:21" x14ac:dyDescent="0.25">
      <c r="A138" t="s">
        <v>225</v>
      </c>
      <c r="C138">
        <v>69.569999999999993</v>
      </c>
      <c r="D138">
        <v>124</v>
      </c>
      <c r="E138">
        <v>67.37</v>
      </c>
      <c r="F138">
        <v>243.22</v>
      </c>
      <c r="G138">
        <v>306.89999999999998</v>
      </c>
      <c r="H138">
        <v>155.38</v>
      </c>
      <c r="I138">
        <v>104.44</v>
      </c>
      <c r="J138">
        <v>235.06</v>
      </c>
      <c r="K138">
        <v>195.2</v>
      </c>
      <c r="L138">
        <v>-1.78</v>
      </c>
      <c r="M138">
        <v>368.55</v>
      </c>
      <c r="N138">
        <v>111.92</v>
      </c>
      <c r="O138">
        <v>-479.41</v>
      </c>
      <c r="P138">
        <v>-131.33000000000001</v>
      </c>
      <c r="Q138">
        <v>8.84</v>
      </c>
      <c r="R138">
        <v>-561.9</v>
      </c>
      <c r="S138" s="2">
        <v>-3681.2</v>
      </c>
      <c r="T138" s="2">
        <v>-14920.25</v>
      </c>
      <c r="U138" s="2">
        <v>-22552.55</v>
      </c>
    </row>
    <row r="139" spans="1:21" x14ac:dyDescent="0.25">
      <c r="A139" t="s">
        <v>17</v>
      </c>
    </row>
    <row r="140" spans="1:21" x14ac:dyDescent="0.25">
      <c r="A140" t="s">
        <v>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D8C0-A677-4B85-82DD-765243100857}">
  <dimension ref="A1:U98"/>
  <sheetViews>
    <sheetView workbookViewId="0">
      <selection activeCell="R28" sqref="R28"/>
    </sheetView>
  </sheetViews>
  <sheetFormatPr defaultRowHeight="15" x14ac:dyDescent="0.25"/>
  <sheetData>
    <row r="1" spans="1:21" x14ac:dyDescent="0.25">
      <c r="A1" t="s">
        <v>1249</v>
      </c>
    </row>
    <row r="2" spans="1:21" x14ac:dyDescent="0.25">
      <c r="A2" t="s">
        <v>1250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N6">
        <v>-5.66</v>
      </c>
      <c r="O6">
        <v>-0.83</v>
      </c>
      <c r="P6">
        <v>-0.37</v>
      </c>
      <c r="Q6">
        <v>-0.37</v>
      </c>
      <c r="R6">
        <v>0.21</v>
      </c>
      <c r="S6">
        <v>0.96</v>
      </c>
      <c r="T6">
        <v>1.81</v>
      </c>
      <c r="U6">
        <v>2.33</v>
      </c>
    </row>
    <row r="7" spans="1:21" x14ac:dyDescent="0.25">
      <c r="A7" t="s">
        <v>16</v>
      </c>
      <c r="N7">
        <v>0.14000000000000001</v>
      </c>
      <c r="O7">
        <v>6.43</v>
      </c>
      <c r="P7">
        <v>71.77</v>
      </c>
      <c r="Q7">
        <v>200.4</v>
      </c>
      <c r="R7">
        <v>489.11</v>
      </c>
      <c r="S7">
        <v>821.11</v>
      </c>
      <c r="T7" s="2">
        <v>1473.29</v>
      </c>
      <c r="U7" s="2">
        <v>1851</v>
      </c>
    </row>
    <row r="8" spans="1:21" x14ac:dyDescent="0.25">
      <c r="A8" t="s">
        <v>17</v>
      </c>
    </row>
    <row r="9" spans="1:21" x14ac:dyDescent="0.25">
      <c r="A9" t="s">
        <v>29</v>
      </c>
      <c r="N9">
        <v>-48.81</v>
      </c>
      <c r="O9">
        <v>-100.85</v>
      </c>
      <c r="P9">
        <v>-96.53</v>
      </c>
      <c r="Q9">
        <v>-61.46</v>
      </c>
      <c r="R9">
        <v>73.87</v>
      </c>
      <c r="S9">
        <v>255.33</v>
      </c>
      <c r="T9">
        <v>679.5</v>
      </c>
      <c r="U9">
        <v>891.4</v>
      </c>
    </row>
    <row r="10" spans="1:21" x14ac:dyDescent="0.25">
      <c r="A10" t="s">
        <v>528</v>
      </c>
      <c r="N10">
        <v>-57.79</v>
      </c>
      <c r="O10">
        <v>-105.39</v>
      </c>
      <c r="P10">
        <v>-109.44</v>
      </c>
      <c r="Q10">
        <v>-97.9</v>
      </c>
      <c r="R10">
        <v>32.01</v>
      </c>
      <c r="S10">
        <v>199.89</v>
      </c>
      <c r="T10">
        <v>675.14</v>
      </c>
      <c r="U10">
        <v>902.5</v>
      </c>
    </row>
    <row r="11" spans="1:21" x14ac:dyDescent="0.25">
      <c r="A11" t="s">
        <v>17</v>
      </c>
    </row>
    <row r="12" spans="1:21" x14ac:dyDescent="0.25">
      <c r="A12" t="s">
        <v>242</v>
      </c>
      <c r="M12">
        <v>-178.69</v>
      </c>
      <c r="N12">
        <v>-465.66</v>
      </c>
      <c r="O12" s="2">
        <v>-1199.33</v>
      </c>
      <c r="P12" s="2">
        <v>-1407.83</v>
      </c>
      <c r="Q12" s="2">
        <v>-1947.17</v>
      </c>
      <c r="R12" s="2">
        <v>-2128.17</v>
      </c>
      <c r="S12" s="2">
        <v>-1888.83</v>
      </c>
      <c r="T12" s="2">
        <v>-2216.5</v>
      </c>
      <c r="U12" s="2">
        <v>-3010</v>
      </c>
    </row>
    <row r="13" spans="1:21" x14ac:dyDescent="0.25">
      <c r="A13" t="s">
        <v>17</v>
      </c>
    </row>
    <row r="14" spans="1:21" x14ac:dyDescent="0.25">
      <c r="A14" t="s">
        <v>79</v>
      </c>
    </row>
    <row r="15" spans="1:21" x14ac:dyDescent="0.25">
      <c r="A15" t="s">
        <v>80</v>
      </c>
      <c r="N15">
        <v>0.14000000000000001</v>
      </c>
      <c r="O15">
        <v>6.43</v>
      </c>
      <c r="P15">
        <v>71.77</v>
      </c>
      <c r="Q15">
        <v>200.4</v>
      </c>
      <c r="R15">
        <v>489.11</v>
      </c>
      <c r="S15">
        <v>821.11</v>
      </c>
      <c r="T15" s="2">
        <v>1473.29</v>
      </c>
      <c r="U15" s="2">
        <v>1851</v>
      </c>
    </row>
    <row r="16" spans="1:21" x14ac:dyDescent="0.25">
      <c r="A16" t="s">
        <v>17</v>
      </c>
    </row>
    <row r="17" spans="1:21" x14ac:dyDescent="0.25">
      <c r="A17" t="s">
        <v>1072</v>
      </c>
      <c r="O17">
        <v>-22.27</v>
      </c>
      <c r="P17">
        <v>32.86</v>
      </c>
      <c r="Q17">
        <v>39.24</v>
      </c>
      <c r="R17">
        <v>51.51</v>
      </c>
      <c r="S17">
        <v>57.03</v>
      </c>
      <c r="T17">
        <v>54.9</v>
      </c>
      <c r="U17">
        <v>66.97</v>
      </c>
    </row>
    <row r="18" spans="1:21" x14ac:dyDescent="0.25">
      <c r="A18" t="s">
        <v>17</v>
      </c>
    </row>
    <row r="19" spans="1:21" x14ac:dyDescent="0.25">
      <c r="A19" t="s">
        <v>275</v>
      </c>
    </row>
    <row r="20" spans="1:21" x14ac:dyDescent="0.25">
      <c r="A20" t="s">
        <v>88</v>
      </c>
      <c r="M20">
        <v>34.74</v>
      </c>
      <c r="N20">
        <v>38.72</v>
      </c>
      <c r="O20">
        <v>78.81</v>
      </c>
      <c r="P20">
        <v>88.24</v>
      </c>
      <c r="Q20">
        <v>99.37</v>
      </c>
      <c r="R20">
        <v>112.37</v>
      </c>
      <c r="S20">
        <v>125.21</v>
      </c>
      <c r="T20">
        <v>140.19999999999999</v>
      </c>
      <c r="U20">
        <v>162.30000000000001</v>
      </c>
    </row>
    <row r="21" spans="1:21" x14ac:dyDescent="0.25">
      <c r="A21" t="s">
        <v>1251</v>
      </c>
      <c r="M21">
        <v>0.38</v>
      </c>
      <c r="N21">
        <v>0.39</v>
      </c>
      <c r="O21">
        <v>2.04</v>
      </c>
      <c r="P21">
        <v>22.72</v>
      </c>
      <c r="Q21">
        <v>56.5</v>
      </c>
      <c r="R21">
        <v>136.68</v>
      </c>
      <c r="S21">
        <v>202.78</v>
      </c>
      <c r="T21">
        <v>421.39</v>
      </c>
      <c r="U21">
        <v>532.66</v>
      </c>
    </row>
    <row r="22" spans="1:21" x14ac:dyDescent="0.25">
      <c r="A22" t="s">
        <v>1252</v>
      </c>
      <c r="M22">
        <v>6.9</v>
      </c>
      <c r="N22">
        <v>9.68</v>
      </c>
      <c r="O22">
        <v>9.4700000000000006</v>
      </c>
      <c r="P22">
        <v>10.11</v>
      </c>
      <c r="Q22">
        <v>10.72</v>
      </c>
      <c r="R22">
        <v>11.34</v>
      </c>
      <c r="S22">
        <v>12.01</v>
      </c>
      <c r="T22">
        <v>12.62</v>
      </c>
      <c r="U22">
        <v>13.13</v>
      </c>
    </row>
    <row r="23" spans="1:21" x14ac:dyDescent="0.25">
      <c r="A23" t="s">
        <v>17</v>
      </c>
    </row>
    <row r="24" spans="1:21" x14ac:dyDescent="0.25">
      <c r="A24" t="s">
        <v>93</v>
      </c>
      <c r="M24">
        <v>0.12</v>
      </c>
      <c r="N24">
        <v>0.28999999999999998</v>
      </c>
      <c r="O24">
        <v>3.02</v>
      </c>
      <c r="P24">
        <v>45.85</v>
      </c>
      <c r="Q24">
        <v>84.32</v>
      </c>
      <c r="R24">
        <v>144.04</v>
      </c>
      <c r="S24">
        <v>217.69</v>
      </c>
      <c r="T24">
        <v>274.83999999999997</v>
      </c>
      <c r="U24">
        <v>339.19</v>
      </c>
    </row>
    <row r="25" spans="1:21" x14ac:dyDescent="0.25">
      <c r="A25" t="s">
        <v>277</v>
      </c>
      <c r="N25">
        <v>-48.52</v>
      </c>
      <c r="O25">
        <v>-65.39</v>
      </c>
      <c r="P25">
        <v>-0.28000000000000003</v>
      </c>
      <c r="Q25">
        <v>112.87</v>
      </c>
      <c r="R25">
        <v>407.11</v>
      </c>
      <c r="S25">
        <v>751.33</v>
      </c>
      <c r="T25" s="2">
        <v>1353</v>
      </c>
      <c r="U25" s="2">
        <v>1805.6</v>
      </c>
    </row>
    <row r="26" spans="1:21" x14ac:dyDescent="0.25">
      <c r="A26" t="s">
        <v>17</v>
      </c>
    </row>
    <row r="27" spans="1:21" x14ac:dyDescent="0.25">
      <c r="A27" t="s">
        <v>91</v>
      </c>
      <c r="N27">
        <v>-48.81</v>
      </c>
      <c r="O27">
        <v>-100.85</v>
      </c>
      <c r="P27">
        <v>-96.53</v>
      </c>
      <c r="Q27">
        <v>-61.46</v>
      </c>
      <c r="R27">
        <v>73.87</v>
      </c>
      <c r="S27">
        <v>255.33</v>
      </c>
      <c r="T27">
        <v>679.5</v>
      </c>
      <c r="U27">
        <v>891.4</v>
      </c>
    </row>
    <row r="28" spans="1:21" x14ac:dyDescent="0.25">
      <c r="A28" t="s">
        <v>17</v>
      </c>
    </row>
    <row r="29" spans="1:21" x14ac:dyDescent="0.25">
      <c r="A29" t="s">
        <v>392</v>
      </c>
      <c r="M29">
        <v>-1.02</v>
      </c>
      <c r="N29">
        <v>4.21</v>
      </c>
      <c r="O29">
        <v>-14.49</v>
      </c>
      <c r="P29">
        <v>28.33</v>
      </c>
      <c r="Q29">
        <v>78.23</v>
      </c>
      <c r="R29">
        <v>150.94</v>
      </c>
      <c r="S29">
        <v>221.08</v>
      </c>
      <c r="T29">
        <v>322.07</v>
      </c>
      <c r="U29">
        <v>417.2</v>
      </c>
    </row>
    <row r="30" spans="1:21" x14ac:dyDescent="0.25">
      <c r="A30" t="s">
        <v>484</v>
      </c>
      <c r="M30">
        <v>0.77</v>
      </c>
      <c r="N30">
        <v>8.41</v>
      </c>
      <c r="O30">
        <v>27.84</v>
      </c>
      <c r="P30">
        <v>78.53</v>
      </c>
      <c r="Q30">
        <v>139.97999999999999</v>
      </c>
      <c r="R30">
        <v>218.43</v>
      </c>
      <c r="S30">
        <v>296.64</v>
      </c>
      <c r="T30">
        <v>274.89</v>
      </c>
      <c r="U30">
        <v>341.68</v>
      </c>
    </row>
    <row r="31" spans="1:21" x14ac:dyDescent="0.25">
      <c r="A31" t="s">
        <v>398</v>
      </c>
      <c r="M31">
        <v>1.79</v>
      </c>
      <c r="N31">
        <v>4.1900000000000004</v>
      </c>
      <c r="O31">
        <v>32.36</v>
      </c>
      <c r="P31">
        <v>36.68</v>
      </c>
      <c r="Q31">
        <v>20.71</v>
      </c>
      <c r="R31">
        <v>12.74</v>
      </c>
      <c r="S31">
        <v>6.75</v>
      </c>
      <c r="T31">
        <v>21.96</v>
      </c>
      <c r="U31">
        <v>15.31</v>
      </c>
    </row>
    <row r="32" spans="1:21" x14ac:dyDescent="0.25">
      <c r="A32" t="s">
        <v>1253</v>
      </c>
      <c r="M32">
        <v>0.24</v>
      </c>
      <c r="N32">
        <v>4.7699999999999996</v>
      </c>
      <c r="O32">
        <v>50.03</v>
      </c>
      <c r="P32">
        <v>0</v>
      </c>
      <c r="Q32">
        <v>0</v>
      </c>
      <c r="R32">
        <v>0</v>
      </c>
      <c r="S32">
        <v>0</v>
      </c>
      <c r="T32">
        <v>-322.07</v>
      </c>
      <c r="U32">
        <v>-417.2</v>
      </c>
    </row>
    <row r="33" spans="1:21" x14ac:dyDescent="0.25">
      <c r="A33" t="s">
        <v>100</v>
      </c>
      <c r="N33">
        <v>-57.79</v>
      </c>
      <c r="O33">
        <v>-111.89</v>
      </c>
      <c r="P33">
        <v>-124.14</v>
      </c>
      <c r="Q33">
        <v>-119.73</v>
      </c>
      <c r="R33">
        <v>37.479999999999997</v>
      </c>
      <c r="S33">
        <v>209.17</v>
      </c>
      <c r="T33">
        <v>708.5</v>
      </c>
      <c r="U33">
        <v>901.5</v>
      </c>
    </row>
    <row r="34" spans="1:21" x14ac:dyDescent="0.25">
      <c r="A34" t="s">
        <v>17</v>
      </c>
    </row>
    <row r="35" spans="1:21" x14ac:dyDescent="0.25">
      <c r="A35" t="s">
        <v>106</v>
      </c>
      <c r="N35">
        <v>-57.79</v>
      </c>
      <c r="O35">
        <v>-101.84</v>
      </c>
      <c r="P35">
        <v>-118.5</v>
      </c>
      <c r="Q35">
        <v>-118.31</v>
      </c>
      <c r="R35">
        <v>16.59</v>
      </c>
      <c r="S35">
        <v>185.16</v>
      </c>
      <c r="T35">
        <v>681.83</v>
      </c>
      <c r="U35">
        <v>865</v>
      </c>
    </row>
    <row r="36" spans="1:21" x14ac:dyDescent="0.25">
      <c r="A36" t="s">
        <v>105</v>
      </c>
      <c r="N36">
        <v>12.73</v>
      </c>
      <c r="O36">
        <v>14.12</v>
      </c>
      <c r="P36">
        <v>14.2</v>
      </c>
      <c r="Q36">
        <v>14.2</v>
      </c>
      <c r="R36">
        <v>14.2</v>
      </c>
      <c r="S36">
        <v>14.2</v>
      </c>
      <c r="T36">
        <v>14.2</v>
      </c>
      <c r="U36">
        <v>14.2</v>
      </c>
    </row>
    <row r="37" spans="1:21" x14ac:dyDescent="0.25">
      <c r="A37" t="s">
        <v>17</v>
      </c>
    </row>
    <row r="38" spans="1:21" x14ac:dyDescent="0.25">
      <c r="A38" t="s">
        <v>108</v>
      </c>
      <c r="M38">
        <v>12.44</v>
      </c>
      <c r="N38">
        <v>12.46</v>
      </c>
      <c r="O38">
        <v>196.2</v>
      </c>
      <c r="P38">
        <v>290.49</v>
      </c>
      <c r="Q38">
        <v>292.62</v>
      </c>
      <c r="R38">
        <v>294.89</v>
      </c>
      <c r="S38">
        <v>297.12</v>
      </c>
      <c r="T38">
        <v>301.75</v>
      </c>
      <c r="U38">
        <v>279.8</v>
      </c>
    </row>
    <row r="39" spans="1:21" x14ac:dyDescent="0.25">
      <c r="A39" t="s">
        <v>17</v>
      </c>
    </row>
    <row r="40" spans="1:21" x14ac:dyDescent="0.25">
      <c r="A40" t="s">
        <v>109</v>
      </c>
      <c r="M40">
        <v>12.44</v>
      </c>
      <c r="N40">
        <v>12.46</v>
      </c>
      <c r="O40">
        <v>220.69</v>
      </c>
      <c r="P40">
        <v>312.44</v>
      </c>
      <c r="Q40">
        <v>314.77999999999997</v>
      </c>
      <c r="R40">
        <v>317.17</v>
      </c>
      <c r="S40">
        <v>319.60000000000002</v>
      </c>
      <c r="T40">
        <v>335.8</v>
      </c>
      <c r="U40">
        <v>315.39999999999998</v>
      </c>
    </row>
    <row r="41" spans="1:21" x14ac:dyDescent="0.25">
      <c r="A41" t="s">
        <v>110</v>
      </c>
      <c r="N41">
        <v>-5.66</v>
      </c>
      <c r="O41">
        <v>-0.95</v>
      </c>
      <c r="P41">
        <v>-0.34</v>
      </c>
      <c r="Q41">
        <v>-0.32</v>
      </c>
      <c r="R41">
        <v>0.12</v>
      </c>
      <c r="S41">
        <v>0.74</v>
      </c>
      <c r="T41">
        <v>1.81</v>
      </c>
      <c r="U41">
        <v>2.33</v>
      </c>
    </row>
    <row r="42" spans="1:21" x14ac:dyDescent="0.25">
      <c r="A42" t="s">
        <v>17</v>
      </c>
    </row>
    <row r="43" spans="1:21" x14ac:dyDescent="0.25">
      <c r="A43" t="s">
        <v>111</v>
      </c>
    </row>
    <row r="44" spans="1:21" x14ac:dyDescent="0.25">
      <c r="A44" t="s">
        <v>121</v>
      </c>
      <c r="N44">
        <v>-57.79</v>
      </c>
      <c r="O44">
        <v>-105.39</v>
      </c>
      <c r="P44">
        <v>-109.44</v>
      </c>
      <c r="Q44">
        <v>-97.9</v>
      </c>
      <c r="R44">
        <v>32.01</v>
      </c>
      <c r="S44">
        <v>199.89</v>
      </c>
      <c r="T44">
        <v>675.14</v>
      </c>
      <c r="U44">
        <v>902.5</v>
      </c>
    </row>
    <row r="45" spans="1:21" x14ac:dyDescent="0.25">
      <c r="A45" t="s">
        <v>124</v>
      </c>
      <c r="N45">
        <v>-5.66</v>
      </c>
      <c r="O45">
        <v>-0.83</v>
      </c>
      <c r="P45">
        <v>-0.37</v>
      </c>
      <c r="Q45">
        <v>-0.37</v>
      </c>
      <c r="R45">
        <v>0.21</v>
      </c>
      <c r="S45">
        <v>0.96</v>
      </c>
      <c r="T45">
        <v>1.81</v>
      </c>
      <c r="U45">
        <v>2.33</v>
      </c>
    </row>
    <row r="46" spans="1:21" x14ac:dyDescent="0.25">
      <c r="A46" t="s">
        <v>17</v>
      </c>
    </row>
    <row r="47" spans="1:21" x14ac:dyDescent="0.25">
      <c r="A47" t="s">
        <v>134</v>
      </c>
    </row>
    <row r="48" spans="1:21" x14ac:dyDescent="0.25">
      <c r="A48" t="s">
        <v>135</v>
      </c>
    </row>
    <row r="49" spans="1:21" x14ac:dyDescent="0.25">
      <c r="A49" t="s">
        <v>136</v>
      </c>
      <c r="M49">
        <v>205.3</v>
      </c>
      <c r="N49">
        <v>482.13</v>
      </c>
      <c r="O49" s="2">
        <v>1648.04</v>
      </c>
      <c r="P49">
        <v>893.94</v>
      </c>
      <c r="Q49">
        <v>676.17</v>
      </c>
      <c r="R49">
        <v>832.78</v>
      </c>
      <c r="S49">
        <v>858.5</v>
      </c>
      <c r="T49">
        <v>839.77</v>
      </c>
      <c r="U49">
        <v>291.38</v>
      </c>
    </row>
    <row r="50" spans="1:21" x14ac:dyDescent="0.25">
      <c r="A50" t="s">
        <v>536</v>
      </c>
      <c r="M50">
        <v>193.43</v>
      </c>
      <c r="N50">
        <v>461.84</v>
      </c>
      <c r="O50" s="2">
        <v>1759.43</v>
      </c>
      <c r="P50" s="2">
        <v>1104.3499999999999</v>
      </c>
      <c r="Q50">
        <v>749.38</v>
      </c>
      <c r="R50">
        <v>581.01</v>
      </c>
      <c r="S50">
        <v>968.91</v>
      </c>
      <c r="T50" s="2">
        <v>1185.79</v>
      </c>
      <c r="U50">
        <v>243.57</v>
      </c>
    </row>
    <row r="51" spans="1:21" x14ac:dyDescent="0.25">
      <c r="A51" t="s">
        <v>1254</v>
      </c>
      <c r="M51">
        <v>3.95</v>
      </c>
      <c r="N51">
        <v>10.58</v>
      </c>
      <c r="O51">
        <v>11.76</v>
      </c>
      <c r="P51">
        <v>14.72</v>
      </c>
      <c r="Q51">
        <v>21.86</v>
      </c>
      <c r="R51">
        <v>35.82</v>
      </c>
      <c r="S51">
        <v>69.819999999999993</v>
      </c>
      <c r="T51">
        <v>96.27</v>
      </c>
      <c r="U51">
        <v>17.18</v>
      </c>
    </row>
    <row r="52" spans="1:21" x14ac:dyDescent="0.25">
      <c r="A52" t="s">
        <v>537</v>
      </c>
      <c r="M52">
        <v>7.92</v>
      </c>
      <c r="N52">
        <v>9.7100000000000009</v>
      </c>
      <c r="O52">
        <v>18.53</v>
      </c>
      <c r="P52">
        <v>16.84</v>
      </c>
      <c r="Q52">
        <v>19.7</v>
      </c>
      <c r="R52">
        <v>25.98</v>
      </c>
      <c r="S52">
        <v>30.91</v>
      </c>
      <c r="T52">
        <v>54.06</v>
      </c>
      <c r="U52">
        <v>76.63</v>
      </c>
    </row>
    <row r="53" spans="1:21" x14ac:dyDescent="0.25">
      <c r="A53" t="s">
        <v>146</v>
      </c>
      <c r="M53">
        <v>326</v>
      </c>
      <c r="N53">
        <v>883.04</v>
      </c>
      <c r="O53" s="2">
        <v>1919.05</v>
      </c>
      <c r="P53" s="2">
        <v>3811.71</v>
      </c>
      <c r="Q53" s="2">
        <v>7423.25</v>
      </c>
      <c r="R53" s="2">
        <v>11994.05</v>
      </c>
      <c r="S53" s="2">
        <v>15666.07</v>
      </c>
      <c r="T53" s="2">
        <v>19996.099999999999</v>
      </c>
      <c r="U53" s="2">
        <v>24062.78</v>
      </c>
    </row>
    <row r="54" spans="1:21" x14ac:dyDescent="0.25">
      <c r="A54" t="s">
        <v>1255</v>
      </c>
      <c r="M54">
        <v>25.67</v>
      </c>
      <c r="N54">
        <v>58.71</v>
      </c>
      <c r="O54">
        <v>81.44</v>
      </c>
      <c r="P54">
        <v>81.81</v>
      </c>
      <c r="Q54">
        <v>82.18</v>
      </c>
      <c r="R54">
        <v>82.56</v>
      </c>
      <c r="S54">
        <v>82.94</v>
      </c>
      <c r="T54">
        <v>81.55</v>
      </c>
      <c r="U54">
        <v>75.81</v>
      </c>
    </row>
    <row r="55" spans="1:21" x14ac:dyDescent="0.25">
      <c r="A55" t="s">
        <v>1256</v>
      </c>
      <c r="M55">
        <v>25.02</v>
      </c>
      <c r="N55">
        <v>15.23</v>
      </c>
      <c r="O55">
        <v>13.11</v>
      </c>
      <c r="P55">
        <v>13.11</v>
      </c>
      <c r="Q55">
        <v>13.11</v>
      </c>
      <c r="R55">
        <v>13.11</v>
      </c>
      <c r="S55">
        <v>13.11</v>
      </c>
      <c r="T55">
        <v>13.37</v>
      </c>
      <c r="U55">
        <v>13.63</v>
      </c>
    </row>
    <row r="56" spans="1:21" x14ac:dyDescent="0.25">
      <c r="A56" t="s">
        <v>1257</v>
      </c>
      <c r="M56">
        <v>258.89999999999998</v>
      </c>
      <c r="N56">
        <v>789.57</v>
      </c>
      <c r="O56" s="2">
        <v>1972.25</v>
      </c>
      <c r="P56" s="2">
        <v>3529.01</v>
      </c>
      <c r="Q56" s="2">
        <v>5663.63</v>
      </c>
      <c r="R56" s="2">
        <v>8882.7099999999991</v>
      </c>
      <c r="S56" s="2">
        <v>11507.7</v>
      </c>
      <c r="T56" s="2">
        <v>14670.08</v>
      </c>
      <c r="U56" s="2">
        <v>17828.64</v>
      </c>
    </row>
    <row r="57" spans="1:21" x14ac:dyDescent="0.25">
      <c r="A57" t="s">
        <v>408</v>
      </c>
      <c r="M57">
        <v>6</v>
      </c>
      <c r="N57">
        <v>6</v>
      </c>
      <c r="O57">
        <v>8.86</v>
      </c>
      <c r="P57">
        <v>8.86</v>
      </c>
      <c r="Q57">
        <v>8.86</v>
      </c>
      <c r="R57">
        <v>8.86</v>
      </c>
      <c r="S57">
        <v>8.86</v>
      </c>
      <c r="T57">
        <v>7.67</v>
      </c>
      <c r="U57">
        <v>7.67</v>
      </c>
    </row>
    <row r="58" spans="1:21" x14ac:dyDescent="0.25">
      <c r="A58" t="s">
        <v>708</v>
      </c>
      <c r="M58">
        <v>10.41</v>
      </c>
      <c r="N58">
        <v>13.52</v>
      </c>
      <c r="O58">
        <v>24.91</v>
      </c>
      <c r="P58">
        <v>24.91</v>
      </c>
      <c r="Q58">
        <v>24.91</v>
      </c>
      <c r="R58">
        <v>24.91</v>
      </c>
      <c r="S58">
        <v>24.91</v>
      </c>
      <c r="T58">
        <v>23.5</v>
      </c>
      <c r="U58">
        <v>23.5</v>
      </c>
    </row>
    <row r="59" spans="1:21" x14ac:dyDescent="0.25">
      <c r="A59" t="s">
        <v>155</v>
      </c>
      <c r="M59">
        <v>531.29999999999995</v>
      </c>
      <c r="N59" s="2">
        <v>1365.17</v>
      </c>
      <c r="O59" s="2">
        <v>3827.06</v>
      </c>
      <c r="P59" s="2">
        <v>4572.04</v>
      </c>
      <c r="Q59" s="2">
        <v>6012.16</v>
      </c>
      <c r="R59" s="2">
        <v>7748.18</v>
      </c>
      <c r="S59" s="2">
        <v>9194.2199999999993</v>
      </c>
      <c r="T59" s="2">
        <v>13013.68</v>
      </c>
      <c r="U59" s="2">
        <v>17346.59</v>
      </c>
    </row>
    <row r="60" spans="1:21" x14ac:dyDescent="0.25">
      <c r="A60" t="s">
        <v>17</v>
      </c>
    </row>
    <row r="61" spans="1:21" x14ac:dyDescent="0.25">
      <c r="A61" t="s">
        <v>156</v>
      </c>
    </row>
    <row r="62" spans="1:21" x14ac:dyDescent="0.25">
      <c r="A62" t="s">
        <v>157</v>
      </c>
      <c r="M62">
        <v>66.83</v>
      </c>
      <c r="N62">
        <v>151.91</v>
      </c>
      <c r="O62">
        <v>377.87</v>
      </c>
      <c r="P62">
        <v>970.94</v>
      </c>
      <c r="Q62" s="2">
        <v>1410.45</v>
      </c>
      <c r="R62" s="2">
        <v>1863.26</v>
      </c>
      <c r="S62" s="2">
        <v>2177.92</v>
      </c>
      <c r="T62" s="2">
        <v>2658.19</v>
      </c>
      <c r="U62" s="2">
        <v>4146.57</v>
      </c>
    </row>
    <row r="63" spans="1:21" x14ac:dyDescent="0.25">
      <c r="A63" t="s">
        <v>158</v>
      </c>
      <c r="M63">
        <v>35.04</v>
      </c>
      <c r="N63">
        <v>10.79</v>
      </c>
      <c r="O63">
        <v>29.67</v>
      </c>
      <c r="P63">
        <v>29.67</v>
      </c>
      <c r="Q63">
        <v>29.67</v>
      </c>
      <c r="R63">
        <v>29.67</v>
      </c>
      <c r="S63">
        <v>29.67</v>
      </c>
      <c r="T63">
        <v>29.67</v>
      </c>
      <c r="U63">
        <v>29.67</v>
      </c>
    </row>
    <row r="64" spans="1:21" x14ac:dyDescent="0.25">
      <c r="A64" t="s">
        <v>1258</v>
      </c>
      <c r="M64">
        <v>22.87</v>
      </c>
      <c r="N64">
        <v>119.3</v>
      </c>
      <c r="O64">
        <v>269.56</v>
      </c>
      <c r="P64">
        <v>603.29999999999995</v>
      </c>
      <c r="Q64">
        <v>958.1</v>
      </c>
      <c r="R64" s="2">
        <v>1546.47</v>
      </c>
      <c r="S64" s="2">
        <v>1799.47</v>
      </c>
      <c r="T64" s="2">
        <v>2126.9699999999998</v>
      </c>
      <c r="U64" s="2">
        <v>3776.98</v>
      </c>
    </row>
    <row r="65" spans="1:21" x14ac:dyDescent="0.25">
      <c r="A65" t="s">
        <v>202</v>
      </c>
      <c r="M65">
        <v>1.93</v>
      </c>
      <c r="N65">
        <v>4.82</v>
      </c>
      <c r="O65">
        <v>14.78</v>
      </c>
      <c r="P65">
        <v>14.8</v>
      </c>
      <c r="Q65">
        <v>14.83</v>
      </c>
      <c r="R65">
        <v>14.85</v>
      </c>
      <c r="S65">
        <v>14.88</v>
      </c>
      <c r="T65">
        <v>14.91</v>
      </c>
      <c r="U65">
        <v>11.67</v>
      </c>
    </row>
    <row r="66" spans="1:21" x14ac:dyDescent="0.25">
      <c r="A66" t="s">
        <v>314</v>
      </c>
      <c r="M66">
        <v>6.99</v>
      </c>
      <c r="N66">
        <v>17</v>
      </c>
      <c r="O66">
        <v>14.27</v>
      </c>
      <c r="P66">
        <v>14.27</v>
      </c>
      <c r="Q66">
        <v>14.27</v>
      </c>
      <c r="R66">
        <v>14.27</v>
      </c>
      <c r="S66">
        <v>14.27</v>
      </c>
      <c r="T66">
        <v>13.81</v>
      </c>
      <c r="U66">
        <v>13.81</v>
      </c>
    </row>
    <row r="67" spans="1:21" x14ac:dyDescent="0.25">
      <c r="A67" t="s">
        <v>164</v>
      </c>
      <c r="M67">
        <v>80.17</v>
      </c>
      <c r="N67">
        <v>256.88</v>
      </c>
      <c r="O67">
        <v>392.86</v>
      </c>
      <c r="P67">
        <v>372.93</v>
      </c>
      <c r="Q67" s="2">
        <v>1727.1</v>
      </c>
      <c r="R67" s="2">
        <v>2917.41</v>
      </c>
      <c r="S67" s="2">
        <v>4616.74</v>
      </c>
      <c r="T67" s="2">
        <v>8308.07</v>
      </c>
      <c r="U67" s="2">
        <v>9695.41</v>
      </c>
    </row>
    <row r="68" spans="1:21" x14ac:dyDescent="0.25">
      <c r="A68" t="s">
        <v>1259</v>
      </c>
      <c r="M68">
        <v>39.020000000000003</v>
      </c>
      <c r="N68">
        <v>172.84</v>
      </c>
      <c r="O68">
        <v>423.35</v>
      </c>
      <c r="P68">
        <v>682.15</v>
      </c>
      <c r="Q68" s="2">
        <v>1646.06</v>
      </c>
      <c r="R68" s="2">
        <v>2753.08</v>
      </c>
      <c r="S68" s="2">
        <v>3933.44</v>
      </c>
      <c r="T68" s="2">
        <v>6550.34</v>
      </c>
      <c r="U68" s="2">
        <v>7902.08</v>
      </c>
    </row>
    <row r="69" spans="1:21" x14ac:dyDescent="0.25">
      <c r="A69" t="s">
        <v>202</v>
      </c>
      <c r="M69">
        <v>40.85</v>
      </c>
      <c r="N69">
        <v>72.64</v>
      </c>
      <c r="O69">
        <v>77.42</v>
      </c>
      <c r="P69">
        <v>77.680000000000007</v>
      </c>
      <c r="Q69">
        <v>77.95</v>
      </c>
      <c r="R69">
        <v>78.22</v>
      </c>
      <c r="S69">
        <v>78.489999999999995</v>
      </c>
      <c r="T69">
        <v>82.45</v>
      </c>
      <c r="U69">
        <v>81.5</v>
      </c>
    </row>
    <row r="70" spans="1:21" x14ac:dyDescent="0.25">
      <c r="A70" t="s">
        <v>709</v>
      </c>
      <c r="M70">
        <v>0.3</v>
      </c>
      <c r="N70">
        <v>11.41</v>
      </c>
      <c r="O70">
        <v>6.67</v>
      </c>
      <c r="P70">
        <v>6.67</v>
      </c>
      <c r="Q70">
        <v>6.67</v>
      </c>
      <c r="R70">
        <v>6.67</v>
      </c>
      <c r="S70">
        <v>6.67</v>
      </c>
      <c r="T70">
        <v>6.65</v>
      </c>
      <c r="U70">
        <v>8.2799999999999994</v>
      </c>
    </row>
    <row r="71" spans="1:21" x14ac:dyDescent="0.25">
      <c r="A71" t="s">
        <v>167</v>
      </c>
      <c r="M71">
        <v>146.99</v>
      </c>
      <c r="N71">
        <v>408.79</v>
      </c>
      <c r="O71" s="2">
        <v>1059.01</v>
      </c>
      <c r="P71" s="2">
        <v>2000.71</v>
      </c>
      <c r="Q71" s="2">
        <v>3211.31</v>
      </c>
      <c r="R71" s="2">
        <v>4068.67</v>
      </c>
      <c r="S71" s="2">
        <v>4631.05</v>
      </c>
      <c r="T71" s="2">
        <v>7320.03</v>
      </c>
      <c r="U71" s="2">
        <v>9146.5499999999993</v>
      </c>
    </row>
    <row r="72" spans="1:21" x14ac:dyDescent="0.25">
      <c r="A72" t="s">
        <v>170</v>
      </c>
      <c r="M72">
        <v>384.31</v>
      </c>
      <c r="N72">
        <v>956.37</v>
      </c>
      <c r="O72" s="2">
        <v>2836.8</v>
      </c>
      <c r="P72" s="2">
        <v>2706</v>
      </c>
      <c r="Q72" s="2">
        <v>2586.1999999999998</v>
      </c>
      <c r="R72" s="2">
        <v>2785.8</v>
      </c>
      <c r="S72" s="2">
        <v>3030.6</v>
      </c>
      <c r="T72" s="2">
        <v>3976.5</v>
      </c>
      <c r="U72" s="2">
        <v>4814</v>
      </c>
    </row>
    <row r="73" spans="1:21" x14ac:dyDescent="0.25">
      <c r="A73" t="s">
        <v>1192</v>
      </c>
      <c r="M73">
        <v>-179.78</v>
      </c>
      <c r="N73">
        <v>-244.54</v>
      </c>
      <c r="O73">
        <v>-317.54000000000002</v>
      </c>
      <c r="P73">
        <v>-400</v>
      </c>
      <c r="Q73">
        <v>-494.04</v>
      </c>
      <c r="R73">
        <v>-499.15</v>
      </c>
      <c r="S73">
        <v>-381.75</v>
      </c>
      <c r="T73">
        <v>194.2</v>
      </c>
      <c r="U73">
        <v>667.06</v>
      </c>
    </row>
    <row r="74" spans="1:21" x14ac:dyDescent="0.25">
      <c r="A74" t="s">
        <v>326</v>
      </c>
      <c r="M74">
        <v>531.29999999999995</v>
      </c>
      <c r="N74" s="2">
        <v>1365.17</v>
      </c>
      <c r="O74" s="2">
        <v>3827.06</v>
      </c>
      <c r="P74" s="2">
        <v>4572.04</v>
      </c>
      <c r="Q74" s="2">
        <v>6012.16</v>
      </c>
      <c r="R74" s="2">
        <v>7748.18</v>
      </c>
      <c r="S74" s="2">
        <v>9194.2199999999993</v>
      </c>
      <c r="T74" s="2">
        <v>13013.68</v>
      </c>
      <c r="U74" s="2">
        <v>17346.59</v>
      </c>
    </row>
    <row r="75" spans="1:21" x14ac:dyDescent="0.25">
      <c r="A75" t="s">
        <v>17</v>
      </c>
    </row>
    <row r="76" spans="1:21" x14ac:dyDescent="0.25">
      <c r="A76" t="s">
        <v>188</v>
      </c>
    </row>
    <row r="77" spans="1:21" x14ac:dyDescent="0.25">
      <c r="A77" t="s">
        <v>189</v>
      </c>
    </row>
    <row r="78" spans="1:21" x14ac:dyDescent="0.25">
      <c r="A78" t="s">
        <v>121</v>
      </c>
      <c r="N78">
        <v>-57.79</v>
      </c>
      <c r="O78">
        <v>-101.84</v>
      </c>
      <c r="P78">
        <v>-118.5</v>
      </c>
      <c r="Q78">
        <v>-118.31</v>
      </c>
      <c r="R78">
        <v>16.59</v>
      </c>
      <c r="S78">
        <v>185.16</v>
      </c>
      <c r="T78">
        <v>681.83</v>
      </c>
      <c r="U78">
        <v>865</v>
      </c>
    </row>
    <row r="79" spans="1:21" x14ac:dyDescent="0.25">
      <c r="A79" t="s">
        <v>190</v>
      </c>
      <c r="M79">
        <v>0.12</v>
      </c>
      <c r="N79">
        <v>0.28999999999999998</v>
      </c>
      <c r="O79">
        <v>3.02</v>
      </c>
      <c r="P79">
        <v>45.85</v>
      </c>
      <c r="Q79">
        <v>84.32</v>
      </c>
      <c r="R79">
        <v>144.04</v>
      </c>
      <c r="S79">
        <v>217.69</v>
      </c>
      <c r="T79">
        <v>274.83999999999997</v>
      </c>
      <c r="U79">
        <v>339.19</v>
      </c>
    </row>
    <row r="80" spans="1:21" x14ac:dyDescent="0.25">
      <c r="A80" t="s">
        <v>338</v>
      </c>
    </row>
    <row r="81" spans="1:21" x14ac:dyDescent="0.25">
      <c r="A81" t="s">
        <v>158</v>
      </c>
      <c r="M81">
        <v>3.5</v>
      </c>
      <c r="N81">
        <v>-2.86</v>
      </c>
      <c r="O81">
        <v>80.040000000000006</v>
      </c>
      <c r="P81">
        <v>91.56</v>
      </c>
      <c r="Q81">
        <v>119.5</v>
      </c>
      <c r="R81">
        <v>11.58</v>
      </c>
      <c r="S81">
        <v>-71.69</v>
      </c>
      <c r="T81">
        <v>72.41</v>
      </c>
      <c r="U81">
        <v>-4.53</v>
      </c>
    </row>
    <row r="82" spans="1:21" x14ac:dyDescent="0.25">
      <c r="A82" t="s">
        <v>204</v>
      </c>
      <c r="M82">
        <v>-54.75</v>
      </c>
      <c r="N82">
        <v>-31.76</v>
      </c>
      <c r="O82">
        <v>-38.880000000000003</v>
      </c>
      <c r="P82">
        <v>-36.43</v>
      </c>
      <c r="Q82">
        <v>-30.79</v>
      </c>
      <c r="R82">
        <v>102.66</v>
      </c>
      <c r="S82">
        <v>411.78</v>
      </c>
      <c r="T82">
        <v>715.44</v>
      </c>
      <c r="U82">
        <v>681.74</v>
      </c>
    </row>
    <row r="83" spans="1:21" x14ac:dyDescent="0.25">
      <c r="A83" t="s">
        <v>17</v>
      </c>
    </row>
    <row r="84" spans="1:21" x14ac:dyDescent="0.25">
      <c r="A84" t="s">
        <v>205</v>
      </c>
    </row>
    <row r="85" spans="1:21" x14ac:dyDescent="0.25">
      <c r="A85" t="s">
        <v>206</v>
      </c>
      <c r="M85">
        <v>-178.69</v>
      </c>
      <c r="N85">
        <v>-465.66</v>
      </c>
      <c r="O85" s="2">
        <v>-1199.33</v>
      </c>
      <c r="P85" s="2">
        <v>-1407.83</v>
      </c>
      <c r="Q85" s="2">
        <v>-1947.17</v>
      </c>
      <c r="R85" s="2">
        <v>-2128.17</v>
      </c>
      <c r="S85" s="2">
        <v>-1888.83</v>
      </c>
      <c r="T85" s="2">
        <v>-2216.5</v>
      </c>
      <c r="U85" s="2">
        <v>-3010</v>
      </c>
    </row>
    <row r="86" spans="1:21" x14ac:dyDescent="0.25">
      <c r="A86" t="s">
        <v>213</v>
      </c>
      <c r="M86">
        <v>-178.69</v>
      </c>
      <c r="N86">
        <v>-465.66</v>
      </c>
      <c r="O86" s="2">
        <v>-1205.43</v>
      </c>
      <c r="P86" s="2">
        <v>-1469.13</v>
      </c>
      <c r="Q86" s="2">
        <v>-2032.11</v>
      </c>
      <c r="R86" s="2">
        <v>-2139.48</v>
      </c>
      <c r="S86" s="2">
        <v>-1548.89</v>
      </c>
      <c r="T86" s="2">
        <v>-2380.75</v>
      </c>
      <c r="U86" s="2">
        <v>-3588.95</v>
      </c>
    </row>
    <row r="87" spans="1:21" x14ac:dyDescent="0.25">
      <c r="A87" t="s">
        <v>17</v>
      </c>
    </row>
    <row r="88" spans="1:21" x14ac:dyDescent="0.25">
      <c r="A88" t="s">
        <v>214</v>
      </c>
    </row>
    <row r="89" spans="1:21" x14ac:dyDescent="0.25">
      <c r="A89" t="s">
        <v>218</v>
      </c>
      <c r="M89">
        <v>403.75</v>
      </c>
      <c r="N89">
        <v>765.82</v>
      </c>
      <c r="O89" s="2">
        <v>2501.0500000000002</v>
      </c>
      <c r="P89">
        <v>673.24</v>
      </c>
      <c r="Q89" s="2">
        <v>1591.7</v>
      </c>
      <c r="R89" s="2">
        <v>2029.82</v>
      </c>
      <c r="S89" s="2">
        <v>1690.95</v>
      </c>
      <c r="T89" s="2">
        <v>1504.31</v>
      </c>
      <c r="U89" s="2">
        <v>2008.37</v>
      </c>
    </row>
    <row r="90" spans="1:21" x14ac:dyDescent="0.25">
      <c r="A90" t="s">
        <v>17</v>
      </c>
    </row>
    <row r="91" spans="1:21" x14ac:dyDescent="0.25">
      <c r="A91" t="s">
        <v>176</v>
      </c>
    </row>
    <row r="92" spans="1:21" x14ac:dyDescent="0.25">
      <c r="A92" t="s">
        <v>220</v>
      </c>
      <c r="M92">
        <v>170.31</v>
      </c>
      <c r="N92">
        <v>268.41000000000003</v>
      </c>
      <c r="O92" s="2">
        <v>1144.42</v>
      </c>
      <c r="P92">
        <v>-758.28</v>
      </c>
      <c r="Q92">
        <v>-226.22</v>
      </c>
      <c r="R92">
        <v>-228.57</v>
      </c>
      <c r="S92">
        <v>518.95000000000005</v>
      </c>
      <c r="T92">
        <v>290.77</v>
      </c>
      <c r="U92">
        <v>-548.39</v>
      </c>
    </row>
    <row r="93" spans="1:21" x14ac:dyDescent="0.25">
      <c r="A93" t="s">
        <v>222</v>
      </c>
      <c r="M93">
        <v>193.43</v>
      </c>
      <c r="N93">
        <v>461.84</v>
      </c>
      <c r="O93" s="2">
        <v>1759.43</v>
      </c>
      <c r="P93" s="2">
        <v>1104.3499999999999</v>
      </c>
      <c r="Q93">
        <v>749.38</v>
      </c>
      <c r="R93">
        <v>581.01</v>
      </c>
      <c r="S93">
        <v>968.91</v>
      </c>
      <c r="T93" s="2">
        <v>1185.79</v>
      </c>
      <c r="U93">
        <v>243.57</v>
      </c>
    </row>
    <row r="94" spans="1:21" x14ac:dyDescent="0.25">
      <c r="A94" t="s">
        <v>178</v>
      </c>
    </row>
    <row r="95" spans="1:21" x14ac:dyDescent="0.25">
      <c r="A95" t="s">
        <v>224</v>
      </c>
      <c r="M95">
        <v>-4.4000000000000004</v>
      </c>
      <c r="N95">
        <v>-2.5499999999999998</v>
      </c>
      <c r="O95">
        <v>0.55000000000000004</v>
      </c>
      <c r="P95">
        <v>-0.3</v>
      </c>
      <c r="Q95">
        <v>-0.52</v>
      </c>
      <c r="R95">
        <v>1.04</v>
      </c>
      <c r="S95">
        <v>3.38</v>
      </c>
    </row>
    <row r="96" spans="1:21" x14ac:dyDescent="0.25">
      <c r="A96" t="s">
        <v>225</v>
      </c>
      <c r="M96">
        <v>-233.44</v>
      </c>
      <c r="N96">
        <v>-497.42</v>
      </c>
      <c r="O96" s="2">
        <v>-1120.68</v>
      </c>
      <c r="P96" s="2">
        <v>-1348.37</v>
      </c>
      <c r="Q96" s="2">
        <v>-1237.8599999999999</v>
      </c>
      <c r="R96">
        <v>-734.82</v>
      </c>
      <c r="S96">
        <v>-259.98</v>
      </c>
      <c r="T96">
        <v>-712.45</v>
      </c>
      <c r="U96">
        <v>-780.63</v>
      </c>
    </row>
    <row r="97" spans="1:1" x14ac:dyDescent="0.25">
      <c r="A97" t="s">
        <v>17</v>
      </c>
    </row>
    <row r="98" spans="1:1" x14ac:dyDescent="0.25">
      <c r="A98" t="s">
        <v>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8046-B8E6-46E4-ADCB-BC525B7A7157}">
  <dimension ref="A1:U222"/>
  <sheetViews>
    <sheetView workbookViewId="0">
      <selection sqref="A1:U222"/>
    </sheetView>
  </sheetViews>
  <sheetFormatPr defaultRowHeight="15" x14ac:dyDescent="0.25"/>
  <sheetData>
    <row r="1" spans="1:21" x14ac:dyDescent="0.25">
      <c r="A1" t="s">
        <v>1260</v>
      </c>
    </row>
    <row r="2" spans="1:21" x14ac:dyDescent="0.25">
      <c r="A2" t="s">
        <v>1261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41819</v>
      </c>
      <c r="C4" s="1">
        <v>42183</v>
      </c>
      <c r="D4" s="1">
        <v>42547</v>
      </c>
      <c r="E4" s="1">
        <v>42911</v>
      </c>
      <c r="F4" s="1">
        <v>43275</v>
      </c>
      <c r="G4" s="1">
        <v>43646</v>
      </c>
      <c r="H4" s="1">
        <v>44010</v>
      </c>
      <c r="I4" s="1">
        <v>44374</v>
      </c>
      <c r="J4" s="1">
        <v>44738</v>
      </c>
      <c r="K4" s="1">
        <v>45102</v>
      </c>
      <c r="L4" s="1">
        <v>45473</v>
      </c>
      <c r="M4" s="1">
        <v>45837</v>
      </c>
      <c r="N4" s="1">
        <v>46201</v>
      </c>
      <c r="O4" s="1">
        <v>46565</v>
      </c>
      <c r="P4" s="1">
        <v>46929</v>
      </c>
      <c r="Q4" s="1">
        <v>47293</v>
      </c>
      <c r="R4" s="1">
        <v>47664</v>
      </c>
      <c r="S4" s="1">
        <v>48028</v>
      </c>
      <c r="T4" s="1">
        <v>48392</v>
      </c>
      <c r="U4" s="1">
        <v>48756</v>
      </c>
    </row>
    <row r="5" spans="1:21" x14ac:dyDescent="0.25">
      <c r="A5" t="s">
        <v>14</v>
      </c>
    </row>
    <row r="6" spans="1:21" x14ac:dyDescent="0.25">
      <c r="A6" t="s">
        <v>15</v>
      </c>
      <c r="B6">
        <v>0.44</v>
      </c>
      <c r="C6">
        <v>0.51</v>
      </c>
      <c r="D6">
        <v>0.64</v>
      </c>
      <c r="E6">
        <v>1</v>
      </c>
      <c r="F6">
        <v>1.79</v>
      </c>
      <c r="G6">
        <v>1.46</v>
      </c>
      <c r="H6">
        <v>1.6</v>
      </c>
      <c r="I6">
        <v>2.73</v>
      </c>
      <c r="J6">
        <v>3.31</v>
      </c>
      <c r="K6">
        <v>3.42</v>
      </c>
      <c r="L6">
        <v>3.03</v>
      </c>
      <c r="M6">
        <v>4.17</v>
      </c>
      <c r="N6">
        <v>5.82</v>
      </c>
      <c r="O6">
        <v>9.4600000000000009</v>
      </c>
      <c r="P6">
        <v>11.9</v>
      </c>
      <c r="Q6">
        <v>14.09</v>
      </c>
      <c r="R6">
        <v>16.02</v>
      </c>
      <c r="S6">
        <v>17.97</v>
      </c>
    </row>
    <row r="7" spans="1:21" x14ac:dyDescent="0.25">
      <c r="A7" t="s">
        <v>16</v>
      </c>
      <c r="B7" s="2">
        <v>4607.3100000000004</v>
      </c>
      <c r="C7" s="2">
        <v>5259.31</v>
      </c>
      <c r="D7" s="2">
        <v>5885.89</v>
      </c>
      <c r="E7" s="2">
        <v>8013.62</v>
      </c>
      <c r="F7" s="2">
        <v>11077</v>
      </c>
      <c r="G7" s="2">
        <v>9653.56</v>
      </c>
      <c r="H7" s="2">
        <v>10044.74</v>
      </c>
      <c r="I7" s="2">
        <v>14626.15</v>
      </c>
      <c r="J7" s="2">
        <v>17227.04</v>
      </c>
      <c r="K7" s="2">
        <v>17428.52</v>
      </c>
      <c r="L7" s="2">
        <v>14905.39</v>
      </c>
      <c r="M7" s="2">
        <v>18435.59</v>
      </c>
      <c r="N7" s="2">
        <v>23232.69</v>
      </c>
      <c r="O7" s="2">
        <v>34799.97</v>
      </c>
      <c r="P7" s="2">
        <v>41673.730000000003</v>
      </c>
      <c r="Q7" s="2">
        <v>47336.23</v>
      </c>
      <c r="R7" s="2">
        <v>50735.67</v>
      </c>
      <c r="S7" s="2">
        <v>55531.5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619</v>
      </c>
      <c r="G10" s="2">
        <v>6451.1</v>
      </c>
      <c r="H10" s="2">
        <v>6625.13</v>
      </c>
      <c r="I10" s="2">
        <v>9764.85</v>
      </c>
      <c r="J10" s="2">
        <v>11322.27</v>
      </c>
      <c r="K10" s="2">
        <v>10695.9</v>
      </c>
      <c r="L10" s="2">
        <v>8921.64</v>
      </c>
      <c r="M10" s="2">
        <v>11491.28</v>
      </c>
      <c r="N10" s="2">
        <v>14885.49</v>
      </c>
      <c r="O10" s="2">
        <v>24044.26</v>
      </c>
      <c r="P10" s="2">
        <v>28733.58</v>
      </c>
      <c r="Q10" s="2">
        <v>32959.54</v>
      </c>
      <c r="R10" s="2">
        <v>36179.839999999997</v>
      </c>
    </row>
    <row r="11" spans="1:21" x14ac:dyDescent="0.25">
      <c r="A11" t="s">
        <v>1262</v>
      </c>
      <c r="G11" s="2">
        <v>3202.46</v>
      </c>
      <c r="H11" s="2">
        <v>3419.61</v>
      </c>
      <c r="I11" s="2">
        <v>4861.3100000000004</v>
      </c>
      <c r="J11" s="2">
        <v>5904.77</v>
      </c>
      <c r="K11" s="2">
        <v>6732.62</v>
      </c>
      <c r="L11" s="2">
        <v>5983.74</v>
      </c>
      <c r="M11" s="2">
        <v>6944.31</v>
      </c>
      <c r="N11" s="2">
        <v>8347.2000000000007</v>
      </c>
      <c r="O11" s="2">
        <v>10552.48</v>
      </c>
      <c r="P11" s="2">
        <v>11633.51</v>
      </c>
      <c r="Q11" s="2">
        <v>13092.19</v>
      </c>
      <c r="R11" s="2">
        <v>15062.06</v>
      </c>
      <c r="S11" s="2">
        <v>15749.18</v>
      </c>
    </row>
    <row r="12" spans="1:21" x14ac:dyDescent="0.25">
      <c r="A12" t="s">
        <v>17</v>
      </c>
    </row>
    <row r="13" spans="1:21" x14ac:dyDescent="0.25">
      <c r="A13" t="s">
        <v>1263</v>
      </c>
      <c r="B13" s="2">
        <v>4551</v>
      </c>
      <c r="C13" s="2">
        <v>5472</v>
      </c>
      <c r="F13" s="2">
        <v>11176</v>
      </c>
      <c r="J13" s="2">
        <v>17227.04</v>
      </c>
      <c r="K13" s="2">
        <v>17428.52</v>
      </c>
      <c r="L13" s="2">
        <v>14905.39</v>
      </c>
      <c r="M13" s="2">
        <v>18435.59</v>
      </c>
      <c r="N13" s="2">
        <v>23232.69</v>
      </c>
    </row>
    <row r="14" spans="1:21" x14ac:dyDescent="0.25">
      <c r="A14" t="s">
        <v>723</v>
      </c>
      <c r="B14">
        <v>103.68</v>
      </c>
      <c r="C14">
        <v>115.42</v>
      </c>
      <c r="D14">
        <v>108.29</v>
      </c>
      <c r="E14">
        <v>101.76</v>
      </c>
      <c r="F14">
        <v>115.52</v>
      </c>
      <c r="G14">
        <v>107.91</v>
      </c>
      <c r="H14">
        <v>127.23</v>
      </c>
      <c r="I14">
        <v>125.17</v>
      </c>
      <c r="J14">
        <v>154.32</v>
      </c>
      <c r="K14">
        <v>181.64</v>
      </c>
      <c r="L14">
        <v>199.28</v>
      </c>
      <c r="M14">
        <v>165.82</v>
      </c>
      <c r="N14">
        <v>135.26</v>
      </c>
      <c r="O14">
        <v>138.9</v>
      </c>
      <c r="P14">
        <v>160.09</v>
      </c>
      <c r="Q14">
        <v>149.1</v>
      </c>
    </row>
    <row r="15" spans="1:21" x14ac:dyDescent="0.25">
      <c r="A15" t="s">
        <v>569</v>
      </c>
      <c r="B15">
        <v>4</v>
      </c>
      <c r="C15">
        <v>3.53</v>
      </c>
      <c r="D15">
        <v>3.41</v>
      </c>
      <c r="E15">
        <v>4</v>
      </c>
      <c r="F15">
        <v>3.8</v>
      </c>
      <c r="G15">
        <v>3.1</v>
      </c>
      <c r="H15">
        <v>3.16</v>
      </c>
      <c r="I15">
        <v>3.41</v>
      </c>
      <c r="J15">
        <v>2.81</v>
      </c>
      <c r="K15">
        <v>2.2000000000000002</v>
      </c>
      <c r="L15">
        <v>1.74</v>
      </c>
      <c r="M15">
        <v>2.2200000000000002</v>
      </c>
      <c r="N15">
        <v>2.68</v>
      </c>
      <c r="O15">
        <v>2.9</v>
      </c>
      <c r="P15">
        <v>2.4300000000000002</v>
      </c>
      <c r="Q15">
        <v>2.4300000000000002</v>
      </c>
    </row>
    <row r="16" spans="1:21" x14ac:dyDescent="0.25">
      <c r="A16" t="s">
        <v>17</v>
      </c>
    </row>
    <row r="17" spans="1:19" x14ac:dyDescent="0.25">
      <c r="A17" t="s">
        <v>30</v>
      </c>
      <c r="B17">
        <v>43.6</v>
      </c>
      <c r="C17">
        <v>45.4</v>
      </c>
      <c r="D17">
        <v>46</v>
      </c>
      <c r="E17">
        <v>46.1</v>
      </c>
      <c r="F17">
        <v>47.43</v>
      </c>
      <c r="G17">
        <v>45.91</v>
      </c>
      <c r="H17">
        <v>45.92</v>
      </c>
      <c r="I17">
        <v>46.71</v>
      </c>
      <c r="J17">
        <v>45.69</v>
      </c>
      <c r="K17">
        <v>45.25</v>
      </c>
      <c r="L17">
        <v>47.3</v>
      </c>
      <c r="M17">
        <v>48.81</v>
      </c>
      <c r="N17">
        <v>50.6</v>
      </c>
      <c r="O17">
        <v>51.87</v>
      </c>
      <c r="P17">
        <v>52.41</v>
      </c>
      <c r="Q17">
        <v>53.17</v>
      </c>
      <c r="R17">
        <v>51.5</v>
      </c>
      <c r="S17">
        <v>46.5</v>
      </c>
    </row>
    <row r="18" spans="1:19" x14ac:dyDescent="0.25">
      <c r="A18" t="s">
        <v>1264</v>
      </c>
      <c r="B18">
        <v>716.47</v>
      </c>
      <c r="C18">
        <v>825.24</v>
      </c>
      <c r="D18">
        <v>913.71</v>
      </c>
      <c r="E18" s="2">
        <v>1033.74</v>
      </c>
      <c r="F18" s="2">
        <v>1189.51</v>
      </c>
      <c r="G18" s="2">
        <v>1191.32</v>
      </c>
      <c r="H18" s="2">
        <v>1252.4100000000001</v>
      </c>
      <c r="I18" s="2">
        <v>1493.41</v>
      </c>
      <c r="J18" s="2">
        <v>1604.25</v>
      </c>
      <c r="K18" s="2">
        <v>1727.16</v>
      </c>
      <c r="L18" s="2">
        <v>1902.44</v>
      </c>
      <c r="M18" s="2">
        <v>2096.39</v>
      </c>
      <c r="N18" s="2">
        <v>2375.87</v>
      </c>
      <c r="O18" s="2">
        <v>2923.82</v>
      </c>
      <c r="P18" s="2">
        <v>3272.85</v>
      </c>
      <c r="Q18" s="2">
        <v>3581.02</v>
      </c>
      <c r="R18" s="2">
        <v>3732.64</v>
      </c>
      <c r="S18" s="2">
        <v>4053</v>
      </c>
    </row>
    <row r="19" spans="1:19" x14ac:dyDescent="0.25">
      <c r="A19" t="s">
        <v>31</v>
      </c>
      <c r="B19">
        <v>19.079999999999998</v>
      </c>
      <c r="C19">
        <v>19.64</v>
      </c>
      <c r="D19">
        <v>21.71</v>
      </c>
      <c r="E19">
        <v>26.01</v>
      </c>
      <c r="F19">
        <v>30.46</v>
      </c>
      <c r="G19">
        <v>26.97</v>
      </c>
      <c r="H19">
        <v>27.1</v>
      </c>
      <c r="I19">
        <v>31.48</v>
      </c>
      <c r="J19">
        <v>31.34</v>
      </c>
      <c r="K19">
        <v>30.73</v>
      </c>
      <c r="L19">
        <v>30.28</v>
      </c>
      <c r="M19">
        <v>32.31</v>
      </c>
      <c r="N19">
        <v>35.81</v>
      </c>
      <c r="O19">
        <v>39.880000000000003</v>
      </c>
      <c r="P19">
        <v>41.1</v>
      </c>
      <c r="Q19">
        <v>41.95</v>
      </c>
      <c r="R19">
        <v>42.86</v>
      </c>
      <c r="S19">
        <v>41.8</v>
      </c>
    </row>
    <row r="20" spans="1:19" x14ac:dyDescent="0.25">
      <c r="A20" t="s">
        <v>1265</v>
      </c>
      <c r="B20">
        <v>14.71</v>
      </c>
      <c r="C20">
        <v>14.98</v>
      </c>
      <c r="D20">
        <v>18.25</v>
      </c>
      <c r="E20">
        <v>23.74</v>
      </c>
      <c r="F20">
        <v>29.01</v>
      </c>
      <c r="G20">
        <v>25.53</v>
      </c>
      <c r="H20">
        <v>26.62</v>
      </c>
      <c r="I20">
        <v>30.64</v>
      </c>
      <c r="J20">
        <v>31.24</v>
      </c>
      <c r="K20">
        <v>29.69</v>
      </c>
      <c r="L20">
        <v>28.61</v>
      </c>
      <c r="M20">
        <v>32.01</v>
      </c>
      <c r="N20">
        <v>35.29</v>
      </c>
      <c r="O20">
        <v>39.700000000000003</v>
      </c>
      <c r="P20">
        <v>40.479999999999997</v>
      </c>
      <c r="Q20">
        <v>42.09</v>
      </c>
      <c r="R20">
        <v>43.17</v>
      </c>
      <c r="S20">
        <v>42.8</v>
      </c>
    </row>
    <row r="21" spans="1:19" x14ac:dyDescent="0.25">
      <c r="A21" t="s">
        <v>17</v>
      </c>
    </row>
    <row r="22" spans="1:19" x14ac:dyDescent="0.25">
      <c r="A22" t="s">
        <v>93</v>
      </c>
      <c r="B22">
        <v>292.25</v>
      </c>
      <c r="C22">
        <v>277.92</v>
      </c>
      <c r="D22">
        <v>291.02999999999997</v>
      </c>
      <c r="E22">
        <v>306.91000000000003</v>
      </c>
      <c r="F22">
        <v>326.39999999999998</v>
      </c>
      <c r="G22">
        <v>309.27999999999997</v>
      </c>
      <c r="H22">
        <v>268.52999999999997</v>
      </c>
      <c r="I22">
        <v>307.14999999999998</v>
      </c>
      <c r="J22">
        <v>333.74</v>
      </c>
      <c r="K22">
        <v>342.43</v>
      </c>
      <c r="L22">
        <v>359.7</v>
      </c>
      <c r="M22">
        <v>386.28</v>
      </c>
      <c r="N22">
        <v>441.53</v>
      </c>
      <c r="O22">
        <v>508.34</v>
      </c>
      <c r="P22">
        <v>584.51</v>
      </c>
      <c r="Q22">
        <v>606.85</v>
      </c>
      <c r="R22">
        <v>728.81</v>
      </c>
      <c r="S22" s="2">
        <v>1135.43</v>
      </c>
    </row>
    <row r="23" spans="1:19" x14ac:dyDescent="0.25">
      <c r="A23" t="s">
        <v>242</v>
      </c>
      <c r="B23">
        <v>-145.5</v>
      </c>
      <c r="C23">
        <v>-198.27</v>
      </c>
      <c r="D23">
        <v>-175.33</v>
      </c>
      <c r="E23">
        <v>-157.41999999999999</v>
      </c>
      <c r="F23">
        <v>-273.47000000000003</v>
      </c>
      <c r="G23">
        <v>-303.49</v>
      </c>
      <c r="H23">
        <v>-203.24</v>
      </c>
      <c r="I23">
        <v>-349.1</v>
      </c>
      <c r="J23">
        <v>-546.03</v>
      </c>
      <c r="K23">
        <v>-501.57</v>
      </c>
      <c r="L23">
        <v>-396.67</v>
      </c>
      <c r="M23">
        <v>-759.19</v>
      </c>
      <c r="N23">
        <v>-966.41</v>
      </c>
      <c r="O23" s="2">
        <v>-1328</v>
      </c>
      <c r="P23" s="2">
        <v>-1530.85</v>
      </c>
      <c r="Q23" s="2">
        <v>-1744.45</v>
      </c>
      <c r="R23" s="2">
        <v>-1890</v>
      </c>
      <c r="S23" s="2">
        <v>-2084</v>
      </c>
    </row>
    <row r="24" spans="1:19" x14ac:dyDescent="0.25">
      <c r="A24" t="s">
        <v>17</v>
      </c>
    </row>
    <row r="25" spans="1:19" x14ac:dyDescent="0.25">
      <c r="A25" t="s">
        <v>37</v>
      </c>
    </row>
    <row r="26" spans="1:19" x14ac:dyDescent="0.25">
      <c r="A26" t="s">
        <v>17</v>
      </c>
    </row>
    <row r="27" spans="1:19" x14ac:dyDescent="0.25">
      <c r="A27" t="s">
        <v>38</v>
      </c>
    </row>
    <row r="28" spans="1:19" x14ac:dyDescent="0.25">
      <c r="A28" t="s">
        <v>1263</v>
      </c>
      <c r="B28" s="2">
        <v>4551</v>
      </c>
      <c r="C28" s="2">
        <v>5472</v>
      </c>
      <c r="F28" s="2">
        <v>11176</v>
      </c>
      <c r="J28" s="2">
        <v>17227.04</v>
      </c>
      <c r="K28" s="2">
        <v>17428.52</v>
      </c>
      <c r="L28" s="2">
        <v>14905.39</v>
      </c>
      <c r="M28" s="2">
        <v>18435.59</v>
      </c>
      <c r="N28" s="2">
        <v>23232.69</v>
      </c>
    </row>
    <row r="29" spans="1:19" x14ac:dyDescent="0.25">
      <c r="A29" t="s">
        <v>17</v>
      </c>
    </row>
    <row r="30" spans="1:19" x14ac:dyDescent="0.25">
      <c r="A30" t="s">
        <v>58</v>
      </c>
    </row>
    <row r="31" spans="1:19" x14ac:dyDescent="0.25">
      <c r="A31" t="s">
        <v>16</v>
      </c>
    </row>
    <row r="32" spans="1:19" x14ac:dyDescent="0.25">
      <c r="A32" t="s">
        <v>619</v>
      </c>
      <c r="G32" s="2">
        <v>6451.1</v>
      </c>
      <c r="H32" s="2">
        <v>6625.13</v>
      </c>
      <c r="I32" s="2">
        <v>9764.85</v>
      </c>
      <c r="J32" s="2">
        <v>11322.27</v>
      </c>
      <c r="K32" s="2">
        <v>10695.9</v>
      </c>
      <c r="L32" s="2">
        <v>8921.64</v>
      </c>
      <c r="M32" s="2">
        <v>11491.28</v>
      </c>
      <c r="N32" s="2">
        <v>14885.49</v>
      </c>
      <c r="O32" s="2">
        <v>24044.26</v>
      </c>
      <c r="P32" s="2">
        <v>28733.58</v>
      </c>
      <c r="Q32" s="2">
        <v>32959.54</v>
      </c>
      <c r="R32" s="2">
        <v>36179.839999999997</v>
      </c>
    </row>
    <row r="33" spans="1:19" x14ac:dyDescent="0.25">
      <c r="A33" t="s">
        <v>1266</v>
      </c>
      <c r="G33" s="2">
        <v>4515.7700000000004</v>
      </c>
      <c r="H33" s="2">
        <v>3842.58</v>
      </c>
      <c r="I33" s="2">
        <v>5956.56</v>
      </c>
      <c r="J33" s="2">
        <v>6793.36</v>
      </c>
      <c r="K33" s="2">
        <v>4492.28</v>
      </c>
      <c r="L33" s="2">
        <v>3747.09</v>
      </c>
      <c r="M33" s="2">
        <v>4826.34</v>
      </c>
      <c r="N33" s="2">
        <v>6847.32</v>
      </c>
      <c r="O33" s="2">
        <v>10370.52</v>
      </c>
      <c r="P33" s="2">
        <v>13291.5</v>
      </c>
      <c r="Q33" s="2">
        <v>16308.9</v>
      </c>
      <c r="R33" s="2">
        <v>15961.06</v>
      </c>
    </row>
    <row r="34" spans="1:19" x14ac:dyDescent="0.25">
      <c r="A34" t="s">
        <v>1267</v>
      </c>
      <c r="N34" s="2">
        <v>3423.66</v>
      </c>
      <c r="O34" s="2">
        <v>5597.13</v>
      </c>
      <c r="P34" s="2">
        <v>7513.17</v>
      </c>
      <c r="Q34" s="2">
        <v>9307.68</v>
      </c>
      <c r="R34" s="2">
        <v>8948.7900000000009</v>
      </c>
      <c r="S34" s="2">
        <v>10261.620000000001</v>
      </c>
    </row>
    <row r="35" spans="1:19" x14ac:dyDescent="0.25">
      <c r="A35" t="s">
        <v>592</v>
      </c>
      <c r="N35">
        <v>23</v>
      </c>
      <c r="O35">
        <v>22.83</v>
      </c>
      <c r="P35">
        <v>25.76</v>
      </c>
      <c r="Q35">
        <v>26.67</v>
      </c>
      <c r="R35">
        <v>25.21</v>
      </c>
    </row>
    <row r="36" spans="1:19" x14ac:dyDescent="0.25">
      <c r="A36" t="s">
        <v>1268</v>
      </c>
      <c r="N36" s="2">
        <v>3423.66</v>
      </c>
      <c r="O36" s="2">
        <v>4923.92</v>
      </c>
      <c r="P36" s="2">
        <v>5511.18</v>
      </c>
      <c r="Q36" s="2">
        <v>6383.86</v>
      </c>
      <c r="R36" s="2">
        <v>6280.59</v>
      </c>
      <c r="S36" s="2">
        <v>6926.41</v>
      </c>
    </row>
    <row r="37" spans="1:19" x14ac:dyDescent="0.25">
      <c r="A37" t="s">
        <v>592</v>
      </c>
      <c r="N37">
        <v>23</v>
      </c>
      <c r="O37">
        <v>21.67</v>
      </c>
      <c r="P37">
        <v>18.62</v>
      </c>
      <c r="Q37">
        <v>18.53</v>
      </c>
      <c r="R37">
        <v>18.91</v>
      </c>
    </row>
    <row r="38" spans="1:19" x14ac:dyDescent="0.25">
      <c r="A38" t="s">
        <v>1269</v>
      </c>
      <c r="G38" s="2">
        <v>1290.22</v>
      </c>
      <c r="H38" s="2">
        <v>2053.79</v>
      </c>
      <c r="I38" s="2">
        <v>3124.75</v>
      </c>
      <c r="J38" s="2">
        <v>2943.79</v>
      </c>
      <c r="K38" s="2">
        <v>4064.44</v>
      </c>
      <c r="L38" s="2">
        <v>3568.66</v>
      </c>
      <c r="M38" s="2">
        <v>5171.08</v>
      </c>
      <c r="N38" s="2">
        <v>6549.61</v>
      </c>
      <c r="O38" s="2">
        <v>11653.27</v>
      </c>
      <c r="P38" s="2">
        <v>14087.26</v>
      </c>
      <c r="Q38" s="2">
        <v>15690.82</v>
      </c>
      <c r="R38" s="2">
        <v>17676.62</v>
      </c>
      <c r="S38" s="2">
        <v>20443.87</v>
      </c>
    </row>
    <row r="39" spans="1:19" x14ac:dyDescent="0.25">
      <c r="A39" t="s">
        <v>76</v>
      </c>
      <c r="B39">
        <v>30</v>
      </c>
      <c r="C39">
        <v>30</v>
      </c>
      <c r="D39">
        <v>23</v>
      </c>
      <c r="E39">
        <v>27</v>
      </c>
      <c r="F39">
        <v>14</v>
      </c>
      <c r="G39">
        <v>20</v>
      </c>
      <c r="H39">
        <v>31</v>
      </c>
      <c r="I39">
        <v>32</v>
      </c>
      <c r="J39">
        <v>26</v>
      </c>
      <c r="K39">
        <v>38</v>
      </c>
      <c r="L39">
        <v>40</v>
      </c>
      <c r="M39">
        <v>45</v>
      </c>
      <c r="N39">
        <v>54</v>
      </c>
      <c r="O39">
        <v>46.67</v>
      </c>
      <c r="P39">
        <v>46.85</v>
      </c>
      <c r="Q39">
        <v>46.62</v>
      </c>
      <c r="R39">
        <v>48.36</v>
      </c>
    </row>
    <row r="40" spans="1:19" x14ac:dyDescent="0.25">
      <c r="A40" t="s">
        <v>1270</v>
      </c>
      <c r="G40">
        <v>645.11</v>
      </c>
      <c r="H40">
        <v>728.76</v>
      </c>
      <c r="I40">
        <v>683.54</v>
      </c>
      <c r="J40" s="2">
        <v>1585.12</v>
      </c>
      <c r="K40" s="2">
        <v>2139.1799999999998</v>
      </c>
      <c r="L40" s="2">
        <v>1605.9</v>
      </c>
      <c r="M40" s="2">
        <v>1493.87</v>
      </c>
      <c r="N40" s="2">
        <v>1488.55</v>
      </c>
      <c r="O40" s="2">
        <v>1813.9</v>
      </c>
      <c r="P40" s="2">
        <v>2496.62</v>
      </c>
      <c r="Q40" s="2">
        <v>2598.4299999999998</v>
      </c>
      <c r="R40" s="2">
        <v>2421.4499999999998</v>
      </c>
      <c r="S40" s="2">
        <v>2366.5500000000002</v>
      </c>
    </row>
    <row r="41" spans="1:19" x14ac:dyDescent="0.25">
      <c r="A41" t="s">
        <v>76</v>
      </c>
      <c r="B41">
        <v>10</v>
      </c>
      <c r="C41">
        <v>12</v>
      </c>
      <c r="D41">
        <v>9</v>
      </c>
      <c r="E41">
        <v>6</v>
      </c>
      <c r="F41">
        <v>8</v>
      </c>
      <c r="G41">
        <v>10</v>
      </c>
      <c r="H41">
        <v>11</v>
      </c>
      <c r="I41">
        <v>7</v>
      </c>
      <c r="J41">
        <v>14</v>
      </c>
      <c r="K41">
        <v>20</v>
      </c>
      <c r="L41">
        <v>18</v>
      </c>
      <c r="M41">
        <v>13</v>
      </c>
      <c r="N41">
        <v>7</v>
      </c>
      <c r="O41">
        <v>8.5</v>
      </c>
      <c r="P41">
        <v>8.9600000000000009</v>
      </c>
      <c r="Q41">
        <v>8.18</v>
      </c>
      <c r="R41">
        <v>7.52</v>
      </c>
    </row>
    <row r="42" spans="1:19" x14ac:dyDescent="0.25">
      <c r="A42" t="s">
        <v>1262</v>
      </c>
      <c r="G42" s="2">
        <v>3202.46</v>
      </c>
      <c r="H42" s="2">
        <v>3419.61</v>
      </c>
      <c r="I42" s="2">
        <v>4861.3100000000004</v>
      </c>
      <c r="J42" s="2">
        <v>5904.77</v>
      </c>
      <c r="K42" s="2">
        <v>6732.62</v>
      </c>
      <c r="L42" s="2">
        <v>5983.74</v>
      </c>
      <c r="M42" s="2">
        <v>6944.31</v>
      </c>
      <c r="N42" s="2">
        <v>8347.2000000000007</v>
      </c>
      <c r="O42" s="2">
        <v>10552.48</v>
      </c>
      <c r="P42" s="2">
        <v>11633.51</v>
      </c>
      <c r="Q42" s="2">
        <v>13092.19</v>
      </c>
      <c r="R42" s="2">
        <v>15062.06</v>
      </c>
      <c r="S42" s="2">
        <v>15749.18</v>
      </c>
    </row>
    <row r="43" spans="1:19" x14ac:dyDescent="0.25">
      <c r="A43" t="s">
        <v>17</v>
      </c>
    </row>
    <row r="44" spans="1:19" x14ac:dyDescent="0.25">
      <c r="A44" t="s">
        <v>72</v>
      </c>
    </row>
    <row r="45" spans="1:19" x14ac:dyDescent="0.25">
      <c r="A45" t="s">
        <v>16</v>
      </c>
      <c r="B45" s="2">
        <v>4607.3100000000004</v>
      </c>
      <c r="C45" s="2">
        <v>5259.31</v>
      </c>
      <c r="D45" s="2">
        <v>5885.89</v>
      </c>
      <c r="E45" s="2">
        <v>8013.62</v>
      </c>
      <c r="F45" s="2">
        <v>11077</v>
      </c>
      <c r="G45" s="2">
        <v>9653.56</v>
      </c>
      <c r="H45" s="2">
        <v>10044.74</v>
      </c>
      <c r="I45" s="2">
        <v>14626.15</v>
      </c>
      <c r="J45" s="2">
        <v>17227.04</v>
      </c>
      <c r="K45" s="2">
        <v>17428.52</v>
      </c>
      <c r="L45" s="2">
        <v>14905.39</v>
      </c>
      <c r="M45" s="2">
        <v>18435.59</v>
      </c>
      <c r="N45" s="2">
        <v>23232.69</v>
      </c>
      <c r="O45" s="2">
        <v>35027.279999999999</v>
      </c>
      <c r="P45" s="2">
        <v>41649.4</v>
      </c>
      <c r="Q45" s="2">
        <v>46319.48</v>
      </c>
      <c r="R45" s="2">
        <v>50735.35</v>
      </c>
      <c r="S45" s="2">
        <v>55531.31</v>
      </c>
    </row>
    <row r="46" spans="1:19" x14ac:dyDescent="0.25">
      <c r="A46" t="s">
        <v>1271</v>
      </c>
      <c r="B46" s="2">
        <v>1127.4100000000001</v>
      </c>
      <c r="C46" s="2">
        <v>1406.62</v>
      </c>
      <c r="D46" s="2">
        <v>1057.33</v>
      </c>
      <c r="E46" s="2">
        <v>2480.33</v>
      </c>
      <c r="F46" s="2">
        <v>3832.8</v>
      </c>
      <c r="G46" s="2">
        <v>2205.35</v>
      </c>
      <c r="H46" s="2">
        <v>2391.2600000000002</v>
      </c>
      <c r="I46" s="2">
        <v>3924.69</v>
      </c>
      <c r="J46" s="2">
        <v>4037.47</v>
      </c>
      <c r="K46" s="2">
        <v>3551.74</v>
      </c>
      <c r="L46" s="2">
        <v>2874.02</v>
      </c>
      <c r="M46" s="2">
        <v>4127.7700000000004</v>
      </c>
      <c r="N46" s="2">
        <v>4505.33</v>
      </c>
      <c r="O46" s="2">
        <v>6534.66</v>
      </c>
      <c r="P46" s="2">
        <v>8061.84</v>
      </c>
    </row>
    <row r="47" spans="1:19" x14ac:dyDescent="0.25">
      <c r="A47" t="s">
        <v>69</v>
      </c>
      <c r="B47">
        <v>24</v>
      </c>
      <c r="C47">
        <v>27</v>
      </c>
      <c r="D47">
        <v>18</v>
      </c>
      <c r="E47">
        <v>31</v>
      </c>
      <c r="F47">
        <v>35</v>
      </c>
      <c r="G47">
        <v>23</v>
      </c>
      <c r="H47">
        <v>24</v>
      </c>
      <c r="I47">
        <v>27</v>
      </c>
      <c r="J47">
        <v>23</v>
      </c>
      <c r="K47">
        <v>20</v>
      </c>
      <c r="L47">
        <v>19</v>
      </c>
      <c r="M47">
        <v>22</v>
      </c>
      <c r="N47">
        <v>19</v>
      </c>
      <c r="O47">
        <v>22.25</v>
      </c>
      <c r="P47">
        <v>26</v>
      </c>
    </row>
    <row r="48" spans="1:19" x14ac:dyDescent="0.25">
      <c r="A48" t="s">
        <v>585</v>
      </c>
      <c r="B48">
        <v>623.41</v>
      </c>
      <c r="C48">
        <v>661.09</v>
      </c>
      <c r="D48" s="2">
        <v>1039.95</v>
      </c>
      <c r="E48" s="2">
        <v>1023.2</v>
      </c>
      <c r="F48" s="2">
        <v>1784.44</v>
      </c>
      <c r="G48" s="2">
        <v>2161.44</v>
      </c>
      <c r="H48" s="2">
        <v>3083.92</v>
      </c>
      <c r="I48" s="2">
        <v>5137.8900000000003</v>
      </c>
      <c r="J48" s="2">
        <v>5411.5</v>
      </c>
      <c r="K48" s="2">
        <v>4462.66</v>
      </c>
      <c r="L48" s="2">
        <v>6293.99</v>
      </c>
      <c r="M48" s="2">
        <v>6205.06</v>
      </c>
      <c r="N48" s="2">
        <v>7859.81</v>
      </c>
      <c r="O48" s="2">
        <v>8273.52</v>
      </c>
      <c r="P48" s="2">
        <v>7869.53</v>
      </c>
    </row>
    <row r="49" spans="1:19" x14ac:dyDescent="0.25">
      <c r="A49" t="s">
        <v>61</v>
      </c>
      <c r="B49">
        <v>14</v>
      </c>
      <c r="C49">
        <v>12</v>
      </c>
      <c r="D49">
        <v>18</v>
      </c>
      <c r="E49">
        <v>13</v>
      </c>
      <c r="F49">
        <v>16</v>
      </c>
      <c r="G49">
        <v>22</v>
      </c>
      <c r="H49">
        <v>31</v>
      </c>
      <c r="I49">
        <v>35</v>
      </c>
      <c r="J49">
        <v>31</v>
      </c>
      <c r="K49">
        <v>26</v>
      </c>
      <c r="L49">
        <v>42</v>
      </c>
      <c r="M49">
        <v>34</v>
      </c>
      <c r="N49">
        <v>34</v>
      </c>
      <c r="O49">
        <v>25.33</v>
      </c>
      <c r="P49">
        <v>31.08</v>
      </c>
      <c r="Q49">
        <v>69.22</v>
      </c>
      <c r="R49">
        <v>62.56</v>
      </c>
    </row>
    <row r="50" spans="1:19" x14ac:dyDescent="0.25">
      <c r="A50" t="s">
        <v>736</v>
      </c>
      <c r="B50" s="2">
        <v>1049.21</v>
      </c>
      <c r="C50" s="2">
        <v>1084.24</v>
      </c>
      <c r="D50" s="2">
        <v>1485.04</v>
      </c>
      <c r="E50" s="2">
        <v>2095.67</v>
      </c>
      <c r="F50" s="2">
        <v>1397.98</v>
      </c>
      <c r="G50" s="2">
        <v>1596.26</v>
      </c>
      <c r="H50" s="2">
        <v>1906.22</v>
      </c>
      <c r="I50" s="2">
        <v>2118</v>
      </c>
      <c r="J50" s="2">
        <v>2936.48</v>
      </c>
      <c r="K50" s="2">
        <v>3477.86</v>
      </c>
      <c r="L50" s="2">
        <v>1671.82</v>
      </c>
      <c r="M50" s="2">
        <v>3445.22</v>
      </c>
      <c r="N50" s="2">
        <v>5222.92</v>
      </c>
      <c r="O50" s="2">
        <v>7898.41</v>
      </c>
      <c r="P50" s="2">
        <v>9271.67</v>
      </c>
    </row>
    <row r="51" spans="1:19" x14ac:dyDescent="0.25">
      <c r="A51" t="s">
        <v>69</v>
      </c>
      <c r="B51">
        <v>23</v>
      </c>
      <c r="C51">
        <v>21</v>
      </c>
      <c r="D51">
        <v>25</v>
      </c>
      <c r="E51">
        <v>26</v>
      </c>
      <c r="F51">
        <v>13</v>
      </c>
      <c r="G51">
        <v>17</v>
      </c>
      <c r="H51">
        <v>19</v>
      </c>
      <c r="I51">
        <v>14</v>
      </c>
      <c r="J51">
        <v>17</v>
      </c>
      <c r="K51">
        <v>20</v>
      </c>
      <c r="L51">
        <v>11</v>
      </c>
      <c r="M51">
        <v>19</v>
      </c>
      <c r="N51">
        <v>22</v>
      </c>
      <c r="O51">
        <v>28.42</v>
      </c>
      <c r="P51">
        <v>30.05</v>
      </c>
    </row>
    <row r="52" spans="1:19" x14ac:dyDescent="0.25">
      <c r="A52" t="s">
        <v>73</v>
      </c>
      <c r="B52">
        <v>622.02</v>
      </c>
      <c r="C52">
        <v>890.89</v>
      </c>
      <c r="D52">
        <v>495.12</v>
      </c>
      <c r="E52">
        <v>629.94000000000005</v>
      </c>
      <c r="F52">
        <v>820.44</v>
      </c>
      <c r="G52">
        <v>748.6</v>
      </c>
      <c r="H52">
        <v>812.48</v>
      </c>
      <c r="I52">
        <v>672.72</v>
      </c>
      <c r="J52" s="2">
        <v>1147.3499999999999</v>
      </c>
      <c r="K52" s="2">
        <v>1665.14</v>
      </c>
      <c r="L52" s="2">
        <v>1104.0899999999999</v>
      </c>
      <c r="M52" s="2">
        <v>1376.86</v>
      </c>
      <c r="N52" s="2">
        <v>1528.91</v>
      </c>
      <c r="O52" s="2">
        <v>2263.4499999999998</v>
      </c>
      <c r="P52" s="2">
        <v>2369.88</v>
      </c>
    </row>
    <row r="53" spans="1:19" x14ac:dyDescent="0.25">
      <c r="A53" t="s">
        <v>69</v>
      </c>
      <c r="B53">
        <v>13</v>
      </c>
      <c r="C53">
        <v>17</v>
      </c>
      <c r="D53">
        <v>8</v>
      </c>
      <c r="E53">
        <v>8</v>
      </c>
      <c r="F53">
        <v>7</v>
      </c>
      <c r="G53">
        <v>8</v>
      </c>
      <c r="H53">
        <v>8</v>
      </c>
      <c r="I53">
        <v>6</v>
      </c>
      <c r="J53">
        <v>8</v>
      </c>
      <c r="K53">
        <v>9</v>
      </c>
      <c r="L53">
        <v>7</v>
      </c>
      <c r="M53">
        <v>7</v>
      </c>
      <c r="N53">
        <v>7</v>
      </c>
      <c r="O53">
        <v>8.11</v>
      </c>
      <c r="P53">
        <v>7.09</v>
      </c>
    </row>
    <row r="54" spans="1:19" x14ac:dyDescent="0.25">
      <c r="A54" t="s">
        <v>586</v>
      </c>
      <c r="B54">
        <v>634.13</v>
      </c>
      <c r="C54">
        <v>623.58000000000004</v>
      </c>
      <c r="D54">
        <v>983.82</v>
      </c>
      <c r="E54" s="2">
        <v>1041.97</v>
      </c>
      <c r="F54" s="2">
        <v>1882.8</v>
      </c>
      <c r="G54" s="2">
        <v>1969.87</v>
      </c>
      <c r="H54">
        <v>954.74</v>
      </c>
      <c r="I54" s="2">
        <v>1363.91</v>
      </c>
      <c r="J54" s="2">
        <v>1624.57</v>
      </c>
      <c r="K54" s="2">
        <v>1758.36</v>
      </c>
      <c r="L54" s="2">
        <v>1460.43</v>
      </c>
      <c r="M54" s="2">
        <v>1880.88</v>
      </c>
      <c r="N54" s="2">
        <v>2171.09</v>
      </c>
      <c r="O54" s="2">
        <v>2980.66</v>
      </c>
      <c r="P54" s="2">
        <v>3308.04</v>
      </c>
    </row>
    <row r="55" spans="1:19" x14ac:dyDescent="0.25">
      <c r="A55" t="s">
        <v>69</v>
      </c>
      <c r="B55">
        <v>14</v>
      </c>
      <c r="C55">
        <v>12</v>
      </c>
      <c r="D55">
        <v>17</v>
      </c>
      <c r="E55">
        <v>13</v>
      </c>
      <c r="F55">
        <v>17</v>
      </c>
      <c r="G55">
        <v>20</v>
      </c>
      <c r="H55">
        <v>9</v>
      </c>
      <c r="I55">
        <v>9</v>
      </c>
      <c r="J55">
        <v>9</v>
      </c>
      <c r="K55">
        <v>10</v>
      </c>
      <c r="L55">
        <v>10</v>
      </c>
      <c r="M55">
        <v>10</v>
      </c>
      <c r="N55">
        <v>9</v>
      </c>
      <c r="O55">
        <v>9.3699999999999992</v>
      </c>
      <c r="P55">
        <v>10</v>
      </c>
    </row>
    <row r="56" spans="1:19" x14ac:dyDescent="0.25">
      <c r="A56" t="s">
        <v>584</v>
      </c>
      <c r="B56">
        <v>303.73</v>
      </c>
      <c r="C56">
        <v>314.55</v>
      </c>
      <c r="D56">
        <v>219.39</v>
      </c>
      <c r="E56">
        <v>340.64</v>
      </c>
      <c r="F56">
        <v>577.19000000000005</v>
      </c>
      <c r="G56">
        <v>356.23</v>
      </c>
      <c r="H56">
        <v>308.48</v>
      </c>
      <c r="I56">
        <v>463.48</v>
      </c>
      <c r="J56">
        <v>712.02</v>
      </c>
      <c r="K56" s="2">
        <v>1158.28</v>
      </c>
      <c r="L56">
        <v>707</v>
      </c>
      <c r="M56">
        <v>562.55999999999995</v>
      </c>
      <c r="N56">
        <v>698.71</v>
      </c>
      <c r="O56">
        <v>947.24</v>
      </c>
      <c r="P56">
        <v>946.49</v>
      </c>
    </row>
    <row r="57" spans="1:19" x14ac:dyDescent="0.25">
      <c r="A57" t="s">
        <v>69</v>
      </c>
      <c r="B57">
        <v>7</v>
      </c>
      <c r="C57">
        <v>6</v>
      </c>
      <c r="D57">
        <v>4</v>
      </c>
      <c r="E57">
        <v>4</v>
      </c>
      <c r="F57">
        <v>5</v>
      </c>
      <c r="G57">
        <v>4</v>
      </c>
      <c r="H57">
        <v>3</v>
      </c>
      <c r="I57">
        <v>3</v>
      </c>
      <c r="J57">
        <v>4</v>
      </c>
      <c r="K57">
        <v>7</v>
      </c>
      <c r="L57">
        <v>5</v>
      </c>
      <c r="M57">
        <v>3</v>
      </c>
      <c r="N57">
        <v>3</v>
      </c>
      <c r="O57">
        <v>3.47</v>
      </c>
      <c r="P57">
        <v>2.85</v>
      </c>
    </row>
    <row r="58" spans="1:19" x14ac:dyDescent="0.25">
      <c r="A58" t="s">
        <v>1272</v>
      </c>
      <c r="B58">
        <v>247.4</v>
      </c>
      <c r="C58">
        <v>278.35000000000002</v>
      </c>
      <c r="D58">
        <v>605.24</v>
      </c>
      <c r="E58">
        <v>401.88</v>
      </c>
      <c r="F58">
        <v>781.36</v>
      </c>
      <c r="G58">
        <v>615.80999999999995</v>
      </c>
      <c r="H58">
        <v>587.64</v>
      </c>
      <c r="I58">
        <v>945.48</v>
      </c>
      <c r="J58" s="2">
        <v>1357.65</v>
      </c>
      <c r="K58" s="2">
        <v>1354.47</v>
      </c>
      <c r="L58">
        <v>794.05</v>
      </c>
      <c r="M58">
        <v>837.24</v>
      </c>
      <c r="N58" s="2">
        <v>1245.93</v>
      </c>
      <c r="O58" s="2">
        <v>1454.28</v>
      </c>
      <c r="P58" s="2">
        <v>1597.67</v>
      </c>
    </row>
    <row r="59" spans="1:19" x14ac:dyDescent="0.25">
      <c r="A59" t="s">
        <v>61</v>
      </c>
      <c r="B59">
        <v>5</v>
      </c>
      <c r="C59">
        <v>5</v>
      </c>
      <c r="D59">
        <v>10</v>
      </c>
      <c r="E59">
        <v>5</v>
      </c>
      <c r="F59">
        <v>7</v>
      </c>
      <c r="G59">
        <v>6</v>
      </c>
      <c r="H59">
        <v>6</v>
      </c>
      <c r="I59">
        <v>6</v>
      </c>
      <c r="J59">
        <v>8</v>
      </c>
      <c r="K59">
        <v>8</v>
      </c>
      <c r="L59">
        <v>6</v>
      </c>
      <c r="M59">
        <v>5</v>
      </c>
      <c r="N59">
        <v>6</v>
      </c>
      <c r="O59">
        <v>4.25</v>
      </c>
      <c r="P59">
        <v>4</v>
      </c>
    </row>
    <row r="60" spans="1:19" x14ac:dyDescent="0.25">
      <c r="A60" t="s">
        <v>17</v>
      </c>
    </row>
    <row r="61" spans="1:19" x14ac:dyDescent="0.25">
      <c r="A61" t="s">
        <v>79</v>
      </c>
    </row>
    <row r="62" spans="1:19" x14ac:dyDescent="0.25">
      <c r="A62" t="s">
        <v>80</v>
      </c>
      <c r="B62" s="2">
        <v>4607.3100000000004</v>
      </c>
      <c r="C62" s="2">
        <v>5259.31</v>
      </c>
      <c r="D62" s="2">
        <v>5885.89</v>
      </c>
      <c r="E62" s="2">
        <v>8013.62</v>
      </c>
      <c r="F62" s="2">
        <v>11077</v>
      </c>
      <c r="G62" s="2">
        <v>9653.56</v>
      </c>
      <c r="H62" s="2">
        <v>10044.74</v>
      </c>
      <c r="I62" s="2">
        <v>14626.15</v>
      </c>
      <c r="J62" s="2">
        <v>17227.04</v>
      </c>
      <c r="K62" s="2">
        <v>17428.52</v>
      </c>
      <c r="L62" s="2">
        <v>14905.39</v>
      </c>
      <c r="M62" s="2">
        <v>18435.59</v>
      </c>
      <c r="N62" s="2">
        <v>23232.69</v>
      </c>
      <c r="O62" s="2">
        <v>34799.97</v>
      </c>
      <c r="P62" s="2">
        <v>41673.730000000003</v>
      </c>
      <c r="Q62" s="2">
        <v>47336.23</v>
      </c>
      <c r="R62" s="2">
        <v>50735.67</v>
      </c>
      <c r="S62" s="2">
        <v>55531.5</v>
      </c>
    </row>
    <row r="63" spans="1:19" x14ac:dyDescent="0.25">
      <c r="A63" t="s">
        <v>82</v>
      </c>
      <c r="B63" s="2">
        <v>2599.83</v>
      </c>
      <c r="C63" s="2">
        <v>2974.98</v>
      </c>
      <c r="D63" s="2">
        <v>3266.97</v>
      </c>
      <c r="E63" s="2">
        <v>4410.26</v>
      </c>
      <c r="F63" s="2">
        <v>5911.97</v>
      </c>
      <c r="G63" s="2">
        <v>5295.1</v>
      </c>
      <c r="H63" s="2">
        <v>5436.04</v>
      </c>
      <c r="I63" s="2">
        <v>7820.84</v>
      </c>
      <c r="J63" s="2">
        <v>9355.23</v>
      </c>
      <c r="K63" s="2">
        <v>9651.59</v>
      </c>
      <c r="L63" s="2">
        <v>7852.6</v>
      </c>
      <c r="M63" s="2">
        <v>9456.5300000000007</v>
      </c>
      <c r="N63" s="2">
        <v>11507.38</v>
      </c>
      <c r="O63" s="2">
        <v>16574.54</v>
      </c>
      <c r="P63" s="2">
        <v>19197.18</v>
      </c>
      <c r="Q63" s="2">
        <v>21405.47</v>
      </c>
      <c r="R63" s="2">
        <v>22976.15</v>
      </c>
      <c r="S63" s="2">
        <v>25407.32</v>
      </c>
    </row>
    <row r="64" spans="1:19" x14ac:dyDescent="0.25">
      <c r="A64" t="s">
        <v>84</v>
      </c>
      <c r="B64" s="2">
        <v>2007.48</v>
      </c>
      <c r="C64" s="2">
        <v>2284.34</v>
      </c>
      <c r="D64" s="2">
        <v>2618.92</v>
      </c>
      <c r="E64" s="2">
        <v>3603.36</v>
      </c>
      <c r="F64" s="2">
        <v>5165.03</v>
      </c>
      <c r="G64" s="2">
        <v>4358.46</v>
      </c>
      <c r="H64" s="2">
        <v>4608.6899999999996</v>
      </c>
      <c r="I64" s="2">
        <v>6805.31</v>
      </c>
      <c r="J64" s="2">
        <v>7871.81</v>
      </c>
      <c r="K64" s="2">
        <v>7776.93</v>
      </c>
      <c r="L64" s="2">
        <v>7052.79</v>
      </c>
      <c r="M64" s="2">
        <v>8979.06</v>
      </c>
      <c r="N64" s="2">
        <v>11725.31</v>
      </c>
      <c r="O64" s="2">
        <v>18103.28</v>
      </c>
      <c r="P64" s="2">
        <v>21512.83</v>
      </c>
      <c r="Q64" s="2">
        <v>25586.5</v>
      </c>
      <c r="R64" s="2">
        <v>28886.32</v>
      </c>
      <c r="S64" s="2">
        <v>30423</v>
      </c>
    </row>
    <row r="65" spans="1:19" x14ac:dyDescent="0.25">
      <c r="A65" t="s">
        <v>85</v>
      </c>
      <c r="B65">
        <v>43.6</v>
      </c>
      <c r="C65">
        <v>43.4</v>
      </c>
      <c r="D65">
        <v>44.5</v>
      </c>
      <c r="E65">
        <v>45</v>
      </c>
      <c r="F65">
        <v>46.6</v>
      </c>
      <c r="G65">
        <v>45.1</v>
      </c>
      <c r="H65">
        <v>45.9</v>
      </c>
      <c r="I65">
        <v>46.5</v>
      </c>
      <c r="J65">
        <v>45.7</v>
      </c>
      <c r="K65">
        <v>44.6</v>
      </c>
      <c r="L65">
        <v>47.3</v>
      </c>
      <c r="M65">
        <v>48.7</v>
      </c>
      <c r="N65">
        <v>50.5</v>
      </c>
      <c r="O65">
        <v>52.15</v>
      </c>
      <c r="P65">
        <v>52.99</v>
      </c>
      <c r="Q65">
        <v>54.14</v>
      </c>
      <c r="R65">
        <v>56.02</v>
      </c>
    </row>
    <row r="66" spans="1:19" x14ac:dyDescent="0.25">
      <c r="A66" t="s">
        <v>17</v>
      </c>
    </row>
    <row r="67" spans="1:19" x14ac:dyDescent="0.25">
      <c r="A67" t="s">
        <v>275</v>
      </c>
      <c r="B67" s="2">
        <v>1329.81</v>
      </c>
      <c r="C67" s="2">
        <v>1496.3</v>
      </c>
      <c r="D67" s="2">
        <v>1544.67</v>
      </c>
      <c r="E67" s="2">
        <v>1701.23</v>
      </c>
      <c r="F67" s="2">
        <v>1951.73</v>
      </c>
      <c r="G67" s="2">
        <v>1893.73</v>
      </c>
      <c r="H67" s="2">
        <v>1934.89</v>
      </c>
      <c r="I67" s="2">
        <v>2323.2800000000002</v>
      </c>
      <c r="J67" s="2">
        <v>2489.9899999999998</v>
      </c>
      <c r="K67" s="2">
        <v>2602.0700000000002</v>
      </c>
      <c r="L67" s="2">
        <v>2788.88</v>
      </c>
      <c r="M67" s="2">
        <v>3078.09</v>
      </c>
      <c r="N67" s="2">
        <v>3525.51</v>
      </c>
      <c r="O67" s="2">
        <v>4368.76</v>
      </c>
      <c r="P67" s="2">
        <v>5006.7700000000004</v>
      </c>
      <c r="Q67" s="2">
        <v>5310.28</v>
      </c>
      <c r="R67" s="2">
        <v>5581.59</v>
      </c>
    </row>
    <row r="68" spans="1:19" x14ac:dyDescent="0.25">
      <c r="A68" t="s">
        <v>83</v>
      </c>
      <c r="B68">
        <v>28.86</v>
      </c>
      <c r="C68">
        <v>28.45</v>
      </c>
      <c r="D68">
        <v>26.24</v>
      </c>
      <c r="E68">
        <v>21.23</v>
      </c>
      <c r="F68">
        <v>17.62</v>
      </c>
      <c r="G68">
        <v>19.62</v>
      </c>
      <c r="H68">
        <v>19.260000000000002</v>
      </c>
      <c r="I68">
        <v>15.88</v>
      </c>
      <c r="J68">
        <v>14.45</v>
      </c>
      <c r="K68">
        <v>14.93</v>
      </c>
      <c r="L68">
        <v>18.71</v>
      </c>
      <c r="M68">
        <v>16.7</v>
      </c>
      <c r="N68">
        <v>15.17</v>
      </c>
      <c r="O68">
        <v>12.42</v>
      </c>
      <c r="P68">
        <v>11.91</v>
      </c>
      <c r="Q68">
        <v>11.5</v>
      </c>
      <c r="R68">
        <v>12.7</v>
      </c>
      <c r="S68">
        <v>11.7</v>
      </c>
    </row>
    <row r="69" spans="1:19" x14ac:dyDescent="0.25">
      <c r="A69" t="s">
        <v>1273</v>
      </c>
      <c r="N69" s="2">
        <v>2375.87</v>
      </c>
      <c r="O69" s="2">
        <v>2840.62</v>
      </c>
      <c r="P69" s="2">
        <v>3203.47</v>
      </c>
      <c r="Q69" s="2">
        <v>3491.2</v>
      </c>
      <c r="R69" s="2">
        <v>3900.02</v>
      </c>
      <c r="S69" s="2">
        <v>4312.1499999999996</v>
      </c>
    </row>
    <row r="70" spans="1:19" x14ac:dyDescent="0.25">
      <c r="A70" t="s">
        <v>17</v>
      </c>
    </row>
    <row r="71" spans="1:19" x14ac:dyDescent="0.25">
      <c r="A71" t="s">
        <v>1264</v>
      </c>
      <c r="B71">
        <v>716.47</v>
      </c>
      <c r="C71">
        <v>825.24</v>
      </c>
      <c r="D71">
        <v>913.71</v>
      </c>
      <c r="E71" s="2">
        <v>1033.74</v>
      </c>
      <c r="F71" s="2">
        <v>1189.51</v>
      </c>
      <c r="G71" s="2">
        <v>1191.32</v>
      </c>
      <c r="H71" s="2">
        <v>1252.4100000000001</v>
      </c>
      <c r="I71" s="2">
        <v>1493.41</v>
      </c>
      <c r="J71" s="2">
        <v>1604.25</v>
      </c>
      <c r="K71" s="2">
        <v>1727.16</v>
      </c>
      <c r="L71" s="2">
        <v>1902.44</v>
      </c>
      <c r="M71" s="2">
        <v>2096.39</v>
      </c>
      <c r="N71" s="2">
        <v>2375.87</v>
      </c>
      <c r="O71" s="2">
        <v>2923.82</v>
      </c>
      <c r="P71" s="2">
        <v>3272.85</v>
      </c>
      <c r="Q71" s="2">
        <v>3581.02</v>
      </c>
      <c r="R71" s="2">
        <v>3732.64</v>
      </c>
      <c r="S71" s="2">
        <v>4053</v>
      </c>
    </row>
    <row r="72" spans="1:19" x14ac:dyDescent="0.25">
      <c r="A72" t="s">
        <v>83</v>
      </c>
      <c r="B72">
        <v>15.55</v>
      </c>
      <c r="C72">
        <v>15.69</v>
      </c>
      <c r="D72">
        <v>15.52</v>
      </c>
      <c r="E72">
        <v>12.9</v>
      </c>
      <c r="F72">
        <v>10.74</v>
      </c>
      <c r="G72">
        <v>12.34</v>
      </c>
      <c r="H72">
        <v>12.47</v>
      </c>
      <c r="I72">
        <v>10.210000000000001</v>
      </c>
      <c r="J72">
        <v>9.31</v>
      </c>
      <c r="K72">
        <v>9.91</v>
      </c>
      <c r="L72">
        <v>12.76</v>
      </c>
      <c r="M72">
        <v>11.37</v>
      </c>
      <c r="N72">
        <v>10.23</v>
      </c>
      <c r="O72">
        <v>8.27</v>
      </c>
      <c r="P72">
        <v>7.95</v>
      </c>
      <c r="Q72">
        <v>7.62</v>
      </c>
      <c r="R72">
        <v>7.93</v>
      </c>
      <c r="S72">
        <v>8.1999999999999993</v>
      </c>
    </row>
    <row r="73" spans="1:19" x14ac:dyDescent="0.25">
      <c r="A73" t="s">
        <v>17</v>
      </c>
    </row>
    <row r="74" spans="1:19" x14ac:dyDescent="0.25">
      <c r="A74" t="s">
        <v>1274</v>
      </c>
      <c r="B74">
        <v>613.34</v>
      </c>
      <c r="C74">
        <v>591.61</v>
      </c>
      <c r="D74">
        <v>630.95000000000005</v>
      </c>
      <c r="E74">
        <v>667.49</v>
      </c>
      <c r="F74">
        <v>762.22</v>
      </c>
      <c r="G74">
        <v>702.41</v>
      </c>
      <c r="H74">
        <v>682.48</v>
      </c>
      <c r="I74">
        <v>829.88</v>
      </c>
      <c r="J74">
        <v>885.74</v>
      </c>
      <c r="K74">
        <v>832.75</v>
      </c>
      <c r="L74">
        <v>868.25</v>
      </c>
      <c r="M74">
        <v>981.7</v>
      </c>
      <c r="N74" s="2">
        <v>1149.6400000000001</v>
      </c>
      <c r="O74" s="2">
        <v>1398.65</v>
      </c>
      <c r="P74" s="2">
        <v>1600.11</v>
      </c>
      <c r="Q74" s="2">
        <v>1730.34</v>
      </c>
      <c r="R74" s="2">
        <v>1793.36</v>
      </c>
      <c r="S74" s="2">
        <v>1857.58</v>
      </c>
    </row>
    <row r="75" spans="1:19" x14ac:dyDescent="0.25">
      <c r="A75" t="s">
        <v>83</v>
      </c>
      <c r="B75">
        <v>13.31</v>
      </c>
      <c r="C75">
        <v>11.25</v>
      </c>
      <c r="D75">
        <v>10.72</v>
      </c>
      <c r="E75">
        <v>8.33</v>
      </c>
      <c r="F75">
        <v>6.88</v>
      </c>
      <c r="G75">
        <v>7.28</v>
      </c>
      <c r="H75">
        <v>6.79</v>
      </c>
      <c r="I75">
        <v>5.67</v>
      </c>
      <c r="J75">
        <v>5.14</v>
      </c>
      <c r="K75">
        <v>4.78</v>
      </c>
      <c r="L75">
        <v>5.83</v>
      </c>
      <c r="M75">
        <v>5.33</v>
      </c>
      <c r="N75">
        <v>4.95</v>
      </c>
      <c r="O75">
        <v>4.17</v>
      </c>
      <c r="P75">
        <v>4.3600000000000003</v>
      </c>
      <c r="Q75">
        <v>4.08</v>
      </c>
      <c r="R75">
        <v>3.55</v>
      </c>
    </row>
    <row r="76" spans="1:19" x14ac:dyDescent="0.25">
      <c r="A76" t="s">
        <v>17</v>
      </c>
    </row>
    <row r="77" spans="1:19" x14ac:dyDescent="0.25">
      <c r="A77" t="s">
        <v>91</v>
      </c>
      <c r="B77">
        <v>677.67</v>
      </c>
      <c r="C77">
        <v>788.04</v>
      </c>
      <c r="D77" s="2">
        <v>1074.26</v>
      </c>
      <c r="E77" s="2">
        <v>1902.13</v>
      </c>
      <c r="F77" s="2">
        <v>3213.3</v>
      </c>
      <c r="G77" s="2">
        <v>2464.73</v>
      </c>
      <c r="H77" s="2">
        <v>2673.8</v>
      </c>
      <c r="I77" s="2">
        <v>4482.0200000000004</v>
      </c>
      <c r="J77" s="2">
        <v>5381.82</v>
      </c>
      <c r="K77" s="2">
        <v>5174.8599999999997</v>
      </c>
      <c r="L77" s="2">
        <v>4263.91</v>
      </c>
      <c r="M77" s="2">
        <v>5900.97</v>
      </c>
      <c r="N77" s="2">
        <v>8199.7999999999993</v>
      </c>
      <c r="O77" s="2">
        <v>13732.39</v>
      </c>
      <c r="P77" s="2">
        <v>16536.75</v>
      </c>
      <c r="Q77" s="2">
        <v>19629.04</v>
      </c>
      <c r="R77" s="2">
        <v>21953.53</v>
      </c>
      <c r="S77" s="2">
        <v>23759.14</v>
      </c>
    </row>
    <row r="78" spans="1:19" x14ac:dyDescent="0.25">
      <c r="A78" t="s">
        <v>92</v>
      </c>
      <c r="B78">
        <v>14.71</v>
      </c>
      <c r="C78">
        <v>14.98</v>
      </c>
      <c r="D78">
        <v>18.25</v>
      </c>
      <c r="E78">
        <v>23.74</v>
      </c>
      <c r="F78">
        <v>29.01</v>
      </c>
      <c r="G78">
        <v>25.53</v>
      </c>
      <c r="H78">
        <v>26.62</v>
      </c>
      <c r="I78">
        <v>30.64</v>
      </c>
      <c r="J78">
        <v>31.24</v>
      </c>
      <c r="K78">
        <v>29.69</v>
      </c>
      <c r="L78">
        <v>28.61</v>
      </c>
      <c r="M78">
        <v>32.01</v>
      </c>
      <c r="N78">
        <v>35.29</v>
      </c>
      <c r="O78">
        <v>39.700000000000003</v>
      </c>
      <c r="P78">
        <v>40.479999999999997</v>
      </c>
      <c r="Q78">
        <v>42.09</v>
      </c>
      <c r="R78">
        <v>43.17</v>
      </c>
      <c r="S78">
        <v>42.8</v>
      </c>
    </row>
    <row r="79" spans="1:19" x14ac:dyDescent="0.25">
      <c r="A79" t="s">
        <v>17</v>
      </c>
    </row>
    <row r="80" spans="1:19" x14ac:dyDescent="0.25">
      <c r="A80" t="s">
        <v>277</v>
      </c>
      <c r="B80">
        <v>969.92</v>
      </c>
      <c r="C80" s="2">
        <v>1065.96</v>
      </c>
      <c r="D80" s="2">
        <v>1365.28</v>
      </c>
      <c r="E80" s="2">
        <v>2209.04</v>
      </c>
      <c r="F80" s="2">
        <v>3539.69</v>
      </c>
      <c r="G80" s="2">
        <v>2774.01</v>
      </c>
      <c r="H80" s="2">
        <v>2988.43</v>
      </c>
      <c r="I80" s="2">
        <v>4789.17</v>
      </c>
      <c r="J80" s="2">
        <v>5784.81</v>
      </c>
      <c r="K80" s="2">
        <v>5592.95</v>
      </c>
      <c r="L80" s="2">
        <v>4623.6099999999997</v>
      </c>
      <c r="M80" s="2">
        <v>6287.25</v>
      </c>
      <c r="N80" s="2">
        <v>8641.33</v>
      </c>
    </row>
    <row r="81" spans="1:19" x14ac:dyDescent="0.25">
      <c r="A81" t="s">
        <v>83</v>
      </c>
      <c r="B81">
        <v>21.05</v>
      </c>
      <c r="C81">
        <v>20.27</v>
      </c>
      <c r="D81">
        <v>23.2</v>
      </c>
      <c r="E81">
        <v>27.57</v>
      </c>
      <c r="F81">
        <v>31.96</v>
      </c>
      <c r="G81">
        <v>28.74</v>
      </c>
      <c r="H81">
        <v>29.75</v>
      </c>
      <c r="I81">
        <v>32.74</v>
      </c>
      <c r="J81">
        <v>33.58</v>
      </c>
      <c r="K81">
        <v>32.090000000000003</v>
      </c>
      <c r="L81">
        <v>31.02</v>
      </c>
      <c r="M81">
        <v>34.1</v>
      </c>
      <c r="N81">
        <v>37.19</v>
      </c>
      <c r="O81">
        <v>41.1</v>
      </c>
      <c r="P81">
        <v>41.77</v>
      </c>
      <c r="Q81">
        <v>43.41</v>
      </c>
      <c r="R81">
        <v>44.81</v>
      </c>
      <c r="S81">
        <v>44.77</v>
      </c>
    </row>
    <row r="82" spans="1:19" x14ac:dyDescent="0.25">
      <c r="A82" t="s">
        <v>17</v>
      </c>
    </row>
    <row r="83" spans="1:19" x14ac:dyDescent="0.25">
      <c r="A83" t="s">
        <v>391</v>
      </c>
      <c r="B83">
        <v>-45.69</v>
      </c>
      <c r="C83">
        <v>47.19</v>
      </c>
      <c r="D83">
        <v>114.14</v>
      </c>
      <c r="E83">
        <v>90.46</v>
      </c>
      <c r="F83">
        <v>61.51</v>
      </c>
      <c r="G83">
        <v>18.16</v>
      </c>
      <c r="H83">
        <v>98.82</v>
      </c>
      <c r="I83">
        <v>111.22</v>
      </c>
      <c r="J83">
        <v>188.71</v>
      </c>
      <c r="K83">
        <v>65.650000000000006</v>
      </c>
      <c r="L83">
        <v>-96.31</v>
      </c>
      <c r="M83">
        <v>-57.16</v>
      </c>
      <c r="N83">
        <v>-62.68</v>
      </c>
      <c r="O83">
        <v>-64.08</v>
      </c>
      <c r="P83">
        <v>-126.22</v>
      </c>
      <c r="Q83">
        <v>-216.44</v>
      </c>
      <c r="R83">
        <v>-238.02</v>
      </c>
      <c r="S83">
        <v>0</v>
      </c>
    </row>
    <row r="84" spans="1:19" x14ac:dyDescent="0.25">
      <c r="A84" t="s">
        <v>398</v>
      </c>
      <c r="B84">
        <v>12.54</v>
      </c>
      <c r="C84">
        <v>19.27</v>
      </c>
      <c r="D84">
        <v>29.51</v>
      </c>
      <c r="E84">
        <v>57.86</v>
      </c>
      <c r="F84">
        <v>85.81</v>
      </c>
      <c r="G84">
        <v>98.77</v>
      </c>
      <c r="H84">
        <v>85.43</v>
      </c>
      <c r="I84">
        <v>19.690000000000001</v>
      </c>
      <c r="J84">
        <v>15.21</v>
      </c>
      <c r="K84">
        <v>138.97999999999999</v>
      </c>
      <c r="L84">
        <v>251.94</v>
      </c>
      <c r="M84">
        <v>231.33</v>
      </c>
      <c r="N84">
        <v>196.19</v>
      </c>
      <c r="O84">
        <v>187.07</v>
      </c>
      <c r="P84">
        <v>248.07</v>
      </c>
      <c r="Q84">
        <v>377.89</v>
      </c>
      <c r="R84">
        <v>607.07000000000005</v>
      </c>
    </row>
    <row r="85" spans="1:19" x14ac:dyDescent="0.25">
      <c r="A85" t="s">
        <v>484</v>
      </c>
      <c r="B85">
        <v>61.69</v>
      </c>
      <c r="C85">
        <v>73.680000000000007</v>
      </c>
      <c r="D85">
        <v>134.77000000000001</v>
      </c>
      <c r="E85">
        <v>117.73</v>
      </c>
      <c r="F85">
        <v>97.39</v>
      </c>
      <c r="G85">
        <v>117.26</v>
      </c>
      <c r="H85">
        <v>177.44</v>
      </c>
      <c r="I85">
        <v>208.6</v>
      </c>
      <c r="J85">
        <v>184.76</v>
      </c>
      <c r="K85">
        <v>186.46</v>
      </c>
      <c r="L85">
        <v>185.24</v>
      </c>
      <c r="M85">
        <v>178.2</v>
      </c>
      <c r="N85">
        <v>156.88</v>
      </c>
      <c r="O85">
        <v>136.87</v>
      </c>
      <c r="P85">
        <v>136.87</v>
      </c>
      <c r="Q85">
        <v>131.04</v>
      </c>
      <c r="R85">
        <v>131.04</v>
      </c>
    </row>
    <row r="86" spans="1:19" x14ac:dyDescent="0.25">
      <c r="A86" t="s">
        <v>1275</v>
      </c>
      <c r="B86">
        <v>-45.69</v>
      </c>
      <c r="C86">
        <v>-4.8899999999999997</v>
      </c>
      <c r="D86">
        <v>9.19</v>
      </c>
      <c r="E86">
        <v>30.01</v>
      </c>
      <c r="F86">
        <v>46.55</v>
      </c>
      <c r="G86">
        <v>0.5</v>
      </c>
      <c r="H86">
        <v>3.5</v>
      </c>
      <c r="I86">
        <v>111.22</v>
      </c>
      <c r="J86">
        <v>18.440000000000001</v>
      </c>
      <c r="K86">
        <v>11.09</v>
      </c>
      <c r="L86">
        <v>-34.44</v>
      </c>
      <c r="M86">
        <v>-30.45</v>
      </c>
      <c r="N86">
        <v>-53.46</v>
      </c>
    </row>
    <row r="87" spans="1:19" x14ac:dyDescent="0.25">
      <c r="A87" t="s">
        <v>17</v>
      </c>
    </row>
    <row r="88" spans="1:19" x14ac:dyDescent="0.25">
      <c r="A88" t="s">
        <v>100</v>
      </c>
      <c r="B88">
        <v>723.36</v>
      </c>
      <c r="C88">
        <v>740.85</v>
      </c>
      <c r="D88">
        <v>960.12</v>
      </c>
      <c r="E88" s="2">
        <v>1811.67</v>
      </c>
      <c r="F88" s="2">
        <v>3151.79</v>
      </c>
      <c r="G88" s="2">
        <v>2446.5700000000002</v>
      </c>
      <c r="H88" s="2">
        <v>2574.98</v>
      </c>
      <c r="I88" s="2">
        <v>4370.8</v>
      </c>
      <c r="J88" s="2">
        <v>5193.1099999999997</v>
      </c>
      <c r="K88" s="2">
        <v>5109.21</v>
      </c>
      <c r="L88" s="2">
        <v>4360.22</v>
      </c>
      <c r="M88" s="2">
        <v>5958.13</v>
      </c>
      <c r="N88" s="2">
        <v>8262.4699999999993</v>
      </c>
      <c r="O88" s="2">
        <v>14059.74</v>
      </c>
      <c r="P88" s="2">
        <v>16274.79</v>
      </c>
      <c r="Q88" s="2">
        <v>20713.849999999999</v>
      </c>
      <c r="R88" s="2">
        <v>24382.080000000002</v>
      </c>
    </row>
    <row r="89" spans="1:19" x14ac:dyDescent="0.25">
      <c r="A89" t="s">
        <v>101</v>
      </c>
      <c r="B89">
        <v>91.07</v>
      </c>
      <c r="C89">
        <v>85.27</v>
      </c>
      <c r="D89">
        <v>46.07</v>
      </c>
      <c r="E89">
        <v>113.91</v>
      </c>
      <c r="F89">
        <v>771.11</v>
      </c>
      <c r="G89">
        <v>255.14</v>
      </c>
      <c r="H89">
        <v>323.23</v>
      </c>
      <c r="I89">
        <v>462.35</v>
      </c>
      <c r="J89">
        <v>587.83000000000004</v>
      </c>
      <c r="K89">
        <v>598.28</v>
      </c>
      <c r="L89">
        <v>532.45000000000005</v>
      </c>
      <c r="M89">
        <v>599.91</v>
      </c>
      <c r="N89">
        <v>997.08</v>
      </c>
      <c r="O89" s="2">
        <v>2013.88</v>
      </c>
      <c r="P89" s="2">
        <v>2373.17</v>
      </c>
      <c r="Q89" s="2">
        <v>2845.68</v>
      </c>
      <c r="R89" s="2">
        <v>3331.26</v>
      </c>
      <c r="S89" s="2">
        <v>3588.37</v>
      </c>
    </row>
    <row r="90" spans="1:19" x14ac:dyDescent="0.25">
      <c r="A90" t="s">
        <v>489</v>
      </c>
      <c r="B90">
        <v>12.59</v>
      </c>
      <c r="C90">
        <v>11.51</v>
      </c>
      <c r="D90">
        <v>4.8</v>
      </c>
      <c r="E90">
        <v>6.29</v>
      </c>
      <c r="F90">
        <v>24.47</v>
      </c>
      <c r="G90">
        <v>10.43</v>
      </c>
      <c r="H90">
        <v>12.55</v>
      </c>
      <c r="I90">
        <v>10.58</v>
      </c>
      <c r="J90">
        <v>11.32</v>
      </c>
      <c r="K90">
        <v>11.71</v>
      </c>
      <c r="L90">
        <v>12.21</v>
      </c>
      <c r="M90">
        <v>10.07</v>
      </c>
      <c r="N90">
        <v>12.07</v>
      </c>
      <c r="O90">
        <v>14.73</v>
      </c>
      <c r="P90">
        <v>14.17</v>
      </c>
      <c r="Q90">
        <v>14.5</v>
      </c>
      <c r="R90">
        <v>15</v>
      </c>
      <c r="S90">
        <v>15</v>
      </c>
    </row>
    <row r="91" spans="1:19" x14ac:dyDescent="0.25">
      <c r="A91" t="s">
        <v>17</v>
      </c>
    </row>
    <row r="92" spans="1:19" x14ac:dyDescent="0.25">
      <c r="A92" t="s">
        <v>106</v>
      </c>
      <c r="B92">
        <v>632.29</v>
      </c>
      <c r="C92">
        <v>655.58</v>
      </c>
      <c r="D92">
        <v>914.05</v>
      </c>
      <c r="E92" s="2">
        <v>1697.76</v>
      </c>
      <c r="F92" s="2">
        <v>2380.6799999999998</v>
      </c>
      <c r="G92" s="2">
        <v>2191.4299999999998</v>
      </c>
      <c r="H92" s="2">
        <v>2251.75</v>
      </c>
      <c r="I92" s="2">
        <v>3908.46</v>
      </c>
      <c r="J92" s="2">
        <v>4605.29</v>
      </c>
      <c r="K92" s="2">
        <v>4510.93</v>
      </c>
      <c r="L92" s="2">
        <v>3827.77</v>
      </c>
      <c r="M92" s="2">
        <v>5358.22</v>
      </c>
      <c r="N92" s="2">
        <v>7265.4</v>
      </c>
      <c r="O92" s="2">
        <v>11769.57</v>
      </c>
      <c r="P92" s="2">
        <v>14808.27</v>
      </c>
      <c r="Q92" s="2">
        <v>17735.8</v>
      </c>
      <c r="R92" s="2">
        <v>20094</v>
      </c>
      <c r="S92" s="2">
        <v>20915</v>
      </c>
    </row>
    <row r="93" spans="1:19" x14ac:dyDescent="0.25">
      <c r="A93" t="s">
        <v>280</v>
      </c>
      <c r="B93">
        <v>4.71</v>
      </c>
      <c r="C93">
        <v>16.739999999999998</v>
      </c>
      <c r="D93">
        <v>18.71</v>
      </c>
      <c r="E93">
        <v>22.47</v>
      </c>
      <c r="F93">
        <v>28.88</v>
      </c>
      <c r="G93">
        <v>24.1</v>
      </c>
      <c r="H93">
        <v>23.66</v>
      </c>
      <c r="I93">
        <v>27.07</v>
      </c>
      <c r="J93">
        <v>27.03</v>
      </c>
      <c r="K93">
        <v>26.62</v>
      </c>
      <c r="L93">
        <v>26.82</v>
      </c>
      <c r="M93">
        <v>28.91</v>
      </c>
      <c r="N93">
        <v>31.57</v>
      </c>
      <c r="O93">
        <v>34.08</v>
      </c>
      <c r="P93">
        <v>35.33</v>
      </c>
      <c r="Q93">
        <v>36.51</v>
      </c>
      <c r="R93">
        <v>37.15</v>
      </c>
      <c r="S93">
        <v>36.619999999999997</v>
      </c>
    </row>
    <row r="94" spans="1:19" x14ac:dyDescent="0.25">
      <c r="A94" t="s">
        <v>17</v>
      </c>
    </row>
    <row r="95" spans="1:19" x14ac:dyDescent="0.25">
      <c r="A95" t="s">
        <v>108</v>
      </c>
      <c r="B95" s="2">
        <v>1647.41</v>
      </c>
      <c r="C95" s="2">
        <v>1596.29</v>
      </c>
      <c r="D95" s="2">
        <v>1589.19</v>
      </c>
      <c r="E95" s="2">
        <v>1622.22</v>
      </c>
      <c r="F95" s="2">
        <v>1616.43</v>
      </c>
      <c r="G95" s="2">
        <v>1524.78</v>
      </c>
      <c r="H95" s="2">
        <v>1448.14</v>
      </c>
      <c r="I95" s="2">
        <v>1436.09</v>
      </c>
      <c r="J95" s="2">
        <v>1398.99</v>
      </c>
      <c r="K95" s="2">
        <v>1354.72</v>
      </c>
      <c r="L95" s="2">
        <v>1314.1</v>
      </c>
      <c r="M95" s="2">
        <v>1286.0999999999999</v>
      </c>
      <c r="N95" s="2">
        <v>1255.08</v>
      </c>
      <c r="O95" s="2">
        <v>1253.44</v>
      </c>
      <c r="P95" s="2">
        <v>1232.78</v>
      </c>
      <c r="Q95" s="2">
        <v>1149.73</v>
      </c>
      <c r="R95" s="2">
        <v>1183.55</v>
      </c>
      <c r="S95" s="2">
        <v>1122</v>
      </c>
    </row>
    <row r="96" spans="1:19" x14ac:dyDescent="0.25">
      <c r="A96" t="s">
        <v>888</v>
      </c>
      <c r="B96">
        <v>0.38</v>
      </c>
      <c r="C96">
        <v>0.41</v>
      </c>
      <c r="D96">
        <v>0.57999999999999996</v>
      </c>
      <c r="E96">
        <v>1.05</v>
      </c>
      <c r="F96">
        <v>1.47</v>
      </c>
      <c r="G96">
        <v>1.44</v>
      </c>
      <c r="H96">
        <v>1.56</v>
      </c>
      <c r="I96">
        <v>2.72</v>
      </c>
      <c r="J96">
        <v>3.29</v>
      </c>
      <c r="K96">
        <v>3.33</v>
      </c>
      <c r="L96">
        <v>2.91</v>
      </c>
      <c r="M96">
        <v>4.17</v>
      </c>
      <c r="N96">
        <v>5.79</v>
      </c>
      <c r="O96">
        <v>9.56</v>
      </c>
      <c r="P96">
        <v>11.45</v>
      </c>
      <c r="Q96">
        <v>14.29</v>
      </c>
      <c r="R96">
        <v>17.010000000000002</v>
      </c>
      <c r="S96">
        <v>18.64</v>
      </c>
    </row>
    <row r="97" spans="1:19" x14ac:dyDescent="0.25">
      <c r="A97" t="s">
        <v>17</v>
      </c>
    </row>
    <row r="98" spans="1:19" x14ac:dyDescent="0.25">
      <c r="A98" t="s">
        <v>109</v>
      </c>
      <c r="B98" s="2">
        <v>1745.03</v>
      </c>
      <c r="C98" s="2">
        <v>1770.67</v>
      </c>
      <c r="D98" s="2">
        <v>1751.59</v>
      </c>
      <c r="E98" s="2">
        <v>1837.7</v>
      </c>
      <c r="F98" s="2">
        <v>1807.82</v>
      </c>
      <c r="G98" s="2">
        <v>1599.15</v>
      </c>
      <c r="H98" s="2">
        <v>1490.9</v>
      </c>
      <c r="I98" s="2">
        <v>1453.2</v>
      </c>
      <c r="J98" s="2">
        <v>1406.28</v>
      </c>
      <c r="K98" s="2">
        <v>1358.34</v>
      </c>
      <c r="L98" s="2">
        <v>1319.95</v>
      </c>
      <c r="M98" s="2">
        <v>1290.1400000000001</v>
      </c>
      <c r="N98" s="2">
        <v>1261.0999999999999</v>
      </c>
      <c r="O98" s="2">
        <v>1249.33</v>
      </c>
      <c r="P98" s="2">
        <v>1232.82</v>
      </c>
      <c r="Q98" s="2">
        <v>1210.33</v>
      </c>
      <c r="R98" s="2">
        <v>1177.72</v>
      </c>
      <c r="S98" s="2">
        <v>1131.78</v>
      </c>
    </row>
    <row r="99" spans="1:19" x14ac:dyDescent="0.25">
      <c r="A99" t="s">
        <v>110</v>
      </c>
      <c r="B99">
        <v>0.36</v>
      </c>
      <c r="C99">
        <v>0.37</v>
      </c>
      <c r="D99">
        <v>0.52</v>
      </c>
      <c r="E99">
        <v>0.92</v>
      </c>
      <c r="F99">
        <v>1.32</v>
      </c>
      <c r="G99">
        <v>1.37</v>
      </c>
      <c r="H99">
        <v>1.51</v>
      </c>
      <c r="I99">
        <v>2.69</v>
      </c>
      <c r="J99">
        <v>3.28</v>
      </c>
      <c r="K99">
        <v>3.32</v>
      </c>
      <c r="L99">
        <v>2.9</v>
      </c>
      <c r="M99">
        <v>4.1500000000000004</v>
      </c>
      <c r="N99">
        <v>5.76</v>
      </c>
      <c r="O99">
        <v>9.43</v>
      </c>
      <c r="P99">
        <v>11.8</v>
      </c>
      <c r="Q99">
        <v>14.22</v>
      </c>
      <c r="R99">
        <v>16</v>
      </c>
      <c r="S99">
        <v>17.95</v>
      </c>
    </row>
    <row r="100" spans="1:19" x14ac:dyDescent="0.25">
      <c r="A100" t="s">
        <v>17</v>
      </c>
    </row>
    <row r="101" spans="1:19" x14ac:dyDescent="0.25">
      <c r="A101" t="s">
        <v>1276</v>
      </c>
      <c r="B101">
        <v>0.02</v>
      </c>
      <c r="C101">
        <v>0.08</v>
      </c>
      <c r="D101">
        <v>0.12</v>
      </c>
      <c r="E101">
        <v>0.17</v>
      </c>
      <c r="F101">
        <v>0.26</v>
      </c>
      <c r="G101">
        <v>0.44</v>
      </c>
      <c r="H101">
        <v>0.46</v>
      </c>
      <c r="I101">
        <v>0.52</v>
      </c>
      <c r="J101">
        <v>0.6</v>
      </c>
      <c r="K101">
        <v>0.69</v>
      </c>
      <c r="L101">
        <v>0.8</v>
      </c>
      <c r="M101">
        <v>0.92</v>
      </c>
      <c r="N101">
        <v>1.04</v>
      </c>
      <c r="O101">
        <v>1.1499999999999999</v>
      </c>
      <c r="P101">
        <v>1.25</v>
      </c>
      <c r="Q101">
        <v>1.42</v>
      </c>
      <c r="R101">
        <v>1.73</v>
      </c>
      <c r="S101">
        <v>1.97</v>
      </c>
    </row>
    <row r="102" spans="1:19" x14ac:dyDescent="0.25">
      <c r="A102" t="s">
        <v>17</v>
      </c>
    </row>
    <row r="103" spans="1:19" x14ac:dyDescent="0.25">
      <c r="A103" t="s">
        <v>111</v>
      </c>
    </row>
    <row r="104" spans="1:19" x14ac:dyDescent="0.25">
      <c r="A104" t="s">
        <v>63</v>
      </c>
      <c r="B104" s="2">
        <v>2106.25</v>
      </c>
      <c r="C104" s="2">
        <v>2384.11</v>
      </c>
      <c r="D104" s="2">
        <v>2705.07</v>
      </c>
      <c r="E104" s="2">
        <v>3694.49</v>
      </c>
      <c r="F104" s="2">
        <v>5253.67</v>
      </c>
      <c r="G104" s="2">
        <v>4432.3500000000004</v>
      </c>
      <c r="H104" s="2">
        <v>4612.93</v>
      </c>
      <c r="I104" s="2">
        <v>6831.36</v>
      </c>
      <c r="J104" s="2">
        <v>7867.66</v>
      </c>
      <c r="K104" s="2">
        <v>7886.42</v>
      </c>
      <c r="L104" s="2">
        <v>7052.79</v>
      </c>
      <c r="M104" s="2">
        <v>8999.52</v>
      </c>
      <c r="N104" s="2">
        <v>11762.3</v>
      </c>
      <c r="O104" s="2">
        <v>17602.52</v>
      </c>
      <c r="P104" s="2">
        <v>21494.84</v>
      </c>
      <c r="Q104" s="2">
        <v>24667.56</v>
      </c>
      <c r="R104" s="2">
        <v>27762.75</v>
      </c>
      <c r="S104" s="2">
        <v>30123.99</v>
      </c>
    </row>
    <row r="105" spans="1:19" x14ac:dyDescent="0.25">
      <c r="A105" t="s">
        <v>64</v>
      </c>
      <c r="B105">
        <v>43.6</v>
      </c>
      <c r="C105">
        <v>45.4</v>
      </c>
      <c r="D105">
        <v>46</v>
      </c>
      <c r="E105">
        <v>46.1</v>
      </c>
      <c r="F105">
        <v>47.43</v>
      </c>
      <c r="G105">
        <v>45.91</v>
      </c>
      <c r="H105">
        <v>45.92</v>
      </c>
      <c r="I105">
        <v>46.71</v>
      </c>
      <c r="J105">
        <v>45.69</v>
      </c>
      <c r="K105">
        <v>45.25</v>
      </c>
      <c r="L105">
        <v>47.3</v>
      </c>
      <c r="M105">
        <v>48.81</v>
      </c>
      <c r="N105">
        <v>50.6</v>
      </c>
      <c r="O105">
        <v>51.87</v>
      </c>
      <c r="P105">
        <v>52.41</v>
      </c>
      <c r="Q105">
        <v>53.17</v>
      </c>
      <c r="R105">
        <v>51.5</v>
      </c>
      <c r="S105">
        <v>46.5</v>
      </c>
    </row>
    <row r="106" spans="1:19" x14ac:dyDescent="0.25">
      <c r="A106" t="s">
        <v>87</v>
      </c>
      <c r="B106" s="2">
        <v>1227.19</v>
      </c>
      <c r="C106" s="2">
        <v>1350.96</v>
      </c>
      <c r="D106" s="2">
        <v>1427.46</v>
      </c>
      <c r="E106" s="2">
        <v>1622.84</v>
      </c>
      <c r="F106" s="2">
        <v>1880.16</v>
      </c>
      <c r="G106" s="2">
        <v>1828.9</v>
      </c>
      <c r="H106" s="2">
        <v>1891.24</v>
      </c>
      <c r="I106" s="2">
        <v>2226.75</v>
      </c>
      <c r="J106" s="2">
        <v>2469.19</v>
      </c>
      <c r="K106" s="2">
        <v>2531.12</v>
      </c>
      <c r="L106" s="2">
        <v>2671.28</v>
      </c>
      <c r="M106" s="2">
        <v>3042.36</v>
      </c>
      <c r="N106" s="2">
        <v>3441.99</v>
      </c>
      <c r="O106" s="2">
        <v>4272.2299999999996</v>
      </c>
      <c r="P106" s="2">
        <v>4828.24</v>
      </c>
      <c r="Q106" s="2">
        <v>5217.1400000000003</v>
      </c>
      <c r="R106" s="2">
        <v>5845.88</v>
      </c>
      <c r="S106" s="2">
        <v>6522.47</v>
      </c>
    </row>
    <row r="107" spans="1:19" x14ac:dyDescent="0.25">
      <c r="A107" t="s">
        <v>116</v>
      </c>
      <c r="B107">
        <v>677.67</v>
      </c>
      <c r="C107">
        <v>229.83</v>
      </c>
      <c r="D107" s="2">
        <v>1277.6099999999999</v>
      </c>
      <c r="E107" s="2">
        <v>2084.2600000000002</v>
      </c>
      <c r="F107" s="2">
        <v>3373.51</v>
      </c>
      <c r="G107" s="2">
        <v>2520.62</v>
      </c>
      <c r="H107" s="2">
        <v>2707.71</v>
      </c>
      <c r="I107" s="2">
        <v>4604.6099999999997</v>
      </c>
      <c r="J107" s="2">
        <v>5398.47</v>
      </c>
      <c r="K107" s="2">
        <v>5174.8599999999997</v>
      </c>
      <c r="L107" s="2">
        <v>4324.57</v>
      </c>
      <c r="M107" s="2">
        <v>5900.97</v>
      </c>
      <c r="N107" s="2">
        <v>8320.31</v>
      </c>
      <c r="O107" s="2">
        <v>13871.15</v>
      </c>
      <c r="P107" s="2">
        <v>17081.59</v>
      </c>
      <c r="Q107" s="2">
        <v>20031.849999999999</v>
      </c>
      <c r="R107" s="2">
        <v>22069.67</v>
      </c>
      <c r="S107" s="2">
        <v>23954.5</v>
      </c>
    </row>
    <row r="108" spans="1:19" x14ac:dyDescent="0.25">
      <c r="A108" t="s">
        <v>269</v>
      </c>
      <c r="B108">
        <v>19.079999999999998</v>
      </c>
      <c r="C108">
        <v>19.64</v>
      </c>
      <c r="D108">
        <v>21.71</v>
      </c>
      <c r="E108">
        <v>26.01</v>
      </c>
      <c r="F108">
        <v>30.46</v>
      </c>
      <c r="G108">
        <v>26.97</v>
      </c>
      <c r="H108">
        <v>27.1</v>
      </c>
      <c r="I108">
        <v>31.48</v>
      </c>
      <c r="J108">
        <v>31.34</v>
      </c>
      <c r="K108">
        <v>30.73</v>
      </c>
      <c r="L108">
        <v>30.28</v>
      </c>
      <c r="M108">
        <v>32.31</v>
      </c>
      <c r="N108">
        <v>35.81</v>
      </c>
      <c r="O108">
        <v>39.880000000000003</v>
      </c>
      <c r="P108">
        <v>41.1</v>
      </c>
      <c r="Q108">
        <v>41.95</v>
      </c>
      <c r="R108">
        <v>42.86</v>
      </c>
      <c r="S108">
        <v>41.8</v>
      </c>
    </row>
    <row r="109" spans="1:19" x14ac:dyDescent="0.25">
      <c r="A109" t="s">
        <v>117</v>
      </c>
      <c r="B109">
        <v>969.92</v>
      </c>
      <c r="C109">
        <v>507.75</v>
      </c>
      <c r="D109" s="2">
        <v>1568.64</v>
      </c>
      <c r="E109" s="2">
        <v>2391.16</v>
      </c>
      <c r="F109" s="2">
        <v>3699.91</v>
      </c>
      <c r="G109" s="2">
        <v>2829.9</v>
      </c>
      <c r="H109" s="2">
        <v>2976.23</v>
      </c>
      <c r="I109" s="2">
        <v>4911.76</v>
      </c>
      <c r="J109" s="2">
        <v>5715.56</v>
      </c>
      <c r="K109" s="2">
        <v>5517.29</v>
      </c>
      <c r="L109" s="2">
        <v>4872.37</v>
      </c>
      <c r="M109" s="2">
        <v>6343.43</v>
      </c>
      <c r="N109" s="2">
        <v>8761.84</v>
      </c>
      <c r="O109" s="2">
        <v>14398.17</v>
      </c>
      <c r="P109" s="2">
        <v>17561.93</v>
      </c>
      <c r="Q109" s="2">
        <v>20823.900000000001</v>
      </c>
      <c r="R109" s="2">
        <v>22765</v>
      </c>
      <c r="S109" s="2">
        <v>24858.5</v>
      </c>
    </row>
    <row r="110" spans="1:19" x14ac:dyDescent="0.25">
      <c r="A110" t="s">
        <v>1277</v>
      </c>
      <c r="H110">
        <v>86.85</v>
      </c>
      <c r="I110">
        <v>169.12</v>
      </c>
      <c r="J110">
        <v>-62.59</v>
      </c>
      <c r="K110">
        <v>81.319999999999993</v>
      </c>
      <c r="L110">
        <v>-40.82</v>
      </c>
      <c r="M110">
        <v>-21.03</v>
      </c>
      <c r="N110">
        <v>8.52</v>
      </c>
      <c r="O110">
        <v>39.43</v>
      </c>
      <c r="P110">
        <v>-20.51</v>
      </c>
      <c r="Q110">
        <v>-110.45</v>
      </c>
      <c r="R110">
        <v>-213.85</v>
      </c>
      <c r="S110">
        <v>64.22</v>
      </c>
    </row>
    <row r="111" spans="1:19" x14ac:dyDescent="0.25">
      <c r="A111" t="s">
        <v>119</v>
      </c>
      <c r="D111" s="2">
        <v>1236.3399999999999</v>
      </c>
      <c r="E111" s="2">
        <v>2071.58</v>
      </c>
      <c r="F111" s="2">
        <v>3370.87</v>
      </c>
      <c r="G111" s="2">
        <v>2558.5500000000002</v>
      </c>
      <c r="H111" s="2">
        <v>2628.48</v>
      </c>
      <c r="I111" s="2">
        <v>4432.5</v>
      </c>
      <c r="J111" s="2">
        <v>5193.1099999999997</v>
      </c>
      <c r="K111" s="2">
        <v>5109.21</v>
      </c>
      <c r="L111" s="2">
        <v>4360.22</v>
      </c>
      <c r="M111" s="2">
        <v>5958.13</v>
      </c>
      <c r="N111" s="2">
        <v>8262.4699999999993</v>
      </c>
      <c r="O111" s="2">
        <v>13889.44</v>
      </c>
      <c r="P111" s="2">
        <v>17307.53</v>
      </c>
      <c r="Q111" s="2">
        <v>20198.330000000002</v>
      </c>
      <c r="R111" s="2">
        <v>21862.5</v>
      </c>
      <c r="S111" s="2">
        <v>23238</v>
      </c>
    </row>
    <row r="112" spans="1:19" x14ac:dyDescent="0.25">
      <c r="A112" t="s">
        <v>61</v>
      </c>
      <c r="L112">
        <v>30.55</v>
      </c>
      <c r="M112">
        <v>32.43</v>
      </c>
      <c r="N112">
        <v>27.85</v>
      </c>
      <c r="O112">
        <v>37.31</v>
      </c>
      <c r="P112">
        <v>41.26</v>
      </c>
      <c r="Q112">
        <v>43.28</v>
      </c>
      <c r="R112">
        <v>46.3</v>
      </c>
    </row>
    <row r="113" spans="1:19" x14ac:dyDescent="0.25">
      <c r="A113" t="s">
        <v>121</v>
      </c>
      <c r="B113">
        <v>761.58</v>
      </c>
      <c r="C113">
        <v>880.24</v>
      </c>
      <c r="D113" s="2">
        <v>1100.99</v>
      </c>
      <c r="E113" s="2">
        <v>1800.53</v>
      </c>
      <c r="F113" s="2">
        <v>3199.37</v>
      </c>
      <c r="G113" s="2">
        <v>2326.84</v>
      </c>
      <c r="H113" s="2">
        <v>2376.1799999999998</v>
      </c>
      <c r="I113" s="2">
        <v>3960.02</v>
      </c>
      <c r="J113" s="2">
        <v>4656.5200000000004</v>
      </c>
      <c r="K113" s="2">
        <v>4639.68</v>
      </c>
      <c r="L113" s="2">
        <v>3997.82</v>
      </c>
      <c r="M113" s="2">
        <v>5330.23</v>
      </c>
      <c r="N113" s="2">
        <v>7333.63</v>
      </c>
      <c r="O113" s="2">
        <v>11867.48</v>
      </c>
      <c r="P113" s="2">
        <v>14870.77</v>
      </c>
      <c r="Q113" s="2">
        <v>17325.77</v>
      </c>
      <c r="R113" s="2">
        <v>18880.669999999998</v>
      </c>
      <c r="S113" s="2">
        <v>20333</v>
      </c>
    </row>
    <row r="114" spans="1:19" x14ac:dyDescent="0.25">
      <c r="A114" t="s">
        <v>123</v>
      </c>
      <c r="D114" s="2">
        <v>1727.61</v>
      </c>
      <c r="E114" s="2">
        <v>1804.68</v>
      </c>
      <c r="F114" s="2">
        <v>1790.71</v>
      </c>
      <c r="G114" s="2">
        <v>1544.74</v>
      </c>
      <c r="H114" s="2">
        <v>1490.9</v>
      </c>
      <c r="I114" s="2">
        <v>1453.2</v>
      </c>
      <c r="J114" s="2">
        <v>1406.28</v>
      </c>
      <c r="K114" s="2">
        <v>1358.34</v>
      </c>
      <c r="L114" s="2">
        <v>1319.95</v>
      </c>
      <c r="M114" s="2">
        <v>1290.1400000000001</v>
      </c>
      <c r="N114" s="2">
        <v>1261.0999999999999</v>
      </c>
      <c r="O114" s="2">
        <v>1252.9100000000001</v>
      </c>
      <c r="P114" s="2">
        <v>1232.8</v>
      </c>
      <c r="Q114" s="2">
        <v>1123.6099999999999</v>
      </c>
      <c r="R114" s="2">
        <v>1181.18</v>
      </c>
      <c r="S114" s="2">
        <v>1122</v>
      </c>
    </row>
    <row r="115" spans="1:19" x14ac:dyDescent="0.25">
      <c r="A115" t="s">
        <v>124</v>
      </c>
      <c r="B115">
        <v>0.44</v>
      </c>
      <c r="C115">
        <v>0.51</v>
      </c>
      <c r="D115">
        <v>0.64</v>
      </c>
      <c r="E115">
        <v>1</v>
      </c>
      <c r="F115">
        <v>1.79</v>
      </c>
      <c r="G115">
        <v>1.46</v>
      </c>
      <c r="H115">
        <v>1.6</v>
      </c>
      <c r="I115">
        <v>2.73</v>
      </c>
      <c r="J115">
        <v>3.31</v>
      </c>
      <c r="K115">
        <v>3.42</v>
      </c>
      <c r="L115">
        <v>3.03</v>
      </c>
      <c r="M115">
        <v>4.17</v>
      </c>
      <c r="N115">
        <v>5.82</v>
      </c>
      <c r="O115">
        <v>9.4600000000000009</v>
      </c>
      <c r="P115">
        <v>11.9</v>
      </c>
      <c r="Q115">
        <v>14.09</v>
      </c>
      <c r="R115">
        <v>16.02</v>
      </c>
      <c r="S115">
        <v>17.97</v>
      </c>
    </row>
    <row r="116" spans="1:19" x14ac:dyDescent="0.25">
      <c r="A116" t="s">
        <v>17</v>
      </c>
    </row>
    <row r="117" spans="1:19" x14ac:dyDescent="0.25">
      <c r="A117" t="s">
        <v>176</v>
      </c>
    </row>
    <row r="118" spans="1:19" x14ac:dyDescent="0.25">
      <c r="A118" t="s">
        <v>396</v>
      </c>
      <c r="D118">
        <v>149.33000000000001</v>
      </c>
      <c r="E118">
        <v>149.33000000000001</v>
      </c>
      <c r="F118">
        <v>155.27000000000001</v>
      </c>
      <c r="G118">
        <v>124.14</v>
      </c>
      <c r="H118">
        <v>60.22</v>
      </c>
      <c r="I118">
        <v>58.09</v>
      </c>
      <c r="J118">
        <v>51.82</v>
      </c>
      <c r="K118">
        <v>15.34</v>
      </c>
      <c r="L118">
        <v>15.43</v>
      </c>
      <c r="M118">
        <v>13.57</v>
      </c>
      <c r="N118">
        <v>12.12</v>
      </c>
    </row>
    <row r="119" spans="1:19" x14ac:dyDescent="0.25">
      <c r="A119" t="s">
        <v>128</v>
      </c>
      <c r="B119">
        <v>86.33</v>
      </c>
      <c r="C119">
        <v>84.75</v>
      </c>
      <c r="D119">
        <v>85</v>
      </c>
      <c r="E119">
        <v>85</v>
      </c>
      <c r="F119">
        <v>88.64</v>
      </c>
      <c r="G119">
        <v>70.42</v>
      </c>
      <c r="H119">
        <v>6.51</v>
      </c>
      <c r="I119">
        <v>4.72</v>
      </c>
      <c r="J119">
        <v>4.6500000000000004</v>
      </c>
      <c r="K119">
        <v>10.16</v>
      </c>
      <c r="L119">
        <v>11.93</v>
      </c>
      <c r="M119">
        <v>11.27</v>
      </c>
      <c r="N119">
        <v>10.69</v>
      </c>
      <c r="O119">
        <v>10.68</v>
      </c>
      <c r="P119">
        <v>10.68</v>
      </c>
      <c r="Q119">
        <v>10.68</v>
      </c>
      <c r="R119">
        <v>10.67</v>
      </c>
    </row>
    <row r="120" spans="1:19" x14ac:dyDescent="0.25">
      <c r="A120" t="s">
        <v>298</v>
      </c>
      <c r="D120">
        <v>64.33</v>
      </c>
      <c r="E120">
        <v>64.33</v>
      </c>
      <c r="F120">
        <v>66.63</v>
      </c>
      <c r="G120">
        <v>49.78</v>
      </c>
      <c r="H120">
        <v>49.43</v>
      </c>
      <c r="I120">
        <v>49.43</v>
      </c>
      <c r="J120">
        <v>47.18</v>
      </c>
      <c r="K120">
        <v>5.18</v>
      </c>
      <c r="L120">
        <v>3.5</v>
      </c>
      <c r="M120">
        <v>2.31</v>
      </c>
      <c r="N120">
        <v>1.58</v>
      </c>
      <c r="O120">
        <v>1.38</v>
      </c>
      <c r="P120">
        <v>1.37</v>
      </c>
      <c r="Q120">
        <v>1.37</v>
      </c>
      <c r="R120">
        <v>1.39</v>
      </c>
    </row>
    <row r="121" spans="1:19" x14ac:dyDescent="0.25">
      <c r="A121" t="s">
        <v>1278</v>
      </c>
      <c r="B121">
        <v>66.98</v>
      </c>
      <c r="C121">
        <v>64.33</v>
      </c>
      <c r="H121">
        <v>1.89</v>
      </c>
      <c r="I121">
        <v>1.92</v>
      </c>
      <c r="J121">
        <v>2.77</v>
      </c>
      <c r="K121">
        <v>2.86</v>
      </c>
      <c r="L121">
        <v>3.28</v>
      </c>
      <c r="M121">
        <v>2.99</v>
      </c>
      <c r="N121">
        <v>0.5</v>
      </c>
      <c r="O121">
        <v>2.14</v>
      </c>
      <c r="P121">
        <v>2.19</v>
      </c>
      <c r="Q121">
        <v>2.19</v>
      </c>
      <c r="R121">
        <v>2</v>
      </c>
    </row>
    <row r="122" spans="1:19" x14ac:dyDescent="0.25">
      <c r="A122" t="s">
        <v>1279</v>
      </c>
    </row>
    <row r="123" spans="1:19" x14ac:dyDescent="0.25">
      <c r="A123" t="s">
        <v>128</v>
      </c>
      <c r="H123">
        <v>-2.27</v>
      </c>
      <c r="I123">
        <v>15.56</v>
      </c>
      <c r="J123">
        <v>-8.7899999999999991</v>
      </c>
      <c r="K123">
        <v>5.52</v>
      </c>
      <c r="L123">
        <v>15.35</v>
      </c>
      <c r="M123">
        <v>9.19</v>
      </c>
      <c r="N123">
        <v>19.350000000000001</v>
      </c>
      <c r="O123">
        <v>41.4</v>
      </c>
      <c r="P123">
        <v>22.37</v>
      </c>
      <c r="Q123">
        <v>22.69</v>
      </c>
    </row>
    <row r="124" spans="1:19" x14ac:dyDescent="0.25">
      <c r="A124" t="s">
        <v>131</v>
      </c>
    </row>
    <row r="125" spans="1:19" x14ac:dyDescent="0.25">
      <c r="A125" t="s">
        <v>1280</v>
      </c>
      <c r="B125">
        <v>0</v>
      </c>
      <c r="C125">
        <v>0</v>
      </c>
      <c r="D125">
        <v>12.12</v>
      </c>
      <c r="E125">
        <v>5.21</v>
      </c>
      <c r="F125">
        <v>0</v>
      </c>
      <c r="G125">
        <v>4.9000000000000004</v>
      </c>
      <c r="H125">
        <v>-4.09</v>
      </c>
      <c r="I125">
        <v>0</v>
      </c>
      <c r="J125">
        <v>-15.83</v>
      </c>
      <c r="K125">
        <v>10</v>
      </c>
      <c r="L125">
        <v>35.299999999999997</v>
      </c>
      <c r="M125">
        <v>18.8</v>
      </c>
      <c r="N125">
        <v>0</v>
      </c>
    </row>
    <row r="126" spans="1:19" x14ac:dyDescent="0.25">
      <c r="A126" t="s">
        <v>17</v>
      </c>
    </row>
    <row r="127" spans="1:19" x14ac:dyDescent="0.25">
      <c r="A127" t="s">
        <v>134</v>
      </c>
    </row>
    <row r="128" spans="1:19" x14ac:dyDescent="0.25">
      <c r="A128" t="s">
        <v>135</v>
      </c>
    </row>
    <row r="129" spans="1:19" x14ac:dyDescent="0.25">
      <c r="A129" t="s">
        <v>136</v>
      </c>
      <c r="B129" s="2">
        <v>4783.66</v>
      </c>
      <c r="C129" s="2">
        <v>6270.85</v>
      </c>
      <c r="D129" s="2">
        <v>9213.15</v>
      </c>
      <c r="E129" s="2">
        <v>9142.5</v>
      </c>
      <c r="F129" s="2">
        <v>9149.91</v>
      </c>
      <c r="G129" s="2">
        <v>8560.41</v>
      </c>
      <c r="H129" s="2">
        <v>10853.54</v>
      </c>
      <c r="I129" s="2">
        <v>11652.39</v>
      </c>
      <c r="J129" s="2">
        <v>12285.24</v>
      </c>
      <c r="K129" s="2">
        <v>13228.41</v>
      </c>
      <c r="L129" s="2">
        <v>12883.22</v>
      </c>
      <c r="M129" s="2">
        <v>14517</v>
      </c>
      <c r="N129" s="2">
        <v>15610.71</v>
      </c>
      <c r="O129" s="2">
        <v>23195.46</v>
      </c>
      <c r="P129" s="2">
        <v>29494.5</v>
      </c>
      <c r="Q129" s="2">
        <v>39474.71</v>
      </c>
      <c r="R129" s="2">
        <v>49851.24</v>
      </c>
    </row>
    <row r="130" spans="1:19" x14ac:dyDescent="0.25">
      <c r="A130" t="s">
        <v>1281</v>
      </c>
      <c r="B130" s="2">
        <v>3065.64</v>
      </c>
      <c r="C130" s="2">
        <v>4076.49</v>
      </c>
      <c r="D130" s="2">
        <v>6827.93</v>
      </c>
      <c r="E130" s="2">
        <v>6041.16</v>
      </c>
      <c r="F130" s="2">
        <v>4949.6000000000004</v>
      </c>
      <c r="G130" s="2">
        <v>5431.2</v>
      </c>
      <c r="H130" s="2">
        <v>6710.25</v>
      </c>
      <c r="I130" s="2">
        <v>5729.14</v>
      </c>
      <c r="J130" s="2">
        <v>3657.73</v>
      </c>
      <c r="K130" s="2">
        <v>5374.7</v>
      </c>
      <c r="L130" s="2">
        <v>5847.86</v>
      </c>
      <c r="M130" s="2">
        <v>6390.66</v>
      </c>
      <c r="N130" s="2">
        <v>5579.17</v>
      </c>
      <c r="O130" s="2">
        <v>11252.29</v>
      </c>
      <c r="P130" s="2">
        <v>14397.62</v>
      </c>
      <c r="Q130" s="2">
        <v>17391.580000000002</v>
      </c>
      <c r="R130" s="2">
        <v>17791</v>
      </c>
      <c r="S130" s="2">
        <v>11943.83</v>
      </c>
    </row>
    <row r="131" spans="1:19" x14ac:dyDescent="0.25">
      <c r="A131" t="s">
        <v>139</v>
      </c>
      <c r="B131" s="2">
        <v>1452.68</v>
      </c>
      <c r="C131" s="2">
        <v>1501.54</v>
      </c>
      <c r="D131" s="2">
        <v>5039.32</v>
      </c>
      <c r="E131" s="2">
        <v>2377.5300000000002</v>
      </c>
      <c r="F131" s="2">
        <v>4512.26</v>
      </c>
      <c r="G131" s="2">
        <v>3658.22</v>
      </c>
      <c r="H131" s="2">
        <v>4915.17</v>
      </c>
      <c r="I131" s="2">
        <v>4418.26</v>
      </c>
      <c r="J131" s="2">
        <v>3522</v>
      </c>
      <c r="K131" s="2">
        <v>5337.06</v>
      </c>
      <c r="L131" s="2">
        <v>5847.86</v>
      </c>
      <c r="M131" s="2">
        <v>6390.66</v>
      </c>
      <c r="N131" s="2">
        <v>5579.17</v>
      </c>
      <c r="O131" s="2">
        <v>10907.71</v>
      </c>
      <c r="P131" s="2">
        <v>14166.26</v>
      </c>
      <c r="Q131" s="2">
        <v>21213.25</v>
      </c>
      <c r="R131" s="2">
        <v>22475.02</v>
      </c>
      <c r="S131" s="2">
        <v>14899</v>
      </c>
    </row>
    <row r="132" spans="1:19" x14ac:dyDescent="0.25">
      <c r="A132" t="s">
        <v>140</v>
      </c>
      <c r="B132" s="2">
        <v>1612.97</v>
      </c>
      <c r="C132" s="2">
        <v>2574.9499999999998</v>
      </c>
      <c r="D132" s="2">
        <v>1788.61</v>
      </c>
      <c r="E132" s="2">
        <v>3663.63</v>
      </c>
      <c r="F132">
        <v>437.34</v>
      </c>
      <c r="G132" s="2">
        <v>1772.98</v>
      </c>
      <c r="H132" s="2">
        <v>1795.08</v>
      </c>
      <c r="I132" s="2">
        <v>1310.87</v>
      </c>
      <c r="J132">
        <v>135.72999999999999</v>
      </c>
      <c r="K132">
        <v>37.64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9" x14ac:dyDescent="0.25">
      <c r="A133" t="s">
        <v>141</v>
      </c>
      <c r="B133">
        <v>800.62</v>
      </c>
      <c r="C133" s="2">
        <v>1093.58</v>
      </c>
      <c r="D133" s="2">
        <v>1262.1500000000001</v>
      </c>
      <c r="E133" s="2">
        <v>1673.4</v>
      </c>
      <c r="F133" s="2">
        <v>2176.94</v>
      </c>
      <c r="G133" s="2">
        <v>1455.52</v>
      </c>
      <c r="H133" s="2">
        <v>2097.1</v>
      </c>
      <c r="I133" s="2">
        <v>3026.43</v>
      </c>
      <c r="J133" s="2">
        <v>4313.82</v>
      </c>
      <c r="K133" s="2">
        <v>2823.38</v>
      </c>
      <c r="L133" s="2">
        <v>2519.25</v>
      </c>
      <c r="M133" s="2">
        <v>3378.07</v>
      </c>
      <c r="N133" s="2">
        <v>5339.68</v>
      </c>
      <c r="O133" s="2">
        <v>6806.76</v>
      </c>
      <c r="P133" s="2">
        <v>7801.79</v>
      </c>
      <c r="Q133" s="2">
        <v>8928.1</v>
      </c>
      <c r="R133" s="2">
        <v>9296.77</v>
      </c>
      <c r="S133" s="2">
        <v>9093</v>
      </c>
    </row>
    <row r="134" spans="1:19" x14ac:dyDescent="0.25">
      <c r="A134" t="s">
        <v>340</v>
      </c>
      <c r="B134">
        <v>740.5</v>
      </c>
      <c r="C134">
        <v>943.35</v>
      </c>
      <c r="D134">
        <v>971.91</v>
      </c>
      <c r="E134" s="2">
        <v>1232.92</v>
      </c>
      <c r="F134" s="2">
        <v>1876.16</v>
      </c>
      <c r="G134" s="2">
        <v>1540.14</v>
      </c>
      <c r="H134" s="2">
        <v>1900.02</v>
      </c>
      <c r="I134" s="2">
        <v>2689.29</v>
      </c>
      <c r="J134" s="2">
        <v>3966.29</v>
      </c>
      <c r="K134" s="2">
        <v>4816.1899999999996</v>
      </c>
      <c r="L134" s="2">
        <v>4217.92</v>
      </c>
      <c r="M134" s="2">
        <v>4307.99</v>
      </c>
      <c r="N134" s="2">
        <v>4276.1099999999997</v>
      </c>
      <c r="O134" s="2">
        <v>5962.96</v>
      </c>
      <c r="P134" s="2">
        <v>6821.71</v>
      </c>
      <c r="Q134" s="2">
        <v>7275.61</v>
      </c>
      <c r="R134" s="2">
        <v>7884.46</v>
      </c>
      <c r="S134" s="2">
        <v>6820</v>
      </c>
    </row>
    <row r="135" spans="1:19" x14ac:dyDescent="0.25">
      <c r="A135" t="s">
        <v>305</v>
      </c>
      <c r="B135">
        <v>449.62</v>
      </c>
      <c r="C135">
        <v>566.65</v>
      </c>
      <c r="D135">
        <v>536.84</v>
      </c>
      <c r="E135">
        <v>625.6</v>
      </c>
      <c r="F135">
        <v>916.44</v>
      </c>
      <c r="G135">
        <v>994.74</v>
      </c>
      <c r="H135" s="2">
        <v>1161.96</v>
      </c>
      <c r="I135" s="2">
        <v>1519.46</v>
      </c>
      <c r="J135" s="2">
        <v>2401.4899999999998</v>
      </c>
      <c r="K135" s="2">
        <v>3196.99</v>
      </c>
      <c r="L135" s="2">
        <v>2921.14</v>
      </c>
      <c r="M135" s="2">
        <v>2662.25</v>
      </c>
      <c r="N135" s="2">
        <v>2551.15</v>
      </c>
      <c r="O135" s="2">
        <v>3603.63</v>
      </c>
      <c r="P135" s="2">
        <v>3419.27</v>
      </c>
    </row>
    <row r="136" spans="1:19" x14ac:dyDescent="0.25">
      <c r="A136" t="s">
        <v>1282</v>
      </c>
      <c r="B136">
        <v>126.56</v>
      </c>
      <c r="C136">
        <v>141.26</v>
      </c>
      <c r="D136">
        <v>151.41</v>
      </c>
      <c r="E136">
        <v>213.07</v>
      </c>
      <c r="F136">
        <v>222.92</v>
      </c>
      <c r="G136">
        <v>174.22</v>
      </c>
      <c r="H136">
        <v>251.2</v>
      </c>
      <c r="I136">
        <v>391.69</v>
      </c>
      <c r="J136">
        <v>471.35</v>
      </c>
      <c r="K136">
        <v>325.61</v>
      </c>
      <c r="L136">
        <v>284.08</v>
      </c>
      <c r="M136">
        <v>282.89</v>
      </c>
      <c r="N136">
        <v>449.67</v>
      </c>
      <c r="O136">
        <v>616.21</v>
      </c>
      <c r="P136">
        <v>584.67999999999995</v>
      </c>
    </row>
    <row r="137" spans="1:19" x14ac:dyDescent="0.25">
      <c r="A137" t="s">
        <v>303</v>
      </c>
      <c r="B137">
        <v>164.32</v>
      </c>
      <c r="C137">
        <v>235.44</v>
      </c>
      <c r="D137">
        <v>283.66000000000003</v>
      </c>
      <c r="E137">
        <v>394.25</v>
      </c>
      <c r="F137">
        <v>736.8</v>
      </c>
      <c r="G137">
        <v>371.18</v>
      </c>
      <c r="H137">
        <v>486.86</v>
      </c>
      <c r="I137">
        <v>778.15</v>
      </c>
      <c r="J137" s="2">
        <v>1093.46</v>
      </c>
      <c r="K137" s="2">
        <v>1293.5899999999999</v>
      </c>
      <c r="L137" s="2">
        <v>1012.71</v>
      </c>
      <c r="M137" s="2">
        <v>1362.86</v>
      </c>
      <c r="N137" s="2">
        <v>1275.29</v>
      </c>
      <c r="O137" s="2">
        <v>1649.32</v>
      </c>
      <c r="P137" s="2">
        <v>1564.94</v>
      </c>
    </row>
    <row r="138" spans="1:19" x14ac:dyDescent="0.25">
      <c r="A138" t="s">
        <v>145</v>
      </c>
      <c r="B138">
        <v>176.9</v>
      </c>
      <c r="C138">
        <v>157.44</v>
      </c>
      <c r="D138">
        <v>151.16</v>
      </c>
      <c r="E138">
        <v>195.02</v>
      </c>
      <c r="F138">
        <v>147.22</v>
      </c>
      <c r="G138">
        <v>133.54</v>
      </c>
      <c r="H138">
        <v>146.16</v>
      </c>
      <c r="I138">
        <v>207.53</v>
      </c>
      <c r="J138">
        <v>347.39</v>
      </c>
      <c r="K138">
        <v>214.15</v>
      </c>
      <c r="L138">
        <v>298.19</v>
      </c>
      <c r="M138">
        <v>440.27</v>
      </c>
      <c r="N138">
        <v>415.74</v>
      </c>
      <c r="O138">
        <v>480.3</v>
      </c>
      <c r="P138">
        <v>497.98</v>
      </c>
      <c r="Q138">
        <v>527.71</v>
      </c>
      <c r="R138">
        <v>415.74</v>
      </c>
    </row>
    <row r="139" spans="1:19" x14ac:dyDescent="0.25">
      <c r="A139" t="s">
        <v>146</v>
      </c>
      <c r="B139" s="2">
        <v>3209.64</v>
      </c>
      <c r="C139" s="2">
        <v>3093.8</v>
      </c>
      <c r="D139" s="2">
        <v>3051.17</v>
      </c>
      <c r="E139" s="2">
        <v>2980.27</v>
      </c>
      <c r="F139" s="2">
        <v>3329.57</v>
      </c>
      <c r="G139" s="2">
        <v>3440.92</v>
      </c>
      <c r="H139" s="2">
        <v>3705.51</v>
      </c>
      <c r="I139" s="2">
        <v>4239.7700000000004</v>
      </c>
      <c r="J139" s="2">
        <v>4910.3999999999996</v>
      </c>
      <c r="K139" s="2">
        <v>5553.23</v>
      </c>
      <c r="L139" s="2">
        <v>5861.51</v>
      </c>
      <c r="M139" s="2">
        <v>6828.27</v>
      </c>
      <c r="N139" s="2">
        <v>7919.04</v>
      </c>
      <c r="O139" s="2">
        <v>8920.94</v>
      </c>
      <c r="P139" s="2">
        <v>10225.33</v>
      </c>
      <c r="Q139" s="2">
        <v>11692.44</v>
      </c>
      <c r="R139" s="2">
        <v>13245.82</v>
      </c>
    </row>
    <row r="140" spans="1:19" x14ac:dyDescent="0.25">
      <c r="A140" t="s">
        <v>409</v>
      </c>
      <c r="B140">
        <v>543.5</v>
      </c>
      <c r="C140">
        <v>621.41999999999996</v>
      </c>
      <c r="D140">
        <v>639.61</v>
      </c>
      <c r="E140">
        <v>685.6</v>
      </c>
      <c r="F140">
        <v>902.55</v>
      </c>
      <c r="G140" s="2">
        <v>1059.08</v>
      </c>
      <c r="H140" s="2">
        <v>1071.5</v>
      </c>
      <c r="I140" s="2">
        <v>1303.48</v>
      </c>
      <c r="J140" s="2">
        <v>1647.59</v>
      </c>
      <c r="K140" s="2">
        <v>1856.67</v>
      </c>
      <c r="L140" s="2">
        <v>2154.52</v>
      </c>
      <c r="M140" s="2">
        <v>2428.7399999999998</v>
      </c>
      <c r="N140" s="2">
        <v>2956.47</v>
      </c>
      <c r="O140" s="2">
        <v>3776.47</v>
      </c>
      <c r="P140" s="2">
        <v>4543.4799999999996</v>
      </c>
      <c r="Q140" s="2">
        <v>5870.32</v>
      </c>
      <c r="R140" s="2">
        <v>6880.72</v>
      </c>
      <c r="S140" s="2">
        <v>7364.06</v>
      </c>
    </row>
    <row r="141" spans="1:19" x14ac:dyDescent="0.25">
      <c r="A141" t="s">
        <v>1283</v>
      </c>
      <c r="B141" s="2">
        <v>2360.3000000000002</v>
      </c>
      <c r="C141" s="2">
        <v>2115.65</v>
      </c>
      <c r="D141" s="2">
        <v>1951.2</v>
      </c>
      <c r="E141" s="2">
        <v>1796.67</v>
      </c>
      <c r="F141" s="2">
        <v>1802.74</v>
      </c>
      <c r="G141" s="2">
        <v>1701.55</v>
      </c>
      <c r="H141" s="2">
        <v>1652.97</v>
      </c>
      <c r="I141" s="2">
        <v>1622.5</v>
      </c>
      <c r="J141" s="2">
        <v>1616.96</v>
      </c>
      <c r="K141" s="2">
        <v>1790.94</v>
      </c>
      <c r="L141" s="2">
        <v>1765.07</v>
      </c>
      <c r="M141" s="2">
        <v>1808.69</v>
      </c>
      <c r="N141" s="2">
        <v>1895.86</v>
      </c>
      <c r="O141" s="2">
        <v>1886.86</v>
      </c>
      <c r="P141" s="2">
        <v>1871.84</v>
      </c>
      <c r="Q141" s="2">
        <v>1859.83</v>
      </c>
      <c r="R141" s="2">
        <v>1895.86</v>
      </c>
    </row>
    <row r="142" spans="1:19" x14ac:dyDescent="0.25">
      <c r="A142" t="s">
        <v>152</v>
      </c>
      <c r="B142" s="2">
        <v>1466.23</v>
      </c>
      <c r="C142" s="2">
        <v>1387.51</v>
      </c>
      <c r="D142" s="2">
        <v>1386.28</v>
      </c>
      <c r="E142" s="2">
        <v>1385.67</v>
      </c>
      <c r="F142" s="2">
        <v>1484.9</v>
      </c>
      <c r="G142" s="2">
        <v>1484.6</v>
      </c>
      <c r="H142" s="2">
        <v>1484.44</v>
      </c>
      <c r="I142">
        <v>0</v>
      </c>
      <c r="J142" s="2">
        <v>1515.11</v>
      </c>
      <c r="K142" s="2">
        <v>1622.49</v>
      </c>
      <c r="L142" s="2">
        <v>1626.53</v>
      </c>
      <c r="M142" s="2">
        <v>1600</v>
      </c>
      <c r="N142" s="2">
        <v>1630</v>
      </c>
      <c r="O142" s="2">
        <v>1630.33</v>
      </c>
      <c r="P142" s="2">
        <v>1630.33</v>
      </c>
      <c r="Q142" s="2">
        <v>1627</v>
      </c>
      <c r="R142" s="2">
        <v>1627</v>
      </c>
      <c r="S142" s="2">
        <v>1627</v>
      </c>
    </row>
    <row r="143" spans="1:19" x14ac:dyDescent="0.25">
      <c r="A143" t="s">
        <v>151</v>
      </c>
      <c r="B143">
        <v>894.08</v>
      </c>
      <c r="C143">
        <v>728.14</v>
      </c>
      <c r="D143">
        <v>564.91999999999996</v>
      </c>
      <c r="E143">
        <v>411</v>
      </c>
      <c r="F143">
        <v>317.83999999999997</v>
      </c>
      <c r="G143">
        <v>216.95</v>
      </c>
      <c r="H143">
        <v>168.53</v>
      </c>
      <c r="I143">
        <v>132.37</v>
      </c>
      <c r="J143">
        <v>101.85</v>
      </c>
      <c r="K143">
        <v>168.45</v>
      </c>
      <c r="L143">
        <v>138.55000000000001</v>
      </c>
      <c r="M143">
        <v>208.69</v>
      </c>
      <c r="N143">
        <v>265.86</v>
      </c>
      <c r="O143">
        <v>235.5</v>
      </c>
      <c r="P143">
        <v>222</v>
      </c>
      <c r="Q143">
        <v>225</v>
      </c>
      <c r="R143">
        <v>214</v>
      </c>
      <c r="S143">
        <v>205</v>
      </c>
    </row>
    <row r="144" spans="1:19" x14ac:dyDescent="0.25">
      <c r="A144" t="s">
        <v>78</v>
      </c>
      <c r="B144">
        <v>159.35</v>
      </c>
      <c r="C144">
        <v>185.76</v>
      </c>
      <c r="D144">
        <v>209.94</v>
      </c>
      <c r="E144">
        <v>241.8</v>
      </c>
      <c r="F144">
        <v>367.98</v>
      </c>
      <c r="G144">
        <v>425.12</v>
      </c>
      <c r="H144">
        <v>727.13</v>
      </c>
      <c r="I144" s="2">
        <v>1061.3</v>
      </c>
      <c r="J144" s="2">
        <v>1394.31</v>
      </c>
      <c r="K144" s="2">
        <v>1655.3</v>
      </c>
      <c r="L144" s="2">
        <v>1941.92</v>
      </c>
      <c r="M144" s="2">
        <v>2590.84</v>
      </c>
      <c r="N144" s="2">
        <v>3066.71</v>
      </c>
      <c r="O144" s="2">
        <v>3638.65</v>
      </c>
      <c r="P144" s="2">
        <v>4474.59</v>
      </c>
      <c r="Q144" s="2">
        <v>5949.44</v>
      </c>
      <c r="R144" s="2">
        <v>3050.82</v>
      </c>
    </row>
    <row r="145" spans="1:19" x14ac:dyDescent="0.25">
      <c r="A145" t="s">
        <v>155</v>
      </c>
      <c r="B145" s="2">
        <v>7987</v>
      </c>
      <c r="C145" s="2">
        <v>9358.9</v>
      </c>
      <c r="D145" s="2">
        <v>12264.32</v>
      </c>
      <c r="E145" s="2">
        <v>12122.77</v>
      </c>
      <c r="F145" s="2">
        <v>12479.48</v>
      </c>
      <c r="G145" s="2">
        <v>12001.33</v>
      </c>
      <c r="H145" s="2">
        <v>14559.05</v>
      </c>
      <c r="I145" s="2">
        <v>15892.15</v>
      </c>
      <c r="J145" s="2">
        <v>17195.63</v>
      </c>
      <c r="K145" s="2">
        <v>18781.64</v>
      </c>
      <c r="L145" s="2">
        <v>18744.73</v>
      </c>
      <c r="M145" s="2">
        <v>21345.26</v>
      </c>
      <c r="N145" s="2">
        <v>23529.74</v>
      </c>
      <c r="O145" s="2">
        <v>31790.67</v>
      </c>
      <c r="P145" s="2">
        <v>38646.720000000001</v>
      </c>
      <c r="Q145" s="2">
        <v>48192.480000000003</v>
      </c>
      <c r="R145" s="2">
        <v>45151.75</v>
      </c>
      <c r="S145" s="2">
        <v>38117.699999999997</v>
      </c>
    </row>
    <row r="146" spans="1:19" x14ac:dyDescent="0.25">
      <c r="A146" t="s">
        <v>17</v>
      </c>
    </row>
    <row r="147" spans="1:19" x14ac:dyDescent="0.25">
      <c r="A147" t="s">
        <v>156</v>
      </c>
    </row>
    <row r="148" spans="1:19" x14ac:dyDescent="0.25">
      <c r="A148" t="s">
        <v>157</v>
      </c>
      <c r="B148">
        <v>518.27</v>
      </c>
      <c r="C148" s="2">
        <v>1355.71</v>
      </c>
      <c r="D148">
        <v>947.73</v>
      </c>
      <c r="E148">
        <v>908.44</v>
      </c>
      <c r="F148" s="2">
        <v>3150.31</v>
      </c>
      <c r="G148" s="2">
        <v>2371.65</v>
      </c>
      <c r="H148" s="2">
        <v>3162.44</v>
      </c>
      <c r="I148" s="2">
        <v>3527.87</v>
      </c>
      <c r="J148" s="2">
        <v>4564.76</v>
      </c>
      <c r="K148" s="2">
        <v>4184.92</v>
      </c>
      <c r="L148" s="2">
        <v>4338.4399999999996</v>
      </c>
      <c r="M148" s="2">
        <v>6568.43</v>
      </c>
      <c r="N148" s="2">
        <v>5937.25</v>
      </c>
      <c r="O148" s="2">
        <v>7381.63</v>
      </c>
      <c r="P148" s="2">
        <v>8687.33</v>
      </c>
      <c r="Q148" s="2">
        <v>9361.2000000000007</v>
      </c>
      <c r="R148" s="2">
        <v>7046.27</v>
      </c>
    </row>
    <row r="149" spans="1:19" x14ac:dyDescent="0.25">
      <c r="A149" t="s">
        <v>158</v>
      </c>
      <c r="B149">
        <v>223.52</v>
      </c>
      <c r="C149">
        <v>300.2</v>
      </c>
      <c r="D149">
        <v>348.2</v>
      </c>
      <c r="E149">
        <v>464.64</v>
      </c>
      <c r="F149">
        <v>510.98</v>
      </c>
      <c r="G149">
        <v>376.56</v>
      </c>
      <c r="H149">
        <v>592.39</v>
      </c>
      <c r="I149">
        <v>829.71</v>
      </c>
      <c r="J149" s="2">
        <v>1011.21</v>
      </c>
      <c r="K149">
        <v>470.7</v>
      </c>
      <c r="L149">
        <v>613.97</v>
      </c>
      <c r="M149">
        <v>854.21</v>
      </c>
      <c r="N149" s="2">
        <v>1302.47</v>
      </c>
      <c r="O149" s="2">
        <v>1223.72</v>
      </c>
      <c r="P149" s="2">
        <v>1341.5</v>
      </c>
      <c r="Q149" s="2">
        <v>1351.58</v>
      </c>
      <c r="R149" s="2">
        <v>2032.68</v>
      </c>
      <c r="S149" s="2">
        <v>2046</v>
      </c>
    </row>
    <row r="150" spans="1:19" x14ac:dyDescent="0.25">
      <c r="A150" t="s">
        <v>906</v>
      </c>
      <c r="B150">
        <v>604.29999999999995</v>
      </c>
      <c r="C150">
        <v>649.44000000000005</v>
      </c>
      <c r="D150">
        <v>772.91</v>
      </c>
      <c r="E150">
        <v>969.36</v>
      </c>
      <c r="F150" s="2">
        <v>1309.21</v>
      </c>
      <c r="G150">
        <v>946.64</v>
      </c>
      <c r="H150" s="2">
        <v>1272.6600000000001</v>
      </c>
      <c r="I150" s="2">
        <v>1719.48</v>
      </c>
      <c r="J150" s="2">
        <v>1974.27</v>
      </c>
      <c r="K150" s="2">
        <v>2010.64</v>
      </c>
      <c r="L150" s="2">
        <v>1801.88</v>
      </c>
      <c r="M150" s="2">
        <v>2394.37</v>
      </c>
      <c r="N150" s="2">
        <v>2351.54</v>
      </c>
      <c r="O150" s="2">
        <v>3375.59</v>
      </c>
      <c r="P150" s="2">
        <v>3822.28</v>
      </c>
      <c r="Q150" s="2">
        <v>4069.31</v>
      </c>
      <c r="R150" s="2">
        <v>2787.57</v>
      </c>
    </row>
    <row r="151" spans="1:19" x14ac:dyDescent="0.25">
      <c r="A151" t="s">
        <v>1284</v>
      </c>
      <c r="B151">
        <v>235.92</v>
      </c>
      <c r="C151">
        <v>322.07</v>
      </c>
      <c r="D151">
        <v>349.2</v>
      </c>
      <c r="E151">
        <v>607.66999999999996</v>
      </c>
      <c r="F151">
        <v>720.09</v>
      </c>
      <c r="G151">
        <v>381.32</v>
      </c>
      <c r="H151">
        <v>457.52</v>
      </c>
      <c r="I151">
        <v>967.33</v>
      </c>
      <c r="J151" s="2">
        <v>1571.9</v>
      </c>
      <c r="K151" s="2">
        <v>1695.22</v>
      </c>
      <c r="L151" s="2">
        <v>1417.78</v>
      </c>
      <c r="M151" s="2">
        <v>2565.54</v>
      </c>
      <c r="N151" s="2">
        <v>2279.17</v>
      </c>
      <c r="O151" s="2">
        <v>3316.28</v>
      </c>
      <c r="P151" s="2">
        <v>4063.39</v>
      </c>
      <c r="Q151" s="2">
        <v>4694.09</v>
      </c>
      <c r="R151" s="2">
        <v>2091.2800000000002</v>
      </c>
    </row>
    <row r="152" spans="1:19" x14ac:dyDescent="0.25">
      <c r="A152" t="s">
        <v>313</v>
      </c>
      <c r="B152">
        <v>518.27</v>
      </c>
      <c r="C152" s="2">
        <v>1359.65</v>
      </c>
      <c r="D152">
        <v>947.73</v>
      </c>
      <c r="E152">
        <v>908.44</v>
      </c>
      <c r="F152">
        <v>610.03</v>
      </c>
      <c r="G152">
        <v>667.13</v>
      </c>
      <c r="H152">
        <v>839.88</v>
      </c>
      <c r="I152">
        <v>11.35</v>
      </c>
      <c r="J152">
        <v>7.38</v>
      </c>
      <c r="K152">
        <v>8.36</v>
      </c>
      <c r="L152">
        <v>504.81</v>
      </c>
      <c r="M152">
        <v>754.31</v>
      </c>
      <c r="N152">
        <v>4.07</v>
      </c>
      <c r="O152">
        <v>5.0999999999999996</v>
      </c>
      <c r="P152">
        <v>4.07</v>
      </c>
      <c r="Q152">
        <v>4.08</v>
      </c>
      <c r="R152">
        <v>4.07</v>
      </c>
      <c r="S152">
        <v>4.07</v>
      </c>
    </row>
    <row r="153" spans="1:19" x14ac:dyDescent="0.25">
      <c r="A153" t="s">
        <v>164</v>
      </c>
      <c r="B153" s="2">
        <v>1381.57</v>
      </c>
      <c r="C153" s="2">
        <v>1630.14</v>
      </c>
      <c r="D153" s="2">
        <v>3951.76</v>
      </c>
      <c r="E153" s="2">
        <v>2355.1999999999998</v>
      </c>
      <c r="F153" s="2">
        <v>2827.32</v>
      </c>
      <c r="G153" s="2">
        <v>4955.82</v>
      </c>
      <c r="H153" s="2">
        <v>6224.11</v>
      </c>
      <c r="I153" s="2">
        <v>6337.1</v>
      </c>
      <c r="J153" s="2">
        <v>6352.51</v>
      </c>
      <c r="K153" s="2">
        <v>6386.55</v>
      </c>
      <c r="L153" s="2">
        <v>5866.84</v>
      </c>
      <c r="M153" s="2">
        <v>4915.22</v>
      </c>
      <c r="N153" s="2">
        <v>5121.57</v>
      </c>
      <c r="O153" s="2">
        <v>5121.57</v>
      </c>
      <c r="P153" s="2">
        <v>5121.57</v>
      </c>
      <c r="Q153" s="2">
        <v>5121.57</v>
      </c>
      <c r="R153" s="2">
        <v>5121.57</v>
      </c>
    </row>
    <row r="154" spans="1:19" x14ac:dyDescent="0.25">
      <c r="A154" t="s">
        <v>1285</v>
      </c>
      <c r="B154">
        <v>817.2</v>
      </c>
      <c r="C154" s="2">
        <v>1001.38</v>
      </c>
      <c r="D154" s="2">
        <v>3378.13</v>
      </c>
      <c r="E154" s="2">
        <v>1784.97</v>
      </c>
      <c r="F154" s="2">
        <v>1806.56</v>
      </c>
      <c r="G154" s="2">
        <v>3822.77</v>
      </c>
      <c r="H154" s="2">
        <v>4970.8500000000004</v>
      </c>
      <c r="I154" s="2">
        <v>4990.33</v>
      </c>
      <c r="J154" s="2">
        <v>4998.45</v>
      </c>
      <c r="K154" s="2">
        <v>5003.18</v>
      </c>
      <c r="L154" s="2">
        <v>4478.5200000000004</v>
      </c>
      <c r="M154" s="2">
        <v>3730.19</v>
      </c>
      <c r="N154" s="2">
        <v>3730.49</v>
      </c>
      <c r="O154" s="2">
        <v>3731.36</v>
      </c>
      <c r="P154" s="2">
        <v>3730.44</v>
      </c>
      <c r="Q154" s="2">
        <v>3730.49</v>
      </c>
      <c r="R154" s="2">
        <v>3730.49</v>
      </c>
      <c r="S154" s="2">
        <v>3730.49</v>
      </c>
    </row>
    <row r="155" spans="1:19" x14ac:dyDescent="0.25">
      <c r="A155" t="s">
        <v>1286</v>
      </c>
      <c r="E155">
        <v>120.18</v>
      </c>
      <c r="F155">
        <v>851.94</v>
      </c>
      <c r="G155">
        <v>892.79</v>
      </c>
      <c r="H155">
        <v>909.71</v>
      </c>
      <c r="I155">
        <v>948.04</v>
      </c>
      <c r="J155">
        <v>931.12</v>
      </c>
      <c r="K155">
        <v>882.08</v>
      </c>
      <c r="L155">
        <v>813.3</v>
      </c>
      <c r="M155">
        <v>603.41</v>
      </c>
      <c r="N155">
        <v>681.2</v>
      </c>
      <c r="O155">
        <v>681.16</v>
      </c>
      <c r="P155">
        <v>681.13</v>
      </c>
      <c r="Q155">
        <v>681.2</v>
      </c>
      <c r="R155">
        <v>681.2</v>
      </c>
    </row>
    <row r="156" spans="1:19" x14ac:dyDescent="0.25">
      <c r="A156" t="s">
        <v>78</v>
      </c>
      <c r="B156">
        <v>381.02</v>
      </c>
      <c r="C156">
        <v>386.95</v>
      </c>
      <c r="D156">
        <v>366.08</v>
      </c>
      <c r="E156">
        <v>400.36</v>
      </c>
      <c r="F156">
        <v>90.63</v>
      </c>
      <c r="G156">
        <v>190.82</v>
      </c>
      <c r="H156">
        <v>332.56</v>
      </c>
      <c r="I156">
        <v>398.73</v>
      </c>
      <c r="J156">
        <v>422.94</v>
      </c>
      <c r="K156">
        <v>501.29</v>
      </c>
      <c r="L156">
        <v>575.01</v>
      </c>
      <c r="M156">
        <v>581.61</v>
      </c>
      <c r="N156">
        <v>709.89</v>
      </c>
      <c r="O156">
        <v>758.08</v>
      </c>
      <c r="P156">
        <v>979.69</v>
      </c>
      <c r="Q156">
        <v>954.92</v>
      </c>
      <c r="R156">
        <v>709.89</v>
      </c>
    </row>
    <row r="157" spans="1:19" x14ac:dyDescent="0.25">
      <c r="A157" t="s">
        <v>167</v>
      </c>
      <c r="B157" s="2">
        <v>2963.57</v>
      </c>
      <c r="C157" s="2">
        <v>4261.5</v>
      </c>
      <c r="D157" s="2">
        <v>6369.8</v>
      </c>
      <c r="E157" s="2">
        <v>5305.31</v>
      </c>
      <c r="F157" s="2">
        <v>5977.63</v>
      </c>
      <c r="G157" s="2">
        <v>7327.47</v>
      </c>
      <c r="H157" s="2">
        <v>9386.5499999999993</v>
      </c>
      <c r="I157" s="2">
        <v>9864.9599999999991</v>
      </c>
      <c r="J157" s="2">
        <v>10917.27</v>
      </c>
      <c r="K157" s="2">
        <v>10571.47</v>
      </c>
      <c r="L157" s="2">
        <v>10205.27</v>
      </c>
      <c r="M157" s="2">
        <v>11483.64</v>
      </c>
      <c r="N157" s="2">
        <v>11058.82</v>
      </c>
      <c r="O157" s="2">
        <v>12921.33</v>
      </c>
      <c r="P157" s="2">
        <v>14796.72</v>
      </c>
      <c r="Q157" s="2">
        <v>16099.47</v>
      </c>
      <c r="R157" s="2">
        <v>16947.419999999998</v>
      </c>
      <c r="S157" s="2">
        <v>23095</v>
      </c>
    </row>
    <row r="158" spans="1:19" x14ac:dyDescent="0.25">
      <c r="A158" t="s">
        <v>1287</v>
      </c>
      <c r="B158" s="2">
        <v>5029.74</v>
      </c>
      <c r="C158" s="2">
        <v>5103.1400000000003</v>
      </c>
      <c r="D158" s="2">
        <v>5894.52</v>
      </c>
      <c r="E158" s="2">
        <v>6817.45</v>
      </c>
      <c r="F158" s="2">
        <v>6501.85</v>
      </c>
      <c r="G158" s="2">
        <v>4673.87</v>
      </c>
      <c r="H158" s="2">
        <v>5172.49</v>
      </c>
      <c r="I158" s="2">
        <v>6027.19</v>
      </c>
      <c r="J158" s="2">
        <v>6278.37</v>
      </c>
      <c r="K158" s="2">
        <v>8210.17</v>
      </c>
      <c r="L158" s="2">
        <v>8539.4500000000007</v>
      </c>
      <c r="M158" s="2">
        <v>9861.6200000000008</v>
      </c>
      <c r="N158" s="2">
        <v>12470.92</v>
      </c>
      <c r="O158" s="2">
        <v>19234.86</v>
      </c>
      <c r="P158" s="2">
        <v>24768.639999999999</v>
      </c>
      <c r="Q158" s="2">
        <v>33414.78</v>
      </c>
      <c r="R158" s="2">
        <v>33739.33</v>
      </c>
      <c r="S158" s="2">
        <v>28173.5</v>
      </c>
    </row>
    <row r="159" spans="1:19" x14ac:dyDescent="0.25">
      <c r="A159" t="s">
        <v>171</v>
      </c>
      <c r="B159">
        <v>0.16</v>
      </c>
      <c r="C159">
        <v>0.16</v>
      </c>
      <c r="D159">
        <v>0.16</v>
      </c>
      <c r="E159">
        <v>0.16</v>
      </c>
      <c r="F159">
        <v>0.16</v>
      </c>
      <c r="G159">
        <v>0.14000000000000001</v>
      </c>
      <c r="H159">
        <v>0.15</v>
      </c>
      <c r="I159">
        <v>0.14000000000000001</v>
      </c>
      <c r="J159">
        <v>0.14000000000000001</v>
      </c>
      <c r="K159">
        <v>0.13</v>
      </c>
      <c r="L159">
        <v>0.13</v>
      </c>
      <c r="M159">
        <v>1.27</v>
      </c>
      <c r="N159">
        <v>1.25</v>
      </c>
      <c r="O159">
        <v>1.25</v>
      </c>
      <c r="P159">
        <v>1.25</v>
      </c>
      <c r="Q159">
        <v>1.25</v>
      </c>
      <c r="R159">
        <v>1.25</v>
      </c>
    </row>
    <row r="160" spans="1:19" x14ac:dyDescent="0.25">
      <c r="A160" t="s">
        <v>1234</v>
      </c>
      <c r="B160" s="2">
        <v>5239.57</v>
      </c>
      <c r="C160" s="2">
        <v>5366.77</v>
      </c>
      <c r="D160" s="2">
        <v>5572.9</v>
      </c>
      <c r="E160" s="2">
        <v>5845.49</v>
      </c>
      <c r="F160" s="2">
        <v>6144.43</v>
      </c>
      <c r="G160" s="2">
        <v>6409.41</v>
      </c>
      <c r="H160" s="2">
        <v>6695.86</v>
      </c>
      <c r="I160" s="2">
        <v>7052.96</v>
      </c>
      <c r="J160" s="2">
        <v>7414.92</v>
      </c>
      <c r="K160" s="2">
        <v>7809</v>
      </c>
      <c r="L160" s="2">
        <v>8225.2999999999993</v>
      </c>
      <c r="M160" s="2">
        <v>8697.2900000000009</v>
      </c>
      <c r="N160" s="2">
        <v>9244.4500000000007</v>
      </c>
      <c r="O160" s="2">
        <v>9220.77</v>
      </c>
      <c r="P160" s="2">
        <v>9405.9599999999991</v>
      </c>
      <c r="Q160" s="2">
        <v>9149.33</v>
      </c>
      <c r="R160" s="2">
        <v>9054.2199999999993</v>
      </c>
    </row>
    <row r="161" spans="1:19" x14ac:dyDescent="0.25">
      <c r="A161" t="s">
        <v>325</v>
      </c>
      <c r="B161" s="2">
        <v>3757.08</v>
      </c>
      <c r="C161">
        <v>0</v>
      </c>
      <c r="D161">
        <v>0</v>
      </c>
      <c r="E161">
        <v>0</v>
      </c>
      <c r="F161" s="2">
        <v>7846.48</v>
      </c>
      <c r="G161" s="2">
        <v>11602.57</v>
      </c>
      <c r="H161" s="2">
        <v>12949.89</v>
      </c>
      <c r="I161">
        <v>0</v>
      </c>
      <c r="J161" s="2">
        <v>19481.43</v>
      </c>
      <c r="K161" s="2">
        <v>21530.35</v>
      </c>
      <c r="L161" s="2">
        <v>24366.87</v>
      </c>
      <c r="M161" s="2">
        <v>27763.43</v>
      </c>
      <c r="N161" s="2">
        <v>31597.95</v>
      </c>
      <c r="O161" s="2">
        <v>34507.61</v>
      </c>
      <c r="P161" s="2">
        <v>36714.86</v>
      </c>
      <c r="Q161" s="2">
        <v>37372.81</v>
      </c>
      <c r="R161" s="2">
        <v>31347.67</v>
      </c>
    </row>
    <row r="162" spans="1:19" x14ac:dyDescent="0.25">
      <c r="A162" t="s">
        <v>173</v>
      </c>
      <c r="B162" s="2">
        <v>3575.74</v>
      </c>
      <c r="C162" s="2">
        <v>4096.8599999999997</v>
      </c>
      <c r="D162" s="2">
        <v>4820.1099999999997</v>
      </c>
      <c r="E162" s="2">
        <v>6249.69</v>
      </c>
      <c r="F162" s="2">
        <v>8261.19</v>
      </c>
      <c r="G162" s="2">
        <v>9930.92</v>
      </c>
      <c r="H162" s="2">
        <v>11520.59</v>
      </c>
      <c r="I162" s="2">
        <v>14684.91</v>
      </c>
      <c r="J162" s="2">
        <v>18454.72</v>
      </c>
      <c r="K162" s="2">
        <v>22032.1</v>
      </c>
      <c r="L162" s="2">
        <v>24811.32</v>
      </c>
      <c r="M162" s="2">
        <v>28988.91</v>
      </c>
      <c r="N162" s="2">
        <v>34950.25</v>
      </c>
      <c r="O162" s="2">
        <v>44881.24</v>
      </c>
      <c r="P162" s="2">
        <v>55461.38</v>
      </c>
      <c r="Q162" s="2">
        <v>67698.44</v>
      </c>
      <c r="R162" s="2">
        <v>73342.81</v>
      </c>
    </row>
    <row r="163" spans="1:19" x14ac:dyDescent="0.25">
      <c r="A163" t="s">
        <v>326</v>
      </c>
      <c r="B163" s="2">
        <v>7987</v>
      </c>
      <c r="C163" s="2">
        <v>9358.9</v>
      </c>
      <c r="D163" s="2">
        <v>12264.32</v>
      </c>
      <c r="E163" s="2">
        <v>12122.77</v>
      </c>
      <c r="F163" s="2">
        <v>12479.48</v>
      </c>
      <c r="G163" s="2">
        <v>12001.33</v>
      </c>
      <c r="H163" s="2">
        <v>14559.05</v>
      </c>
      <c r="I163" s="2">
        <v>15892.15</v>
      </c>
      <c r="J163" s="2">
        <v>17195.63</v>
      </c>
      <c r="K163" s="2">
        <v>18781.64</v>
      </c>
      <c r="L163" s="2">
        <v>18744.73</v>
      </c>
      <c r="M163" s="2">
        <v>21345.26</v>
      </c>
      <c r="N163" s="2">
        <v>23529.74</v>
      </c>
      <c r="O163" s="2">
        <v>31790.67</v>
      </c>
      <c r="P163" s="2">
        <v>38646.720000000001</v>
      </c>
      <c r="Q163" s="2">
        <v>48192.480000000003</v>
      </c>
      <c r="R163" s="2">
        <v>45151.75</v>
      </c>
      <c r="S163" s="2">
        <v>38117.699999999997</v>
      </c>
    </row>
    <row r="164" spans="1:19" x14ac:dyDescent="0.25">
      <c r="A164" t="s">
        <v>17</v>
      </c>
    </row>
    <row r="165" spans="1:19" x14ac:dyDescent="0.25">
      <c r="A165" t="s">
        <v>176</v>
      </c>
    </row>
    <row r="166" spans="1:19" x14ac:dyDescent="0.25">
      <c r="A166" t="s">
        <v>179</v>
      </c>
      <c r="B166">
        <v>8.3000000000000007</v>
      </c>
      <c r="C166">
        <v>7.56</v>
      </c>
      <c r="D166">
        <v>8.4499999999999993</v>
      </c>
      <c r="E166">
        <v>13.92</v>
      </c>
      <c r="F166">
        <v>19.350000000000001</v>
      </c>
      <c r="G166">
        <v>17.899999999999999</v>
      </c>
      <c r="H166">
        <v>16.96</v>
      </c>
      <c r="I166">
        <v>25.67</v>
      </c>
      <c r="J166">
        <v>27.84</v>
      </c>
      <c r="K166">
        <v>25.08</v>
      </c>
      <c r="L166">
        <v>20.399999999999999</v>
      </c>
      <c r="M166">
        <v>26.73</v>
      </c>
      <c r="N166">
        <v>32.380000000000003</v>
      </c>
      <c r="O166">
        <v>40.81</v>
      </c>
      <c r="P166">
        <v>39.79</v>
      </c>
      <c r="Q166">
        <v>37.74</v>
      </c>
      <c r="R166">
        <v>42.6</v>
      </c>
      <c r="S166">
        <v>43.4</v>
      </c>
    </row>
    <row r="167" spans="1:19" x14ac:dyDescent="0.25">
      <c r="A167" t="s">
        <v>180</v>
      </c>
      <c r="B167">
        <v>13.29</v>
      </c>
      <c r="C167">
        <v>12.94</v>
      </c>
      <c r="D167">
        <v>16.62</v>
      </c>
      <c r="E167">
        <v>26.71</v>
      </c>
      <c r="F167">
        <v>35.75</v>
      </c>
      <c r="G167">
        <v>39.22</v>
      </c>
      <c r="H167">
        <v>45.74</v>
      </c>
      <c r="I167">
        <v>69.8</v>
      </c>
      <c r="J167">
        <v>74.849999999999994</v>
      </c>
      <c r="K167">
        <v>62.27</v>
      </c>
      <c r="L167">
        <v>45.71</v>
      </c>
      <c r="M167">
        <v>58.24</v>
      </c>
      <c r="N167">
        <v>65.069999999999993</v>
      </c>
      <c r="O167">
        <v>72.55</v>
      </c>
      <c r="P167">
        <v>64.7</v>
      </c>
      <c r="Q167">
        <v>57.82</v>
      </c>
      <c r="R167">
        <v>65</v>
      </c>
      <c r="S167">
        <v>75.98</v>
      </c>
    </row>
    <row r="168" spans="1:19" x14ac:dyDescent="0.25">
      <c r="A168" t="s">
        <v>611</v>
      </c>
      <c r="B168">
        <v>63.25</v>
      </c>
      <c r="C168">
        <v>75.69</v>
      </c>
      <c r="D168">
        <v>78.05</v>
      </c>
      <c r="E168">
        <v>76.010000000000005</v>
      </c>
      <c r="F168">
        <v>71.540000000000006</v>
      </c>
      <c r="G168">
        <v>55.94</v>
      </c>
      <c r="H168">
        <v>75.989999999999995</v>
      </c>
      <c r="I168">
        <v>75.319999999999993</v>
      </c>
      <c r="J168">
        <v>91.15</v>
      </c>
      <c r="K168">
        <v>58.97</v>
      </c>
      <c r="L168">
        <v>62.7</v>
      </c>
      <c r="M168">
        <v>66.7</v>
      </c>
      <c r="N168">
        <v>83.66</v>
      </c>
      <c r="O168">
        <v>69.63</v>
      </c>
      <c r="P168">
        <v>73.36</v>
      </c>
      <c r="Q168">
        <v>68.290000000000006</v>
      </c>
      <c r="R168">
        <v>70.28</v>
      </c>
    </row>
    <row r="169" spans="1:19" x14ac:dyDescent="0.25">
      <c r="A169" t="s">
        <v>622</v>
      </c>
      <c r="B169">
        <v>103.68</v>
      </c>
      <c r="C169">
        <v>115.42</v>
      </c>
      <c r="D169">
        <v>108.29</v>
      </c>
      <c r="E169">
        <v>101.76</v>
      </c>
      <c r="F169">
        <v>115.52</v>
      </c>
      <c r="G169">
        <v>107.91</v>
      </c>
      <c r="H169">
        <v>127.23</v>
      </c>
      <c r="I169">
        <v>125.17</v>
      </c>
      <c r="J169">
        <v>154.32</v>
      </c>
      <c r="K169">
        <v>181.64</v>
      </c>
      <c r="L169">
        <v>199.28</v>
      </c>
      <c r="M169">
        <v>165.82</v>
      </c>
      <c r="N169">
        <v>135.26</v>
      </c>
      <c r="O169">
        <v>138.9</v>
      </c>
      <c r="P169">
        <v>160.09</v>
      </c>
      <c r="Q169">
        <v>149.1</v>
      </c>
    </row>
    <row r="170" spans="1:19" x14ac:dyDescent="0.25">
      <c r="A170" t="s">
        <v>621</v>
      </c>
      <c r="B170">
        <v>4</v>
      </c>
      <c r="C170">
        <v>3.53</v>
      </c>
      <c r="D170">
        <v>3.41</v>
      </c>
      <c r="E170">
        <v>4</v>
      </c>
      <c r="F170">
        <v>3.8</v>
      </c>
      <c r="G170">
        <v>3.1</v>
      </c>
      <c r="H170">
        <v>3.16</v>
      </c>
      <c r="I170">
        <v>3.41</v>
      </c>
      <c r="J170">
        <v>2.81</v>
      </c>
      <c r="K170">
        <v>2.2000000000000002</v>
      </c>
      <c r="L170">
        <v>1.74</v>
      </c>
      <c r="M170">
        <v>2.2200000000000002</v>
      </c>
      <c r="N170">
        <v>2.68</v>
      </c>
      <c r="O170">
        <v>2.9</v>
      </c>
      <c r="P170">
        <v>2.4300000000000002</v>
      </c>
      <c r="Q170">
        <v>2.4300000000000002</v>
      </c>
    </row>
    <row r="171" spans="1:19" x14ac:dyDescent="0.25">
      <c r="A171" t="s">
        <v>327</v>
      </c>
      <c r="B171">
        <v>0.61</v>
      </c>
      <c r="C171">
        <v>0.61</v>
      </c>
      <c r="D171">
        <v>0.54</v>
      </c>
      <c r="E171">
        <v>0.66</v>
      </c>
      <c r="F171">
        <v>0.9</v>
      </c>
      <c r="G171">
        <v>0.79</v>
      </c>
      <c r="H171">
        <v>0.76</v>
      </c>
      <c r="I171">
        <v>0.96</v>
      </c>
      <c r="J171">
        <v>1.04</v>
      </c>
      <c r="K171">
        <v>0.97</v>
      </c>
      <c r="L171">
        <v>0.79</v>
      </c>
      <c r="M171">
        <v>0.92</v>
      </c>
      <c r="N171">
        <v>1.04</v>
      </c>
      <c r="O171">
        <v>1.27</v>
      </c>
      <c r="P171">
        <v>1.1000000000000001</v>
      </c>
      <c r="Q171">
        <v>0.82</v>
      </c>
      <c r="R171">
        <v>1.0900000000000001</v>
      </c>
      <c r="S171">
        <v>1.33</v>
      </c>
    </row>
    <row r="172" spans="1:19" x14ac:dyDescent="0.25">
      <c r="A172" t="s">
        <v>812</v>
      </c>
      <c r="B172">
        <v>6.57</v>
      </c>
      <c r="C172">
        <v>5.55</v>
      </c>
      <c r="D172">
        <v>5</v>
      </c>
      <c r="E172">
        <v>5.46</v>
      </c>
      <c r="F172">
        <v>5.75</v>
      </c>
      <c r="G172">
        <v>5.32</v>
      </c>
      <c r="H172">
        <v>5.65</v>
      </c>
      <c r="I172">
        <v>5.71</v>
      </c>
      <c r="J172">
        <v>4.6900000000000004</v>
      </c>
      <c r="K172">
        <v>4.88</v>
      </c>
      <c r="L172">
        <v>5.58</v>
      </c>
      <c r="M172">
        <v>6.25</v>
      </c>
      <c r="N172">
        <v>5.33</v>
      </c>
      <c r="O172">
        <v>5.37</v>
      </c>
      <c r="P172">
        <v>4.8</v>
      </c>
      <c r="Q172">
        <v>4.8600000000000003</v>
      </c>
    </row>
    <row r="173" spans="1:19" x14ac:dyDescent="0.25">
      <c r="A173" t="s">
        <v>811</v>
      </c>
      <c r="B173">
        <v>25.37</v>
      </c>
      <c r="C173">
        <v>33.74</v>
      </c>
      <c r="D173">
        <v>43.47</v>
      </c>
      <c r="E173">
        <v>29.58</v>
      </c>
      <c r="F173">
        <v>27.73</v>
      </c>
      <c r="G173">
        <v>49.27</v>
      </c>
      <c r="H173">
        <v>53.68</v>
      </c>
      <c r="I173">
        <v>45.35</v>
      </c>
      <c r="J173">
        <v>44.36</v>
      </c>
      <c r="K173">
        <v>39</v>
      </c>
      <c r="L173">
        <v>36.85</v>
      </c>
      <c r="M173">
        <v>32.54</v>
      </c>
      <c r="N173">
        <v>24.84</v>
      </c>
      <c r="O173">
        <v>16.32</v>
      </c>
      <c r="P173">
        <v>13.08</v>
      </c>
      <c r="Q173">
        <v>7.13</v>
      </c>
    </row>
    <row r="174" spans="1:19" x14ac:dyDescent="0.25">
      <c r="A174" t="s">
        <v>810</v>
      </c>
      <c r="B174">
        <v>34</v>
      </c>
      <c r="C174">
        <v>50.93</v>
      </c>
      <c r="D174">
        <v>76.91</v>
      </c>
      <c r="E174">
        <v>42</v>
      </c>
      <c r="F174">
        <v>38.369999999999997</v>
      </c>
      <c r="G174">
        <v>97.12</v>
      </c>
      <c r="H174">
        <v>115.9</v>
      </c>
      <c r="I174">
        <v>82.99</v>
      </c>
      <c r="J174">
        <v>79.73</v>
      </c>
      <c r="K174">
        <v>63.93</v>
      </c>
      <c r="L174">
        <v>58.36</v>
      </c>
      <c r="M174">
        <v>48.23</v>
      </c>
      <c r="N174">
        <v>33.049999999999997</v>
      </c>
      <c r="O174">
        <v>20.48</v>
      </c>
      <c r="P174">
        <v>16.61</v>
      </c>
      <c r="Q174">
        <v>9.6300000000000008</v>
      </c>
    </row>
    <row r="175" spans="1:19" x14ac:dyDescent="0.25">
      <c r="A175" t="s">
        <v>177</v>
      </c>
      <c r="B175" s="2">
        <v>-1546.83</v>
      </c>
      <c r="C175" s="2">
        <v>-1473.65</v>
      </c>
      <c r="D175" s="2">
        <v>-2294.52</v>
      </c>
      <c r="E175" s="2">
        <v>-3177.89</v>
      </c>
      <c r="F175" s="2">
        <v>-2454.81</v>
      </c>
      <c r="G175">
        <v>-891.87</v>
      </c>
      <c r="H175">
        <v>-715.16</v>
      </c>
      <c r="I175">
        <v>-563.76</v>
      </c>
      <c r="J175" s="2">
        <v>1566.82</v>
      </c>
      <c r="K175">
        <v>-125.59</v>
      </c>
      <c r="L175">
        <v>-864.52</v>
      </c>
      <c r="M175" s="2">
        <v>-1634.1</v>
      </c>
      <c r="N175" s="2">
        <v>-1457.61</v>
      </c>
      <c r="O175" s="2">
        <v>-5946.9</v>
      </c>
      <c r="P175" s="2">
        <v>-9810.43</v>
      </c>
      <c r="Q175" s="2">
        <v>-16945.990000000002</v>
      </c>
      <c r="R175" s="2">
        <v>-15410.44</v>
      </c>
      <c r="S175" s="2">
        <v>-5254.09</v>
      </c>
    </row>
    <row r="176" spans="1:19" x14ac:dyDescent="0.25">
      <c r="A176" t="s">
        <v>186</v>
      </c>
      <c r="B176">
        <v>9.23</v>
      </c>
      <c r="C176">
        <v>4.63</v>
      </c>
      <c r="D176">
        <v>9.7200000000000006</v>
      </c>
      <c r="E176">
        <v>10.06</v>
      </c>
      <c r="F176">
        <v>2.9</v>
      </c>
      <c r="G176">
        <v>3.61</v>
      </c>
      <c r="H176">
        <v>3.43</v>
      </c>
      <c r="I176">
        <v>3.3</v>
      </c>
      <c r="J176">
        <v>2.69</v>
      </c>
      <c r="K176">
        <v>3.16</v>
      </c>
      <c r="L176">
        <v>2.97</v>
      </c>
      <c r="M176">
        <v>2.21</v>
      </c>
      <c r="N176">
        <v>2.63</v>
      </c>
      <c r="O176">
        <v>3.1</v>
      </c>
      <c r="P176">
        <v>3.94</v>
      </c>
      <c r="Q176">
        <v>5.94</v>
      </c>
      <c r="R176">
        <v>7.07</v>
      </c>
    </row>
    <row r="177" spans="1:19" x14ac:dyDescent="0.25">
      <c r="A177" t="s">
        <v>813</v>
      </c>
      <c r="B177">
        <v>5.92</v>
      </c>
      <c r="C177">
        <v>3.01</v>
      </c>
      <c r="D177">
        <v>7.2</v>
      </c>
      <c r="E177">
        <v>6.65</v>
      </c>
      <c r="F177">
        <v>1.57</v>
      </c>
      <c r="G177">
        <v>2.29</v>
      </c>
      <c r="H177">
        <v>2.12</v>
      </c>
      <c r="I177">
        <v>1.62</v>
      </c>
      <c r="J177">
        <v>0.8</v>
      </c>
      <c r="K177">
        <v>1.28</v>
      </c>
      <c r="L177">
        <v>1.35</v>
      </c>
      <c r="M177">
        <v>0.97</v>
      </c>
      <c r="N177">
        <v>0.94</v>
      </c>
      <c r="O177">
        <v>1</v>
      </c>
      <c r="P177">
        <v>1.2</v>
      </c>
      <c r="Q177">
        <v>2.27</v>
      </c>
      <c r="R177">
        <v>3.19</v>
      </c>
    </row>
    <row r="178" spans="1:19" x14ac:dyDescent="0.25">
      <c r="A178" t="s">
        <v>424</v>
      </c>
      <c r="B178">
        <v>3.1</v>
      </c>
      <c r="C178">
        <v>3.22</v>
      </c>
      <c r="D178">
        <v>3.68</v>
      </c>
      <c r="E178">
        <v>4.22</v>
      </c>
      <c r="F178">
        <v>4.1399999999999997</v>
      </c>
      <c r="G178">
        <v>3.24</v>
      </c>
      <c r="H178">
        <v>3.56</v>
      </c>
      <c r="I178">
        <v>4.2300000000000004</v>
      </c>
      <c r="J178">
        <v>4.58</v>
      </c>
      <c r="K178">
        <v>6.16</v>
      </c>
      <c r="L178">
        <v>6.55</v>
      </c>
      <c r="M178">
        <v>7.77</v>
      </c>
      <c r="N178">
        <v>9.9700000000000006</v>
      </c>
      <c r="O178">
        <v>15.96</v>
      </c>
      <c r="P178">
        <v>22.41</v>
      </c>
      <c r="Q178">
        <v>30.27</v>
      </c>
    </row>
    <row r="179" spans="1:19" x14ac:dyDescent="0.25">
      <c r="A179" t="s">
        <v>1288</v>
      </c>
      <c r="D179">
        <v>765.95</v>
      </c>
      <c r="E179">
        <v>920.43</v>
      </c>
      <c r="F179" s="2">
        <v>1081.67</v>
      </c>
      <c r="G179" s="2">
        <v>1208.8499999999999</v>
      </c>
      <c r="H179" s="2">
        <v>1228.94</v>
      </c>
      <c r="I179" s="2">
        <v>1300.07</v>
      </c>
      <c r="J179" s="2">
        <v>1376.15</v>
      </c>
      <c r="K179" s="2">
        <v>1422.63</v>
      </c>
      <c r="L179" s="2">
        <v>1461.03</v>
      </c>
    </row>
    <row r="180" spans="1:19" x14ac:dyDescent="0.25">
      <c r="A180" t="s">
        <v>17</v>
      </c>
    </row>
    <row r="181" spans="1:19" x14ac:dyDescent="0.25">
      <c r="A181" t="s">
        <v>188</v>
      </c>
    </row>
    <row r="182" spans="1:19" x14ac:dyDescent="0.25">
      <c r="A182" t="s">
        <v>189</v>
      </c>
    </row>
    <row r="183" spans="1:19" x14ac:dyDescent="0.25">
      <c r="A183" t="s">
        <v>190</v>
      </c>
      <c r="B183">
        <v>292.25</v>
      </c>
      <c r="C183">
        <v>277.92</v>
      </c>
      <c r="D183">
        <v>291.02999999999997</v>
      </c>
      <c r="E183">
        <v>306.91000000000003</v>
      </c>
      <c r="F183">
        <v>326.39999999999998</v>
      </c>
      <c r="G183">
        <v>309.27999999999997</v>
      </c>
      <c r="H183">
        <v>268.52999999999997</v>
      </c>
      <c r="I183">
        <v>307.14999999999998</v>
      </c>
      <c r="J183">
        <v>333.74</v>
      </c>
      <c r="K183">
        <v>342.43</v>
      </c>
      <c r="L183">
        <v>359.7</v>
      </c>
      <c r="M183">
        <v>386.28</v>
      </c>
      <c r="N183">
        <v>441.53</v>
      </c>
      <c r="O183">
        <v>508.34</v>
      </c>
      <c r="P183">
        <v>584.51</v>
      </c>
      <c r="Q183">
        <v>606.85</v>
      </c>
      <c r="R183">
        <v>728.81</v>
      </c>
      <c r="S183" s="2">
        <v>1135.43</v>
      </c>
    </row>
    <row r="184" spans="1:19" x14ac:dyDescent="0.25">
      <c r="A184" t="s">
        <v>127</v>
      </c>
      <c r="B184">
        <v>86.33</v>
      </c>
      <c r="C184">
        <v>84.75</v>
      </c>
      <c r="D184">
        <v>85</v>
      </c>
      <c r="E184">
        <v>85</v>
      </c>
      <c r="F184">
        <v>88.64</v>
      </c>
      <c r="G184">
        <v>70.42</v>
      </c>
      <c r="H184">
        <v>6.51</v>
      </c>
      <c r="I184">
        <v>4.72</v>
      </c>
      <c r="J184">
        <v>4.6500000000000004</v>
      </c>
      <c r="K184">
        <v>10.16</v>
      </c>
      <c r="L184">
        <v>11.93</v>
      </c>
      <c r="M184">
        <v>11.27</v>
      </c>
      <c r="N184">
        <v>10.69</v>
      </c>
      <c r="O184">
        <v>10.68</v>
      </c>
      <c r="P184">
        <v>10.68</v>
      </c>
      <c r="Q184">
        <v>10.68</v>
      </c>
      <c r="R184">
        <v>10.67</v>
      </c>
    </row>
    <row r="185" spans="1:19" x14ac:dyDescent="0.25">
      <c r="A185" t="s">
        <v>67</v>
      </c>
      <c r="B185">
        <v>103.61</v>
      </c>
      <c r="C185">
        <v>135.27000000000001</v>
      </c>
      <c r="D185">
        <v>142.35</v>
      </c>
      <c r="E185">
        <v>150.09</v>
      </c>
      <c r="F185">
        <v>172.22</v>
      </c>
      <c r="G185">
        <v>187.23</v>
      </c>
      <c r="H185">
        <v>189.2</v>
      </c>
      <c r="I185">
        <v>220.16</v>
      </c>
      <c r="J185">
        <v>259.06</v>
      </c>
      <c r="K185">
        <v>286.60000000000002</v>
      </c>
      <c r="L185">
        <v>293.06</v>
      </c>
      <c r="M185">
        <v>343.37</v>
      </c>
      <c r="N185">
        <v>386.38</v>
      </c>
      <c r="O185">
        <v>387.91</v>
      </c>
      <c r="P185">
        <v>421.47</v>
      </c>
      <c r="Q185">
        <v>455.9</v>
      </c>
      <c r="R185">
        <v>697.43</v>
      </c>
      <c r="S185" s="2">
        <v>1059.2</v>
      </c>
    </row>
    <row r="186" spans="1:19" x14ac:dyDescent="0.25">
      <c r="A186" t="s">
        <v>546</v>
      </c>
      <c r="B186">
        <v>7.54</v>
      </c>
      <c r="C186">
        <v>5.55</v>
      </c>
      <c r="D186">
        <v>-49</v>
      </c>
      <c r="E186">
        <v>104.94</v>
      </c>
      <c r="F186">
        <v>3.05</v>
      </c>
      <c r="G186">
        <v>-4.9800000000000004</v>
      </c>
      <c r="H186">
        <v>-17.78</v>
      </c>
      <c r="I186">
        <v>-151.47999999999999</v>
      </c>
      <c r="J186">
        <v>-257.44</v>
      </c>
      <c r="K186">
        <v>-172.06</v>
      </c>
      <c r="L186">
        <v>-198.98</v>
      </c>
      <c r="M186">
        <v>-363.25</v>
      </c>
      <c r="N186">
        <v>-289.06</v>
      </c>
    </row>
    <row r="187" spans="1:19" x14ac:dyDescent="0.25">
      <c r="A187" t="s">
        <v>512</v>
      </c>
      <c r="B187">
        <v>12.67</v>
      </c>
      <c r="C187">
        <v>12.66</v>
      </c>
      <c r="D187">
        <v>48.79</v>
      </c>
      <c r="E187">
        <v>19.05</v>
      </c>
      <c r="F187">
        <v>33.72</v>
      </c>
      <c r="G187">
        <v>1.52</v>
      </c>
      <c r="H187">
        <v>6.63</v>
      </c>
      <c r="I187">
        <v>-17.39</v>
      </c>
      <c r="J187">
        <v>-44.75</v>
      </c>
      <c r="K187">
        <v>52.3</v>
      </c>
      <c r="L187">
        <v>10.24</v>
      </c>
      <c r="M187">
        <v>6.85</v>
      </c>
      <c r="N187">
        <v>-32.71</v>
      </c>
    </row>
    <row r="188" spans="1:19" x14ac:dyDescent="0.25">
      <c r="A188" t="s">
        <v>551</v>
      </c>
      <c r="B188">
        <v>-292.91000000000003</v>
      </c>
      <c r="C188">
        <v>-507</v>
      </c>
      <c r="D188">
        <v>-79.36</v>
      </c>
      <c r="E188">
        <v>-569.30999999999995</v>
      </c>
      <c r="F188">
        <v>-429.61</v>
      </c>
      <c r="G188">
        <v>669.6</v>
      </c>
      <c r="H188">
        <v>-648.08000000000004</v>
      </c>
      <c r="I188">
        <v>-678.74</v>
      </c>
      <c r="J188" s="2">
        <v>-2400.8000000000002</v>
      </c>
      <c r="K188">
        <v>-4.7300000000000004</v>
      </c>
      <c r="L188">
        <v>637.91999999999996</v>
      </c>
      <c r="M188">
        <v>-705.96</v>
      </c>
      <c r="N188" s="2">
        <v>-1627.51</v>
      </c>
      <c r="O188" s="2">
        <v>-2000.45</v>
      </c>
      <c r="P188" s="2">
        <v>-1265.2</v>
      </c>
      <c r="Q188">
        <v>-769.21</v>
      </c>
      <c r="R188" s="2">
        <v>-1439.96</v>
      </c>
    </row>
    <row r="189" spans="1:19" x14ac:dyDescent="0.25">
      <c r="A189" t="s">
        <v>141</v>
      </c>
      <c r="B189">
        <v>-201.55</v>
      </c>
      <c r="C189">
        <v>-294.16000000000003</v>
      </c>
      <c r="D189">
        <v>-169.03</v>
      </c>
      <c r="E189">
        <v>-411.29</v>
      </c>
      <c r="F189">
        <v>-501.63</v>
      </c>
      <c r="G189">
        <v>732.14</v>
      </c>
      <c r="H189">
        <v>-641.83000000000004</v>
      </c>
      <c r="I189">
        <v>-928.93</v>
      </c>
      <c r="J189" s="2">
        <v>-1287.68</v>
      </c>
      <c r="K189" s="2">
        <v>1452.26</v>
      </c>
      <c r="L189">
        <v>303.44</v>
      </c>
      <c r="M189">
        <v>-858.75</v>
      </c>
      <c r="N189" s="2">
        <v>-1962.11</v>
      </c>
      <c r="O189" s="2">
        <v>-1599.91</v>
      </c>
      <c r="P189" s="2">
        <v>-1007.46</v>
      </c>
      <c r="Q189">
        <v>46.94</v>
      </c>
      <c r="R189">
        <v>-978.75</v>
      </c>
    </row>
    <row r="190" spans="1:19" x14ac:dyDescent="0.25">
      <c r="A190" t="s">
        <v>340</v>
      </c>
      <c r="B190">
        <v>-190.06</v>
      </c>
      <c r="C190">
        <v>-207.46</v>
      </c>
      <c r="D190">
        <v>-66.37</v>
      </c>
      <c r="E190">
        <v>-307.88</v>
      </c>
      <c r="F190">
        <v>-701.01</v>
      </c>
      <c r="G190">
        <v>281.36</v>
      </c>
      <c r="H190">
        <v>-411.61</v>
      </c>
      <c r="I190">
        <v>-792.59</v>
      </c>
      <c r="J190" s="2">
        <v>-1351.34</v>
      </c>
      <c r="K190">
        <v>-961.97</v>
      </c>
      <c r="L190">
        <v>528.72</v>
      </c>
      <c r="M190">
        <v>-180.73</v>
      </c>
      <c r="N190">
        <v>-93.86</v>
      </c>
      <c r="O190" s="2">
        <v>-2568.64</v>
      </c>
      <c r="P190">
        <v>-698.54</v>
      </c>
      <c r="Q190">
        <v>-458.55</v>
      </c>
      <c r="R190">
        <v>-656.75</v>
      </c>
    </row>
    <row r="191" spans="1:19" x14ac:dyDescent="0.25">
      <c r="A191" t="s">
        <v>1289</v>
      </c>
      <c r="B191">
        <v>18.7</v>
      </c>
      <c r="C191">
        <v>76.62</v>
      </c>
      <c r="D191">
        <v>41.65</v>
      </c>
      <c r="E191">
        <v>126.82</v>
      </c>
      <c r="F191">
        <v>35.659999999999997</v>
      </c>
      <c r="G191">
        <v>-131.47</v>
      </c>
      <c r="H191">
        <v>208.48</v>
      </c>
      <c r="I191">
        <v>184.62</v>
      </c>
      <c r="J191">
        <v>167.88</v>
      </c>
      <c r="K191">
        <v>-522.20000000000005</v>
      </c>
      <c r="L191">
        <v>125.94</v>
      </c>
      <c r="M191">
        <v>212</v>
      </c>
      <c r="N191">
        <v>417.51</v>
      </c>
      <c r="O191">
        <v>587.14</v>
      </c>
      <c r="P191">
        <v>308.41000000000003</v>
      </c>
      <c r="Q191">
        <v>17.93</v>
      </c>
      <c r="R191">
        <v>195.54</v>
      </c>
    </row>
    <row r="192" spans="1:19" x14ac:dyDescent="0.25">
      <c r="A192" t="s">
        <v>1290</v>
      </c>
      <c r="B192">
        <v>78.61</v>
      </c>
      <c r="C192">
        <v>-29.51</v>
      </c>
      <c r="D192">
        <v>161.07</v>
      </c>
      <c r="E192">
        <v>50.31</v>
      </c>
      <c r="F192">
        <v>751.77</v>
      </c>
      <c r="G192">
        <v>-194.56</v>
      </c>
      <c r="H192">
        <v>211.23</v>
      </c>
      <c r="I192">
        <v>409.34</v>
      </c>
      <c r="J192">
        <v>123.46</v>
      </c>
      <c r="K192">
        <v>-108.83</v>
      </c>
      <c r="L192">
        <v>-304.64999999999998</v>
      </c>
      <c r="M192">
        <v>328.25</v>
      </c>
      <c r="N192">
        <v>-39.29</v>
      </c>
    </row>
    <row r="193" spans="1:19" x14ac:dyDescent="0.25">
      <c r="A193" t="s">
        <v>204</v>
      </c>
      <c r="B193">
        <v>717.05</v>
      </c>
      <c r="C193">
        <v>785.5</v>
      </c>
      <c r="D193" s="2">
        <v>1350.28</v>
      </c>
      <c r="E193" s="2">
        <v>2029.28</v>
      </c>
      <c r="F193" s="2">
        <v>2655.75</v>
      </c>
      <c r="G193" s="2">
        <v>3176.01</v>
      </c>
      <c r="H193" s="2">
        <v>2126.4499999999998</v>
      </c>
      <c r="I193" s="2">
        <v>3588.16</v>
      </c>
      <c r="J193" s="2">
        <v>3099.67</v>
      </c>
      <c r="K193" s="2">
        <v>5178.9399999999996</v>
      </c>
      <c r="L193" s="2">
        <v>4652.2700000000004</v>
      </c>
      <c r="M193" s="2">
        <v>6173.26</v>
      </c>
      <c r="N193" s="2">
        <v>5857.66</v>
      </c>
      <c r="O193" s="2">
        <v>10393.59</v>
      </c>
      <c r="P193" s="2">
        <v>13484.82</v>
      </c>
      <c r="Q193" s="2">
        <v>16056.42</v>
      </c>
      <c r="R193" s="2">
        <v>17540.79</v>
      </c>
      <c r="S193" s="2">
        <v>17903.88</v>
      </c>
    </row>
    <row r="194" spans="1:19" x14ac:dyDescent="0.25">
      <c r="A194" t="s">
        <v>17</v>
      </c>
    </row>
    <row r="195" spans="1:19" x14ac:dyDescent="0.25">
      <c r="A195" t="s">
        <v>205</v>
      </c>
    </row>
    <row r="196" spans="1:19" x14ac:dyDescent="0.25">
      <c r="A196" t="s">
        <v>206</v>
      </c>
      <c r="B196">
        <v>-145.5</v>
      </c>
      <c r="C196">
        <v>-198.27</v>
      </c>
      <c r="D196">
        <v>-175.33</v>
      </c>
      <c r="E196">
        <v>-157.41999999999999</v>
      </c>
      <c r="F196">
        <v>-273.47000000000003</v>
      </c>
      <c r="G196">
        <v>-303.49</v>
      </c>
      <c r="H196">
        <v>-203.24</v>
      </c>
      <c r="I196">
        <v>-349.1</v>
      </c>
      <c r="J196">
        <v>-546.03</v>
      </c>
      <c r="K196">
        <v>-501.57</v>
      </c>
      <c r="L196">
        <v>-396.67</v>
      </c>
      <c r="M196">
        <v>-759.19</v>
      </c>
      <c r="N196">
        <v>-966.41</v>
      </c>
      <c r="O196" s="2">
        <v>-1328</v>
      </c>
      <c r="P196" s="2">
        <v>-1530.85</v>
      </c>
      <c r="Q196" s="2">
        <v>-1744.45</v>
      </c>
      <c r="R196" s="2">
        <v>-1890</v>
      </c>
      <c r="S196" s="2">
        <v>-2084</v>
      </c>
    </row>
    <row r="197" spans="1:19" x14ac:dyDescent="0.25">
      <c r="A197" t="s">
        <v>343</v>
      </c>
      <c r="B197">
        <v>0</v>
      </c>
      <c r="C197">
        <v>-949.74</v>
      </c>
      <c r="D197">
        <v>798.83</v>
      </c>
      <c r="E197" s="2">
        <v>-1883.89</v>
      </c>
      <c r="F197" s="2">
        <v>3152.89</v>
      </c>
      <c r="G197" s="2">
        <v>-1326.21</v>
      </c>
      <c r="H197">
        <v>-15</v>
      </c>
      <c r="I197">
        <v>0</v>
      </c>
      <c r="J197" s="2">
        <v>1165.8800000000001</v>
      </c>
      <c r="K197">
        <v>98.13</v>
      </c>
      <c r="L197">
        <v>37.770000000000003</v>
      </c>
      <c r="M197">
        <v>0</v>
      </c>
      <c r="N197">
        <v>0</v>
      </c>
    </row>
    <row r="198" spans="1:19" x14ac:dyDescent="0.25">
      <c r="A198" t="s">
        <v>212</v>
      </c>
      <c r="B198">
        <v>38.090000000000003</v>
      </c>
      <c r="C198">
        <v>4.33</v>
      </c>
      <c r="D198">
        <v>-110.75</v>
      </c>
      <c r="E198">
        <v>-18.600000000000001</v>
      </c>
      <c r="F198">
        <v>-15.18</v>
      </c>
      <c r="G198">
        <v>-7.36</v>
      </c>
      <c r="H198">
        <v>-25.85</v>
      </c>
      <c r="I198">
        <v>-42.16</v>
      </c>
      <c r="J198">
        <v>-7.58</v>
      </c>
      <c r="K198">
        <v>-11.17</v>
      </c>
      <c r="L198">
        <v>-11.71</v>
      </c>
      <c r="M198">
        <v>51.09</v>
      </c>
      <c r="N198">
        <v>44.25</v>
      </c>
      <c r="O198">
        <v>0</v>
      </c>
      <c r="P198">
        <v>0</v>
      </c>
      <c r="Q198">
        <v>0</v>
      </c>
    </row>
    <row r="199" spans="1:19" x14ac:dyDescent="0.25">
      <c r="A199" t="s">
        <v>213</v>
      </c>
      <c r="B199">
        <v>-265.20999999999998</v>
      </c>
      <c r="C199" s="2">
        <v>-1106.0999999999999</v>
      </c>
      <c r="D199">
        <v>592.48</v>
      </c>
      <c r="E199" s="2">
        <v>-2058.61</v>
      </c>
      <c r="F199" s="2">
        <v>2748.54</v>
      </c>
      <c r="G199" s="2">
        <v>-1637.05</v>
      </c>
      <c r="H199">
        <v>-244.08</v>
      </c>
      <c r="I199">
        <v>73.27</v>
      </c>
      <c r="J199">
        <v>612.28</v>
      </c>
      <c r="K199">
        <v>-534.55999999999995</v>
      </c>
      <c r="L199">
        <v>-370.61</v>
      </c>
      <c r="M199">
        <v>-708.09</v>
      </c>
      <c r="N199">
        <v>-922.15</v>
      </c>
      <c r="O199" s="2">
        <v>-1286.17</v>
      </c>
      <c r="P199" s="2">
        <v>-1538.37</v>
      </c>
      <c r="Q199" s="2">
        <v>-1822.59</v>
      </c>
      <c r="R199" s="2">
        <v>-2106.2600000000002</v>
      </c>
    </row>
    <row r="200" spans="1:19" x14ac:dyDescent="0.25">
      <c r="A200" t="s">
        <v>17</v>
      </c>
    </row>
    <row r="201" spans="1:19" x14ac:dyDescent="0.25">
      <c r="A201" t="s">
        <v>214</v>
      </c>
    </row>
    <row r="202" spans="1:19" x14ac:dyDescent="0.25">
      <c r="A202" t="s">
        <v>347</v>
      </c>
      <c r="B202">
        <v>0</v>
      </c>
      <c r="C202">
        <v>-116.06</v>
      </c>
      <c r="D202">
        <v>-190.4</v>
      </c>
      <c r="E202">
        <v>-243.5</v>
      </c>
      <c r="F202">
        <v>-307.61</v>
      </c>
      <c r="G202">
        <v>-678.35</v>
      </c>
      <c r="H202">
        <v>-656.84</v>
      </c>
      <c r="I202">
        <v>-726.99</v>
      </c>
      <c r="J202">
        <v>-815.29</v>
      </c>
      <c r="K202">
        <v>-907.91</v>
      </c>
      <c r="L202" s="2">
        <v>-1018.92</v>
      </c>
      <c r="M202" s="2">
        <v>-1149.54</v>
      </c>
      <c r="N202" s="2">
        <v>-1270.6400000000001</v>
      </c>
      <c r="O202" s="2">
        <v>-1326.45</v>
      </c>
      <c r="P202" s="2">
        <v>-1477.3</v>
      </c>
      <c r="Q202" s="2">
        <v>-1648.85</v>
      </c>
      <c r="R202" s="2">
        <v>-2055.5</v>
      </c>
      <c r="S202" s="2">
        <v>-2387.9499999999998</v>
      </c>
    </row>
    <row r="203" spans="1:19" x14ac:dyDescent="0.25">
      <c r="A203" t="s">
        <v>763</v>
      </c>
    </row>
    <row r="204" spans="1:19" x14ac:dyDescent="0.25">
      <c r="A204" t="s">
        <v>1291</v>
      </c>
      <c r="B204">
        <v>-1.66</v>
      </c>
      <c r="C204">
        <v>-1.52</v>
      </c>
      <c r="D204">
        <v>-451.5</v>
      </c>
      <c r="E204" s="2">
        <v>-1688.31</v>
      </c>
      <c r="F204" s="2">
        <v>-1505.69</v>
      </c>
      <c r="G204">
        <v>-479.41</v>
      </c>
      <c r="H204" s="2">
        <v>-1917.54</v>
      </c>
      <c r="I204">
        <v>-862.06</v>
      </c>
      <c r="J204">
        <v>-11.89</v>
      </c>
      <c r="K204">
        <v>-23.21</v>
      </c>
      <c r="L204">
        <v>-256.10000000000002</v>
      </c>
      <c r="M204">
        <v>-507.49</v>
      </c>
      <c r="N204">
        <v>-755.43</v>
      </c>
      <c r="O204">
        <v>3.81</v>
      </c>
      <c r="P204">
        <v>0</v>
      </c>
      <c r="Q204">
        <v>0</v>
      </c>
    </row>
    <row r="205" spans="1:19" x14ac:dyDescent="0.25">
      <c r="A205" t="s">
        <v>215</v>
      </c>
      <c r="B205">
        <v>34.79</v>
      </c>
      <c r="C205">
        <v>17.52</v>
      </c>
      <c r="D205">
        <v>3.41</v>
      </c>
      <c r="E205">
        <v>12.91</v>
      </c>
      <c r="F205">
        <v>9.26</v>
      </c>
      <c r="G205">
        <v>6.81</v>
      </c>
      <c r="H205">
        <v>8.08</v>
      </c>
      <c r="I205">
        <v>24.12</v>
      </c>
      <c r="J205">
        <v>5.68</v>
      </c>
      <c r="K205">
        <v>11.11</v>
      </c>
      <c r="L205">
        <v>15.55</v>
      </c>
      <c r="M205">
        <v>2.4500000000000002</v>
      </c>
      <c r="N205">
        <v>17.45</v>
      </c>
    </row>
    <row r="206" spans="1:19" x14ac:dyDescent="0.25">
      <c r="A206" t="s">
        <v>1292</v>
      </c>
      <c r="B206">
        <v>-244.86</v>
      </c>
      <c r="C206">
        <v>-573.24</v>
      </c>
      <c r="D206">
        <v>-158.38999999999999</v>
      </c>
      <c r="E206">
        <v>-811.67</v>
      </c>
      <c r="F206" s="2">
        <v>-2653.25</v>
      </c>
      <c r="G206" s="2">
        <v>-3780.61</v>
      </c>
      <c r="H206" s="2">
        <v>-1369.65</v>
      </c>
      <c r="I206" s="2">
        <v>-2697.7</v>
      </c>
      <c r="J206" s="2">
        <v>-3865.66</v>
      </c>
      <c r="K206" s="2">
        <v>-2017.01</v>
      </c>
      <c r="L206" s="2">
        <v>-2842.81</v>
      </c>
      <c r="M206" s="2">
        <v>-3422.32</v>
      </c>
      <c r="N206" s="2">
        <v>-3851.34</v>
      </c>
      <c r="O206" s="2">
        <v>-4404.3999999999996</v>
      </c>
      <c r="P206" s="2">
        <v>-6100.53</v>
      </c>
      <c r="Q206" s="2">
        <v>-7028</v>
      </c>
      <c r="R206" s="2">
        <v>-8684</v>
      </c>
      <c r="S206" s="2">
        <v>-12441.6</v>
      </c>
    </row>
    <row r="207" spans="1:19" x14ac:dyDescent="0.25">
      <c r="A207" t="s">
        <v>1293</v>
      </c>
      <c r="B207">
        <v>42.93</v>
      </c>
      <c r="C207">
        <v>48.8</v>
      </c>
      <c r="D207">
        <v>55.99</v>
      </c>
      <c r="E207">
        <v>59.66</v>
      </c>
      <c r="F207">
        <v>75.62</v>
      </c>
      <c r="G207">
        <v>77.959999999999994</v>
      </c>
      <c r="I207">
        <v>97.76</v>
      </c>
      <c r="J207">
        <v>108.18</v>
      </c>
      <c r="K207">
        <v>109.9</v>
      </c>
      <c r="L207">
        <v>119.97</v>
      </c>
      <c r="M207">
        <v>140.11000000000001</v>
      </c>
      <c r="N207">
        <v>155.97</v>
      </c>
      <c r="O207">
        <v>0</v>
      </c>
      <c r="P207">
        <v>0</v>
      </c>
    </row>
    <row r="208" spans="1:19" x14ac:dyDescent="0.25">
      <c r="A208" t="s">
        <v>766</v>
      </c>
      <c r="B208">
        <v>-161.08000000000001</v>
      </c>
      <c r="C208">
        <v>-495.52</v>
      </c>
      <c r="D208">
        <v>-100.01</v>
      </c>
      <c r="E208">
        <v>-700.46</v>
      </c>
      <c r="F208" s="2">
        <v>-2568.37</v>
      </c>
      <c r="G208" s="2">
        <v>-3695.84</v>
      </c>
      <c r="H208" s="2">
        <v>-1276.1300000000001</v>
      </c>
      <c r="I208" s="2">
        <v>-2575.8200000000002</v>
      </c>
      <c r="J208" s="2">
        <v>-3751.8</v>
      </c>
      <c r="K208" s="2">
        <v>-1896</v>
      </c>
      <c r="L208" s="2">
        <v>-2707.29</v>
      </c>
      <c r="M208" s="2">
        <v>-3279.76</v>
      </c>
      <c r="N208" s="2">
        <v>-3677.93</v>
      </c>
      <c r="O208" s="2">
        <v>-4648.1499999999996</v>
      </c>
      <c r="P208" s="2">
        <v>-5658.38</v>
      </c>
      <c r="Q208" s="2">
        <v>-3639.42</v>
      </c>
    </row>
    <row r="209" spans="1:19" x14ac:dyDescent="0.25">
      <c r="A209" t="s">
        <v>212</v>
      </c>
      <c r="B209">
        <v>0</v>
      </c>
      <c r="C209">
        <v>-0.66</v>
      </c>
      <c r="D209">
        <v>-0.49</v>
      </c>
      <c r="E209">
        <v>-0.13</v>
      </c>
      <c r="F209">
        <v>0.01</v>
      </c>
      <c r="G209">
        <v>-13.21</v>
      </c>
      <c r="H209">
        <v>1.92</v>
      </c>
      <c r="I209">
        <v>-2.11</v>
      </c>
      <c r="J209">
        <v>0.05</v>
      </c>
      <c r="K209">
        <v>-3.55</v>
      </c>
      <c r="L209">
        <v>-13.54</v>
      </c>
      <c r="M209">
        <v>0.14000000000000001</v>
      </c>
      <c r="N209">
        <v>-13.79</v>
      </c>
      <c r="O209">
        <v>0</v>
      </c>
      <c r="P209">
        <v>0</v>
      </c>
      <c r="Q209">
        <v>0</v>
      </c>
    </row>
    <row r="210" spans="1:19" x14ac:dyDescent="0.25">
      <c r="A210" t="s">
        <v>218</v>
      </c>
      <c r="B210">
        <v>-162.74</v>
      </c>
      <c r="C210">
        <v>378.47</v>
      </c>
      <c r="D210" s="2">
        <v>1595.75</v>
      </c>
      <c r="E210" s="2">
        <v>-2632.39</v>
      </c>
      <c r="F210" s="2">
        <v>-3272.06</v>
      </c>
      <c r="G210" s="2">
        <v>-2390.08</v>
      </c>
      <c r="H210">
        <v>-623.92999999999995</v>
      </c>
      <c r="I210" s="2">
        <v>-4166.9799999999996</v>
      </c>
      <c r="J210" s="2">
        <v>-4578.9399999999996</v>
      </c>
      <c r="K210" s="2">
        <v>-2830.67</v>
      </c>
      <c r="L210" s="2">
        <v>-3995.85</v>
      </c>
      <c r="M210" s="2">
        <v>-4936.6400000000003</v>
      </c>
      <c r="N210" s="2">
        <v>-5717.79</v>
      </c>
      <c r="O210" s="2">
        <v>-5746.44</v>
      </c>
      <c r="P210" s="2">
        <v>-7250.09</v>
      </c>
      <c r="Q210" s="2">
        <v>-7239.48</v>
      </c>
      <c r="R210" s="2">
        <v>-8989.9699999999993</v>
      </c>
    </row>
    <row r="211" spans="1:19" x14ac:dyDescent="0.25">
      <c r="A211" t="s">
        <v>17</v>
      </c>
    </row>
    <row r="212" spans="1:19" x14ac:dyDescent="0.25">
      <c r="A212" t="s">
        <v>176</v>
      </c>
    </row>
    <row r="213" spans="1:19" x14ac:dyDescent="0.25">
      <c r="A213" t="s">
        <v>219</v>
      </c>
      <c r="B213">
        <v>1.1000000000000001</v>
      </c>
      <c r="C213">
        <v>-9.02</v>
      </c>
      <c r="D213">
        <v>-0.72</v>
      </c>
      <c r="E213">
        <v>-0.06</v>
      </c>
      <c r="F213">
        <v>2.59</v>
      </c>
      <c r="G213">
        <v>-4.04</v>
      </c>
      <c r="H213">
        <v>-2.75</v>
      </c>
      <c r="I213">
        <v>7.22</v>
      </c>
      <c r="J213">
        <v>-30.23</v>
      </c>
      <c r="K213">
        <v>0.13</v>
      </c>
      <c r="L213">
        <v>-22.37</v>
      </c>
      <c r="M213">
        <v>28.32</v>
      </c>
      <c r="N213">
        <v>-27.43</v>
      </c>
      <c r="O213">
        <v>28.53</v>
      </c>
      <c r="P213">
        <v>0</v>
      </c>
      <c r="Q213">
        <v>0</v>
      </c>
    </row>
    <row r="214" spans="1:19" x14ac:dyDescent="0.25">
      <c r="A214" t="s">
        <v>220</v>
      </c>
      <c r="B214">
        <v>290.2</v>
      </c>
      <c r="C214">
        <v>48.86</v>
      </c>
      <c r="D214" s="2">
        <v>3537.78</v>
      </c>
      <c r="E214" s="2">
        <v>-2661.79</v>
      </c>
      <c r="F214" s="2">
        <v>2134.8200000000002</v>
      </c>
      <c r="G214">
        <v>-855.16</v>
      </c>
      <c r="H214" s="2">
        <v>1255.69</v>
      </c>
      <c r="I214">
        <v>-498.33</v>
      </c>
      <c r="J214">
        <v>-897.22</v>
      </c>
      <c r="K214" s="2">
        <v>1813.84</v>
      </c>
      <c r="L214">
        <v>263.43</v>
      </c>
      <c r="M214">
        <v>556.85</v>
      </c>
      <c r="N214">
        <v>-809.71</v>
      </c>
      <c r="O214" s="2">
        <v>4470.4399999999996</v>
      </c>
      <c r="P214" s="2">
        <v>6200.9</v>
      </c>
      <c r="Q214" s="2">
        <v>7964.41</v>
      </c>
      <c r="R214" s="2">
        <v>9221.98</v>
      </c>
    </row>
    <row r="215" spans="1:19" x14ac:dyDescent="0.25">
      <c r="A215" t="s">
        <v>1294</v>
      </c>
      <c r="B215" s="2">
        <v>1162.47</v>
      </c>
      <c r="C215" s="2">
        <v>1452.68</v>
      </c>
      <c r="D215" s="2">
        <v>1501.54</v>
      </c>
      <c r="E215" s="2">
        <v>5039.32</v>
      </c>
      <c r="F215" s="2">
        <v>2633.74</v>
      </c>
      <c r="G215" s="2">
        <v>4768.5600000000004</v>
      </c>
      <c r="H215" s="2">
        <v>3913.4</v>
      </c>
      <c r="I215" s="2">
        <v>5169.08</v>
      </c>
      <c r="J215" s="2">
        <v>4670.75</v>
      </c>
      <c r="K215" s="2">
        <v>3773.54</v>
      </c>
      <c r="L215" s="2">
        <v>5587.37</v>
      </c>
      <c r="M215" s="2">
        <v>5850.8</v>
      </c>
      <c r="N215" s="2">
        <v>6407.66</v>
      </c>
      <c r="O215" s="2">
        <v>4048.28</v>
      </c>
      <c r="P215" s="2">
        <v>9700.69</v>
      </c>
      <c r="Q215" s="2">
        <v>14232.51</v>
      </c>
      <c r="R215" s="2">
        <v>20660.939999999999</v>
      </c>
    </row>
    <row r="216" spans="1:19" x14ac:dyDescent="0.25">
      <c r="A216" t="s">
        <v>178</v>
      </c>
    </row>
    <row r="217" spans="1:19" x14ac:dyDescent="0.25">
      <c r="A217" t="s">
        <v>225</v>
      </c>
      <c r="B217">
        <v>571.54999999999995</v>
      </c>
      <c r="C217">
        <v>587.24</v>
      </c>
      <c r="D217" s="2">
        <v>1174.95</v>
      </c>
      <c r="E217" s="2">
        <v>1871.86</v>
      </c>
      <c r="F217" s="2">
        <v>2382.2800000000002</v>
      </c>
      <c r="G217" s="2">
        <v>2872.52</v>
      </c>
      <c r="H217" s="2">
        <v>1923.21</v>
      </c>
      <c r="I217" s="2">
        <v>3239.07</v>
      </c>
      <c r="J217" s="2">
        <v>2553.64</v>
      </c>
      <c r="K217" s="2">
        <v>4677.37</v>
      </c>
      <c r="L217" s="2">
        <v>4255.6000000000004</v>
      </c>
      <c r="M217" s="2">
        <v>5414.08</v>
      </c>
      <c r="N217" s="2">
        <v>2078.2399999999998</v>
      </c>
      <c r="O217" s="2">
        <v>8980.8799999999992</v>
      </c>
      <c r="P217" s="2">
        <v>12067.52</v>
      </c>
      <c r="Q217" s="2">
        <v>14423.26</v>
      </c>
      <c r="R217" s="2">
        <v>15477.08</v>
      </c>
      <c r="S217" s="2">
        <v>15395.2</v>
      </c>
    </row>
    <row r="218" spans="1:19" x14ac:dyDescent="0.25">
      <c r="A218" t="s">
        <v>1061</v>
      </c>
      <c r="B218">
        <v>12.41</v>
      </c>
      <c r="C218">
        <v>11.17</v>
      </c>
      <c r="D218">
        <v>19.96</v>
      </c>
      <c r="E218">
        <v>23.36</v>
      </c>
      <c r="F218">
        <v>21.51</v>
      </c>
      <c r="G218">
        <v>29.76</v>
      </c>
      <c r="H218">
        <v>19.149999999999999</v>
      </c>
      <c r="I218">
        <v>22.15</v>
      </c>
      <c r="J218">
        <v>14.82</v>
      </c>
      <c r="K218">
        <v>26.84</v>
      </c>
      <c r="L218">
        <v>28.55</v>
      </c>
      <c r="M218">
        <v>29.37</v>
      </c>
      <c r="N218">
        <v>21.05</v>
      </c>
      <c r="O218">
        <v>26.89</v>
      </c>
      <c r="P218">
        <v>27.99</v>
      </c>
      <c r="Q218">
        <v>30.25</v>
      </c>
      <c r="R218">
        <v>26.48</v>
      </c>
      <c r="S218">
        <v>27.62</v>
      </c>
    </row>
    <row r="219" spans="1:19" x14ac:dyDescent="0.25">
      <c r="A219" t="s">
        <v>1215</v>
      </c>
      <c r="B219">
        <v>0.33</v>
      </c>
      <c r="C219">
        <v>0.33</v>
      </c>
      <c r="D219">
        <v>0.67</v>
      </c>
      <c r="E219">
        <v>1.02</v>
      </c>
      <c r="F219">
        <v>1.32</v>
      </c>
      <c r="G219">
        <v>1.8</v>
      </c>
      <c r="H219">
        <v>1.29</v>
      </c>
      <c r="I219">
        <v>2.23</v>
      </c>
      <c r="J219">
        <v>1.82</v>
      </c>
      <c r="K219">
        <v>3.44</v>
      </c>
      <c r="L219">
        <v>3.22</v>
      </c>
      <c r="M219">
        <v>4.2</v>
      </c>
      <c r="N219">
        <v>3.88</v>
      </c>
      <c r="O219">
        <v>7.36</v>
      </c>
      <c r="P219">
        <v>10.029999999999999</v>
      </c>
      <c r="Q219">
        <v>11.39</v>
      </c>
      <c r="R219">
        <v>13.14</v>
      </c>
      <c r="S219">
        <v>13.6</v>
      </c>
    </row>
    <row r="220" spans="1:19" x14ac:dyDescent="0.25">
      <c r="A220" t="s">
        <v>230</v>
      </c>
      <c r="B220">
        <v>3.16</v>
      </c>
      <c r="C220">
        <v>3.77</v>
      </c>
      <c r="D220">
        <v>2.98</v>
      </c>
      <c r="E220">
        <v>1.96</v>
      </c>
      <c r="F220">
        <v>2.4700000000000002</v>
      </c>
      <c r="G220">
        <v>3.14</v>
      </c>
      <c r="H220">
        <v>2.02</v>
      </c>
      <c r="I220">
        <v>2.39</v>
      </c>
      <c r="J220">
        <v>3.17</v>
      </c>
      <c r="K220">
        <v>2.88</v>
      </c>
      <c r="L220">
        <v>2.66</v>
      </c>
      <c r="M220">
        <v>4.12</v>
      </c>
      <c r="N220">
        <v>4.16</v>
      </c>
      <c r="O220">
        <v>3.85</v>
      </c>
      <c r="P220">
        <v>3.12</v>
      </c>
      <c r="Q220">
        <v>3.14</v>
      </c>
      <c r="R220">
        <v>4.2</v>
      </c>
      <c r="S220">
        <v>4.5</v>
      </c>
    </row>
    <row r="221" spans="1:19" x14ac:dyDescent="0.25">
      <c r="A221" t="s">
        <v>17</v>
      </c>
    </row>
    <row r="222" spans="1:19" x14ac:dyDescent="0.25">
      <c r="A222" t="s">
        <v>231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84EE-1AB6-4F42-A62F-5AF73132734A}">
  <dimension ref="A1:U284"/>
  <sheetViews>
    <sheetView workbookViewId="0">
      <selection sqref="A1:U284"/>
    </sheetView>
  </sheetViews>
  <sheetFormatPr defaultRowHeight="15" x14ac:dyDescent="0.25"/>
  <sheetData>
    <row r="1" spans="1:21" x14ac:dyDescent="0.25">
      <c r="A1" t="s">
        <v>1295</v>
      </c>
    </row>
    <row r="2" spans="1:21" x14ac:dyDescent="0.25">
      <c r="A2" t="s">
        <v>1296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41574</v>
      </c>
      <c r="C4" s="1">
        <v>41938</v>
      </c>
      <c r="D4" s="1">
        <v>42302</v>
      </c>
      <c r="E4" s="1">
        <v>42673</v>
      </c>
      <c r="F4" s="1">
        <v>43037</v>
      </c>
      <c r="G4" s="1">
        <v>43401</v>
      </c>
      <c r="H4" s="1">
        <v>43765</v>
      </c>
      <c r="I4" s="1">
        <v>44129</v>
      </c>
      <c r="J4" s="1">
        <v>44500</v>
      </c>
      <c r="K4" s="1">
        <v>44864</v>
      </c>
      <c r="L4" s="1">
        <v>45228</v>
      </c>
      <c r="M4" s="1">
        <v>45592</v>
      </c>
      <c r="N4" s="1">
        <v>45956</v>
      </c>
      <c r="O4" s="1">
        <v>46320</v>
      </c>
      <c r="P4" s="1">
        <v>46691</v>
      </c>
      <c r="Q4" s="1">
        <v>47055</v>
      </c>
      <c r="R4" s="1">
        <v>47419</v>
      </c>
      <c r="S4" s="1">
        <v>47783</v>
      </c>
      <c r="T4" s="1">
        <v>48147</v>
      </c>
      <c r="U4" s="1">
        <v>48518</v>
      </c>
    </row>
    <row r="5" spans="1:21" x14ac:dyDescent="0.25">
      <c r="A5" t="s">
        <v>14</v>
      </c>
    </row>
    <row r="6" spans="1:21" x14ac:dyDescent="0.25">
      <c r="A6" t="s">
        <v>15</v>
      </c>
      <c r="B6">
        <v>0.59</v>
      </c>
      <c r="C6">
        <v>1.07</v>
      </c>
      <c r="D6">
        <v>1.19</v>
      </c>
      <c r="E6">
        <v>1.75</v>
      </c>
      <c r="F6">
        <v>3.25</v>
      </c>
      <c r="G6">
        <v>4.45</v>
      </c>
      <c r="H6">
        <v>3.04</v>
      </c>
      <c r="I6">
        <v>4.17</v>
      </c>
      <c r="J6">
        <v>6.84</v>
      </c>
      <c r="K6">
        <v>7.7</v>
      </c>
      <c r="L6">
        <v>8.0500000000000007</v>
      </c>
      <c r="M6">
        <v>8.65</v>
      </c>
      <c r="N6">
        <v>9.42</v>
      </c>
      <c r="O6">
        <v>12.99</v>
      </c>
      <c r="P6">
        <v>18.809999999999999</v>
      </c>
      <c r="Q6">
        <v>23.93</v>
      </c>
      <c r="R6">
        <v>26.2</v>
      </c>
      <c r="S6">
        <v>30.06</v>
      </c>
      <c r="T6">
        <v>32.19</v>
      </c>
    </row>
    <row r="7" spans="1:21" x14ac:dyDescent="0.25">
      <c r="A7" t="s">
        <v>16</v>
      </c>
      <c r="B7" s="2">
        <v>7509</v>
      </c>
      <c r="C7" s="2">
        <v>9072</v>
      </c>
      <c r="D7" s="2">
        <v>9659</v>
      </c>
      <c r="E7" s="2">
        <v>10825</v>
      </c>
      <c r="F7" s="2">
        <v>14537</v>
      </c>
      <c r="G7" s="2">
        <v>17253</v>
      </c>
      <c r="H7" s="2">
        <v>14608</v>
      </c>
      <c r="I7" s="2">
        <v>17202</v>
      </c>
      <c r="J7" s="2">
        <v>23063</v>
      </c>
      <c r="K7" s="2">
        <v>25785</v>
      </c>
      <c r="L7" s="2">
        <v>26517</v>
      </c>
      <c r="M7" s="2">
        <v>27176</v>
      </c>
      <c r="N7" s="2">
        <v>28368</v>
      </c>
      <c r="O7" s="2">
        <v>34343.519999999997</v>
      </c>
      <c r="P7" s="2">
        <v>46816.91</v>
      </c>
      <c r="Q7" s="2">
        <v>56118.23</v>
      </c>
      <c r="R7" s="2">
        <v>60662</v>
      </c>
      <c r="S7" s="2">
        <v>67307.5</v>
      </c>
      <c r="T7" s="2">
        <v>71119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1297</v>
      </c>
      <c r="B10" s="2">
        <v>4775</v>
      </c>
      <c r="C10" s="2">
        <v>5978</v>
      </c>
      <c r="D10" s="2">
        <v>6135</v>
      </c>
      <c r="E10" s="2">
        <v>6873</v>
      </c>
      <c r="F10" s="2">
        <v>9544</v>
      </c>
      <c r="G10" s="2">
        <v>10577</v>
      </c>
      <c r="H10" s="2">
        <v>9027</v>
      </c>
      <c r="I10" s="2">
        <v>11367</v>
      </c>
      <c r="J10" s="2">
        <v>16286</v>
      </c>
      <c r="K10" s="2">
        <v>18797</v>
      </c>
      <c r="L10" s="2">
        <v>19698</v>
      </c>
      <c r="M10" s="2">
        <v>19911</v>
      </c>
      <c r="N10" s="2">
        <v>20798</v>
      </c>
      <c r="O10" s="2">
        <v>26114.76</v>
      </c>
      <c r="P10" s="2">
        <v>36962.44</v>
      </c>
      <c r="Q10" s="2">
        <v>43322.8</v>
      </c>
      <c r="R10" s="2">
        <v>47908.15</v>
      </c>
      <c r="S10" s="2">
        <v>52820.94</v>
      </c>
      <c r="T10" s="2">
        <v>55335.76</v>
      </c>
    </row>
    <row r="11" spans="1:21" x14ac:dyDescent="0.25">
      <c r="A11" t="s">
        <v>1298</v>
      </c>
      <c r="B11" s="2">
        <v>2023</v>
      </c>
      <c r="C11" s="2">
        <v>2114</v>
      </c>
      <c r="D11" s="2">
        <v>2447</v>
      </c>
      <c r="E11" s="2">
        <v>2589</v>
      </c>
      <c r="F11" s="2">
        <v>3014</v>
      </c>
      <c r="G11" s="2">
        <v>3754</v>
      </c>
      <c r="H11" s="2">
        <v>3854</v>
      </c>
      <c r="I11" s="2">
        <v>4155</v>
      </c>
      <c r="J11" s="2">
        <v>5013</v>
      </c>
      <c r="K11" s="2">
        <v>5543</v>
      </c>
      <c r="L11" s="2">
        <v>5732</v>
      </c>
      <c r="M11" s="2">
        <v>6225</v>
      </c>
      <c r="N11" s="2">
        <v>6385</v>
      </c>
      <c r="O11" s="2">
        <v>6858.48</v>
      </c>
      <c r="P11" s="2">
        <v>8190.37</v>
      </c>
      <c r="Q11" s="2">
        <v>9118.11</v>
      </c>
      <c r="R11" s="2">
        <v>10610.43</v>
      </c>
      <c r="S11" s="2">
        <v>12234.42</v>
      </c>
      <c r="T11" s="2">
        <v>14030.74</v>
      </c>
    </row>
    <row r="12" spans="1:21" x14ac:dyDescent="0.25">
      <c r="A12" t="s">
        <v>212</v>
      </c>
      <c r="O12">
        <v>888.03</v>
      </c>
      <c r="P12">
        <v>995.5</v>
      </c>
      <c r="Q12">
        <v>996.99</v>
      </c>
    </row>
    <row r="13" spans="1:21" x14ac:dyDescent="0.25">
      <c r="A13" t="s">
        <v>17</v>
      </c>
    </row>
    <row r="14" spans="1:21" x14ac:dyDescent="0.25">
      <c r="A14" t="s">
        <v>176</v>
      </c>
    </row>
    <row r="15" spans="1:21" x14ac:dyDescent="0.25">
      <c r="A15" t="s">
        <v>622</v>
      </c>
      <c r="B15">
        <v>113.84</v>
      </c>
      <c r="C15">
        <v>109.08</v>
      </c>
      <c r="D15">
        <v>116.91</v>
      </c>
      <c r="E15">
        <v>120.45</v>
      </c>
      <c r="F15">
        <v>131.9</v>
      </c>
      <c r="G15">
        <v>147.41</v>
      </c>
      <c r="H15">
        <v>153.80000000000001</v>
      </c>
      <c r="I15">
        <v>149.43</v>
      </c>
      <c r="J15">
        <v>131.59</v>
      </c>
      <c r="K15">
        <v>156.56</v>
      </c>
      <c r="L15">
        <v>147.44999999999999</v>
      </c>
      <c r="M15">
        <v>138.19</v>
      </c>
      <c r="N15">
        <v>147.88</v>
      </c>
      <c r="O15">
        <v>158.9</v>
      </c>
      <c r="P15">
        <v>141.81</v>
      </c>
      <c r="Q15">
        <v>146.13999999999999</v>
      </c>
      <c r="R15">
        <v>166.8</v>
      </c>
      <c r="S15">
        <v>166.8</v>
      </c>
      <c r="T15">
        <v>166.8</v>
      </c>
    </row>
    <row r="16" spans="1:21" x14ac:dyDescent="0.25">
      <c r="A16" t="s">
        <v>621</v>
      </c>
      <c r="B16">
        <v>3.37</v>
      </c>
      <c r="C16">
        <v>3.51</v>
      </c>
      <c r="D16">
        <v>3.36</v>
      </c>
      <c r="E16">
        <v>3.25</v>
      </c>
      <c r="F16">
        <v>3.25</v>
      </c>
      <c r="G16">
        <v>2.76</v>
      </c>
      <c r="H16">
        <v>2.29</v>
      </c>
      <c r="I16">
        <v>2.58</v>
      </c>
      <c r="J16">
        <v>2.96</v>
      </c>
      <c r="K16">
        <v>2.69</v>
      </c>
      <c r="L16">
        <v>2.42</v>
      </c>
      <c r="M16">
        <v>2.56</v>
      </c>
      <c r="N16">
        <v>2.57</v>
      </c>
      <c r="O16">
        <v>2.4</v>
      </c>
      <c r="P16">
        <v>2.72</v>
      </c>
      <c r="Q16">
        <v>2.76</v>
      </c>
      <c r="R16">
        <v>2.4900000000000002</v>
      </c>
      <c r="S16">
        <v>2.37</v>
      </c>
      <c r="T16">
        <v>2.31</v>
      </c>
    </row>
    <row r="17" spans="1:20" x14ac:dyDescent="0.25">
      <c r="A17" t="s">
        <v>17</v>
      </c>
    </row>
    <row r="18" spans="1:20" x14ac:dyDescent="0.25">
      <c r="A18" t="s">
        <v>30</v>
      </c>
      <c r="B18">
        <v>42.1</v>
      </c>
      <c r="C18">
        <v>44.1</v>
      </c>
      <c r="D18">
        <v>42.9</v>
      </c>
      <c r="E18">
        <v>43.2</v>
      </c>
      <c r="F18">
        <v>46.1</v>
      </c>
      <c r="G18">
        <v>46.3</v>
      </c>
      <c r="H18">
        <v>44</v>
      </c>
      <c r="I18">
        <v>45.1</v>
      </c>
      <c r="J18">
        <v>47.5</v>
      </c>
      <c r="K18">
        <v>46.6</v>
      </c>
      <c r="L18">
        <v>46.8</v>
      </c>
      <c r="M18">
        <v>47.6</v>
      </c>
      <c r="N18">
        <v>48.8</v>
      </c>
      <c r="O18">
        <v>50.1</v>
      </c>
      <c r="P18">
        <v>50.79</v>
      </c>
      <c r="Q18">
        <v>51.38</v>
      </c>
      <c r="R18">
        <v>51.96</v>
      </c>
      <c r="S18">
        <v>53.05</v>
      </c>
      <c r="T18">
        <v>53.23</v>
      </c>
    </row>
    <row r="19" spans="1:20" x14ac:dyDescent="0.25">
      <c r="A19" t="s">
        <v>1299</v>
      </c>
      <c r="B19" s="2">
        <v>1320</v>
      </c>
      <c r="C19" s="2">
        <v>1428</v>
      </c>
      <c r="D19" s="2">
        <v>1451</v>
      </c>
      <c r="E19" s="2">
        <v>1540</v>
      </c>
      <c r="F19" s="2">
        <v>1781</v>
      </c>
      <c r="G19" s="2">
        <v>2022</v>
      </c>
      <c r="H19" s="2">
        <v>2054</v>
      </c>
      <c r="I19" s="2">
        <v>2234</v>
      </c>
      <c r="J19" s="2">
        <v>2485</v>
      </c>
      <c r="K19" s="2">
        <v>2771</v>
      </c>
      <c r="L19" s="2">
        <v>3102</v>
      </c>
      <c r="M19" s="2">
        <v>3233</v>
      </c>
      <c r="N19" s="2">
        <v>3570</v>
      </c>
      <c r="O19" s="2">
        <v>4199.24</v>
      </c>
      <c r="P19" s="2">
        <v>4952.96</v>
      </c>
      <c r="Q19" s="2">
        <v>5560.84</v>
      </c>
      <c r="R19" s="2">
        <v>5941.05</v>
      </c>
      <c r="S19" s="2">
        <v>6692.86</v>
      </c>
      <c r="T19" s="2">
        <v>7609.69</v>
      </c>
    </row>
    <row r="20" spans="1:20" x14ac:dyDescent="0.25">
      <c r="A20" t="s">
        <v>1300</v>
      </c>
      <c r="B20" s="2">
        <v>1032</v>
      </c>
      <c r="C20" s="2">
        <v>1781</v>
      </c>
      <c r="D20" s="2">
        <v>1896</v>
      </c>
      <c r="E20" s="2">
        <v>2347</v>
      </c>
      <c r="F20" s="2">
        <v>4050</v>
      </c>
      <c r="G20" s="2">
        <v>4998</v>
      </c>
      <c r="H20" s="2">
        <v>3427</v>
      </c>
      <c r="I20" s="2">
        <v>4529</v>
      </c>
      <c r="J20" s="2">
        <v>7322</v>
      </c>
      <c r="K20" s="2">
        <v>7861</v>
      </c>
      <c r="L20" s="2">
        <v>7719</v>
      </c>
      <c r="M20" s="2">
        <v>7924</v>
      </c>
      <c r="N20" s="2">
        <v>8562</v>
      </c>
      <c r="O20" s="2">
        <v>11333.71</v>
      </c>
      <c r="P20" s="2">
        <v>16839.240000000002</v>
      </c>
      <c r="Q20" s="2">
        <v>21228</v>
      </c>
      <c r="R20" s="2">
        <v>23135.67</v>
      </c>
      <c r="S20" s="2">
        <v>25806.5</v>
      </c>
      <c r="T20" s="2">
        <v>27928</v>
      </c>
    </row>
    <row r="21" spans="1:20" x14ac:dyDescent="0.25">
      <c r="A21" t="s">
        <v>1301</v>
      </c>
      <c r="B21">
        <v>13.74</v>
      </c>
      <c r="C21">
        <v>19.63</v>
      </c>
      <c r="D21">
        <v>19.63</v>
      </c>
      <c r="E21">
        <v>21.68</v>
      </c>
      <c r="F21">
        <v>28.02</v>
      </c>
      <c r="G21">
        <v>28.09</v>
      </c>
      <c r="H21">
        <v>23.46</v>
      </c>
      <c r="I21">
        <v>26.33</v>
      </c>
      <c r="J21">
        <v>31.75</v>
      </c>
      <c r="K21">
        <v>30.49</v>
      </c>
      <c r="L21">
        <v>29.11</v>
      </c>
      <c r="M21">
        <v>29.16</v>
      </c>
      <c r="N21">
        <v>30.18</v>
      </c>
      <c r="O21">
        <v>33.08</v>
      </c>
      <c r="P21">
        <v>36.090000000000003</v>
      </c>
      <c r="Q21">
        <v>37.590000000000003</v>
      </c>
      <c r="R21">
        <v>38.130000000000003</v>
      </c>
      <c r="S21">
        <v>38.35</v>
      </c>
      <c r="T21">
        <v>39.270000000000003</v>
      </c>
    </row>
    <row r="22" spans="1:20" x14ac:dyDescent="0.25">
      <c r="A22" t="s">
        <v>17</v>
      </c>
    </row>
    <row r="23" spans="1:20" x14ac:dyDescent="0.25">
      <c r="A23" t="s">
        <v>1302</v>
      </c>
      <c r="B23">
        <v>956</v>
      </c>
      <c r="C23" s="2">
        <v>1709</v>
      </c>
      <c r="D23" s="2">
        <v>1793</v>
      </c>
      <c r="E23" s="2">
        <v>2261</v>
      </c>
      <c r="F23" s="2">
        <v>3915</v>
      </c>
      <c r="G23" s="2">
        <v>4871</v>
      </c>
      <c r="H23" s="2">
        <v>3310</v>
      </c>
      <c r="I23" s="2">
        <v>4354</v>
      </c>
      <c r="J23" s="2">
        <v>7106</v>
      </c>
      <c r="K23" s="2">
        <v>7599</v>
      </c>
      <c r="L23" s="2">
        <v>7739</v>
      </c>
      <c r="M23" s="2">
        <v>8152</v>
      </c>
      <c r="N23" s="2">
        <v>9271</v>
      </c>
      <c r="O23" s="2">
        <v>11593.96</v>
      </c>
      <c r="P23" s="2">
        <v>17112.669999999998</v>
      </c>
      <c r="Q23" s="2">
        <v>21994.57</v>
      </c>
      <c r="R23" s="2">
        <v>23172.5</v>
      </c>
      <c r="S23" s="2">
        <v>25971</v>
      </c>
      <c r="T23" s="2">
        <v>27880</v>
      </c>
    </row>
    <row r="24" spans="1:20" x14ac:dyDescent="0.25">
      <c r="A24" t="s">
        <v>528</v>
      </c>
      <c r="B24">
        <v>718</v>
      </c>
      <c r="C24" s="2">
        <v>1314</v>
      </c>
      <c r="D24" s="2">
        <v>1457</v>
      </c>
      <c r="E24" s="2">
        <v>1950</v>
      </c>
      <c r="F24" s="2">
        <v>3525</v>
      </c>
      <c r="G24" s="2">
        <v>4569</v>
      </c>
      <c r="H24" s="2">
        <v>2875</v>
      </c>
      <c r="I24" s="2">
        <v>3845</v>
      </c>
      <c r="J24" s="2">
        <v>6287</v>
      </c>
      <c r="K24" s="2">
        <v>6756</v>
      </c>
      <c r="L24" s="2">
        <v>6802</v>
      </c>
      <c r="M24" s="2">
        <v>7210</v>
      </c>
      <c r="N24" s="2">
        <v>7607</v>
      </c>
      <c r="O24" s="2">
        <v>10217.52</v>
      </c>
      <c r="P24" s="2">
        <v>14876.13</v>
      </c>
      <c r="Q24" s="2">
        <v>18512.53</v>
      </c>
      <c r="R24" s="2">
        <v>20140</v>
      </c>
      <c r="S24" s="2">
        <v>22445.5</v>
      </c>
      <c r="T24" s="2">
        <v>23990</v>
      </c>
    </row>
    <row r="25" spans="1:20" x14ac:dyDescent="0.25">
      <c r="A25" t="s">
        <v>17</v>
      </c>
    </row>
    <row r="26" spans="1:20" x14ac:dyDescent="0.25">
      <c r="A26" t="s">
        <v>93</v>
      </c>
      <c r="B26">
        <v>410</v>
      </c>
      <c r="C26">
        <v>375</v>
      </c>
      <c r="D26">
        <v>371</v>
      </c>
      <c r="E26">
        <v>389</v>
      </c>
      <c r="F26">
        <v>407</v>
      </c>
      <c r="G26">
        <v>457</v>
      </c>
      <c r="H26">
        <v>363</v>
      </c>
      <c r="I26">
        <v>376</v>
      </c>
      <c r="J26">
        <v>394</v>
      </c>
      <c r="K26">
        <v>444</v>
      </c>
      <c r="L26">
        <v>515</v>
      </c>
      <c r="M26">
        <v>392</v>
      </c>
      <c r="N26">
        <v>435</v>
      </c>
      <c r="O26">
        <v>573.25</v>
      </c>
      <c r="P26">
        <v>681.75</v>
      </c>
      <c r="Q26">
        <v>728.8</v>
      </c>
      <c r="R26">
        <v>711.11</v>
      </c>
      <c r="S26">
        <v>746.67</v>
      </c>
      <c r="T26">
        <v>784</v>
      </c>
    </row>
    <row r="27" spans="1:20" x14ac:dyDescent="0.25">
      <c r="A27" t="s">
        <v>242</v>
      </c>
      <c r="B27">
        <v>-197</v>
      </c>
      <c r="C27">
        <v>-241</v>
      </c>
      <c r="D27">
        <v>-215</v>
      </c>
      <c r="E27">
        <v>-253</v>
      </c>
      <c r="F27">
        <v>-345</v>
      </c>
      <c r="G27">
        <v>-622</v>
      </c>
      <c r="H27">
        <v>-441</v>
      </c>
      <c r="I27">
        <v>-422</v>
      </c>
      <c r="J27">
        <v>-668</v>
      </c>
      <c r="K27">
        <v>-787</v>
      </c>
      <c r="L27" s="2">
        <v>-1106</v>
      </c>
      <c r="M27" s="2">
        <v>-1190</v>
      </c>
      <c r="N27" s="2">
        <v>-2260</v>
      </c>
      <c r="O27" s="2">
        <v>-2657.67</v>
      </c>
      <c r="P27" s="2">
        <v>-2547</v>
      </c>
      <c r="Q27" s="2">
        <v>-2462.33</v>
      </c>
      <c r="R27" s="2">
        <v>-2025.33</v>
      </c>
      <c r="S27" s="2">
        <v>-2358.5</v>
      </c>
      <c r="T27" s="2">
        <v>-2134</v>
      </c>
    </row>
    <row r="28" spans="1:20" x14ac:dyDescent="0.25">
      <c r="A28" t="s">
        <v>17</v>
      </c>
    </row>
    <row r="29" spans="1:20" x14ac:dyDescent="0.25">
      <c r="A29" t="s">
        <v>37</v>
      </c>
    </row>
    <row r="30" spans="1:20" x14ac:dyDescent="0.25">
      <c r="A30" t="s">
        <v>17</v>
      </c>
    </row>
    <row r="31" spans="1:20" x14ac:dyDescent="0.25">
      <c r="A31" t="s">
        <v>38</v>
      </c>
    </row>
    <row r="32" spans="1:20" x14ac:dyDescent="0.25">
      <c r="A32" t="s">
        <v>1071</v>
      </c>
      <c r="B32" s="2">
        <v>2372</v>
      </c>
      <c r="C32" s="2">
        <v>2917</v>
      </c>
      <c r="D32" s="2">
        <v>3142</v>
      </c>
      <c r="E32" s="2">
        <v>4578</v>
      </c>
      <c r="F32" s="2">
        <v>6031</v>
      </c>
      <c r="G32" s="2">
        <v>6092</v>
      </c>
      <c r="H32" s="2">
        <v>6473</v>
      </c>
      <c r="I32" s="2">
        <v>6656</v>
      </c>
      <c r="J32" s="2">
        <v>11758</v>
      </c>
      <c r="K32" s="2">
        <v>19011</v>
      </c>
      <c r="L32" s="2">
        <v>17171</v>
      </c>
      <c r="M32" s="2">
        <v>15873</v>
      </c>
      <c r="N32" s="2">
        <v>15002</v>
      </c>
    </row>
    <row r="33" spans="1:20" x14ac:dyDescent="0.25">
      <c r="A33" t="s">
        <v>1297</v>
      </c>
      <c r="B33" s="2">
        <v>1295</v>
      </c>
      <c r="C33" s="2">
        <v>1400</v>
      </c>
      <c r="D33" s="2">
        <v>1720</v>
      </c>
      <c r="E33" s="2">
        <v>2098</v>
      </c>
      <c r="F33" s="2">
        <v>2991</v>
      </c>
      <c r="G33" s="2">
        <v>2479</v>
      </c>
      <c r="H33" s="2">
        <v>2925</v>
      </c>
      <c r="I33" s="2">
        <v>2880</v>
      </c>
      <c r="J33" s="2">
        <v>6679</v>
      </c>
      <c r="K33" s="2">
        <v>12691</v>
      </c>
      <c r="L33" s="2">
        <v>11127</v>
      </c>
      <c r="M33" s="2">
        <v>8259</v>
      </c>
      <c r="N33" s="2">
        <v>7105</v>
      </c>
    </row>
    <row r="34" spans="1:20" x14ac:dyDescent="0.25">
      <c r="A34" t="s">
        <v>1298</v>
      </c>
      <c r="B34">
        <v>591</v>
      </c>
      <c r="C34">
        <v>775</v>
      </c>
      <c r="D34">
        <v>779</v>
      </c>
      <c r="E34">
        <v>866</v>
      </c>
      <c r="F34" s="2">
        <v>1130</v>
      </c>
      <c r="G34" s="2">
        <v>1751</v>
      </c>
      <c r="H34" s="2">
        <v>2073</v>
      </c>
      <c r="I34" s="2">
        <v>2607</v>
      </c>
      <c r="J34" s="2">
        <v>4335</v>
      </c>
      <c r="K34" s="2">
        <v>5643</v>
      </c>
      <c r="L34" s="2">
        <v>5162</v>
      </c>
      <c r="M34" s="2">
        <v>6767</v>
      </c>
      <c r="N34" s="2">
        <v>7141</v>
      </c>
      <c r="O34" s="2">
        <v>7713.36</v>
      </c>
      <c r="P34" s="2">
        <v>6942.02</v>
      </c>
    </row>
    <row r="35" spans="1:20" x14ac:dyDescent="0.25">
      <c r="A35" t="s">
        <v>17</v>
      </c>
    </row>
    <row r="36" spans="1:20" x14ac:dyDescent="0.25">
      <c r="A36" t="s">
        <v>1303</v>
      </c>
      <c r="C36" s="2">
        <v>6132</v>
      </c>
      <c r="D36" s="2">
        <v>10104</v>
      </c>
      <c r="E36" s="2">
        <v>12416</v>
      </c>
      <c r="F36" s="2">
        <v>9544</v>
      </c>
      <c r="G36" s="2">
        <v>10577</v>
      </c>
      <c r="H36" s="2">
        <v>9027</v>
      </c>
      <c r="I36" s="2">
        <v>11367</v>
      </c>
      <c r="J36" s="2">
        <v>16286</v>
      </c>
      <c r="K36" s="2">
        <v>18797</v>
      </c>
      <c r="L36" s="2">
        <v>19698</v>
      </c>
      <c r="M36" s="2">
        <v>19911</v>
      </c>
      <c r="N36" s="2">
        <v>7105</v>
      </c>
    </row>
    <row r="37" spans="1:20" x14ac:dyDescent="0.25">
      <c r="A37" t="s">
        <v>17</v>
      </c>
    </row>
    <row r="38" spans="1:20" x14ac:dyDescent="0.25">
      <c r="A38" t="s">
        <v>58</v>
      </c>
    </row>
    <row r="39" spans="1:20" x14ac:dyDescent="0.25">
      <c r="A39" t="s">
        <v>1304</v>
      </c>
    </row>
    <row r="40" spans="1:20" x14ac:dyDescent="0.25">
      <c r="A40" t="s">
        <v>60</v>
      </c>
      <c r="B40" s="2">
        <v>4775</v>
      </c>
      <c r="C40" s="2">
        <v>5978</v>
      </c>
      <c r="D40" s="2">
        <v>6135</v>
      </c>
      <c r="E40" s="2">
        <v>6873</v>
      </c>
      <c r="F40" s="2">
        <v>9544</v>
      </c>
      <c r="G40" s="2">
        <v>10577</v>
      </c>
      <c r="H40" s="2">
        <v>9027</v>
      </c>
      <c r="I40" s="2">
        <v>11367</v>
      </c>
      <c r="J40" s="2">
        <v>16286</v>
      </c>
      <c r="K40" s="2">
        <v>18797</v>
      </c>
      <c r="L40" s="2">
        <v>19698</v>
      </c>
      <c r="M40" s="2">
        <v>19911</v>
      </c>
      <c r="N40" s="2">
        <v>20798</v>
      </c>
      <c r="O40" s="2">
        <v>26114.76</v>
      </c>
      <c r="P40" s="2">
        <v>36962.44</v>
      </c>
      <c r="Q40" s="2">
        <v>43322.8</v>
      </c>
      <c r="R40" s="2">
        <v>47908.15</v>
      </c>
      <c r="S40" s="2">
        <v>52820.94</v>
      </c>
      <c r="T40" s="2">
        <v>55335.76</v>
      </c>
    </row>
    <row r="41" spans="1:20" x14ac:dyDescent="0.25">
      <c r="A41" t="s">
        <v>61</v>
      </c>
      <c r="B41">
        <v>64</v>
      </c>
      <c r="C41">
        <v>66</v>
      </c>
      <c r="D41">
        <v>64</v>
      </c>
      <c r="E41">
        <v>64</v>
      </c>
      <c r="F41">
        <v>65</v>
      </c>
      <c r="G41">
        <v>63</v>
      </c>
      <c r="H41">
        <v>62</v>
      </c>
      <c r="I41">
        <v>66</v>
      </c>
      <c r="J41">
        <v>71</v>
      </c>
      <c r="K41">
        <v>73</v>
      </c>
      <c r="L41">
        <v>74</v>
      </c>
      <c r="M41">
        <v>73</v>
      </c>
      <c r="N41">
        <v>73</v>
      </c>
      <c r="O41">
        <v>76.11</v>
      </c>
      <c r="P41">
        <v>81.010000000000005</v>
      </c>
      <c r="Q41">
        <v>80.180000000000007</v>
      </c>
      <c r="R41">
        <v>78.81</v>
      </c>
    </row>
    <row r="42" spans="1:20" x14ac:dyDescent="0.25">
      <c r="A42" t="s">
        <v>1305</v>
      </c>
      <c r="F42" s="2">
        <v>4867.4399999999996</v>
      </c>
      <c r="G42" s="2">
        <v>3807.72</v>
      </c>
      <c r="H42" s="2">
        <v>4694.04</v>
      </c>
      <c r="I42" s="2">
        <v>6706.53</v>
      </c>
      <c r="J42" s="2">
        <v>9771.6</v>
      </c>
      <c r="K42" s="2">
        <v>12406.02</v>
      </c>
      <c r="L42" s="2">
        <v>15167.46</v>
      </c>
      <c r="M42" s="2">
        <v>13539.48</v>
      </c>
      <c r="N42" s="2">
        <v>13934.66</v>
      </c>
      <c r="O42" s="2">
        <v>17026.740000000002</v>
      </c>
      <c r="P42" s="2">
        <v>22658.67</v>
      </c>
      <c r="Q42" s="2">
        <v>25964.02</v>
      </c>
      <c r="R42" s="2">
        <v>28918.05</v>
      </c>
      <c r="S42" s="2">
        <v>30541.01</v>
      </c>
      <c r="T42" s="2">
        <v>31957.61</v>
      </c>
    </row>
    <row r="43" spans="1:20" x14ac:dyDescent="0.25">
      <c r="A43" t="s">
        <v>76</v>
      </c>
      <c r="F43">
        <v>51</v>
      </c>
      <c r="G43">
        <v>36</v>
      </c>
      <c r="H43">
        <v>52</v>
      </c>
      <c r="I43">
        <v>59</v>
      </c>
      <c r="J43">
        <v>60</v>
      </c>
      <c r="K43">
        <v>66</v>
      </c>
      <c r="L43">
        <v>77</v>
      </c>
      <c r="M43">
        <v>68</v>
      </c>
      <c r="N43">
        <v>67</v>
      </c>
      <c r="O43">
        <v>60.71</v>
      </c>
      <c r="P43">
        <v>56.11</v>
      </c>
      <c r="Q43">
        <v>53.79</v>
      </c>
      <c r="R43">
        <v>53.86</v>
      </c>
      <c r="S43">
        <v>57.82</v>
      </c>
      <c r="T43">
        <v>57.75</v>
      </c>
    </row>
    <row r="44" spans="1:20" x14ac:dyDescent="0.25">
      <c r="A44" t="s">
        <v>1306</v>
      </c>
      <c r="E44" s="2">
        <v>1099.68</v>
      </c>
      <c r="F44" s="2">
        <v>1431.6</v>
      </c>
      <c r="G44" s="2">
        <v>2855.79</v>
      </c>
      <c r="H44" s="2">
        <v>1985.94</v>
      </c>
      <c r="I44" s="2">
        <v>2273.4</v>
      </c>
      <c r="J44" s="2">
        <v>3094.34</v>
      </c>
      <c r="K44" s="2">
        <v>3571.43</v>
      </c>
      <c r="L44" s="2">
        <v>3348.66</v>
      </c>
      <c r="M44" s="2">
        <v>5575.08</v>
      </c>
      <c r="N44" s="2">
        <v>5407.48</v>
      </c>
      <c r="O44" s="2">
        <v>7658.34</v>
      </c>
      <c r="P44" s="2">
        <v>12728.86</v>
      </c>
      <c r="Q44" s="2">
        <v>15616.78</v>
      </c>
      <c r="R44" s="2">
        <v>16284.99</v>
      </c>
      <c r="S44" s="2">
        <v>19200.57</v>
      </c>
      <c r="T44" s="2">
        <v>20160.599999999999</v>
      </c>
    </row>
    <row r="45" spans="1:20" x14ac:dyDescent="0.25">
      <c r="A45" t="s">
        <v>76</v>
      </c>
      <c r="E45">
        <v>16</v>
      </c>
      <c r="F45">
        <v>15</v>
      </c>
      <c r="G45">
        <v>27</v>
      </c>
      <c r="H45">
        <v>22</v>
      </c>
      <c r="I45">
        <v>20</v>
      </c>
      <c r="J45">
        <v>19</v>
      </c>
      <c r="K45">
        <v>19</v>
      </c>
      <c r="L45">
        <v>17</v>
      </c>
      <c r="M45">
        <v>28</v>
      </c>
      <c r="N45">
        <v>26</v>
      </c>
      <c r="O45">
        <v>28.43</v>
      </c>
      <c r="P45">
        <v>33.04</v>
      </c>
      <c r="Q45">
        <v>34</v>
      </c>
      <c r="R45">
        <v>33.83</v>
      </c>
      <c r="S45">
        <v>36.35</v>
      </c>
      <c r="T45">
        <v>36.43</v>
      </c>
    </row>
    <row r="46" spans="1:20" x14ac:dyDescent="0.25">
      <c r="A46" t="s">
        <v>1307</v>
      </c>
      <c r="E46" s="2">
        <v>2130.63</v>
      </c>
      <c r="F46" s="2">
        <v>3244.96</v>
      </c>
      <c r="G46" s="2">
        <v>3913.49</v>
      </c>
      <c r="H46" s="2">
        <v>2347.02</v>
      </c>
      <c r="I46" s="2">
        <v>2387.0700000000002</v>
      </c>
      <c r="J46" s="2">
        <v>3420.06</v>
      </c>
      <c r="K46" s="2">
        <v>2819.55</v>
      </c>
      <c r="L46" s="2">
        <v>1181.8800000000001</v>
      </c>
      <c r="M46">
        <v>796.44</v>
      </c>
      <c r="N46" s="2">
        <v>1455.86</v>
      </c>
      <c r="O46" s="2">
        <v>1396.22</v>
      </c>
      <c r="P46" s="2">
        <v>2241.67</v>
      </c>
      <c r="Q46" s="2">
        <v>2439.7600000000002</v>
      </c>
      <c r="R46" s="2">
        <v>2705.11</v>
      </c>
      <c r="S46" s="2">
        <v>3079.36</v>
      </c>
      <c r="T46" s="2">
        <v>3217.56</v>
      </c>
    </row>
    <row r="47" spans="1:20" x14ac:dyDescent="0.25">
      <c r="A47" t="s">
        <v>76</v>
      </c>
      <c r="E47">
        <v>31</v>
      </c>
      <c r="F47">
        <v>34</v>
      </c>
      <c r="G47">
        <v>37</v>
      </c>
      <c r="H47">
        <v>26</v>
      </c>
      <c r="I47">
        <v>21</v>
      </c>
      <c r="J47">
        <v>21</v>
      </c>
      <c r="K47">
        <v>15</v>
      </c>
      <c r="L47">
        <v>6</v>
      </c>
      <c r="M47">
        <v>4</v>
      </c>
      <c r="N47">
        <v>7</v>
      </c>
      <c r="O47">
        <v>5.12</v>
      </c>
      <c r="P47">
        <v>5.78</v>
      </c>
      <c r="Q47">
        <v>5.26</v>
      </c>
      <c r="R47">
        <v>5.63</v>
      </c>
      <c r="S47">
        <v>5.83</v>
      </c>
      <c r="T47">
        <v>5.81</v>
      </c>
    </row>
    <row r="48" spans="1:20" x14ac:dyDescent="0.25">
      <c r="A48" t="s">
        <v>116</v>
      </c>
      <c r="B48">
        <v>876</v>
      </c>
      <c r="C48" s="2">
        <v>1391</v>
      </c>
      <c r="D48" s="2">
        <v>1410</v>
      </c>
      <c r="E48" s="2">
        <v>1807</v>
      </c>
      <c r="F48" s="2">
        <v>3177</v>
      </c>
      <c r="G48" s="2">
        <v>3441</v>
      </c>
      <c r="H48" s="2">
        <v>2464</v>
      </c>
      <c r="I48" s="2">
        <v>3714</v>
      </c>
      <c r="J48" s="2">
        <v>6311</v>
      </c>
      <c r="K48" s="2">
        <v>6969</v>
      </c>
      <c r="L48" s="2">
        <v>7090</v>
      </c>
      <c r="M48" s="2">
        <v>6981</v>
      </c>
      <c r="N48" s="2">
        <v>7379</v>
      </c>
      <c r="O48" s="2">
        <v>6440</v>
      </c>
    </row>
    <row r="49" spans="1:20" x14ac:dyDescent="0.25">
      <c r="A49" t="s">
        <v>269</v>
      </c>
      <c r="B49">
        <v>18.3</v>
      </c>
      <c r="C49">
        <v>23.3</v>
      </c>
      <c r="D49">
        <v>23</v>
      </c>
      <c r="E49">
        <v>26.3</v>
      </c>
      <c r="F49">
        <v>33.299999999999997</v>
      </c>
      <c r="G49">
        <v>32.5</v>
      </c>
      <c r="H49">
        <v>27.3</v>
      </c>
      <c r="I49">
        <v>32.700000000000003</v>
      </c>
      <c r="J49">
        <v>38.799999999999997</v>
      </c>
      <c r="K49">
        <v>37.1</v>
      </c>
      <c r="L49">
        <v>36</v>
      </c>
      <c r="M49">
        <v>35.1</v>
      </c>
      <c r="N49">
        <v>35.5</v>
      </c>
      <c r="O49">
        <v>30.08</v>
      </c>
      <c r="P49">
        <v>35</v>
      </c>
      <c r="Q49">
        <v>37</v>
      </c>
    </row>
    <row r="50" spans="1:20" x14ac:dyDescent="0.25">
      <c r="A50" t="s">
        <v>1308</v>
      </c>
      <c r="B50" s="2">
        <v>1050</v>
      </c>
      <c r="C50" s="2">
        <v>1565</v>
      </c>
      <c r="D50" s="2">
        <v>1588</v>
      </c>
      <c r="E50" s="2">
        <v>1991</v>
      </c>
      <c r="F50" s="2">
        <v>3361</v>
      </c>
      <c r="G50" s="2">
        <v>3624</v>
      </c>
      <c r="H50" s="2">
        <v>2507</v>
      </c>
      <c r="I50" s="2">
        <v>3778</v>
      </c>
      <c r="J50" s="2">
        <v>6362</v>
      </c>
      <c r="K50" s="2">
        <v>7000</v>
      </c>
      <c r="L50" s="2">
        <v>7129</v>
      </c>
      <c r="M50" s="2">
        <v>7021</v>
      </c>
      <c r="N50" s="2">
        <v>7424</v>
      </c>
      <c r="O50" s="2">
        <v>9817.59</v>
      </c>
      <c r="P50" s="2">
        <v>13910.85</v>
      </c>
      <c r="Q50" s="2">
        <v>16220.07</v>
      </c>
      <c r="R50" s="2">
        <v>16914.97</v>
      </c>
    </row>
    <row r="51" spans="1:20" x14ac:dyDescent="0.25">
      <c r="A51" t="s">
        <v>1309</v>
      </c>
      <c r="B51">
        <v>22</v>
      </c>
      <c r="C51">
        <v>26.2</v>
      </c>
      <c r="D51">
        <v>25.9</v>
      </c>
      <c r="E51">
        <v>29</v>
      </c>
      <c r="F51">
        <v>35.200000000000003</v>
      </c>
      <c r="G51">
        <v>34.299999999999997</v>
      </c>
      <c r="H51">
        <v>27.8</v>
      </c>
      <c r="I51">
        <v>33.200000000000003</v>
      </c>
      <c r="J51">
        <v>39.1</v>
      </c>
      <c r="K51">
        <v>37.200000000000003</v>
      </c>
      <c r="L51">
        <v>36.200000000000003</v>
      </c>
      <c r="M51">
        <v>35.299999999999997</v>
      </c>
      <c r="N51">
        <v>35.700000000000003</v>
      </c>
      <c r="O51">
        <v>36.32</v>
      </c>
      <c r="P51">
        <v>37</v>
      </c>
      <c r="Q51">
        <v>36.99</v>
      </c>
      <c r="R51">
        <v>37.99</v>
      </c>
    </row>
    <row r="52" spans="1:20" x14ac:dyDescent="0.25">
      <c r="A52" t="s">
        <v>1310</v>
      </c>
    </row>
    <row r="53" spans="1:20" x14ac:dyDescent="0.25">
      <c r="A53" t="s">
        <v>60</v>
      </c>
      <c r="B53" s="2">
        <v>2023</v>
      </c>
      <c r="C53" s="2">
        <v>2114</v>
      </c>
      <c r="D53" s="2">
        <v>2447</v>
      </c>
      <c r="E53" s="2">
        <v>2589</v>
      </c>
      <c r="F53" s="2">
        <v>3014</v>
      </c>
      <c r="G53" s="2">
        <v>3754</v>
      </c>
      <c r="H53" s="2">
        <v>3854</v>
      </c>
      <c r="I53" s="2">
        <v>4155</v>
      </c>
      <c r="J53" s="2">
        <v>5013</v>
      </c>
      <c r="K53" s="2">
        <v>5543</v>
      </c>
      <c r="L53" s="2">
        <v>5732</v>
      </c>
      <c r="M53" s="2">
        <v>6225</v>
      </c>
      <c r="N53" s="2">
        <v>6385</v>
      </c>
      <c r="O53" s="2">
        <v>6858.48</v>
      </c>
      <c r="P53" s="2">
        <v>8190.37</v>
      </c>
      <c r="Q53" s="2">
        <v>9118.11</v>
      </c>
      <c r="R53" s="2">
        <v>10610.43</v>
      </c>
      <c r="S53" s="2">
        <v>12234.42</v>
      </c>
      <c r="T53" s="2">
        <v>14030.74</v>
      </c>
    </row>
    <row r="54" spans="1:20" x14ac:dyDescent="0.25">
      <c r="A54" t="s">
        <v>61</v>
      </c>
      <c r="B54">
        <v>27</v>
      </c>
      <c r="C54">
        <v>24</v>
      </c>
      <c r="D54">
        <v>25</v>
      </c>
      <c r="E54">
        <v>24</v>
      </c>
      <c r="F54">
        <v>20</v>
      </c>
      <c r="G54">
        <v>22</v>
      </c>
      <c r="H54">
        <v>26</v>
      </c>
      <c r="I54">
        <v>24</v>
      </c>
      <c r="J54">
        <v>22</v>
      </c>
      <c r="K54">
        <v>22</v>
      </c>
      <c r="L54">
        <v>22</v>
      </c>
      <c r="M54">
        <v>23</v>
      </c>
      <c r="N54">
        <v>23</v>
      </c>
      <c r="O54">
        <v>20.59</v>
      </c>
      <c r="P54">
        <v>18.09</v>
      </c>
      <c r="Q54">
        <v>17.760000000000002</v>
      </c>
      <c r="R54">
        <v>18.420000000000002</v>
      </c>
    </row>
    <row r="55" spans="1:20" x14ac:dyDescent="0.25">
      <c r="A55" t="s">
        <v>116</v>
      </c>
      <c r="B55">
        <v>436</v>
      </c>
      <c r="C55">
        <v>538</v>
      </c>
      <c r="D55">
        <v>630</v>
      </c>
      <c r="E55">
        <v>682</v>
      </c>
      <c r="F55">
        <v>817</v>
      </c>
      <c r="G55" s="2">
        <v>1102</v>
      </c>
      <c r="H55" s="2">
        <v>1101</v>
      </c>
      <c r="I55" s="2">
        <v>1127</v>
      </c>
      <c r="J55" s="2">
        <v>1508</v>
      </c>
      <c r="K55" s="2">
        <v>1661</v>
      </c>
      <c r="L55" s="2">
        <v>1657</v>
      </c>
      <c r="M55" s="2">
        <v>1812</v>
      </c>
      <c r="N55" s="2">
        <v>1792</v>
      </c>
      <c r="O55" s="2">
        <v>2028.65</v>
      </c>
      <c r="P55" s="2">
        <v>2449.37</v>
      </c>
      <c r="Q55" s="2">
        <v>2828.37</v>
      </c>
    </row>
    <row r="56" spans="1:20" x14ac:dyDescent="0.25">
      <c r="A56" t="s">
        <v>269</v>
      </c>
      <c r="B56">
        <v>21.6</v>
      </c>
      <c r="C56">
        <v>25.4</v>
      </c>
      <c r="D56">
        <v>25.7</v>
      </c>
      <c r="E56">
        <v>26.3</v>
      </c>
      <c r="F56">
        <v>27.1</v>
      </c>
      <c r="G56">
        <v>29.4</v>
      </c>
      <c r="H56">
        <v>28.6</v>
      </c>
      <c r="I56">
        <v>27.1</v>
      </c>
      <c r="J56">
        <v>30.1</v>
      </c>
      <c r="K56">
        <v>30</v>
      </c>
      <c r="L56">
        <v>28.9</v>
      </c>
      <c r="M56">
        <v>29.1</v>
      </c>
      <c r="N56">
        <v>28.1</v>
      </c>
      <c r="O56">
        <v>30.95</v>
      </c>
      <c r="P56">
        <v>35.880000000000003</v>
      </c>
      <c r="Q56">
        <v>37.909999999999997</v>
      </c>
      <c r="R56">
        <v>38.04</v>
      </c>
    </row>
    <row r="57" spans="1:20" x14ac:dyDescent="0.25">
      <c r="A57" t="s">
        <v>1308</v>
      </c>
      <c r="B57">
        <v>443</v>
      </c>
      <c r="C57">
        <v>541</v>
      </c>
      <c r="D57">
        <v>633</v>
      </c>
      <c r="E57">
        <v>683</v>
      </c>
      <c r="F57">
        <v>821</v>
      </c>
      <c r="G57" s="2">
        <v>1104</v>
      </c>
      <c r="H57" s="2">
        <v>1101</v>
      </c>
      <c r="I57" s="2">
        <v>1135</v>
      </c>
      <c r="J57" s="2">
        <v>1517</v>
      </c>
      <c r="K57" s="2">
        <v>1661</v>
      </c>
      <c r="L57" s="2">
        <v>1657</v>
      </c>
      <c r="M57" s="2">
        <v>1812</v>
      </c>
      <c r="N57" s="2">
        <v>1792</v>
      </c>
      <c r="O57" s="2">
        <v>1833.9</v>
      </c>
      <c r="P57" s="2">
        <v>2452.0300000000002</v>
      </c>
      <c r="Q57" s="2">
        <v>3031.88</v>
      </c>
      <c r="R57" s="2">
        <v>3416.29</v>
      </c>
    </row>
    <row r="58" spans="1:20" x14ac:dyDescent="0.25">
      <c r="A58" t="s">
        <v>1309</v>
      </c>
      <c r="B58">
        <v>21.9</v>
      </c>
      <c r="C58">
        <v>25.6</v>
      </c>
      <c r="D58">
        <v>25.9</v>
      </c>
      <c r="E58">
        <v>26.4</v>
      </c>
      <c r="F58">
        <v>27.2</v>
      </c>
      <c r="G58">
        <v>29.4</v>
      </c>
      <c r="H58">
        <v>28.6</v>
      </c>
      <c r="I58">
        <v>27.3</v>
      </c>
      <c r="J58">
        <v>30.3</v>
      </c>
      <c r="K58">
        <v>30</v>
      </c>
      <c r="L58">
        <v>28.9</v>
      </c>
      <c r="M58">
        <v>29.1</v>
      </c>
      <c r="N58">
        <v>28.1</v>
      </c>
      <c r="O58">
        <v>29.44</v>
      </c>
      <c r="P58">
        <v>29.87</v>
      </c>
      <c r="Q58">
        <v>30.1</v>
      </c>
    </row>
    <row r="59" spans="1:20" x14ac:dyDescent="0.25">
      <c r="A59" t="s">
        <v>260</v>
      </c>
    </row>
    <row r="60" spans="1:20" x14ac:dyDescent="0.25">
      <c r="A60" t="s">
        <v>1311</v>
      </c>
      <c r="O60">
        <v>888.03</v>
      </c>
      <c r="P60">
        <v>995.5</v>
      </c>
      <c r="Q60">
        <v>996.99</v>
      </c>
    </row>
    <row r="61" spans="1:20" x14ac:dyDescent="0.25">
      <c r="A61" t="s">
        <v>61</v>
      </c>
      <c r="O61">
        <v>3.76</v>
      </c>
      <c r="P61">
        <v>3.07</v>
      </c>
      <c r="Q61">
        <v>2.57</v>
      </c>
    </row>
    <row r="62" spans="1:20" x14ac:dyDescent="0.25">
      <c r="A62" t="s">
        <v>1312</v>
      </c>
    </row>
    <row r="63" spans="1:20" x14ac:dyDescent="0.25">
      <c r="A63" t="s">
        <v>1308</v>
      </c>
      <c r="O63">
        <v>-170.45</v>
      </c>
      <c r="P63">
        <v>719.26</v>
      </c>
      <c r="Q63" s="2">
        <v>1833.37</v>
      </c>
    </row>
    <row r="64" spans="1:20" x14ac:dyDescent="0.25">
      <c r="A64" t="s">
        <v>17</v>
      </c>
    </row>
    <row r="65" spans="1:17" x14ac:dyDescent="0.25">
      <c r="A65" t="s">
        <v>51</v>
      </c>
    </row>
    <row r="66" spans="1:17" x14ac:dyDescent="0.25">
      <c r="A66" t="s">
        <v>1313</v>
      </c>
    </row>
    <row r="67" spans="1:17" x14ac:dyDescent="0.25">
      <c r="A67" t="s">
        <v>60</v>
      </c>
      <c r="C67">
        <v>848</v>
      </c>
      <c r="D67">
        <v>944</v>
      </c>
      <c r="E67" s="2">
        <v>1206</v>
      </c>
      <c r="F67" s="2">
        <v>2042</v>
      </c>
      <c r="G67" s="2">
        <v>2298</v>
      </c>
      <c r="H67" s="2">
        <v>1651</v>
      </c>
      <c r="I67" s="2">
        <v>1607</v>
      </c>
      <c r="J67" s="2">
        <v>1634</v>
      </c>
      <c r="K67" s="2">
        <v>1331</v>
      </c>
      <c r="L67">
        <v>868</v>
      </c>
      <c r="M67">
        <v>885</v>
      </c>
      <c r="O67" s="2">
        <v>1347.8</v>
      </c>
      <c r="P67" s="2">
        <v>1669.08</v>
      </c>
      <c r="Q67" s="2">
        <v>1592.37</v>
      </c>
    </row>
    <row r="68" spans="1:17" x14ac:dyDescent="0.25">
      <c r="A68" t="s">
        <v>61</v>
      </c>
      <c r="C68">
        <v>9</v>
      </c>
      <c r="D68">
        <v>10</v>
      </c>
      <c r="E68">
        <v>11</v>
      </c>
      <c r="F68">
        <v>14</v>
      </c>
      <c r="G68">
        <v>14</v>
      </c>
      <c r="H68">
        <v>11</v>
      </c>
      <c r="I68">
        <v>9</v>
      </c>
      <c r="J68">
        <v>7</v>
      </c>
      <c r="K68">
        <v>5</v>
      </c>
      <c r="L68">
        <v>3</v>
      </c>
      <c r="M68">
        <v>3</v>
      </c>
      <c r="O68">
        <v>4.01</v>
      </c>
      <c r="P68">
        <v>4.12</v>
      </c>
      <c r="Q68">
        <v>3</v>
      </c>
    </row>
    <row r="69" spans="1:17" x14ac:dyDescent="0.25">
      <c r="A69" t="s">
        <v>116</v>
      </c>
      <c r="C69">
        <v>202</v>
      </c>
      <c r="D69">
        <v>191</v>
      </c>
      <c r="E69">
        <v>245</v>
      </c>
      <c r="F69">
        <v>585</v>
      </c>
      <c r="G69">
        <v>574</v>
      </c>
      <c r="H69">
        <v>294</v>
      </c>
      <c r="I69">
        <v>291</v>
      </c>
      <c r="J69">
        <v>314</v>
      </c>
      <c r="K69">
        <v>260</v>
      </c>
      <c r="L69">
        <v>133</v>
      </c>
      <c r="M69">
        <v>51</v>
      </c>
    </row>
    <row r="70" spans="1:17" x14ac:dyDescent="0.25">
      <c r="A70" t="s">
        <v>269</v>
      </c>
      <c r="C70">
        <v>23.8</v>
      </c>
      <c r="D70">
        <v>20.2</v>
      </c>
      <c r="E70">
        <v>20.3</v>
      </c>
      <c r="F70">
        <v>28.6</v>
      </c>
      <c r="G70">
        <v>25</v>
      </c>
      <c r="H70">
        <v>17.8</v>
      </c>
      <c r="I70">
        <v>18.100000000000001</v>
      </c>
      <c r="J70">
        <v>19.2</v>
      </c>
      <c r="K70">
        <v>19.5</v>
      </c>
      <c r="L70">
        <v>15.3</v>
      </c>
      <c r="M70">
        <v>5.8</v>
      </c>
    </row>
    <row r="71" spans="1:17" x14ac:dyDescent="0.25">
      <c r="A71" t="s">
        <v>1308</v>
      </c>
      <c r="C71">
        <v>206</v>
      </c>
      <c r="D71">
        <v>194</v>
      </c>
      <c r="E71">
        <v>245</v>
      </c>
      <c r="F71">
        <v>590</v>
      </c>
      <c r="G71">
        <v>589</v>
      </c>
      <c r="H71">
        <v>307</v>
      </c>
      <c r="I71">
        <v>304</v>
      </c>
      <c r="J71">
        <v>327</v>
      </c>
      <c r="K71">
        <v>263</v>
      </c>
      <c r="L71">
        <v>133</v>
      </c>
      <c r="M71">
        <v>51</v>
      </c>
      <c r="O71">
        <v>-75.8</v>
      </c>
      <c r="P71">
        <v>424.54</v>
      </c>
    </row>
    <row r="72" spans="1:17" x14ac:dyDescent="0.25">
      <c r="A72" t="s">
        <v>1314</v>
      </c>
      <c r="C72">
        <v>24.3</v>
      </c>
      <c r="D72">
        <v>20.6</v>
      </c>
      <c r="E72">
        <v>20.3</v>
      </c>
      <c r="F72">
        <v>28.9</v>
      </c>
      <c r="G72">
        <v>25.6</v>
      </c>
      <c r="H72">
        <v>18.600000000000001</v>
      </c>
      <c r="I72">
        <v>18.899999999999999</v>
      </c>
      <c r="J72">
        <v>20</v>
      </c>
      <c r="K72">
        <v>19.8</v>
      </c>
      <c r="L72">
        <v>15.3</v>
      </c>
      <c r="M72">
        <v>5.8</v>
      </c>
      <c r="O72">
        <v>-5.43</v>
      </c>
      <c r="P72">
        <v>21.04</v>
      </c>
    </row>
    <row r="73" spans="1:17" x14ac:dyDescent="0.25">
      <c r="A73" t="s">
        <v>17</v>
      </c>
    </row>
    <row r="74" spans="1:17" x14ac:dyDescent="0.25">
      <c r="A74" t="s">
        <v>72</v>
      </c>
    </row>
    <row r="75" spans="1:17" x14ac:dyDescent="0.25">
      <c r="A75" t="s">
        <v>385</v>
      </c>
    </row>
    <row r="76" spans="1:17" x14ac:dyDescent="0.25">
      <c r="A76" t="s">
        <v>60</v>
      </c>
      <c r="B76" s="2">
        <v>1473</v>
      </c>
      <c r="C76" s="2">
        <v>1966</v>
      </c>
      <c r="D76" s="2">
        <v>1630</v>
      </c>
      <c r="E76" s="2">
        <v>1143</v>
      </c>
      <c r="F76" s="2">
        <v>1512</v>
      </c>
      <c r="G76" s="2">
        <v>1413</v>
      </c>
      <c r="H76" s="2">
        <v>1871</v>
      </c>
      <c r="I76" s="2">
        <v>1619</v>
      </c>
      <c r="J76" s="2">
        <v>2038</v>
      </c>
      <c r="K76" s="2">
        <v>3104</v>
      </c>
      <c r="L76" s="2">
        <v>4006</v>
      </c>
      <c r="M76" s="2">
        <v>3818</v>
      </c>
      <c r="N76" s="2">
        <v>3063</v>
      </c>
      <c r="O76" s="2">
        <v>2964</v>
      </c>
    </row>
    <row r="77" spans="1:17" x14ac:dyDescent="0.25">
      <c r="A77" t="s">
        <v>61</v>
      </c>
      <c r="B77">
        <v>20</v>
      </c>
      <c r="C77">
        <v>22</v>
      </c>
      <c r="D77">
        <v>17</v>
      </c>
      <c r="E77">
        <v>11</v>
      </c>
      <c r="F77">
        <v>10</v>
      </c>
      <c r="G77">
        <v>9</v>
      </c>
      <c r="H77">
        <v>13</v>
      </c>
      <c r="I77">
        <v>10</v>
      </c>
      <c r="J77">
        <v>9</v>
      </c>
      <c r="K77">
        <v>12</v>
      </c>
      <c r="L77">
        <v>15</v>
      </c>
      <c r="M77">
        <v>14</v>
      </c>
      <c r="N77">
        <v>11</v>
      </c>
      <c r="O77">
        <v>9.93</v>
      </c>
    </row>
    <row r="78" spans="1:17" x14ac:dyDescent="0.25">
      <c r="A78" t="s">
        <v>1315</v>
      </c>
    </row>
    <row r="79" spans="1:17" x14ac:dyDescent="0.25">
      <c r="A79" t="s">
        <v>638</v>
      </c>
    </row>
    <row r="80" spans="1:17" x14ac:dyDescent="0.25">
      <c r="A80" t="s">
        <v>1316</v>
      </c>
    </row>
    <row r="81" spans="1:17" x14ac:dyDescent="0.25">
      <c r="A81" t="s">
        <v>1317</v>
      </c>
      <c r="B81">
        <v>787</v>
      </c>
      <c r="C81" s="2">
        <v>1608</v>
      </c>
      <c r="D81" s="2">
        <v>1623</v>
      </c>
      <c r="E81" s="2">
        <v>2259</v>
      </c>
      <c r="F81" s="2">
        <v>2758</v>
      </c>
      <c r="G81" s="2">
        <v>5047</v>
      </c>
      <c r="H81" s="2">
        <v>4277</v>
      </c>
      <c r="I81" s="2">
        <v>5456</v>
      </c>
      <c r="J81" s="2">
        <v>7535</v>
      </c>
      <c r="K81" s="2">
        <v>7254</v>
      </c>
      <c r="L81" s="2">
        <v>7247</v>
      </c>
      <c r="M81" s="2">
        <v>10117</v>
      </c>
      <c r="N81" s="2">
        <v>8529</v>
      </c>
      <c r="O81" s="2">
        <v>8643.27</v>
      </c>
      <c r="P81" s="2">
        <v>8922.85</v>
      </c>
      <c r="Q81" s="2">
        <v>8452.98</v>
      </c>
    </row>
    <row r="82" spans="1:17" x14ac:dyDescent="0.25">
      <c r="A82" t="s">
        <v>592</v>
      </c>
      <c r="B82">
        <v>11</v>
      </c>
      <c r="C82">
        <v>18</v>
      </c>
      <c r="D82">
        <v>17</v>
      </c>
      <c r="E82">
        <v>21</v>
      </c>
      <c r="F82">
        <v>19</v>
      </c>
      <c r="G82">
        <v>30</v>
      </c>
      <c r="H82">
        <v>29</v>
      </c>
      <c r="I82">
        <v>32</v>
      </c>
      <c r="J82">
        <v>33</v>
      </c>
      <c r="K82">
        <v>28</v>
      </c>
      <c r="L82">
        <v>27</v>
      </c>
      <c r="M82">
        <v>37</v>
      </c>
      <c r="N82">
        <v>30</v>
      </c>
      <c r="O82">
        <v>27.26</v>
      </c>
      <c r="P82">
        <v>18.38</v>
      </c>
      <c r="Q82">
        <v>15.15</v>
      </c>
    </row>
    <row r="83" spans="1:17" x14ac:dyDescent="0.25">
      <c r="A83" t="s">
        <v>1318</v>
      </c>
    </row>
    <row r="84" spans="1:17" x14ac:dyDescent="0.25">
      <c r="A84" t="s">
        <v>1317</v>
      </c>
      <c r="B84">
        <v>924</v>
      </c>
      <c r="C84">
        <v>965</v>
      </c>
      <c r="D84" s="2">
        <v>1654</v>
      </c>
      <c r="E84" s="2">
        <v>1883</v>
      </c>
      <c r="F84" s="2">
        <v>4087</v>
      </c>
      <c r="G84" s="2">
        <v>3539</v>
      </c>
      <c r="H84" s="2">
        <v>1929</v>
      </c>
      <c r="I84" s="2">
        <v>3031</v>
      </c>
      <c r="J84" s="2">
        <v>5012</v>
      </c>
      <c r="K84" s="2">
        <v>4395</v>
      </c>
      <c r="L84" s="2">
        <v>4609</v>
      </c>
      <c r="M84" s="2">
        <v>4493</v>
      </c>
      <c r="N84" s="2">
        <v>5608</v>
      </c>
      <c r="O84" s="2">
        <v>4551</v>
      </c>
    </row>
    <row r="85" spans="1:17" x14ac:dyDescent="0.25">
      <c r="A85" t="s">
        <v>592</v>
      </c>
      <c r="B85">
        <v>12</v>
      </c>
      <c r="C85">
        <v>10</v>
      </c>
      <c r="D85">
        <v>17</v>
      </c>
      <c r="E85">
        <v>17</v>
      </c>
      <c r="F85">
        <v>28</v>
      </c>
      <c r="G85">
        <v>21</v>
      </c>
      <c r="H85">
        <v>13</v>
      </c>
      <c r="I85">
        <v>18</v>
      </c>
      <c r="J85">
        <v>22</v>
      </c>
      <c r="K85">
        <v>17</v>
      </c>
      <c r="L85">
        <v>18</v>
      </c>
      <c r="M85">
        <v>17</v>
      </c>
      <c r="N85">
        <v>20</v>
      </c>
      <c r="O85">
        <v>19.14</v>
      </c>
    </row>
    <row r="86" spans="1:17" x14ac:dyDescent="0.25">
      <c r="A86" t="s">
        <v>1319</v>
      </c>
    </row>
    <row r="87" spans="1:17" x14ac:dyDescent="0.25">
      <c r="A87" t="s">
        <v>1317</v>
      </c>
      <c r="B87" s="2">
        <v>2640</v>
      </c>
      <c r="C87" s="2">
        <v>2702</v>
      </c>
      <c r="D87" s="2">
        <v>2600</v>
      </c>
      <c r="E87" s="2">
        <v>2843</v>
      </c>
      <c r="F87" s="2">
        <v>3369</v>
      </c>
      <c r="G87" s="2">
        <v>2504</v>
      </c>
      <c r="H87" s="2">
        <v>2965</v>
      </c>
      <c r="I87" s="2">
        <v>3953</v>
      </c>
      <c r="J87" s="2">
        <v>4742</v>
      </c>
      <c r="K87" s="2">
        <v>6262</v>
      </c>
      <c r="L87" s="2">
        <v>5670</v>
      </c>
      <c r="M87" s="2">
        <v>4010</v>
      </c>
      <c r="N87" s="2">
        <v>6857</v>
      </c>
      <c r="O87" s="2">
        <v>5902</v>
      </c>
    </row>
    <row r="88" spans="1:17" x14ac:dyDescent="0.25">
      <c r="A88" t="s">
        <v>592</v>
      </c>
      <c r="B88">
        <v>35</v>
      </c>
      <c r="C88">
        <v>30</v>
      </c>
      <c r="D88">
        <v>27</v>
      </c>
      <c r="E88">
        <v>26</v>
      </c>
      <c r="F88">
        <v>23</v>
      </c>
      <c r="G88">
        <v>15</v>
      </c>
      <c r="H88">
        <v>20</v>
      </c>
      <c r="I88">
        <v>23</v>
      </c>
      <c r="J88">
        <v>20</v>
      </c>
      <c r="K88">
        <v>24</v>
      </c>
      <c r="L88">
        <v>21</v>
      </c>
      <c r="M88">
        <v>15</v>
      </c>
      <c r="N88">
        <v>24</v>
      </c>
      <c r="O88">
        <v>26.21</v>
      </c>
    </row>
    <row r="89" spans="1:17" x14ac:dyDescent="0.25">
      <c r="A89" t="s">
        <v>642</v>
      </c>
    </row>
    <row r="90" spans="1:17" x14ac:dyDescent="0.25">
      <c r="A90" t="s">
        <v>1317</v>
      </c>
      <c r="B90">
        <v>685</v>
      </c>
      <c r="C90">
        <v>817</v>
      </c>
      <c r="D90" s="2">
        <v>1078</v>
      </c>
      <c r="E90" s="2">
        <v>1279</v>
      </c>
      <c r="F90" s="2">
        <v>1519</v>
      </c>
      <c r="G90" s="2">
        <v>2396</v>
      </c>
      <c r="H90" s="2">
        <v>2198</v>
      </c>
      <c r="I90" s="2">
        <v>1996</v>
      </c>
      <c r="J90" s="2">
        <v>1962</v>
      </c>
      <c r="K90" s="2">
        <v>2012</v>
      </c>
      <c r="L90" s="2">
        <v>2075</v>
      </c>
      <c r="M90" s="2">
        <v>2154</v>
      </c>
      <c r="N90" s="2">
        <v>2273</v>
      </c>
      <c r="O90" s="2">
        <v>1987</v>
      </c>
    </row>
    <row r="91" spans="1:17" x14ac:dyDescent="0.25">
      <c r="A91" t="s">
        <v>592</v>
      </c>
      <c r="B91">
        <v>9</v>
      </c>
      <c r="C91">
        <v>9</v>
      </c>
      <c r="D91">
        <v>11</v>
      </c>
      <c r="E91">
        <v>12</v>
      </c>
      <c r="F91">
        <v>10</v>
      </c>
      <c r="G91">
        <v>14</v>
      </c>
      <c r="H91">
        <v>15</v>
      </c>
      <c r="I91">
        <v>11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</row>
    <row r="92" spans="1:17" x14ac:dyDescent="0.25">
      <c r="A92" t="s">
        <v>1320</v>
      </c>
    </row>
    <row r="93" spans="1:17" x14ac:dyDescent="0.25">
      <c r="A93" t="s">
        <v>1317</v>
      </c>
      <c r="B93">
        <v>320</v>
      </c>
      <c r="C93">
        <v>356</v>
      </c>
      <c r="D93">
        <v>432</v>
      </c>
      <c r="E93">
        <v>803</v>
      </c>
      <c r="F93">
        <v>625</v>
      </c>
      <c r="G93">
        <v>797</v>
      </c>
      <c r="H93">
        <v>548</v>
      </c>
      <c r="I93">
        <v>411</v>
      </c>
      <c r="J93">
        <v>677</v>
      </c>
      <c r="K93" s="2">
        <v>1084</v>
      </c>
      <c r="L93">
        <v>758</v>
      </c>
      <c r="M93" s="2">
        <v>1141</v>
      </c>
      <c r="N93" s="2">
        <v>1076</v>
      </c>
      <c r="O93">
        <v>894</v>
      </c>
    </row>
    <row r="94" spans="1:17" x14ac:dyDescent="0.25">
      <c r="A94" t="s">
        <v>592</v>
      </c>
      <c r="B94">
        <v>4</v>
      </c>
      <c r="C94">
        <v>4</v>
      </c>
      <c r="D94">
        <v>4</v>
      </c>
      <c r="E94">
        <v>7</v>
      </c>
      <c r="F94">
        <v>4</v>
      </c>
      <c r="G94">
        <v>5</v>
      </c>
      <c r="H94">
        <v>4</v>
      </c>
      <c r="I94">
        <v>43</v>
      </c>
      <c r="J94">
        <v>3</v>
      </c>
      <c r="K94">
        <v>4</v>
      </c>
      <c r="L94">
        <v>3</v>
      </c>
      <c r="M94">
        <v>4</v>
      </c>
      <c r="N94">
        <v>4</v>
      </c>
      <c r="O94">
        <v>3.99</v>
      </c>
    </row>
    <row r="95" spans="1:17" x14ac:dyDescent="0.25">
      <c r="A95" t="s">
        <v>1321</v>
      </c>
    </row>
    <row r="96" spans="1:17" x14ac:dyDescent="0.25">
      <c r="A96" t="s">
        <v>60</v>
      </c>
      <c r="B96">
        <v>680</v>
      </c>
      <c r="C96">
        <v>658</v>
      </c>
      <c r="D96">
        <v>642</v>
      </c>
      <c r="E96">
        <v>615</v>
      </c>
      <c r="F96">
        <v>828</v>
      </c>
      <c r="G96" s="2">
        <v>1009</v>
      </c>
      <c r="H96">
        <v>820</v>
      </c>
      <c r="I96">
        <v>736</v>
      </c>
      <c r="J96" s="2">
        <v>1097</v>
      </c>
      <c r="K96" s="2">
        <v>1674</v>
      </c>
      <c r="L96" s="2">
        <v>2152</v>
      </c>
      <c r="M96" s="2">
        <v>1443</v>
      </c>
      <c r="N96">
        <v>962</v>
      </c>
      <c r="O96" s="2">
        <v>1051</v>
      </c>
    </row>
    <row r="97" spans="1:20" x14ac:dyDescent="0.25">
      <c r="A97" t="s">
        <v>61</v>
      </c>
      <c r="B97">
        <v>9</v>
      </c>
      <c r="C97">
        <v>7</v>
      </c>
      <c r="D97">
        <v>7</v>
      </c>
      <c r="E97">
        <v>6</v>
      </c>
      <c r="F97">
        <v>6</v>
      </c>
      <c r="G97">
        <v>6</v>
      </c>
      <c r="H97">
        <v>6</v>
      </c>
      <c r="I97">
        <v>4</v>
      </c>
      <c r="J97">
        <v>5</v>
      </c>
      <c r="K97">
        <v>7</v>
      </c>
      <c r="L97">
        <v>8</v>
      </c>
      <c r="M97">
        <v>5</v>
      </c>
      <c r="N97">
        <v>3</v>
      </c>
      <c r="O97">
        <v>3.02</v>
      </c>
    </row>
    <row r="98" spans="1:20" x14ac:dyDescent="0.25">
      <c r="A98" t="s">
        <v>17</v>
      </c>
    </row>
    <row r="99" spans="1:20" x14ac:dyDescent="0.25">
      <c r="A99" t="s">
        <v>258</v>
      </c>
    </row>
    <row r="100" spans="1:20" x14ac:dyDescent="0.25">
      <c r="A100" t="s">
        <v>16</v>
      </c>
    </row>
    <row r="101" spans="1:20" x14ac:dyDescent="0.25">
      <c r="A101" t="s">
        <v>1322</v>
      </c>
      <c r="F101" s="2">
        <v>4867.4399999999996</v>
      </c>
      <c r="G101" s="2">
        <v>3807.72</v>
      </c>
      <c r="H101" s="2">
        <v>4694.04</v>
      </c>
      <c r="I101" s="2">
        <v>6706.53</v>
      </c>
      <c r="J101" s="2">
        <v>9771.6</v>
      </c>
      <c r="K101" s="2">
        <v>12406.02</v>
      </c>
      <c r="L101" s="2">
        <v>15167.46</v>
      </c>
      <c r="M101" s="2">
        <v>13539.48</v>
      </c>
      <c r="N101" s="2">
        <v>13934.66</v>
      </c>
      <c r="O101" s="2">
        <v>17026.740000000002</v>
      </c>
      <c r="P101" s="2">
        <v>22658.67</v>
      </c>
      <c r="Q101" s="2">
        <v>25964.02</v>
      </c>
      <c r="R101" s="2">
        <v>28918.05</v>
      </c>
      <c r="S101" s="2">
        <v>30541.01</v>
      </c>
      <c r="T101" s="2">
        <v>31957.61</v>
      </c>
    </row>
    <row r="102" spans="1:20" x14ac:dyDescent="0.25">
      <c r="A102" t="s">
        <v>237</v>
      </c>
      <c r="E102" s="2">
        <v>1099.68</v>
      </c>
      <c r="F102" s="2">
        <v>1431.6</v>
      </c>
      <c r="G102" s="2">
        <v>2855.79</v>
      </c>
      <c r="H102" s="2">
        <v>1985.94</v>
      </c>
      <c r="I102" s="2">
        <v>2273.4</v>
      </c>
      <c r="J102" s="2">
        <v>3094.34</v>
      </c>
      <c r="K102" s="2">
        <v>3571.43</v>
      </c>
      <c r="L102" s="2">
        <v>3348.66</v>
      </c>
      <c r="M102" s="2">
        <v>5575.08</v>
      </c>
      <c r="N102" s="2">
        <v>5407.48</v>
      </c>
      <c r="O102" s="2">
        <v>7658.34</v>
      </c>
      <c r="P102" s="2">
        <v>12728.86</v>
      </c>
      <c r="Q102" s="2">
        <v>15616.78</v>
      </c>
      <c r="R102" s="2">
        <v>16284.99</v>
      </c>
      <c r="S102" s="2">
        <v>19200.57</v>
      </c>
      <c r="T102" s="2">
        <v>20160.599999999999</v>
      </c>
    </row>
    <row r="103" spans="1:20" x14ac:dyDescent="0.25">
      <c r="A103" t="s">
        <v>1323</v>
      </c>
      <c r="E103" s="2">
        <v>2130.63</v>
      </c>
      <c r="F103" s="2">
        <v>3244.96</v>
      </c>
      <c r="G103" s="2">
        <v>3913.49</v>
      </c>
      <c r="H103" s="2">
        <v>2347.02</v>
      </c>
      <c r="I103" s="2">
        <v>2387.0700000000002</v>
      </c>
      <c r="J103" s="2">
        <v>3420.06</v>
      </c>
      <c r="K103" s="2">
        <v>2819.55</v>
      </c>
      <c r="L103" s="2">
        <v>1181.8800000000001</v>
      </c>
      <c r="M103">
        <v>796.44</v>
      </c>
      <c r="N103" s="2">
        <v>1455.86</v>
      </c>
      <c r="O103" s="2">
        <v>1396.22</v>
      </c>
      <c r="P103" s="2">
        <v>2241.67</v>
      </c>
      <c r="Q103" s="2">
        <v>2439.7600000000002</v>
      </c>
      <c r="R103" s="2">
        <v>2705.11</v>
      </c>
      <c r="S103" s="2">
        <v>3079.36</v>
      </c>
      <c r="T103" s="2">
        <v>3217.56</v>
      </c>
    </row>
    <row r="104" spans="1:20" x14ac:dyDescent="0.25">
      <c r="A104" t="s">
        <v>17</v>
      </c>
    </row>
    <row r="105" spans="1:20" x14ac:dyDescent="0.25">
      <c r="A105" t="s">
        <v>274</v>
      </c>
    </row>
    <row r="106" spans="1:20" x14ac:dyDescent="0.25">
      <c r="A106" t="s">
        <v>80</v>
      </c>
      <c r="B106" s="2">
        <v>7509</v>
      </c>
      <c r="C106" s="2">
        <v>9072</v>
      </c>
      <c r="D106" s="2">
        <v>9659</v>
      </c>
      <c r="E106" s="2">
        <v>10825</v>
      </c>
      <c r="F106" s="2">
        <v>14537</v>
      </c>
      <c r="G106" s="2">
        <v>17253</v>
      </c>
      <c r="H106" s="2">
        <v>14608</v>
      </c>
      <c r="I106" s="2">
        <v>17202</v>
      </c>
      <c r="J106" s="2">
        <v>23063</v>
      </c>
      <c r="K106" s="2">
        <v>25785</v>
      </c>
      <c r="L106" s="2">
        <v>26517</v>
      </c>
      <c r="M106" s="2">
        <v>27176</v>
      </c>
      <c r="N106" s="2">
        <v>28368</v>
      </c>
      <c r="O106" s="2">
        <v>34343.519999999997</v>
      </c>
      <c r="P106" s="2">
        <v>46816.91</v>
      </c>
      <c r="Q106" s="2">
        <v>56118.23</v>
      </c>
      <c r="R106" s="2">
        <v>60662</v>
      </c>
      <c r="S106" s="2">
        <v>67307.5</v>
      </c>
      <c r="T106" s="2">
        <v>71119</v>
      </c>
    </row>
    <row r="107" spans="1:20" x14ac:dyDescent="0.25">
      <c r="A107" t="s">
        <v>17</v>
      </c>
    </row>
    <row r="108" spans="1:20" x14ac:dyDescent="0.25">
      <c r="A108" t="s">
        <v>82</v>
      </c>
      <c r="B108" s="2">
        <v>4518</v>
      </c>
      <c r="C108" s="2">
        <v>5229</v>
      </c>
      <c r="D108" s="2">
        <v>5707</v>
      </c>
      <c r="E108" s="2">
        <v>6314</v>
      </c>
      <c r="F108" s="2">
        <v>8086</v>
      </c>
      <c r="G108" s="2">
        <v>9188</v>
      </c>
      <c r="H108" s="2">
        <v>8222</v>
      </c>
      <c r="I108" s="2">
        <v>9510</v>
      </c>
      <c r="J108" s="2">
        <v>12149</v>
      </c>
      <c r="K108" s="2">
        <v>13792</v>
      </c>
      <c r="L108" s="2">
        <v>14133</v>
      </c>
      <c r="M108" s="2">
        <v>14279</v>
      </c>
      <c r="N108" s="2">
        <v>14560</v>
      </c>
      <c r="O108" s="2">
        <v>17151.099999999999</v>
      </c>
      <c r="P108" s="2">
        <v>23093.91</v>
      </c>
      <c r="Q108" s="2">
        <v>26910.09</v>
      </c>
      <c r="R108" s="2">
        <v>28859.82</v>
      </c>
      <c r="S108" s="2">
        <v>31348.62</v>
      </c>
      <c r="T108" s="2">
        <v>33262.160000000003</v>
      </c>
    </row>
    <row r="109" spans="1:20" x14ac:dyDescent="0.25">
      <c r="A109" t="s">
        <v>83</v>
      </c>
      <c r="B109">
        <v>60.17</v>
      </c>
      <c r="C109">
        <v>57.64</v>
      </c>
      <c r="D109">
        <v>59.08</v>
      </c>
      <c r="E109">
        <v>58.33</v>
      </c>
      <c r="F109">
        <v>55.01</v>
      </c>
      <c r="G109">
        <v>55</v>
      </c>
      <c r="H109">
        <v>56.28</v>
      </c>
      <c r="I109">
        <v>55.28</v>
      </c>
      <c r="J109">
        <v>52.68</v>
      </c>
      <c r="K109">
        <v>53.49</v>
      </c>
      <c r="L109">
        <v>53.3</v>
      </c>
      <c r="M109">
        <v>52.54</v>
      </c>
      <c r="N109">
        <v>51.33</v>
      </c>
      <c r="O109">
        <v>49.9</v>
      </c>
      <c r="P109">
        <v>49.3</v>
      </c>
      <c r="Q109">
        <v>48.9</v>
      </c>
      <c r="R109">
        <v>48.04</v>
      </c>
      <c r="S109">
        <v>46.95</v>
      </c>
      <c r="T109">
        <v>46.77</v>
      </c>
    </row>
    <row r="110" spans="1:20" x14ac:dyDescent="0.25">
      <c r="A110" t="s">
        <v>1324</v>
      </c>
      <c r="B110">
        <v>0</v>
      </c>
      <c r="C110">
        <v>0</v>
      </c>
      <c r="D110">
        <v>0</v>
      </c>
      <c r="E110">
        <v>-2</v>
      </c>
      <c r="F110">
        <v>172</v>
      </c>
      <c r="G110">
        <v>179</v>
      </c>
      <c r="H110">
        <v>37</v>
      </c>
      <c r="I110">
        <v>60</v>
      </c>
      <c r="J110">
        <v>39</v>
      </c>
      <c r="K110">
        <v>26</v>
      </c>
      <c r="L110">
        <v>29</v>
      </c>
      <c r="M110">
        <v>0</v>
      </c>
      <c r="N110">
        <v>0</v>
      </c>
      <c r="O110">
        <v>31.25</v>
      </c>
      <c r="P110">
        <v>25.33</v>
      </c>
      <c r="Q110">
        <v>16</v>
      </c>
      <c r="R110">
        <v>28</v>
      </c>
      <c r="S110">
        <v>28</v>
      </c>
      <c r="T110">
        <v>28</v>
      </c>
    </row>
    <row r="111" spans="1:20" x14ac:dyDescent="0.25">
      <c r="A111" t="s">
        <v>84</v>
      </c>
      <c r="B111" s="2">
        <v>3161.29</v>
      </c>
      <c r="C111" s="2">
        <v>4000.75</v>
      </c>
      <c r="D111" s="2">
        <v>4143.71</v>
      </c>
      <c r="E111" s="2">
        <v>4676.3999999999996</v>
      </c>
      <c r="F111" s="2">
        <v>6701.56</v>
      </c>
      <c r="G111" s="2">
        <v>7988.14</v>
      </c>
      <c r="H111" s="2">
        <v>6427.52</v>
      </c>
      <c r="I111" s="2">
        <v>7758.1</v>
      </c>
      <c r="J111" s="2">
        <v>10954.93</v>
      </c>
      <c r="K111" s="2">
        <v>12015.81</v>
      </c>
      <c r="L111" s="2">
        <v>12409.96</v>
      </c>
      <c r="M111" s="2">
        <v>12935.78</v>
      </c>
      <c r="N111" s="2">
        <v>13843.58</v>
      </c>
      <c r="O111" s="2">
        <v>17402.759999999998</v>
      </c>
      <c r="P111" s="2">
        <v>23906.68</v>
      </c>
      <c r="Q111" s="2">
        <v>28343.77</v>
      </c>
      <c r="R111" s="2">
        <v>33756.629999999997</v>
      </c>
      <c r="S111" s="2">
        <v>35452.5</v>
      </c>
      <c r="T111" s="2">
        <v>37884.46</v>
      </c>
    </row>
    <row r="112" spans="1:20" x14ac:dyDescent="0.25">
      <c r="A112" t="s">
        <v>85</v>
      </c>
      <c r="B112">
        <v>42.1</v>
      </c>
      <c r="C112">
        <v>44.1</v>
      </c>
      <c r="D112">
        <v>42.9</v>
      </c>
      <c r="E112">
        <v>43.2</v>
      </c>
      <c r="F112">
        <v>46.1</v>
      </c>
      <c r="G112">
        <v>46.3</v>
      </c>
      <c r="H112">
        <v>44</v>
      </c>
      <c r="I112">
        <v>45.1</v>
      </c>
      <c r="J112">
        <v>47.5</v>
      </c>
      <c r="K112">
        <v>46.6</v>
      </c>
      <c r="L112">
        <v>46.8</v>
      </c>
      <c r="M112">
        <v>47.6</v>
      </c>
      <c r="N112">
        <v>48.8</v>
      </c>
      <c r="O112">
        <v>50.1</v>
      </c>
      <c r="P112">
        <v>50.79</v>
      </c>
      <c r="Q112">
        <v>51.38</v>
      </c>
      <c r="R112">
        <v>51.96</v>
      </c>
      <c r="S112">
        <v>53.05</v>
      </c>
      <c r="T112">
        <v>53.23</v>
      </c>
    </row>
    <row r="113" spans="1:20" x14ac:dyDescent="0.25">
      <c r="A113" t="s">
        <v>17</v>
      </c>
    </row>
    <row r="114" spans="1:20" x14ac:dyDescent="0.25">
      <c r="A114" t="s">
        <v>275</v>
      </c>
      <c r="B114" s="2">
        <v>1032</v>
      </c>
      <c r="C114" s="2">
        <v>2221</v>
      </c>
      <c r="D114" s="2">
        <v>2251</v>
      </c>
      <c r="E114" s="2">
        <v>2329</v>
      </c>
      <c r="G114" s="2">
        <v>3003</v>
      </c>
      <c r="K114" s="2">
        <v>4158</v>
      </c>
      <c r="L114" s="2">
        <v>4694</v>
      </c>
      <c r="M114" s="2">
        <v>5002</v>
      </c>
      <c r="N114" s="2">
        <v>5273</v>
      </c>
      <c r="O114" s="2">
        <v>5860.18</v>
      </c>
      <c r="P114" s="2">
        <v>6853.29</v>
      </c>
      <c r="Q114" s="2">
        <v>7532.04</v>
      </c>
      <c r="R114" s="2">
        <v>8133.9</v>
      </c>
      <c r="S114" s="2">
        <v>9415.01</v>
      </c>
      <c r="T114" s="2">
        <v>9956.61</v>
      </c>
    </row>
    <row r="115" spans="1:20" x14ac:dyDescent="0.25">
      <c r="A115" t="s">
        <v>83</v>
      </c>
      <c r="B115">
        <v>34.08</v>
      </c>
      <c r="C115">
        <v>25.61</v>
      </c>
      <c r="D115">
        <v>23.39</v>
      </c>
      <c r="E115">
        <v>21.79</v>
      </c>
      <c r="F115">
        <v>18.21</v>
      </c>
      <c r="G115">
        <v>18.11</v>
      </c>
      <c r="H115">
        <v>20.78</v>
      </c>
      <c r="I115">
        <v>19.34</v>
      </c>
      <c r="J115">
        <v>17.45</v>
      </c>
      <c r="K115">
        <v>16.309999999999999</v>
      </c>
      <c r="L115">
        <v>17.84</v>
      </c>
      <c r="M115">
        <v>18.510000000000002</v>
      </c>
      <c r="N115">
        <v>19.46</v>
      </c>
      <c r="O115">
        <v>17.05</v>
      </c>
      <c r="P115">
        <v>14.84</v>
      </c>
      <c r="Q115">
        <v>13.69</v>
      </c>
      <c r="R115">
        <v>13.5</v>
      </c>
      <c r="S115">
        <v>14.13</v>
      </c>
      <c r="T115">
        <v>14.03</v>
      </c>
    </row>
    <row r="116" spans="1:20" x14ac:dyDescent="0.25">
      <c r="A116" t="s">
        <v>276</v>
      </c>
      <c r="B116">
        <v>891</v>
      </c>
      <c r="C116">
        <v>920</v>
      </c>
      <c r="D116">
        <v>897</v>
      </c>
      <c r="E116">
        <v>819</v>
      </c>
      <c r="F116">
        <v>895</v>
      </c>
      <c r="G116" s="2">
        <v>1004</v>
      </c>
      <c r="H116">
        <v>982</v>
      </c>
      <c r="I116" s="2">
        <v>1093</v>
      </c>
      <c r="J116" s="2">
        <v>1229</v>
      </c>
      <c r="K116" s="2">
        <v>1438</v>
      </c>
      <c r="L116" s="2">
        <v>1628</v>
      </c>
      <c r="M116" s="2">
        <v>1797</v>
      </c>
      <c r="N116" s="2">
        <v>1768</v>
      </c>
      <c r="O116" s="2">
        <v>1645.15</v>
      </c>
      <c r="P116" s="2">
        <v>1936.85</v>
      </c>
      <c r="Q116" s="2">
        <v>2072.8200000000002</v>
      </c>
    </row>
    <row r="117" spans="1:20" x14ac:dyDescent="0.25">
      <c r="A117" t="s">
        <v>61</v>
      </c>
      <c r="B117">
        <v>11.87</v>
      </c>
      <c r="C117">
        <v>10.14</v>
      </c>
      <c r="D117">
        <v>9.2899999999999991</v>
      </c>
      <c r="E117">
        <v>7.57</v>
      </c>
      <c r="F117">
        <v>6.09</v>
      </c>
      <c r="G117">
        <v>6.01</v>
      </c>
      <c r="H117">
        <v>6.72</v>
      </c>
      <c r="I117">
        <v>6.35</v>
      </c>
      <c r="J117">
        <v>5.33</v>
      </c>
      <c r="K117">
        <v>5.58</v>
      </c>
      <c r="L117">
        <v>6.14</v>
      </c>
      <c r="M117">
        <v>6.61</v>
      </c>
      <c r="N117">
        <v>6.23</v>
      </c>
      <c r="O117">
        <v>4.8</v>
      </c>
      <c r="P117">
        <v>4.12</v>
      </c>
      <c r="Q117">
        <v>3.87</v>
      </c>
    </row>
    <row r="118" spans="1:20" x14ac:dyDescent="0.25">
      <c r="A118" t="s">
        <v>394</v>
      </c>
      <c r="B118">
        <v>433</v>
      </c>
      <c r="C118">
        <v>423</v>
      </c>
      <c r="D118">
        <v>428</v>
      </c>
      <c r="E118">
        <v>429</v>
      </c>
      <c r="F118">
        <v>457</v>
      </c>
      <c r="G118">
        <v>521</v>
      </c>
      <c r="H118">
        <v>521</v>
      </c>
      <c r="I118">
        <v>526</v>
      </c>
      <c r="J118">
        <v>609</v>
      </c>
      <c r="K118">
        <v>703</v>
      </c>
      <c r="L118">
        <v>776</v>
      </c>
      <c r="M118">
        <v>836</v>
      </c>
      <c r="N118">
        <v>858</v>
      </c>
      <c r="O118">
        <v>956.04</v>
      </c>
      <c r="P118" s="2">
        <v>1107.95</v>
      </c>
      <c r="Q118" s="2">
        <v>1222.48</v>
      </c>
      <c r="R118" s="2">
        <v>1222.05</v>
      </c>
      <c r="S118" s="2">
        <v>1353.62</v>
      </c>
      <c r="T118" s="2">
        <v>1422.37</v>
      </c>
    </row>
    <row r="119" spans="1:20" x14ac:dyDescent="0.25">
      <c r="A119" t="s">
        <v>115</v>
      </c>
      <c r="B119">
        <v>458</v>
      </c>
      <c r="C119">
        <v>497</v>
      </c>
      <c r="D119">
        <v>469</v>
      </c>
      <c r="E119">
        <v>390</v>
      </c>
      <c r="F119">
        <v>438</v>
      </c>
      <c r="G119">
        <v>483</v>
      </c>
      <c r="H119">
        <v>461</v>
      </c>
      <c r="I119">
        <v>567</v>
      </c>
      <c r="J119">
        <v>620</v>
      </c>
      <c r="K119">
        <v>735</v>
      </c>
      <c r="L119">
        <v>852</v>
      </c>
      <c r="M119">
        <v>961</v>
      </c>
      <c r="N119">
        <v>910</v>
      </c>
      <c r="O119">
        <v>704.17</v>
      </c>
      <c r="P119">
        <v>799.54</v>
      </c>
      <c r="Q119">
        <v>890.33</v>
      </c>
      <c r="R119">
        <v>865.68</v>
      </c>
      <c r="S119">
        <v>911.03</v>
      </c>
      <c r="T119">
        <v>944.54</v>
      </c>
    </row>
    <row r="120" spans="1:20" x14ac:dyDescent="0.25">
      <c r="A120" t="s">
        <v>89</v>
      </c>
      <c r="B120" s="2">
        <v>1320</v>
      </c>
      <c r="C120" s="2">
        <v>1428</v>
      </c>
      <c r="D120" s="2">
        <v>1451</v>
      </c>
      <c r="E120" s="2">
        <v>1540</v>
      </c>
      <c r="F120" s="2">
        <v>1781</v>
      </c>
      <c r="G120" s="2">
        <v>2022</v>
      </c>
      <c r="H120" s="2">
        <v>2054</v>
      </c>
      <c r="I120" s="2">
        <v>2234</v>
      </c>
      <c r="J120" s="2">
        <v>2485</v>
      </c>
      <c r="K120" s="2">
        <v>2771</v>
      </c>
      <c r="L120" s="2">
        <v>3102</v>
      </c>
      <c r="M120" s="2">
        <v>3233</v>
      </c>
      <c r="N120" s="2">
        <v>3570</v>
      </c>
      <c r="O120" s="2">
        <v>4199.24</v>
      </c>
      <c r="P120" s="2">
        <v>4952.96</v>
      </c>
      <c r="Q120" s="2">
        <v>5560.84</v>
      </c>
      <c r="R120" s="2">
        <v>5941.05</v>
      </c>
      <c r="S120" s="2">
        <v>6692.86</v>
      </c>
      <c r="T120" s="2">
        <v>7609.69</v>
      </c>
    </row>
    <row r="121" spans="1:20" x14ac:dyDescent="0.25">
      <c r="A121" t="s">
        <v>61</v>
      </c>
      <c r="B121">
        <v>17.579999999999998</v>
      </c>
      <c r="C121">
        <v>15.74</v>
      </c>
      <c r="D121">
        <v>15.02</v>
      </c>
      <c r="E121">
        <v>14.23</v>
      </c>
      <c r="F121">
        <v>12.12</v>
      </c>
      <c r="G121">
        <v>12.1</v>
      </c>
      <c r="H121">
        <v>14.06</v>
      </c>
      <c r="I121">
        <v>12.99</v>
      </c>
      <c r="J121">
        <v>10.77</v>
      </c>
      <c r="K121">
        <v>10.75</v>
      </c>
      <c r="L121">
        <v>11.7</v>
      </c>
      <c r="M121">
        <v>11.9</v>
      </c>
      <c r="N121">
        <v>12.58</v>
      </c>
      <c r="O121">
        <v>12.24</v>
      </c>
      <c r="P121">
        <v>10.55</v>
      </c>
      <c r="Q121">
        <v>10.130000000000001</v>
      </c>
      <c r="R121">
        <v>9.9700000000000006</v>
      </c>
      <c r="S121">
        <v>10.7</v>
      </c>
      <c r="T121">
        <v>10.7</v>
      </c>
    </row>
    <row r="122" spans="1:20" x14ac:dyDescent="0.25">
      <c r="A122" t="s">
        <v>17</v>
      </c>
    </row>
    <row r="123" spans="1:20" x14ac:dyDescent="0.25">
      <c r="A123" t="s">
        <v>91</v>
      </c>
      <c r="B123" s="2">
        <v>1032</v>
      </c>
      <c r="C123" s="2">
        <v>1781</v>
      </c>
      <c r="D123" s="2">
        <v>1896</v>
      </c>
      <c r="E123" s="2">
        <v>2347</v>
      </c>
      <c r="F123" s="2">
        <v>4050</v>
      </c>
      <c r="G123" s="2">
        <v>4998</v>
      </c>
      <c r="H123" s="2">
        <v>3427</v>
      </c>
      <c r="I123" s="2">
        <v>4529</v>
      </c>
      <c r="J123" s="2">
        <v>7322</v>
      </c>
      <c r="K123" s="2">
        <v>7861</v>
      </c>
      <c r="L123" s="2">
        <v>7719</v>
      </c>
      <c r="M123" s="2">
        <v>7924</v>
      </c>
      <c r="N123" s="2">
        <v>8562</v>
      </c>
      <c r="O123" s="2">
        <v>11333.71</v>
      </c>
      <c r="P123" s="2">
        <v>16839.240000000002</v>
      </c>
      <c r="Q123" s="2">
        <v>21228</v>
      </c>
      <c r="R123" s="2">
        <v>23135.67</v>
      </c>
      <c r="S123" s="2">
        <v>25806.5</v>
      </c>
      <c r="T123" s="2">
        <v>27928</v>
      </c>
    </row>
    <row r="124" spans="1:20" x14ac:dyDescent="0.25">
      <c r="A124" t="s">
        <v>92</v>
      </c>
      <c r="B124">
        <v>13.74</v>
      </c>
      <c r="C124">
        <v>19.63</v>
      </c>
      <c r="D124">
        <v>19.63</v>
      </c>
      <c r="E124">
        <v>21.68</v>
      </c>
      <c r="F124">
        <v>28.02</v>
      </c>
      <c r="G124">
        <v>28.09</v>
      </c>
      <c r="H124">
        <v>23.46</v>
      </c>
      <c r="I124">
        <v>26.33</v>
      </c>
      <c r="J124">
        <v>31.75</v>
      </c>
      <c r="K124">
        <v>30.49</v>
      </c>
      <c r="L124">
        <v>29.11</v>
      </c>
      <c r="M124">
        <v>29.16</v>
      </c>
      <c r="N124">
        <v>30.18</v>
      </c>
      <c r="O124">
        <v>33.08</v>
      </c>
      <c r="P124">
        <v>36.090000000000003</v>
      </c>
      <c r="Q124">
        <v>37.590000000000003</v>
      </c>
      <c r="R124">
        <v>38.130000000000003</v>
      </c>
      <c r="S124">
        <v>38.35</v>
      </c>
      <c r="T124">
        <v>39.270000000000003</v>
      </c>
    </row>
    <row r="125" spans="1:20" x14ac:dyDescent="0.25">
      <c r="A125" t="s">
        <v>17</v>
      </c>
    </row>
    <row r="126" spans="1:20" x14ac:dyDescent="0.25">
      <c r="A126" t="s">
        <v>93</v>
      </c>
      <c r="B126">
        <v>410</v>
      </c>
      <c r="C126">
        <v>375</v>
      </c>
      <c r="D126">
        <v>371</v>
      </c>
      <c r="E126">
        <v>389</v>
      </c>
      <c r="F126">
        <v>407</v>
      </c>
      <c r="G126">
        <v>457</v>
      </c>
      <c r="H126">
        <v>363</v>
      </c>
      <c r="I126">
        <v>376</v>
      </c>
      <c r="J126">
        <v>394</v>
      </c>
      <c r="K126">
        <v>444</v>
      </c>
      <c r="L126">
        <v>515</v>
      </c>
      <c r="M126">
        <v>392</v>
      </c>
      <c r="N126">
        <v>435</v>
      </c>
      <c r="O126">
        <v>573.25</v>
      </c>
      <c r="P126">
        <v>681.75</v>
      </c>
      <c r="Q126">
        <v>728.8</v>
      </c>
      <c r="R126">
        <v>711.11</v>
      </c>
      <c r="S126">
        <v>746.67</v>
      </c>
      <c r="T126">
        <v>784</v>
      </c>
    </row>
    <row r="127" spans="1:20" x14ac:dyDescent="0.25">
      <c r="A127" t="s">
        <v>94</v>
      </c>
      <c r="B127">
        <v>199</v>
      </c>
      <c r="C127">
        <v>184</v>
      </c>
      <c r="D127">
        <v>185</v>
      </c>
      <c r="E127">
        <v>200</v>
      </c>
      <c r="F127">
        <v>214</v>
      </c>
      <c r="G127">
        <v>258</v>
      </c>
      <c r="H127">
        <v>306</v>
      </c>
      <c r="I127">
        <v>320</v>
      </c>
      <c r="J127">
        <v>345</v>
      </c>
      <c r="K127">
        <v>404</v>
      </c>
      <c r="L127">
        <v>471</v>
      </c>
      <c r="M127">
        <v>346</v>
      </c>
      <c r="N127">
        <v>389</v>
      </c>
      <c r="O127">
        <v>530.28</v>
      </c>
      <c r="P127">
        <v>701.27</v>
      </c>
      <c r="Q127">
        <v>761.81</v>
      </c>
      <c r="R127" s="2">
        <v>1027.22</v>
      </c>
      <c r="S127" s="2">
        <v>1293.33</v>
      </c>
      <c r="T127">
        <v>758</v>
      </c>
    </row>
    <row r="128" spans="1:20" x14ac:dyDescent="0.25">
      <c r="A128" t="s">
        <v>127</v>
      </c>
      <c r="B128">
        <v>199</v>
      </c>
      <c r="C128">
        <v>184</v>
      </c>
      <c r="D128">
        <v>185</v>
      </c>
      <c r="E128">
        <v>189</v>
      </c>
      <c r="F128">
        <v>193</v>
      </c>
      <c r="G128">
        <v>199</v>
      </c>
      <c r="H128">
        <v>57</v>
      </c>
      <c r="I128">
        <v>56</v>
      </c>
      <c r="J128">
        <v>49</v>
      </c>
      <c r="K128">
        <v>40</v>
      </c>
      <c r="L128">
        <v>44</v>
      </c>
      <c r="M128">
        <v>46</v>
      </c>
      <c r="N128">
        <v>46</v>
      </c>
      <c r="O128">
        <v>40.83</v>
      </c>
      <c r="P128">
        <v>40.200000000000003</v>
      </c>
      <c r="Q128">
        <v>46.5</v>
      </c>
      <c r="R128">
        <v>39</v>
      </c>
      <c r="S128">
        <v>37.5</v>
      </c>
      <c r="T128">
        <v>48</v>
      </c>
    </row>
    <row r="129" spans="1:20" x14ac:dyDescent="0.25">
      <c r="A129" t="s">
        <v>277</v>
      </c>
      <c r="B129" s="2">
        <v>1442</v>
      </c>
      <c r="C129" s="2">
        <v>2156</v>
      </c>
      <c r="D129" s="2">
        <v>2267</v>
      </c>
      <c r="E129" s="2">
        <v>2736</v>
      </c>
      <c r="F129" s="2">
        <v>4457</v>
      </c>
      <c r="G129" s="2">
        <v>5455</v>
      </c>
      <c r="H129" s="2">
        <v>3790</v>
      </c>
      <c r="I129" s="2">
        <v>4905</v>
      </c>
      <c r="J129" s="2">
        <v>7716</v>
      </c>
      <c r="K129" s="2">
        <v>8305</v>
      </c>
      <c r="L129" s="2">
        <v>8234</v>
      </c>
      <c r="M129" s="2">
        <v>8316</v>
      </c>
      <c r="N129" s="2">
        <v>8997</v>
      </c>
      <c r="O129" s="2">
        <v>11851.26</v>
      </c>
      <c r="P129" s="2">
        <v>17587.37</v>
      </c>
      <c r="Q129" s="2">
        <v>21214.85</v>
      </c>
      <c r="R129" s="2">
        <v>24177.67</v>
      </c>
      <c r="S129" s="2">
        <v>27118.5</v>
      </c>
      <c r="T129" s="2">
        <v>28664</v>
      </c>
    </row>
    <row r="130" spans="1:20" x14ac:dyDescent="0.25">
      <c r="A130" t="s">
        <v>17</v>
      </c>
    </row>
    <row r="131" spans="1:20" x14ac:dyDescent="0.25">
      <c r="A131" t="s">
        <v>1325</v>
      </c>
      <c r="B131">
        <v>82</v>
      </c>
      <c r="C131">
        <v>72</v>
      </c>
      <c r="D131">
        <v>95</v>
      </c>
      <c r="E131">
        <v>139</v>
      </c>
      <c r="F131">
        <v>120</v>
      </c>
      <c r="G131">
        <v>95</v>
      </c>
      <c r="H131">
        <v>81</v>
      </c>
      <c r="I131">
        <v>199</v>
      </c>
      <c r="J131">
        <v>118</v>
      </c>
      <c r="K131">
        <v>189</v>
      </c>
      <c r="L131">
        <v>-62</v>
      </c>
      <c r="M131">
        <v>-285</v>
      </c>
      <c r="N131">
        <v>-982</v>
      </c>
      <c r="O131" s="2">
        <v>-1148.33</v>
      </c>
      <c r="P131">
        <v>-483.67</v>
      </c>
      <c r="Q131">
        <v>-493.67</v>
      </c>
      <c r="R131">
        <v>116</v>
      </c>
      <c r="S131">
        <v>82</v>
      </c>
    </row>
    <row r="132" spans="1:20" x14ac:dyDescent="0.25">
      <c r="A132" t="s">
        <v>17</v>
      </c>
    </row>
    <row r="133" spans="1:20" x14ac:dyDescent="0.25">
      <c r="A133" t="s">
        <v>100</v>
      </c>
      <c r="B133">
        <v>956</v>
      </c>
      <c r="C133" s="2">
        <v>1709</v>
      </c>
      <c r="D133" s="2">
        <v>1793</v>
      </c>
      <c r="E133" s="2">
        <v>2261</v>
      </c>
      <c r="F133" s="2">
        <v>3915</v>
      </c>
      <c r="G133" s="2">
        <v>4871</v>
      </c>
      <c r="H133" s="2">
        <v>3310</v>
      </c>
      <c r="I133" s="2">
        <v>4354</v>
      </c>
      <c r="J133" s="2">
        <v>7106</v>
      </c>
      <c r="K133" s="2">
        <v>7599</v>
      </c>
      <c r="L133" s="2">
        <v>7739</v>
      </c>
      <c r="M133" s="2">
        <v>8152</v>
      </c>
      <c r="N133" s="2">
        <v>9271</v>
      </c>
      <c r="O133" s="2">
        <v>11593.96</v>
      </c>
      <c r="P133" s="2">
        <v>17112.669999999998</v>
      </c>
      <c r="Q133" s="2">
        <v>21994.57</v>
      </c>
      <c r="R133" s="2">
        <v>23172.5</v>
      </c>
      <c r="S133" s="2">
        <v>25971</v>
      </c>
      <c r="T133" s="2">
        <v>27880</v>
      </c>
    </row>
    <row r="134" spans="1:20" x14ac:dyDescent="0.25">
      <c r="A134" t="s">
        <v>588</v>
      </c>
      <c r="B134">
        <v>5.8</v>
      </c>
      <c r="C134">
        <v>16.8</v>
      </c>
      <c r="D134">
        <v>17.5</v>
      </c>
      <c r="E134">
        <v>19.899999999999999</v>
      </c>
      <c r="F134">
        <v>26.8</v>
      </c>
      <c r="G134">
        <v>26.9</v>
      </c>
      <c r="H134">
        <v>22.9</v>
      </c>
      <c r="I134">
        <v>25.4</v>
      </c>
      <c r="J134">
        <v>29.9</v>
      </c>
      <c r="K134">
        <v>30.2</v>
      </c>
      <c r="L134">
        <v>28.9</v>
      </c>
      <c r="M134">
        <v>28.9</v>
      </c>
      <c r="N134">
        <v>29.2</v>
      </c>
      <c r="O134">
        <v>33.090000000000003</v>
      </c>
      <c r="P134">
        <v>36.31</v>
      </c>
      <c r="Q134">
        <v>37.54</v>
      </c>
    </row>
    <row r="135" spans="1:20" x14ac:dyDescent="0.25">
      <c r="A135" t="s">
        <v>17</v>
      </c>
    </row>
    <row r="136" spans="1:20" x14ac:dyDescent="0.25">
      <c r="A136" t="s">
        <v>101</v>
      </c>
      <c r="F136">
        <v>-14</v>
      </c>
      <c r="G136">
        <v>-7</v>
      </c>
      <c r="L136">
        <v>235</v>
      </c>
      <c r="M136">
        <v>238</v>
      </c>
      <c r="N136" s="2">
        <v>1095</v>
      </c>
      <c r="O136" s="2">
        <v>1263.1500000000001</v>
      </c>
      <c r="P136" s="2">
        <v>2151.59</v>
      </c>
      <c r="Q136" s="2">
        <v>2718.76</v>
      </c>
      <c r="R136" s="2">
        <v>3120.79</v>
      </c>
      <c r="S136" s="2">
        <v>3612.66</v>
      </c>
      <c r="T136" s="2">
        <v>3889.33</v>
      </c>
    </row>
    <row r="137" spans="1:20" x14ac:dyDescent="0.25">
      <c r="A137" t="s">
        <v>102</v>
      </c>
      <c r="O137">
        <v>11.03</v>
      </c>
      <c r="P137">
        <v>12.67</v>
      </c>
      <c r="Q137">
        <v>13.04</v>
      </c>
      <c r="R137">
        <v>13.44</v>
      </c>
      <c r="S137">
        <v>13.91</v>
      </c>
      <c r="T137">
        <v>13.95</v>
      </c>
    </row>
    <row r="138" spans="1:20" x14ac:dyDescent="0.25">
      <c r="A138" t="s">
        <v>17</v>
      </c>
    </row>
    <row r="139" spans="1:20" x14ac:dyDescent="0.25">
      <c r="A139" t="s">
        <v>106</v>
      </c>
      <c r="B139">
        <v>718</v>
      </c>
      <c r="C139" s="2">
        <v>1314</v>
      </c>
      <c r="D139" s="2">
        <v>1457</v>
      </c>
      <c r="E139" s="2">
        <v>1950</v>
      </c>
      <c r="F139" s="2">
        <v>3525</v>
      </c>
      <c r="G139" s="2">
        <v>4569</v>
      </c>
      <c r="H139" s="2">
        <v>2875</v>
      </c>
      <c r="I139" s="2">
        <v>3845</v>
      </c>
      <c r="J139" s="2">
        <v>6287</v>
      </c>
      <c r="K139" s="2">
        <v>6756</v>
      </c>
      <c r="L139" s="2">
        <v>6802</v>
      </c>
      <c r="M139" s="2">
        <v>7210</v>
      </c>
      <c r="N139" s="2">
        <v>7607</v>
      </c>
      <c r="O139" s="2">
        <v>10217.52</v>
      </c>
      <c r="P139" s="2">
        <v>14876.13</v>
      </c>
      <c r="Q139" s="2">
        <v>18512.53</v>
      </c>
      <c r="R139" s="2">
        <v>20140</v>
      </c>
      <c r="S139" s="2">
        <v>22445.5</v>
      </c>
      <c r="T139" s="2">
        <v>23990</v>
      </c>
    </row>
    <row r="140" spans="1:20" x14ac:dyDescent="0.25">
      <c r="A140" t="s">
        <v>280</v>
      </c>
      <c r="B140">
        <v>9.56</v>
      </c>
      <c r="C140">
        <v>14.48</v>
      </c>
      <c r="D140">
        <v>15.08</v>
      </c>
      <c r="E140">
        <v>18.010000000000002</v>
      </c>
      <c r="F140">
        <v>24.56</v>
      </c>
      <c r="G140">
        <v>25.7</v>
      </c>
      <c r="H140">
        <v>19.68</v>
      </c>
      <c r="I140">
        <v>22.35</v>
      </c>
      <c r="J140">
        <v>27.26</v>
      </c>
      <c r="K140">
        <v>26.2</v>
      </c>
      <c r="L140">
        <v>25.65</v>
      </c>
      <c r="M140">
        <v>26.53</v>
      </c>
      <c r="N140">
        <v>26.82</v>
      </c>
      <c r="O140">
        <v>29.76</v>
      </c>
      <c r="P140">
        <v>31.8</v>
      </c>
      <c r="Q140">
        <v>32.89</v>
      </c>
      <c r="R140">
        <v>33.200000000000003</v>
      </c>
      <c r="S140">
        <v>33.340000000000003</v>
      </c>
      <c r="T140">
        <v>33.729999999999997</v>
      </c>
    </row>
    <row r="141" spans="1:20" x14ac:dyDescent="0.25">
      <c r="A141" t="s">
        <v>17</v>
      </c>
    </row>
    <row r="142" spans="1:20" x14ac:dyDescent="0.25">
      <c r="A142" t="s">
        <v>108</v>
      </c>
      <c r="B142" s="2">
        <v>1202</v>
      </c>
      <c r="C142" s="2">
        <v>1215</v>
      </c>
      <c r="D142" s="2">
        <v>1214</v>
      </c>
      <c r="E142" s="2">
        <v>1107</v>
      </c>
      <c r="F142" s="2">
        <v>1073</v>
      </c>
      <c r="G142" s="2">
        <v>1013</v>
      </c>
      <c r="H142">
        <v>937</v>
      </c>
      <c r="I142">
        <v>916</v>
      </c>
      <c r="J142">
        <v>910</v>
      </c>
      <c r="K142">
        <v>871</v>
      </c>
      <c r="L142">
        <v>840</v>
      </c>
      <c r="M142">
        <v>827</v>
      </c>
      <c r="N142">
        <v>804</v>
      </c>
      <c r="O142">
        <v>797.16</v>
      </c>
      <c r="P142">
        <v>792.44</v>
      </c>
      <c r="Q142">
        <v>779.8</v>
      </c>
      <c r="R142">
        <v>579.13</v>
      </c>
      <c r="S142">
        <v>753.98</v>
      </c>
      <c r="T142">
        <v>745.3</v>
      </c>
    </row>
    <row r="143" spans="1:20" x14ac:dyDescent="0.25">
      <c r="A143" t="s">
        <v>888</v>
      </c>
      <c r="B143">
        <v>0.59</v>
      </c>
      <c r="C143">
        <v>1.07</v>
      </c>
      <c r="D143">
        <v>1.19</v>
      </c>
      <c r="E143">
        <v>1.75</v>
      </c>
      <c r="F143">
        <v>3.33</v>
      </c>
      <c r="G143">
        <v>4.18</v>
      </c>
      <c r="H143">
        <v>3.04</v>
      </c>
      <c r="I143">
        <v>4.17</v>
      </c>
      <c r="J143">
        <v>6.84</v>
      </c>
      <c r="K143">
        <v>7.7</v>
      </c>
      <c r="L143">
        <v>8.0500000000000007</v>
      </c>
      <c r="M143">
        <v>8.65</v>
      </c>
      <c r="N143">
        <v>9.42</v>
      </c>
      <c r="O143">
        <v>12.91</v>
      </c>
      <c r="P143">
        <v>18.760000000000002</v>
      </c>
      <c r="Q143">
        <v>23.15</v>
      </c>
      <c r="R143">
        <v>27.8</v>
      </c>
      <c r="S143">
        <v>29.65</v>
      </c>
      <c r="T143">
        <v>32.19</v>
      </c>
    </row>
    <row r="144" spans="1:20" x14ac:dyDescent="0.25">
      <c r="A144" t="s">
        <v>17</v>
      </c>
    </row>
    <row r="145" spans="1:20" x14ac:dyDescent="0.25">
      <c r="A145" t="s">
        <v>109</v>
      </c>
      <c r="B145" s="2">
        <v>1219</v>
      </c>
      <c r="C145" s="2">
        <v>1231</v>
      </c>
      <c r="D145" s="2">
        <v>1226</v>
      </c>
      <c r="E145" s="2">
        <v>1116</v>
      </c>
      <c r="F145" s="2">
        <v>1084</v>
      </c>
      <c r="G145" s="2">
        <v>1026</v>
      </c>
      <c r="H145">
        <v>945</v>
      </c>
      <c r="I145">
        <v>923</v>
      </c>
      <c r="J145">
        <v>919</v>
      </c>
      <c r="K145">
        <v>877</v>
      </c>
      <c r="L145">
        <v>845</v>
      </c>
      <c r="M145">
        <v>834</v>
      </c>
      <c r="N145">
        <v>808</v>
      </c>
      <c r="O145">
        <v>797.91</v>
      </c>
      <c r="P145">
        <v>787.09</v>
      </c>
      <c r="Q145">
        <v>973.23</v>
      </c>
      <c r="R145">
        <v>577.6</v>
      </c>
      <c r="S145">
        <v>753.98</v>
      </c>
      <c r="T145">
        <v>745.3</v>
      </c>
    </row>
    <row r="146" spans="1:20" x14ac:dyDescent="0.25">
      <c r="A146" t="s">
        <v>110</v>
      </c>
      <c r="B146">
        <v>0.59</v>
      </c>
      <c r="C146">
        <v>1.07</v>
      </c>
      <c r="D146">
        <v>1.19</v>
      </c>
      <c r="E146">
        <v>1.75</v>
      </c>
      <c r="F146">
        <v>3.25</v>
      </c>
      <c r="G146">
        <v>4.45</v>
      </c>
      <c r="H146">
        <v>3.04</v>
      </c>
      <c r="I146">
        <v>4.17</v>
      </c>
      <c r="J146">
        <v>6.84</v>
      </c>
      <c r="K146">
        <v>7.7</v>
      </c>
      <c r="L146">
        <v>8.0500000000000007</v>
      </c>
      <c r="M146">
        <v>8.65</v>
      </c>
      <c r="N146">
        <v>9.42</v>
      </c>
      <c r="O146">
        <v>12.99</v>
      </c>
      <c r="P146">
        <v>18.809999999999999</v>
      </c>
      <c r="Q146">
        <v>23.93</v>
      </c>
      <c r="R146">
        <v>26.2</v>
      </c>
      <c r="S146">
        <v>30.06</v>
      </c>
      <c r="T146">
        <v>32.19</v>
      </c>
    </row>
    <row r="147" spans="1:20" x14ac:dyDescent="0.25">
      <c r="A147" t="s">
        <v>17</v>
      </c>
    </row>
    <row r="148" spans="1:20" x14ac:dyDescent="0.25">
      <c r="A148" t="s">
        <v>487</v>
      </c>
      <c r="B148">
        <v>0.39</v>
      </c>
      <c r="C148">
        <v>0.4</v>
      </c>
      <c r="D148">
        <v>0.4</v>
      </c>
      <c r="E148">
        <v>0.4</v>
      </c>
      <c r="F148">
        <v>0.4</v>
      </c>
      <c r="G148">
        <v>0.7</v>
      </c>
      <c r="H148">
        <v>0.83</v>
      </c>
      <c r="I148">
        <v>0.87</v>
      </c>
      <c r="J148">
        <v>0.94</v>
      </c>
      <c r="K148">
        <v>1.02</v>
      </c>
      <c r="L148">
        <v>1.1599999999999999</v>
      </c>
      <c r="M148">
        <v>1.52</v>
      </c>
      <c r="N148">
        <v>1.78</v>
      </c>
      <c r="O148">
        <v>1.89</v>
      </c>
      <c r="P148">
        <v>2.0499999999999998</v>
      </c>
      <c r="Q148">
        <v>2.29</v>
      </c>
      <c r="R148">
        <v>2.85</v>
      </c>
      <c r="S148">
        <v>3.19</v>
      </c>
      <c r="T148">
        <v>3.64</v>
      </c>
    </row>
    <row r="149" spans="1:20" x14ac:dyDescent="0.25">
      <c r="A149" t="s">
        <v>1326</v>
      </c>
      <c r="B149">
        <v>183.12</v>
      </c>
      <c r="C149">
        <v>45.34</v>
      </c>
      <c r="D149">
        <v>35.369999999999997</v>
      </c>
      <c r="E149">
        <v>25.8</v>
      </c>
      <c r="F149">
        <v>12.2</v>
      </c>
      <c r="G149">
        <v>23.34</v>
      </c>
      <c r="H149">
        <v>28.74</v>
      </c>
      <c r="I149">
        <v>21.75</v>
      </c>
      <c r="J149">
        <v>14.23</v>
      </c>
      <c r="K149">
        <v>13.38</v>
      </c>
      <c r="L149">
        <v>14.22</v>
      </c>
      <c r="M149">
        <v>16.61</v>
      </c>
      <c r="N149">
        <v>19.78</v>
      </c>
      <c r="O149">
        <v>15.15</v>
      </c>
      <c r="P149">
        <v>11.55</v>
      </c>
      <c r="Q149">
        <v>11</v>
      </c>
      <c r="R149">
        <v>10.5</v>
      </c>
      <c r="S149">
        <v>10.199999999999999</v>
      </c>
      <c r="T149">
        <v>11.39</v>
      </c>
    </row>
    <row r="150" spans="1:20" x14ac:dyDescent="0.25">
      <c r="A150" t="s">
        <v>17</v>
      </c>
    </row>
    <row r="151" spans="1:20" x14ac:dyDescent="0.25">
      <c r="A151" t="s">
        <v>282</v>
      </c>
    </row>
    <row r="152" spans="1:20" x14ac:dyDescent="0.25">
      <c r="A152" t="s">
        <v>63</v>
      </c>
      <c r="B152" s="2">
        <v>2991</v>
      </c>
      <c r="C152" s="2">
        <v>3843</v>
      </c>
      <c r="D152" s="2">
        <v>3952</v>
      </c>
      <c r="E152" s="2">
        <v>4511</v>
      </c>
      <c r="F152" s="2">
        <v>6612</v>
      </c>
      <c r="G152" s="2">
        <v>7517</v>
      </c>
      <c r="H152" s="2">
        <v>6386</v>
      </c>
      <c r="I152" s="2">
        <v>7692</v>
      </c>
      <c r="J152" s="2">
        <v>10914</v>
      </c>
      <c r="K152" s="2">
        <v>11993</v>
      </c>
      <c r="L152" s="2">
        <v>12384</v>
      </c>
      <c r="M152" s="2">
        <v>12897</v>
      </c>
      <c r="N152" s="2">
        <v>13808</v>
      </c>
      <c r="O152" s="2">
        <v>17216.5</v>
      </c>
      <c r="P152" s="2">
        <v>23506.959999999999</v>
      </c>
      <c r="Q152" s="2">
        <v>28491.13</v>
      </c>
      <c r="R152" s="2">
        <v>31180.02</v>
      </c>
      <c r="S152" s="2">
        <v>34740.75</v>
      </c>
      <c r="T152" s="2">
        <v>37856.46</v>
      </c>
    </row>
    <row r="153" spans="1:20" x14ac:dyDescent="0.25">
      <c r="A153" t="s">
        <v>64</v>
      </c>
      <c r="B153">
        <v>39.799999999999997</v>
      </c>
      <c r="C153">
        <v>42.4</v>
      </c>
      <c r="D153">
        <v>40.9</v>
      </c>
      <c r="E153">
        <v>41.7</v>
      </c>
      <c r="F153">
        <v>45</v>
      </c>
      <c r="G153">
        <v>45</v>
      </c>
      <c r="H153">
        <v>43.7</v>
      </c>
      <c r="I153">
        <v>44.7</v>
      </c>
      <c r="J153">
        <v>47.3</v>
      </c>
      <c r="K153">
        <v>46.5</v>
      </c>
      <c r="L153">
        <v>46.7</v>
      </c>
      <c r="M153">
        <v>47.5</v>
      </c>
      <c r="N153">
        <v>48.7</v>
      </c>
      <c r="O153">
        <v>50.11</v>
      </c>
      <c r="P153">
        <v>50.8</v>
      </c>
      <c r="Q153">
        <v>67.900000000000006</v>
      </c>
      <c r="R153">
        <v>52.91</v>
      </c>
      <c r="S153">
        <v>53.09</v>
      </c>
      <c r="T153">
        <v>53.27</v>
      </c>
    </row>
    <row r="154" spans="1:20" x14ac:dyDescent="0.25">
      <c r="A154" t="s">
        <v>283</v>
      </c>
      <c r="B154" s="2">
        <v>2559</v>
      </c>
      <c r="C154" s="2">
        <v>2323</v>
      </c>
      <c r="D154" s="2">
        <v>2259</v>
      </c>
      <c r="E154" s="2">
        <v>2359</v>
      </c>
      <c r="F154" s="2">
        <v>2676</v>
      </c>
      <c r="G154" s="2">
        <v>3026</v>
      </c>
      <c r="H154" s="2">
        <v>3036</v>
      </c>
      <c r="I154" s="2">
        <v>3327</v>
      </c>
      <c r="J154" s="2">
        <v>4025</v>
      </c>
      <c r="K154" s="2">
        <v>4205</v>
      </c>
      <c r="L154" s="2">
        <v>4730</v>
      </c>
      <c r="M154" s="2">
        <v>5030</v>
      </c>
      <c r="N154" s="2">
        <v>5519</v>
      </c>
      <c r="O154" s="2">
        <v>6046.96</v>
      </c>
      <c r="P154" s="2">
        <v>6945.26</v>
      </c>
      <c r="Q154" s="2">
        <v>7886.68</v>
      </c>
      <c r="R154" s="2">
        <v>9015.4</v>
      </c>
      <c r="S154" s="2">
        <v>9435.01</v>
      </c>
      <c r="T154" s="2">
        <v>9976.61</v>
      </c>
    </row>
    <row r="155" spans="1:20" x14ac:dyDescent="0.25">
      <c r="A155" t="s">
        <v>116</v>
      </c>
      <c r="B155">
        <v>432</v>
      </c>
      <c r="C155" s="2">
        <v>1520</v>
      </c>
      <c r="D155" s="2">
        <v>1693</v>
      </c>
      <c r="E155" s="2">
        <v>2152</v>
      </c>
      <c r="F155" s="2">
        <v>3936</v>
      </c>
      <c r="G155" s="2">
        <v>4491</v>
      </c>
      <c r="H155" s="2">
        <v>3350</v>
      </c>
      <c r="I155" s="2">
        <v>4365</v>
      </c>
      <c r="J155" s="2">
        <v>6889</v>
      </c>
      <c r="K155" s="2">
        <v>7788</v>
      </c>
      <c r="L155" s="2">
        <v>7654</v>
      </c>
      <c r="M155" s="2">
        <v>7867</v>
      </c>
      <c r="N155" s="2">
        <v>8289</v>
      </c>
      <c r="O155" s="2">
        <v>11127.67</v>
      </c>
      <c r="P155" s="2">
        <v>16380.29</v>
      </c>
      <c r="Q155" s="2">
        <v>20035.03</v>
      </c>
      <c r="R155" s="2">
        <v>23094.76</v>
      </c>
      <c r="S155" s="2">
        <v>25782.74</v>
      </c>
      <c r="T155" s="2">
        <v>27879.85</v>
      </c>
    </row>
    <row r="156" spans="1:20" x14ac:dyDescent="0.25">
      <c r="A156" t="s">
        <v>269</v>
      </c>
      <c r="B156">
        <v>5.75</v>
      </c>
      <c r="C156">
        <v>16.75</v>
      </c>
      <c r="D156">
        <v>17.53</v>
      </c>
      <c r="E156">
        <v>19.88</v>
      </c>
      <c r="F156">
        <v>26.78</v>
      </c>
      <c r="G156">
        <v>26.88</v>
      </c>
      <c r="H156">
        <v>22.93</v>
      </c>
      <c r="I156">
        <v>25.37</v>
      </c>
      <c r="J156">
        <v>29.87</v>
      </c>
      <c r="K156">
        <v>30.2</v>
      </c>
      <c r="L156">
        <v>28.86</v>
      </c>
      <c r="M156">
        <v>28.95</v>
      </c>
      <c r="N156">
        <v>29.22</v>
      </c>
      <c r="O156">
        <v>32.700000000000003</v>
      </c>
      <c r="P156">
        <v>35.78</v>
      </c>
      <c r="Q156">
        <v>36.65</v>
      </c>
      <c r="R156">
        <v>38.39</v>
      </c>
      <c r="S156">
        <v>38.92</v>
      </c>
      <c r="T156">
        <v>39.200000000000003</v>
      </c>
    </row>
    <row r="157" spans="1:20" x14ac:dyDescent="0.25">
      <c r="A157" t="s">
        <v>1327</v>
      </c>
      <c r="B157">
        <v>432</v>
      </c>
      <c r="C157" s="2">
        <v>1520</v>
      </c>
      <c r="D157" s="2">
        <v>1693</v>
      </c>
      <c r="E157" s="2">
        <v>2152</v>
      </c>
      <c r="F157" s="2">
        <v>3936</v>
      </c>
      <c r="G157" s="2">
        <v>4491</v>
      </c>
      <c r="H157" s="2">
        <v>3350</v>
      </c>
      <c r="I157" s="2">
        <v>4365</v>
      </c>
      <c r="J157" s="2">
        <v>6889</v>
      </c>
      <c r="K157" s="2">
        <v>7788</v>
      </c>
      <c r="L157" s="2">
        <v>7654</v>
      </c>
      <c r="M157" s="2">
        <v>7867</v>
      </c>
      <c r="N157" s="2">
        <v>8289</v>
      </c>
      <c r="O157" s="2">
        <v>11558.37</v>
      </c>
      <c r="P157" s="2">
        <v>16520.099999999999</v>
      </c>
      <c r="Q157" s="2">
        <v>19995.28</v>
      </c>
      <c r="R157" s="2">
        <v>23081</v>
      </c>
      <c r="S157" s="2">
        <v>25576</v>
      </c>
    </row>
    <row r="158" spans="1:20" x14ac:dyDescent="0.25">
      <c r="A158" t="s">
        <v>594</v>
      </c>
      <c r="B158">
        <v>82</v>
      </c>
      <c r="C158">
        <v>72</v>
      </c>
      <c r="D158">
        <v>95</v>
      </c>
      <c r="E158">
        <v>139</v>
      </c>
      <c r="F158">
        <v>120</v>
      </c>
      <c r="G158">
        <v>95</v>
      </c>
      <c r="H158">
        <v>81</v>
      </c>
      <c r="I158">
        <v>199</v>
      </c>
      <c r="J158">
        <v>118</v>
      </c>
      <c r="K158">
        <v>189</v>
      </c>
      <c r="L158">
        <v>-62</v>
      </c>
      <c r="M158">
        <v>-285</v>
      </c>
      <c r="N158">
        <v>-982</v>
      </c>
      <c r="O158" s="2">
        <v>-1148.33</v>
      </c>
      <c r="P158">
        <v>-483.67</v>
      </c>
      <c r="Q158">
        <v>-493.67</v>
      </c>
      <c r="R158">
        <v>116</v>
      </c>
      <c r="S158">
        <v>82</v>
      </c>
    </row>
    <row r="159" spans="1:20" x14ac:dyDescent="0.25">
      <c r="A159" t="s">
        <v>289</v>
      </c>
      <c r="B159">
        <v>95</v>
      </c>
      <c r="C159">
        <v>95</v>
      </c>
      <c r="D159">
        <v>103</v>
      </c>
      <c r="E159">
        <v>155</v>
      </c>
      <c r="F159">
        <v>198</v>
      </c>
      <c r="G159">
        <v>234</v>
      </c>
      <c r="H159">
        <v>237</v>
      </c>
      <c r="I159">
        <v>240</v>
      </c>
      <c r="J159">
        <v>236</v>
      </c>
      <c r="K159">
        <v>228</v>
      </c>
      <c r="L159">
        <v>238</v>
      </c>
      <c r="M159">
        <v>247</v>
      </c>
      <c r="N159">
        <v>269</v>
      </c>
      <c r="O159">
        <v>264.68</v>
      </c>
      <c r="P159">
        <v>261.92</v>
      </c>
      <c r="Q159">
        <v>265.36</v>
      </c>
      <c r="R159">
        <v>273</v>
      </c>
      <c r="S159">
        <v>272</v>
      </c>
      <c r="T159">
        <v>272</v>
      </c>
    </row>
    <row r="160" spans="1:20" x14ac:dyDescent="0.25">
      <c r="A160" t="s">
        <v>1328</v>
      </c>
      <c r="H160">
        <v>36</v>
      </c>
      <c r="I160">
        <v>9</v>
      </c>
      <c r="J160">
        <v>99</v>
      </c>
      <c r="K160">
        <v>7</v>
      </c>
      <c r="L160">
        <v>27</v>
      </c>
      <c r="M160">
        <v>20</v>
      </c>
      <c r="N160">
        <v>821</v>
      </c>
      <c r="O160">
        <v>927</v>
      </c>
      <c r="P160">
        <v>0</v>
      </c>
      <c r="Q160">
        <v>0</v>
      </c>
    </row>
    <row r="161" spans="1:20" x14ac:dyDescent="0.25">
      <c r="A161" t="s">
        <v>1329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-156</v>
      </c>
      <c r="I161">
        <v>-41</v>
      </c>
      <c r="J161">
        <v>-118</v>
      </c>
      <c r="K161">
        <v>-39</v>
      </c>
      <c r="L161">
        <v>-300</v>
      </c>
      <c r="M161">
        <v>-532</v>
      </c>
      <c r="N161" s="2">
        <v>-1251</v>
      </c>
      <c r="O161" s="2">
        <v>-1266.73</v>
      </c>
      <c r="P161">
        <v>-650.77</v>
      </c>
      <c r="Q161">
        <v>-927.54</v>
      </c>
      <c r="R161">
        <v>-170.09</v>
      </c>
      <c r="S161">
        <v>-205.98</v>
      </c>
      <c r="T161">
        <v>-223.7</v>
      </c>
    </row>
    <row r="162" spans="1:20" x14ac:dyDescent="0.25">
      <c r="A162" t="s">
        <v>119</v>
      </c>
      <c r="B162">
        <v>350</v>
      </c>
      <c r="C162" s="2">
        <v>1448</v>
      </c>
      <c r="D162" s="2">
        <v>1598</v>
      </c>
      <c r="E162" s="2">
        <v>2013</v>
      </c>
      <c r="F162" s="2">
        <v>3816</v>
      </c>
      <c r="G162" s="2">
        <v>4396</v>
      </c>
      <c r="H162" s="2">
        <v>3269</v>
      </c>
      <c r="I162" s="2">
        <v>4166</v>
      </c>
      <c r="J162" s="2">
        <v>6771</v>
      </c>
      <c r="K162" s="2">
        <v>7599</v>
      </c>
      <c r="L162" s="2">
        <v>7716</v>
      </c>
      <c r="M162" s="2">
        <v>8152</v>
      </c>
      <c r="N162" s="2">
        <v>9271</v>
      </c>
      <c r="O162" s="2">
        <v>12064.03</v>
      </c>
      <c r="P162" s="2">
        <v>16719.46</v>
      </c>
      <c r="Q162" s="2">
        <v>20512.77</v>
      </c>
      <c r="R162" s="2">
        <v>23886.11</v>
      </c>
      <c r="S162" s="2">
        <v>26695.73</v>
      </c>
      <c r="T162" s="2">
        <v>27831.55</v>
      </c>
    </row>
    <row r="163" spans="1:20" x14ac:dyDescent="0.25">
      <c r="A163" t="s">
        <v>292</v>
      </c>
      <c r="B163">
        <v>4.66</v>
      </c>
      <c r="C163">
        <v>15.96</v>
      </c>
      <c r="D163">
        <v>16.54</v>
      </c>
      <c r="E163">
        <v>18.600000000000001</v>
      </c>
      <c r="F163">
        <v>25.96</v>
      </c>
      <c r="G163">
        <v>26.32</v>
      </c>
      <c r="H163">
        <v>22.38</v>
      </c>
      <c r="I163">
        <v>24.22</v>
      </c>
      <c r="J163">
        <v>29.36</v>
      </c>
      <c r="K163">
        <v>29.47</v>
      </c>
      <c r="L163">
        <v>29.1</v>
      </c>
      <c r="M163">
        <v>30</v>
      </c>
      <c r="N163">
        <v>32.68</v>
      </c>
      <c r="O163">
        <v>33.99</v>
      </c>
      <c r="P163">
        <v>36.64</v>
      </c>
      <c r="Q163">
        <v>38.75</v>
      </c>
      <c r="R163">
        <v>38.58</v>
      </c>
      <c r="S163">
        <v>38.82</v>
      </c>
      <c r="T163">
        <v>39.130000000000003</v>
      </c>
    </row>
    <row r="164" spans="1:20" x14ac:dyDescent="0.25">
      <c r="A164" t="s">
        <v>120</v>
      </c>
      <c r="B164">
        <v>94</v>
      </c>
      <c r="C164">
        <v>376</v>
      </c>
      <c r="D164">
        <v>221</v>
      </c>
      <c r="E164">
        <v>292</v>
      </c>
      <c r="F164">
        <v>297</v>
      </c>
      <c r="G164" s="2">
        <v>1358</v>
      </c>
      <c r="H164">
        <v>563</v>
      </c>
      <c r="I164">
        <v>547</v>
      </c>
      <c r="J164">
        <v>883</v>
      </c>
      <c r="K164" s="2">
        <v>1074</v>
      </c>
      <c r="L164">
        <v>860</v>
      </c>
      <c r="M164">
        <v>975</v>
      </c>
      <c r="N164" s="2">
        <v>2273</v>
      </c>
      <c r="O164" s="2">
        <v>1569.42</v>
      </c>
      <c r="P164" s="2">
        <v>2337.83</v>
      </c>
      <c r="Q164" s="2">
        <v>2987.65</v>
      </c>
      <c r="R164" s="2">
        <v>3304.53</v>
      </c>
      <c r="S164" s="2">
        <v>3536.45</v>
      </c>
      <c r="T164" s="2">
        <v>4035.57</v>
      </c>
    </row>
    <row r="165" spans="1:20" x14ac:dyDescent="0.25">
      <c r="A165" t="s">
        <v>489</v>
      </c>
      <c r="B165">
        <v>26.86</v>
      </c>
      <c r="C165">
        <v>25.97</v>
      </c>
      <c r="D165">
        <v>13.83</v>
      </c>
      <c r="E165">
        <v>14.51</v>
      </c>
      <c r="F165">
        <v>7.78</v>
      </c>
      <c r="G165">
        <v>30.89</v>
      </c>
      <c r="H165">
        <v>17.22</v>
      </c>
      <c r="I165">
        <v>13.13</v>
      </c>
      <c r="J165">
        <v>13.04</v>
      </c>
      <c r="K165">
        <v>14.13</v>
      </c>
      <c r="L165">
        <v>11.15</v>
      </c>
      <c r="M165">
        <v>11.96</v>
      </c>
      <c r="N165">
        <v>24.52</v>
      </c>
      <c r="O165">
        <v>12.76</v>
      </c>
      <c r="P165">
        <v>14.08</v>
      </c>
      <c r="Q165">
        <v>21.5</v>
      </c>
      <c r="R165">
        <v>14.75</v>
      </c>
      <c r="S165">
        <v>14.5</v>
      </c>
      <c r="T165">
        <v>14.5</v>
      </c>
    </row>
    <row r="166" spans="1:20" x14ac:dyDescent="0.25">
      <c r="A166" t="s">
        <v>1330</v>
      </c>
      <c r="B166">
        <v>256</v>
      </c>
      <c r="C166" s="2">
        <v>1072</v>
      </c>
      <c r="D166" s="2">
        <v>1377</v>
      </c>
      <c r="E166" s="2">
        <v>1721</v>
      </c>
      <c r="F166" s="2">
        <v>3519</v>
      </c>
      <c r="G166" s="2">
        <v>3038</v>
      </c>
      <c r="H166" s="2">
        <v>2706</v>
      </c>
      <c r="I166" s="2">
        <v>3619</v>
      </c>
      <c r="J166" s="2">
        <v>5888</v>
      </c>
      <c r="K166" s="2">
        <v>6525</v>
      </c>
      <c r="L166" s="2">
        <v>6856</v>
      </c>
      <c r="M166" s="2">
        <v>7177</v>
      </c>
      <c r="N166" s="2">
        <v>6998</v>
      </c>
      <c r="O166" s="2">
        <v>10596.36</v>
      </c>
      <c r="P166" s="2">
        <v>15096.14</v>
      </c>
      <c r="Q166" s="2">
        <v>17954.82</v>
      </c>
    </row>
    <row r="167" spans="1:20" x14ac:dyDescent="0.25">
      <c r="A167" t="s">
        <v>121</v>
      </c>
      <c r="B167">
        <v>256</v>
      </c>
      <c r="C167" s="2">
        <v>1106</v>
      </c>
      <c r="D167" s="2">
        <v>1377</v>
      </c>
      <c r="E167" s="2">
        <v>1721</v>
      </c>
      <c r="F167" s="2">
        <v>3434</v>
      </c>
      <c r="G167" s="2">
        <v>3313</v>
      </c>
      <c r="H167" s="2">
        <v>2706</v>
      </c>
      <c r="I167" s="2">
        <v>3619</v>
      </c>
      <c r="J167" s="2">
        <v>5888</v>
      </c>
      <c r="K167" s="2">
        <v>6525</v>
      </c>
      <c r="L167" s="2">
        <v>6856</v>
      </c>
      <c r="M167" s="2">
        <v>7177</v>
      </c>
      <c r="N167" s="2">
        <v>6998</v>
      </c>
      <c r="O167" s="2">
        <v>10531.09</v>
      </c>
      <c r="P167" s="2">
        <v>14769.96</v>
      </c>
      <c r="Q167" s="2">
        <v>18034.63</v>
      </c>
      <c r="R167" s="2">
        <v>20019</v>
      </c>
      <c r="S167" s="2">
        <v>22172</v>
      </c>
      <c r="T167" s="2">
        <v>23796</v>
      </c>
    </row>
    <row r="168" spans="1:20" x14ac:dyDescent="0.25">
      <c r="A168" t="s">
        <v>297</v>
      </c>
      <c r="B168">
        <v>0.21</v>
      </c>
      <c r="C168">
        <v>0.88</v>
      </c>
      <c r="D168">
        <v>1.1200000000000001</v>
      </c>
      <c r="E168">
        <v>1.54</v>
      </c>
      <c r="F168">
        <v>3.25</v>
      </c>
      <c r="G168">
        <v>3</v>
      </c>
      <c r="H168">
        <v>2.89</v>
      </c>
      <c r="I168">
        <v>3.95</v>
      </c>
      <c r="J168">
        <v>6.47</v>
      </c>
      <c r="K168">
        <v>7.49</v>
      </c>
      <c r="L168">
        <v>8.16</v>
      </c>
      <c r="M168">
        <v>8.68</v>
      </c>
      <c r="N168">
        <v>8.7100000000000009</v>
      </c>
      <c r="O168">
        <v>13.14</v>
      </c>
      <c r="P168">
        <v>19.149999999999999</v>
      </c>
      <c r="Q168">
        <v>24</v>
      </c>
      <c r="R168">
        <v>27.14</v>
      </c>
      <c r="S168">
        <v>29.93</v>
      </c>
      <c r="T168">
        <v>31.93</v>
      </c>
    </row>
    <row r="169" spans="1:20" x14ac:dyDescent="0.25">
      <c r="A169" t="s">
        <v>124</v>
      </c>
      <c r="B169">
        <v>0.21</v>
      </c>
      <c r="C169">
        <v>0.9</v>
      </c>
      <c r="D169">
        <v>1.1200000000000001</v>
      </c>
      <c r="E169">
        <v>1.54</v>
      </c>
      <c r="F169">
        <v>3.17</v>
      </c>
      <c r="G169">
        <v>3.23</v>
      </c>
      <c r="H169">
        <v>2.86</v>
      </c>
      <c r="I169">
        <v>3.92</v>
      </c>
      <c r="J169">
        <v>6.4</v>
      </c>
      <c r="K169">
        <v>7.44</v>
      </c>
      <c r="L169">
        <v>8.11</v>
      </c>
      <c r="M169">
        <v>8.61</v>
      </c>
      <c r="N169">
        <v>8.66</v>
      </c>
      <c r="O169">
        <v>13.18</v>
      </c>
      <c r="P169">
        <v>18.670000000000002</v>
      </c>
      <c r="Q169">
        <v>23.31</v>
      </c>
      <c r="R169">
        <v>26.05</v>
      </c>
      <c r="S169">
        <v>29.7</v>
      </c>
      <c r="T169">
        <v>31.93</v>
      </c>
    </row>
    <row r="170" spans="1:20" x14ac:dyDescent="0.25">
      <c r="A170" t="s">
        <v>17</v>
      </c>
    </row>
    <row r="171" spans="1:20" x14ac:dyDescent="0.25">
      <c r="A171" t="s">
        <v>651</v>
      </c>
    </row>
    <row r="172" spans="1:20" x14ac:dyDescent="0.25">
      <c r="A172" t="s">
        <v>131</v>
      </c>
      <c r="B172">
        <v>533</v>
      </c>
      <c r="C172">
        <v>252</v>
      </c>
      <c r="D172">
        <v>-10</v>
      </c>
      <c r="E172">
        <v>15</v>
      </c>
      <c r="F172">
        <v>184</v>
      </c>
      <c r="G172">
        <v>177</v>
      </c>
      <c r="H172">
        <v>41</v>
      </c>
      <c r="I172">
        <v>188</v>
      </c>
      <c r="J172">
        <v>334</v>
      </c>
      <c r="K172">
        <v>66</v>
      </c>
      <c r="L172">
        <v>38</v>
      </c>
      <c r="M172">
        <v>-5</v>
      </c>
      <c r="N172">
        <v>-592</v>
      </c>
      <c r="O172">
        <v>-682.25</v>
      </c>
      <c r="P172">
        <v>-221.49</v>
      </c>
      <c r="Q172">
        <v>-212.27</v>
      </c>
      <c r="R172">
        <v>-706.97</v>
      </c>
    </row>
    <row r="173" spans="1:20" x14ac:dyDescent="0.25">
      <c r="A173" t="s">
        <v>1331</v>
      </c>
      <c r="B173">
        <v>256</v>
      </c>
      <c r="C173">
        <v>290</v>
      </c>
      <c r="D173">
        <v>52</v>
      </c>
      <c r="E173">
        <v>2</v>
      </c>
      <c r="F173">
        <v>194</v>
      </c>
      <c r="G173">
        <v>202</v>
      </c>
      <c r="H173">
        <v>77</v>
      </c>
      <c r="I173">
        <v>134</v>
      </c>
      <c r="J173">
        <v>92</v>
      </c>
      <c r="K173">
        <v>77</v>
      </c>
      <c r="L173">
        <v>65</v>
      </c>
      <c r="M173">
        <v>12</v>
      </c>
      <c r="N173">
        <v>6</v>
      </c>
      <c r="O173">
        <v>325</v>
      </c>
      <c r="P173">
        <v>60</v>
      </c>
      <c r="Q173">
        <v>60</v>
      </c>
    </row>
    <row r="174" spans="1:20" x14ac:dyDescent="0.25">
      <c r="A174" t="s">
        <v>1332</v>
      </c>
      <c r="B174">
        <v>1</v>
      </c>
      <c r="C174">
        <v>-9</v>
      </c>
      <c r="D174">
        <v>4</v>
      </c>
      <c r="G174">
        <v>-25</v>
      </c>
      <c r="H174">
        <v>-30</v>
      </c>
      <c r="I174">
        <v>-8</v>
      </c>
      <c r="J174">
        <v>-56</v>
      </c>
      <c r="K174">
        <v>-4</v>
      </c>
      <c r="L174">
        <v>-134</v>
      </c>
      <c r="M174">
        <v>-31</v>
      </c>
      <c r="N174">
        <v>-755</v>
      </c>
      <c r="O174" s="2">
        <v>-1107.17</v>
      </c>
      <c r="P174">
        <v>-815.03</v>
      </c>
      <c r="Q174">
        <v>-786.92</v>
      </c>
      <c r="R174">
        <v>-797.34</v>
      </c>
    </row>
    <row r="175" spans="1:20" x14ac:dyDescent="0.25">
      <c r="A175" t="s">
        <v>1333</v>
      </c>
      <c r="B175">
        <v>-102</v>
      </c>
      <c r="C175">
        <v>-38</v>
      </c>
      <c r="D175">
        <v>-17</v>
      </c>
      <c r="E175">
        <v>-19</v>
      </c>
      <c r="F175">
        <v>-14</v>
      </c>
      <c r="G175">
        <v>-7</v>
      </c>
      <c r="H175">
        <v>-5</v>
      </c>
      <c r="I175">
        <v>-35</v>
      </c>
      <c r="J175">
        <v>-33</v>
      </c>
      <c r="K175">
        <v>-3</v>
      </c>
      <c r="L175">
        <v>-6</v>
      </c>
      <c r="M175">
        <v>-3</v>
      </c>
      <c r="N175">
        <v>88</v>
      </c>
      <c r="O175">
        <v>146.52000000000001</v>
      </c>
      <c r="P175">
        <v>-5.76</v>
      </c>
      <c r="Q175">
        <v>-5.76</v>
      </c>
      <c r="R175">
        <v>-5.76</v>
      </c>
      <c r="S175">
        <v>-5.76</v>
      </c>
      <c r="T175">
        <v>-5.76</v>
      </c>
    </row>
    <row r="176" spans="1:20" x14ac:dyDescent="0.25">
      <c r="A176" t="s">
        <v>17</v>
      </c>
    </row>
    <row r="177" spans="1:20" x14ac:dyDescent="0.25">
      <c r="A177" t="s">
        <v>176</v>
      </c>
    </row>
    <row r="178" spans="1:20" x14ac:dyDescent="0.25">
      <c r="A178" t="s">
        <v>1334</v>
      </c>
      <c r="B178">
        <v>3.41</v>
      </c>
      <c r="C178">
        <v>11.82</v>
      </c>
      <c r="D178">
        <v>14.26</v>
      </c>
      <c r="E178">
        <v>15.9</v>
      </c>
      <c r="F178">
        <v>23.94</v>
      </c>
      <c r="G178">
        <v>18.190000000000001</v>
      </c>
      <c r="H178">
        <v>18.52</v>
      </c>
      <c r="I178">
        <v>21.04</v>
      </c>
      <c r="J178">
        <v>25.53</v>
      </c>
      <c r="K178">
        <v>25.31</v>
      </c>
      <c r="L178">
        <v>25.86</v>
      </c>
      <c r="M178">
        <v>26.41</v>
      </c>
      <c r="N178">
        <v>24.67</v>
      </c>
      <c r="O178">
        <v>30.42</v>
      </c>
      <c r="P178">
        <v>30.27</v>
      </c>
      <c r="Q178">
        <v>44.73</v>
      </c>
      <c r="R178">
        <v>32.69</v>
      </c>
      <c r="S178">
        <v>32.950000000000003</v>
      </c>
      <c r="T178">
        <v>33.46</v>
      </c>
    </row>
    <row r="179" spans="1:20" x14ac:dyDescent="0.25">
      <c r="A179" t="s">
        <v>1335</v>
      </c>
      <c r="B179">
        <v>0.7</v>
      </c>
      <c r="C179">
        <v>1.56</v>
      </c>
      <c r="D179">
        <v>1.7</v>
      </c>
      <c r="E179">
        <v>2.2999999999999998</v>
      </c>
      <c r="F179">
        <v>4.05</v>
      </c>
      <c r="G179">
        <v>4.88</v>
      </c>
      <c r="H179">
        <v>3.96</v>
      </c>
      <c r="I179">
        <v>5.25</v>
      </c>
      <c r="J179">
        <v>8.09</v>
      </c>
      <c r="K179">
        <v>9.56</v>
      </c>
      <c r="L179">
        <v>9.85</v>
      </c>
      <c r="M179">
        <v>9.99</v>
      </c>
      <c r="N179">
        <v>10.85</v>
      </c>
      <c r="O179">
        <v>15.12</v>
      </c>
      <c r="P179">
        <v>22.53</v>
      </c>
      <c r="Q179">
        <v>26.44</v>
      </c>
    </row>
    <row r="180" spans="1:20" x14ac:dyDescent="0.25">
      <c r="A180" t="s">
        <v>17</v>
      </c>
    </row>
    <row r="181" spans="1:20" x14ac:dyDescent="0.25">
      <c r="A181" t="s">
        <v>134</v>
      </c>
    </row>
    <row r="182" spans="1:20" x14ac:dyDescent="0.25">
      <c r="A182" t="s">
        <v>135</v>
      </c>
    </row>
    <row r="183" spans="1:20" x14ac:dyDescent="0.25">
      <c r="A183" t="s">
        <v>136</v>
      </c>
      <c r="B183" s="2">
        <v>5642</v>
      </c>
      <c r="C183" s="2">
        <v>6967</v>
      </c>
      <c r="D183" s="2">
        <v>9261</v>
      </c>
      <c r="E183" s="2">
        <v>8353</v>
      </c>
      <c r="F183" s="2">
        <v>12918</v>
      </c>
      <c r="G183" s="2">
        <v>10604</v>
      </c>
      <c r="H183" s="2">
        <v>10206</v>
      </c>
      <c r="I183" s="2">
        <v>13369</v>
      </c>
      <c r="J183" s="2">
        <v>16107</v>
      </c>
      <c r="K183" s="2">
        <v>15925</v>
      </c>
      <c r="L183" s="2">
        <v>19147</v>
      </c>
      <c r="M183" s="2">
        <v>21220</v>
      </c>
      <c r="N183" s="2">
        <v>20881</v>
      </c>
      <c r="O183" s="2">
        <v>26988.639999999999</v>
      </c>
      <c r="P183" s="2">
        <v>36536.800000000003</v>
      </c>
      <c r="Q183" s="2">
        <v>44788.36</v>
      </c>
      <c r="R183" s="2">
        <v>59118.37</v>
      </c>
      <c r="S183" s="2">
        <v>70197.05</v>
      </c>
      <c r="T183" s="2">
        <v>82535.22</v>
      </c>
    </row>
    <row r="184" spans="1:20" x14ac:dyDescent="0.25">
      <c r="A184" t="s">
        <v>137</v>
      </c>
      <c r="B184" s="2">
        <v>1891</v>
      </c>
      <c r="C184" s="2">
        <v>3162</v>
      </c>
      <c r="D184" s="2">
        <v>4965</v>
      </c>
      <c r="E184" s="2">
        <v>3749</v>
      </c>
      <c r="F184" s="2">
        <v>7276</v>
      </c>
      <c r="G184" s="2">
        <v>4030</v>
      </c>
      <c r="H184" s="2">
        <v>3618</v>
      </c>
      <c r="I184" s="2">
        <v>5738</v>
      </c>
      <c r="J184" s="2">
        <v>5459</v>
      </c>
      <c r="K184" s="2">
        <v>2581</v>
      </c>
      <c r="L184" s="2">
        <v>6869</v>
      </c>
      <c r="M184" s="2">
        <v>9471</v>
      </c>
      <c r="N184" s="2">
        <v>8573</v>
      </c>
      <c r="O184" s="2">
        <v>8524.85</v>
      </c>
      <c r="P184" s="2">
        <v>13204.56</v>
      </c>
      <c r="Q184" s="2">
        <v>21474.07</v>
      </c>
    </row>
    <row r="185" spans="1:20" x14ac:dyDescent="0.25">
      <c r="A185" t="s">
        <v>1336</v>
      </c>
      <c r="B185" s="2">
        <v>1711</v>
      </c>
      <c r="C185" s="2">
        <v>3002</v>
      </c>
      <c r="D185" s="2">
        <v>4797</v>
      </c>
      <c r="E185" s="2">
        <v>3406</v>
      </c>
      <c r="F185" s="2">
        <v>5010</v>
      </c>
      <c r="G185" s="2">
        <v>3440</v>
      </c>
      <c r="H185" s="2">
        <v>3129</v>
      </c>
      <c r="I185" s="2">
        <v>5351</v>
      </c>
      <c r="J185" s="2">
        <v>4995</v>
      </c>
      <c r="K185" s="2">
        <v>1995</v>
      </c>
      <c r="L185" s="2">
        <v>6132</v>
      </c>
      <c r="M185" s="2">
        <v>8022</v>
      </c>
      <c r="N185" s="2">
        <v>7241</v>
      </c>
      <c r="O185" s="2">
        <v>8316.9</v>
      </c>
      <c r="P185" s="2">
        <v>13234.38</v>
      </c>
      <c r="Q185" s="2">
        <v>17626.919999999998</v>
      </c>
      <c r="R185" s="2">
        <v>27835.75</v>
      </c>
      <c r="S185" s="2">
        <v>37688.559999999998</v>
      </c>
      <c r="T185" s="2">
        <v>48216.46</v>
      </c>
    </row>
    <row r="186" spans="1:20" x14ac:dyDescent="0.25">
      <c r="A186" t="s">
        <v>140</v>
      </c>
      <c r="B186">
        <v>180</v>
      </c>
      <c r="C186">
        <v>160</v>
      </c>
      <c r="D186">
        <v>168</v>
      </c>
      <c r="E186">
        <v>343</v>
      </c>
      <c r="F186" s="2">
        <v>2266</v>
      </c>
      <c r="G186">
        <v>590</v>
      </c>
      <c r="H186">
        <v>489</v>
      </c>
      <c r="I186">
        <v>387</v>
      </c>
      <c r="J186">
        <v>464</v>
      </c>
      <c r="K186">
        <v>586</v>
      </c>
      <c r="L186">
        <v>737</v>
      </c>
      <c r="M186" s="2">
        <v>1449</v>
      </c>
      <c r="N186" s="2">
        <v>1332</v>
      </c>
      <c r="O186" s="2">
        <v>2203.6999999999998</v>
      </c>
      <c r="P186" s="2">
        <v>2215.1</v>
      </c>
      <c r="Q186" s="2">
        <v>2227.83</v>
      </c>
      <c r="R186" s="2">
        <v>2196</v>
      </c>
      <c r="S186" s="2">
        <v>2196</v>
      </c>
      <c r="T186" s="2">
        <v>2196</v>
      </c>
    </row>
    <row r="187" spans="1:20" x14ac:dyDescent="0.25">
      <c r="A187" t="s">
        <v>141</v>
      </c>
      <c r="B187" s="2">
        <v>1633</v>
      </c>
      <c r="C187" s="2">
        <v>1670</v>
      </c>
      <c r="D187" s="2">
        <v>1739</v>
      </c>
      <c r="E187" s="2">
        <v>2279</v>
      </c>
      <c r="F187" s="2">
        <v>2338</v>
      </c>
      <c r="G187" s="2">
        <v>2323</v>
      </c>
      <c r="H187" s="2">
        <v>2533</v>
      </c>
      <c r="I187" s="2">
        <v>2963</v>
      </c>
      <c r="J187" s="2">
        <v>4953</v>
      </c>
      <c r="K187" s="2">
        <v>6068</v>
      </c>
      <c r="L187" s="2">
        <v>5165</v>
      </c>
      <c r="M187" s="2">
        <v>5234</v>
      </c>
      <c r="N187" s="2">
        <v>5185</v>
      </c>
      <c r="O187" s="2">
        <v>7826.28</v>
      </c>
      <c r="P187" s="2">
        <v>9429.16</v>
      </c>
      <c r="Q187" s="2">
        <v>10259.44</v>
      </c>
      <c r="R187" s="2">
        <v>12363.54</v>
      </c>
      <c r="S187" s="2">
        <v>13230.98</v>
      </c>
      <c r="T187" s="2">
        <v>15315.8</v>
      </c>
    </row>
    <row r="188" spans="1:20" x14ac:dyDescent="0.25">
      <c r="A188" t="s">
        <v>340</v>
      </c>
      <c r="B188" s="2">
        <v>1413</v>
      </c>
      <c r="C188" s="2">
        <v>1567</v>
      </c>
      <c r="D188" s="2">
        <v>1833</v>
      </c>
      <c r="E188" s="2">
        <v>2050</v>
      </c>
      <c r="F188" s="2">
        <v>2930</v>
      </c>
      <c r="G188" s="2">
        <v>3721</v>
      </c>
      <c r="H188" s="2">
        <v>3474</v>
      </c>
      <c r="I188" s="2">
        <v>3904</v>
      </c>
      <c r="J188" s="2">
        <v>4309</v>
      </c>
      <c r="K188" s="2">
        <v>5932</v>
      </c>
      <c r="L188" s="2">
        <v>5725</v>
      </c>
      <c r="M188" s="2">
        <v>5421</v>
      </c>
      <c r="N188" s="2">
        <v>5915</v>
      </c>
      <c r="O188" s="2">
        <v>7463.85</v>
      </c>
      <c r="P188" s="2">
        <v>8904.42</v>
      </c>
      <c r="Q188" s="2">
        <v>10383.42</v>
      </c>
      <c r="R188" s="2">
        <v>12763.28</v>
      </c>
      <c r="S188" s="2">
        <v>13642.26</v>
      </c>
      <c r="T188" s="2">
        <v>15199.96</v>
      </c>
    </row>
    <row r="189" spans="1:20" x14ac:dyDescent="0.25">
      <c r="A189" t="s">
        <v>145</v>
      </c>
      <c r="B189">
        <v>705</v>
      </c>
      <c r="C189">
        <v>568</v>
      </c>
      <c r="D189">
        <v>724</v>
      </c>
      <c r="E189">
        <v>275</v>
      </c>
      <c r="F189">
        <v>374</v>
      </c>
      <c r="G189">
        <v>530</v>
      </c>
      <c r="H189">
        <v>581</v>
      </c>
      <c r="I189">
        <v>764</v>
      </c>
      <c r="J189" s="2">
        <v>1386</v>
      </c>
      <c r="K189" s="2">
        <v>1344</v>
      </c>
      <c r="L189" s="2">
        <v>1388</v>
      </c>
      <c r="M189" s="2">
        <v>1094</v>
      </c>
      <c r="N189" s="2">
        <v>1208</v>
      </c>
      <c r="O189" s="2">
        <v>1701.97</v>
      </c>
      <c r="P189" s="2">
        <v>1880.65</v>
      </c>
      <c r="Q189" s="2">
        <v>1954.24</v>
      </c>
      <c r="R189" s="2">
        <v>1607</v>
      </c>
      <c r="S189" s="2">
        <v>1607</v>
      </c>
      <c r="T189" s="2">
        <v>1607</v>
      </c>
    </row>
    <row r="190" spans="1:20" x14ac:dyDescent="0.25">
      <c r="A190" t="s">
        <v>146</v>
      </c>
      <c r="B190" s="2">
        <v>6401</v>
      </c>
      <c r="C190" s="2">
        <v>6207</v>
      </c>
      <c r="D190" s="2">
        <v>6047</v>
      </c>
      <c r="E190" s="2">
        <v>6217</v>
      </c>
      <c r="F190" s="2">
        <v>6501</v>
      </c>
      <c r="G190" s="2">
        <v>7029</v>
      </c>
      <c r="H190" s="2">
        <v>8818</v>
      </c>
      <c r="I190" s="2">
        <v>8984</v>
      </c>
      <c r="J190" s="2">
        <v>9718</v>
      </c>
      <c r="K190" s="2">
        <v>10801</v>
      </c>
      <c r="L190" s="2">
        <v>11582</v>
      </c>
      <c r="M190" s="2">
        <v>13189</v>
      </c>
      <c r="N190" s="2">
        <v>15418</v>
      </c>
      <c r="O190" s="2">
        <v>18870.41</v>
      </c>
      <c r="P190" s="2">
        <v>20969.84</v>
      </c>
      <c r="Q190" s="2">
        <v>22167.200000000001</v>
      </c>
      <c r="R190" s="2">
        <v>23370</v>
      </c>
      <c r="S190" s="2">
        <v>24626.53</v>
      </c>
      <c r="T190" s="2">
        <v>25976.09</v>
      </c>
    </row>
    <row r="191" spans="1:20" x14ac:dyDescent="0.25">
      <c r="A191" t="s">
        <v>409</v>
      </c>
      <c r="B191">
        <v>850</v>
      </c>
      <c r="C191">
        <v>861</v>
      </c>
      <c r="D191">
        <v>892</v>
      </c>
      <c r="E191">
        <v>937</v>
      </c>
      <c r="F191" s="2">
        <v>1066</v>
      </c>
      <c r="G191" s="2">
        <v>1407</v>
      </c>
      <c r="H191" s="2">
        <v>1529</v>
      </c>
      <c r="I191" s="2">
        <v>1604</v>
      </c>
      <c r="J191" s="2">
        <v>1934</v>
      </c>
      <c r="K191" s="2">
        <v>2307</v>
      </c>
      <c r="L191" s="2">
        <v>2723</v>
      </c>
      <c r="M191" s="2">
        <v>3339</v>
      </c>
      <c r="N191" s="2">
        <v>4610</v>
      </c>
      <c r="O191" s="2">
        <v>5984.68</v>
      </c>
      <c r="P191" s="2">
        <v>7513.11</v>
      </c>
      <c r="Q191" s="2">
        <v>8615.08</v>
      </c>
      <c r="R191" s="2">
        <v>10472.459999999999</v>
      </c>
      <c r="S191" s="2">
        <v>11524.73</v>
      </c>
      <c r="T191" s="2">
        <v>13303.01</v>
      </c>
    </row>
    <row r="192" spans="1:20" x14ac:dyDescent="0.25">
      <c r="A192" t="s">
        <v>1337</v>
      </c>
      <c r="B192" s="2">
        <v>2817</v>
      </c>
      <c r="C192" s="2">
        <v>2848</v>
      </c>
      <c r="D192" s="2">
        <v>2946</v>
      </c>
      <c r="E192" s="2">
        <v>3043</v>
      </c>
      <c r="F192" s="2">
        <v>3311</v>
      </c>
      <c r="G192" s="2">
        <v>3812</v>
      </c>
      <c r="H192" s="2">
        <v>4071</v>
      </c>
      <c r="I192" s="2">
        <v>4380</v>
      </c>
      <c r="J192" s="2">
        <v>4980</v>
      </c>
      <c r="K192" s="2">
        <v>5629</v>
      </c>
      <c r="L192" s="2">
        <v>6374</v>
      </c>
      <c r="M192" s="2">
        <v>7109</v>
      </c>
      <c r="N192" s="2">
        <v>8511</v>
      </c>
    </row>
    <row r="193" spans="1:20" x14ac:dyDescent="0.25">
      <c r="A193" t="s">
        <v>900</v>
      </c>
      <c r="B193" s="2">
        <v>1967</v>
      </c>
      <c r="C193" s="2">
        <v>1987</v>
      </c>
      <c r="D193" s="2">
        <v>2054</v>
      </c>
      <c r="E193" s="2">
        <v>2106</v>
      </c>
      <c r="F193" s="2">
        <v>2245</v>
      </c>
      <c r="G193" s="2">
        <v>2405</v>
      </c>
      <c r="H193" s="2">
        <v>2542</v>
      </c>
      <c r="I193" s="2">
        <v>2776</v>
      </c>
      <c r="J193" s="2">
        <v>3046</v>
      </c>
      <c r="K193" s="2">
        <v>3322</v>
      </c>
      <c r="L193" s="2">
        <v>3651</v>
      </c>
      <c r="M193" s="2">
        <v>3770</v>
      </c>
      <c r="N193" s="2">
        <v>3901</v>
      </c>
    </row>
    <row r="194" spans="1:20" x14ac:dyDescent="0.25">
      <c r="A194" t="s">
        <v>411</v>
      </c>
      <c r="B194" s="2">
        <v>1005</v>
      </c>
      <c r="C194">
        <v>935</v>
      </c>
      <c r="D194">
        <v>946</v>
      </c>
      <c r="E194">
        <v>929</v>
      </c>
      <c r="F194" s="2">
        <v>1143</v>
      </c>
      <c r="G194" s="2">
        <v>1568</v>
      </c>
      <c r="H194" s="2">
        <v>1703</v>
      </c>
      <c r="I194" s="2">
        <v>1538</v>
      </c>
      <c r="J194" s="2">
        <v>2055</v>
      </c>
      <c r="K194" s="2">
        <v>1980</v>
      </c>
      <c r="L194" s="2">
        <v>2281</v>
      </c>
      <c r="M194" s="2">
        <v>2787</v>
      </c>
      <c r="N194" s="2">
        <v>4327</v>
      </c>
      <c r="O194" s="2">
        <v>5173.8999999999996</v>
      </c>
      <c r="P194" s="2">
        <v>5173.8999999999996</v>
      </c>
      <c r="Q194" s="2">
        <v>5079.8</v>
      </c>
      <c r="R194" s="2">
        <v>5268</v>
      </c>
      <c r="S194" s="2">
        <v>5268</v>
      </c>
      <c r="T194" s="2">
        <v>5268</v>
      </c>
    </row>
    <row r="195" spans="1:20" x14ac:dyDescent="0.25">
      <c r="A195" t="s">
        <v>312</v>
      </c>
      <c r="L195" s="2">
        <v>4026</v>
      </c>
      <c r="M195" s="2">
        <v>3981</v>
      </c>
      <c r="N195" s="2">
        <v>3933</v>
      </c>
      <c r="O195" s="2">
        <v>4168.25</v>
      </c>
      <c r="P195" s="2">
        <v>4089.25</v>
      </c>
      <c r="Q195" s="2">
        <v>3963</v>
      </c>
    </row>
    <row r="196" spans="1:20" x14ac:dyDescent="0.25">
      <c r="A196" t="s">
        <v>151</v>
      </c>
      <c r="B196" s="2">
        <v>1103</v>
      </c>
      <c r="C196">
        <v>951</v>
      </c>
      <c r="D196">
        <v>762</v>
      </c>
      <c r="E196">
        <v>575</v>
      </c>
      <c r="F196">
        <v>412</v>
      </c>
      <c r="G196">
        <v>213</v>
      </c>
      <c r="H196">
        <v>156</v>
      </c>
      <c r="I196">
        <v>153</v>
      </c>
      <c r="J196">
        <v>104</v>
      </c>
      <c r="K196">
        <v>339</v>
      </c>
      <c r="L196">
        <v>294</v>
      </c>
      <c r="M196">
        <v>249</v>
      </c>
      <c r="N196">
        <v>226</v>
      </c>
      <c r="O196">
        <v>284.93</v>
      </c>
      <c r="P196">
        <v>248.28</v>
      </c>
      <c r="Q196">
        <v>203.01</v>
      </c>
      <c r="R196">
        <v>125.54</v>
      </c>
      <c r="S196">
        <v>111.54</v>
      </c>
      <c r="T196">
        <v>167.08</v>
      </c>
    </row>
    <row r="197" spans="1:20" x14ac:dyDescent="0.25">
      <c r="A197" t="s">
        <v>152</v>
      </c>
      <c r="B197" s="2">
        <v>3294</v>
      </c>
      <c r="C197" s="2">
        <v>3304</v>
      </c>
      <c r="D197" s="2">
        <v>3302</v>
      </c>
      <c r="E197" s="2">
        <v>3316</v>
      </c>
      <c r="F197" s="2">
        <v>3368</v>
      </c>
      <c r="G197" s="2">
        <v>3368</v>
      </c>
      <c r="H197" s="2">
        <v>3399</v>
      </c>
      <c r="I197" s="2">
        <v>3466</v>
      </c>
      <c r="J197" s="2">
        <v>3479</v>
      </c>
      <c r="K197" s="2">
        <v>3700</v>
      </c>
      <c r="L197" s="2">
        <v>3732</v>
      </c>
      <c r="M197" s="2">
        <v>3732</v>
      </c>
      <c r="N197" s="2">
        <v>3707</v>
      </c>
      <c r="O197" s="2">
        <v>3839.8</v>
      </c>
      <c r="P197" s="2">
        <v>3839.8</v>
      </c>
      <c r="Q197" s="2">
        <v>3817.67</v>
      </c>
      <c r="R197" s="2">
        <v>3790</v>
      </c>
      <c r="S197" s="2">
        <v>3790</v>
      </c>
      <c r="T197" s="2">
        <v>3873</v>
      </c>
    </row>
    <row r="198" spans="1:20" x14ac:dyDescent="0.25">
      <c r="A198" t="s">
        <v>212</v>
      </c>
      <c r="B198">
        <v>149</v>
      </c>
      <c r="C198">
        <v>156</v>
      </c>
      <c r="E198">
        <v>478</v>
      </c>
      <c r="H198" s="2">
        <v>2031</v>
      </c>
      <c r="I198" s="2">
        <v>2223</v>
      </c>
      <c r="J198" s="2">
        <v>2146</v>
      </c>
      <c r="K198" s="2">
        <v>2475</v>
      </c>
      <c r="L198" s="2">
        <v>2552</v>
      </c>
      <c r="M198" s="2">
        <v>3082</v>
      </c>
      <c r="N198" s="2">
        <v>2548</v>
      </c>
      <c r="O198" s="2">
        <v>3274.22</v>
      </c>
      <c r="P198" s="2">
        <v>3274.22</v>
      </c>
      <c r="Q198" s="2">
        <v>3201.6</v>
      </c>
      <c r="R198" s="2">
        <v>3365</v>
      </c>
      <c r="S198" s="2">
        <v>3365</v>
      </c>
      <c r="T198" s="2">
        <v>3365</v>
      </c>
    </row>
    <row r="199" spans="1:20" x14ac:dyDescent="0.25">
      <c r="A199" t="s">
        <v>155</v>
      </c>
      <c r="B199" s="2">
        <v>12043</v>
      </c>
      <c r="C199" s="2">
        <v>13174</v>
      </c>
      <c r="D199" s="2">
        <v>15308</v>
      </c>
      <c r="E199" s="2">
        <v>14570</v>
      </c>
      <c r="F199" s="2">
        <v>19190</v>
      </c>
      <c r="G199" s="2">
        <v>17633</v>
      </c>
      <c r="H199" s="2">
        <v>19024</v>
      </c>
      <c r="I199" s="2">
        <v>22353</v>
      </c>
      <c r="J199" s="2">
        <v>25825</v>
      </c>
      <c r="K199" s="2">
        <v>26726</v>
      </c>
      <c r="L199" s="2">
        <v>30729</v>
      </c>
      <c r="M199" s="2">
        <v>34409</v>
      </c>
      <c r="N199" s="2">
        <v>36299</v>
      </c>
      <c r="O199" s="2">
        <v>45331.21</v>
      </c>
      <c r="P199" s="2">
        <v>56154.9</v>
      </c>
      <c r="Q199" s="2">
        <v>64976.07</v>
      </c>
      <c r="R199" s="2">
        <v>73671.69</v>
      </c>
      <c r="S199" s="2">
        <v>82684.289999999994</v>
      </c>
      <c r="T199" s="2">
        <v>108511.31</v>
      </c>
    </row>
    <row r="200" spans="1:20" x14ac:dyDescent="0.25">
      <c r="A200" t="s">
        <v>17</v>
      </c>
    </row>
    <row r="201" spans="1:20" x14ac:dyDescent="0.25">
      <c r="A201" t="s">
        <v>1338</v>
      </c>
    </row>
    <row r="202" spans="1:20" x14ac:dyDescent="0.25">
      <c r="A202" t="s">
        <v>157</v>
      </c>
      <c r="B202" s="2">
        <v>2443</v>
      </c>
      <c r="C202" s="2">
        <v>2823</v>
      </c>
      <c r="D202" s="2">
        <v>3798</v>
      </c>
      <c r="E202" s="2">
        <v>3632</v>
      </c>
      <c r="F202" s="2">
        <v>4115</v>
      </c>
      <c r="G202" s="2">
        <v>3922</v>
      </c>
      <c r="H202" s="2">
        <v>4447</v>
      </c>
      <c r="I202" s="2">
        <v>4459</v>
      </c>
      <c r="J202" s="2">
        <v>6344</v>
      </c>
      <c r="K202" s="2">
        <v>7379</v>
      </c>
      <c r="L202" s="2">
        <v>7372</v>
      </c>
      <c r="M202" s="2">
        <v>8468</v>
      </c>
      <c r="N202" s="2">
        <v>7999</v>
      </c>
      <c r="O202" s="2">
        <v>11050.59</v>
      </c>
      <c r="P202" s="2">
        <v>12643.18</v>
      </c>
      <c r="Q202" s="2">
        <v>13596.65</v>
      </c>
      <c r="R202" s="2">
        <v>16610.41</v>
      </c>
      <c r="S202" s="2">
        <v>17123</v>
      </c>
      <c r="T202" s="2">
        <v>17889.25</v>
      </c>
    </row>
    <row r="203" spans="1:20" x14ac:dyDescent="0.25">
      <c r="A203" t="s">
        <v>158</v>
      </c>
      <c r="B203" s="2">
        <v>1649</v>
      </c>
      <c r="C203" s="2">
        <v>1883</v>
      </c>
      <c r="D203" s="2">
        <v>1833</v>
      </c>
      <c r="E203" s="2">
        <v>2256</v>
      </c>
      <c r="F203" s="2">
        <v>2450</v>
      </c>
      <c r="G203" s="2">
        <v>2721</v>
      </c>
      <c r="H203" s="2">
        <v>2511</v>
      </c>
      <c r="I203" s="2">
        <v>3138</v>
      </c>
      <c r="J203" s="2">
        <v>4268</v>
      </c>
      <c r="K203" s="2">
        <v>4237</v>
      </c>
      <c r="L203" s="2">
        <v>4297</v>
      </c>
      <c r="M203" s="2">
        <v>4820</v>
      </c>
      <c r="N203" s="2">
        <v>5333</v>
      </c>
      <c r="O203" s="2">
        <v>6500.34</v>
      </c>
      <c r="P203" s="2">
        <v>7705.03</v>
      </c>
      <c r="Q203" s="2">
        <v>8753.67</v>
      </c>
      <c r="R203" s="2">
        <v>10650.21</v>
      </c>
      <c r="S203" s="2">
        <v>11367.5</v>
      </c>
      <c r="T203" s="2">
        <v>13319.25</v>
      </c>
    </row>
    <row r="204" spans="1:20" x14ac:dyDescent="0.25">
      <c r="A204" t="s">
        <v>313</v>
      </c>
      <c r="B204">
        <v>0</v>
      </c>
      <c r="C204">
        <v>0</v>
      </c>
      <c r="D204" s="2">
        <v>1200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100</v>
      </c>
      <c r="M204">
        <v>799</v>
      </c>
      <c r="N204">
        <v>100</v>
      </c>
      <c r="O204" s="2">
        <v>1199.08</v>
      </c>
      <c r="P204" s="2">
        <v>1190</v>
      </c>
      <c r="Q204" s="2">
        <v>1099.17</v>
      </c>
      <c r="R204" s="2">
        <v>1299</v>
      </c>
      <c r="S204" s="2">
        <v>1299</v>
      </c>
      <c r="T204" s="2">
        <v>1299</v>
      </c>
    </row>
    <row r="205" spans="1:20" x14ac:dyDescent="0.25">
      <c r="A205" t="s">
        <v>314</v>
      </c>
      <c r="B205">
        <v>619</v>
      </c>
      <c r="C205">
        <v>654</v>
      </c>
      <c r="D205">
        <v>633</v>
      </c>
      <c r="E205">
        <v>905</v>
      </c>
      <c r="F205" s="2">
        <v>1284</v>
      </c>
      <c r="G205" s="2">
        <v>1201</v>
      </c>
      <c r="H205" s="2">
        <v>1336</v>
      </c>
      <c r="I205" s="2">
        <v>1321</v>
      </c>
      <c r="J205" s="2">
        <v>2076</v>
      </c>
      <c r="K205" s="2">
        <v>3142</v>
      </c>
      <c r="L205" s="2">
        <v>2975</v>
      </c>
      <c r="M205" s="2">
        <v>2849</v>
      </c>
      <c r="N205" s="2">
        <v>2566</v>
      </c>
      <c r="O205" s="2">
        <v>3345.12</v>
      </c>
      <c r="P205" s="2">
        <v>3696.57</v>
      </c>
      <c r="Q205" s="2">
        <v>3932.64</v>
      </c>
      <c r="R205" s="2">
        <v>3271</v>
      </c>
      <c r="S205" s="2">
        <v>3271</v>
      </c>
      <c r="T205" s="2">
        <v>3271</v>
      </c>
    </row>
    <row r="206" spans="1:20" x14ac:dyDescent="0.25">
      <c r="A206" t="s">
        <v>164</v>
      </c>
      <c r="B206" s="2">
        <v>2512</v>
      </c>
      <c r="C206" s="2">
        <v>2483</v>
      </c>
      <c r="D206" s="2">
        <v>3897</v>
      </c>
      <c r="E206" s="2">
        <v>3721</v>
      </c>
      <c r="F206" s="2">
        <v>5955</v>
      </c>
      <c r="G206" s="2">
        <v>6866</v>
      </c>
      <c r="H206" s="2">
        <v>6363</v>
      </c>
      <c r="I206" s="2">
        <v>7316</v>
      </c>
      <c r="J206" s="2">
        <v>7234</v>
      </c>
      <c r="K206" s="2">
        <v>7153</v>
      </c>
      <c r="L206" s="2">
        <v>7008</v>
      </c>
      <c r="M206" s="2">
        <v>6940</v>
      </c>
      <c r="N206" s="2">
        <v>7885</v>
      </c>
      <c r="O206" s="2">
        <v>7539</v>
      </c>
      <c r="P206" s="2">
        <v>7539</v>
      </c>
      <c r="Q206" s="2">
        <v>7539</v>
      </c>
      <c r="R206" s="2">
        <v>7539</v>
      </c>
      <c r="S206" s="2">
        <v>7539</v>
      </c>
      <c r="T206" s="2">
        <v>7539</v>
      </c>
    </row>
    <row r="207" spans="1:20" x14ac:dyDescent="0.25">
      <c r="A207" t="s">
        <v>315</v>
      </c>
      <c r="B207" s="2">
        <v>1946</v>
      </c>
      <c r="C207" s="2">
        <v>1947</v>
      </c>
      <c r="D207" s="2">
        <v>3342</v>
      </c>
      <c r="E207" s="2">
        <v>3125</v>
      </c>
      <c r="F207" s="2">
        <v>5304</v>
      </c>
      <c r="G207" s="2">
        <v>5309</v>
      </c>
      <c r="H207" s="2">
        <v>4713</v>
      </c>
      <c r="I207" s="2">
        <v>5448</v>
      </c>
      <c r="J207" s="2">
        <v>5452</v>
      </c>
      <c r="K207" s="2">
        <v>5457</v>
      </c>
      <c r="L207" s="2">
        <v>5461</v>
      </c>
      <c r="M207" s="2">
        <v>5460</v>
      </c>
      <c r="N207" s="2">
        <v>6455</v>
      </c>
      <c r="O207" s="2">
        <v>6421.6</v>
      </c>
      <c r="P207" s="2">
        <v>6260.8</v>
      </c>
      <c r="Q207" s="2">
        <v>6122.25</v>
      </c>
      <c r="R207" s="2">
        <v>5899.5</v>
      </c>
      <c r="S207" s="2">
        <v>5899.5</v>
      </c>
      <c r="T207" s="2">
        <v>6544</v>
      </c>
    </row>
    <row r="208" spans="1:20" x14ac:dyDescent="0.25">
      <c r="A208" t="s">
        <v>502</v>
      </c>
      <c r="B208">
        <v>566</v>
      </c>
      <c r="C208">
        <v>536</v>
      </c>
      <c r="D208">
        <v>555</v>
      </c>
      <c r="E208">
        <v>596</v>
      </c>
      <c r="F208">
        <v>651</v>
      </c>
      <c r="G208">
        <v>303</v>
      </c>
      <c r="H208" s="2">
        <v>1650</v>
      </c>
      <c r="I208">
        <v>662</v>
      </c>
      <c r="J208">
        <v>692</v>
      </c>
      <c r="K208">
        <v>732</v>
      </c>
      <c r="L208">
        <v>714</v>
      </c>
      <c r="M208">
        <v>810</v>
      </c>
      <c r="N208" s="2">
        <v>1074</v>
      </c>
      <c r="O208" s="2">
        <v>1414</v>
      </c>
      <c r="P208" s="2">
        <v>1414</v>
      </c>
      <c r="Q208" s="2">
        <v>1414</v>
      </c>
    </row>
    <row r="209" spans="1:20" x14ac:dyDescent="0.25">
      <c r="A209" t="s">
        <v>499</v>
      </c>
      <c r="G209" s="2">
        <v>1254</v>
      </c>
      <c r="H209" s="2">
        <v>1275</v>
      </c>
      <c r="I209" s="2">
        <v>1206</v>
      </c>
      <c r="J209" s="2">
        <v>1090</v>
      </c>
      <c r="K209">
        <v>964</v>
      </c>
      <c r="L209">
        <v>833</v>
      </c>
      <c r="M209">
        <v>670</v>
      </c>
      <c r="N209">
        <v>356</v>
      </c>
      <c r="O209">
        <v>754.29</v>
      </c>
      <c r="P209">
        <v>754.29</v>
      </c>
      <c r="Q209">
        <v>660</v>
      </c>
    </row>
    <row r="210" spans="1:20" x14ac:dyDescent="0.25">
      <c r="A210" t="s">
        <v>167</v>
      </c>
      <c r="B210" s="2">
        <v>4955</v>
      </c>
      <c r="C210" s="2">
        <v>5306</v>
      </c>
      <c r="D210" s="2">
        <v>7695</v>
      </c>
      <c r="E210" s="2">
        <v>7353</v>
      </c>
      <c r="F210" s="2">
        <v>10070</v>
      </c>
      <c r="G210" s="2">
        <v>10788</v>
      </c>
      <c r="H210" s="2">
        <v>10810</v>
      </c>
      <c r="I210" s="2">
        <v>11775</v>
      </c>
      <c r="J210" s="2">
        <v>13578</v>
      </c>
      <c r="K210" s="2">
        <v>14532</v>
      </c>
      <c r="L210" s="2">
        <v>14380</v>
      </c>
      <c r="M210" s="2">
        <v>15408</v>
      </c>
      <c r="N210" s="2">
        <v>15884</v>
      </c>
      <c r="O210" s="2">
        <v>18534.29</v>
      </c>
      <c r="P210" s="2">
        <v>20024.79</v>
      </c>
      <c r="Q210" s="2">
        <v>20966.32</v>
      </c>
      <c r="R210" s="2">
        <v>22479.71</v>
      </c>
      <c r="S210" s="2">
        <v>23611</v>
      </c>
      <c r="T210" s="2">
        <v>25428.25</v>
      </c>
    </row>
    <row r="211" spans="1:20" x14ac:dyDescent="0.25">
      <c r="A211" t="s">
        <v>170</v>
      </c>
      <c r="B211" s="2">
        <v>7088</v>
      </c>
      <c r="C211" s="2">
        <v>7868</v>
      </c>
      <c r="D211" s="2">
        <v>7613</v>
      </c>
      <c r="E211" s="2">
        <v>7217</v>
      </c>
      <c r="F211" s="2">
        <v>9349</v>
      </c>
      <c r="G211" s="2">
        <v>6845</v>
      </c>
      <c r="H211" s="2">
        <v>8214</v>
      </c>
      <c r="I211" s="2">
        <v>10578</v>
      </c>
      <c r="J211" s="2">
        <v>12247</v>
      </c>
      <c r="K211" s="2">
        <v>12194</v>
      </c>
      <c r="L211" s="2">
        <v>16349</v>
      </c>
      <c r="M211" s="2">
        <v>19001</v>
      </c>
      <c r="N211" s="2">
        <v>20415</v>
      </c>
      <c r="O211" s="2">
        <v>26926.73</v>
      </c>
      <c r="P211" s="2">
        <v>36161.57</v>
      </c>
      <c r="Q211" s="2">
        <v>44047.39</v>
      </c>
      <c r="R211" s="2">
        <v>51191.98</v>
      </c>
      <c r="S211" s="2">
        <v>59073.29</v>
      </c>
      <c r="T211" s="2">
        <v>83083.06</v>
      </c>
    </row>
    <row r="212" spans="1:20" x14ac:dyDescent="0.25">
      <c r="A212" t="s">
        <v>171</v>
      </c>
      <c r="B212">
        <v>12</v>
      </c>
      <c r="C212">
        <v>12</v>
      </c>
      <c r="D212">
        <v>11</v>
      </c>
      <c r="E212">
        <v>11</v>
      </c>
      <c r="F212">
        <v>11</v>
      </c>
      <c r="G212">
        <v>10</v>
      </c>
      <c r="H212">
        <v>9</v>
      </c>
      <c r="I212">
        <v>9</v>
      </c>
      <c r="J212">
        <v>9</v>
      </c>
      <c r="K212">
        <v>8</v>
      </c>
      <c r="L212">
        <v>8</v>
      </c>
      <c r="M212">
        <v>8</v>
      </c>
      <c r="N212">
        <v>8</v>
      </c>
    </row>
    <row r="213" spans="1:20" x14ac:dyDescent="0.25">
      <c r="A213" t="s">
        <v>1234</v>
      </c>
      <c r="B213" s="2">
        <v>6151</v>
      </c>
      <c r="C213" s="2">
        <v>6384</v>
      </c>
      <c r="D213" s="2">
        <v>6575</v>
      </c>
      <c r="E213" s="2">
        <v>6809</v>
      </c>
      <c r="F213" s="2">
        <v>7056</v>
      </c>
      <c r="G213" s="2">
        <v>7274</v>
      </c>
      <c r="H213" s="2">
        <v>7595</v>
      </c>
      <c r="I213" s="2">
        <v>7904</v>
      </c>
      <c r="J213" s="2">
        <v>8247</v>
      </c>
      <c r="K213" s="2">
        <v>8593</v>
      </c>
      <c r="L213" s="2">
        <v>9131</v>
      </c>
      <c r="M213" s="2">
        <v>9660</v>
      </c>
      <c r="N213" s="2">
        <v>10333</v>
      </c>
    </row>
    <row r="214" spans="1:20" x14ac:dyDescent="0.25">
      <c r="A214" t="s">
        <v>320</v>
      </c>
      <c r="B214" s="2">
        <v>12487</v>
      </c>
      <c r="C214" s="2">
        <v>13072</v>
      </c>
      <c r="D214" s="2">
        <v>13967</v>
      </c>
      <c r="E214" s="2">
        <v>15252</v>
      </c>
      <c r="F214" s="2">
        <v>18258</v>
      </c>
      <c r="G214" s="2">
        <v>20880</v>
      </c>
      <c r="H214" s="2">
        <v>24386</v>
      </c>
      <c r="I214" s="2">
        <v>27209</v>
      </c>
      <c r="J214" s="2">
        <v>32246</v>
      </c>
      <c r="K214" s="2">
        <v>37892</v>
      </c>
      <c r="L214" s="2">
        <v>43726</v>
      </c>
      <c r="M214" s="2">
        <v>49651</v>
      </c>
      <c r="N214" s="2">
        <v>55227</v>
      </c>
      <c r="O214" s="2">
        <v>64685.38</v>
      </c>
      <c r="P214" s="2">
        <v>79598.350000000006</v>
      </c>
      <c r="Q214" s="2">
        <v>95755.04</v>
      </c>
    </row>
    <row r="215" spans="1:20" x14ac:dyDescent="0.25">
      <c r="A215" t="s">
        <v>700</v>
      </c>
      <c r="B215">
        <v>-38</v>
      </c>
      <c r="C215">
        <v>-76</v>
      </c>
      <c r="D215">
        <v>-92</v>
      </c>
      <c r="E215">
        <v>-115</v>
      </c>
      <c r="F215">
        <v>-64</v>
      </c>
      <c r="G215">
        <v>-125</v>
      </c>
      <c r="H215">
        <v>-180</v>
      </c>
      <c r="I215">
        <v>-299</v>
      </c>
      <c r="J215">
        <v>-260</v>
      </c>
      <c r="K215">
        <v>-202</v>
      </c>
      <c r="L215">
        <v>-217</v>
      </c>
      <c r="M215">
        <v>-168</v>
      </c>
      <c r="N215">
        <v>-110</v>
      </c>
      <c r="O215">
        <v>-124</v>
      </c>
      <c r="P215">
        <v>-124</v>
      </c>
      <c r="Q215">
        <v>-124</v>
      </c>
    </row>
    <row r="216" spans="1:20" x14ac:dyDescent="0.25">
      <c r="A216" t="s">
        <v>325</v>
      </c>
      <c r="B216" s="2">
        <v>11524</v>
      </c>
      <c r="C216" s="2">
        <v>11524</v>
      </c>
      <c r="D216">
        <v>0</v>
      </c>
      <c r="E216">
        <v>0</v>
      </c>
      <c r="F216">
        <v>0</v>
      </c>
      <c r="G216" s="2">
        <v>21194</v>
      </c>
      <c r="H216" s="2">
        <v>23596</v>
      </c>
      <c r="I216" s="2">
        <v>24245</v>
      </c>
      <c r="J216" s="2">
        <v>27995</v>
      </c>
      <c r="K216">
        <v>0</v>
      </c>
      <c r="L216" s="2">
        <v>36299</v>
      </c>
      <c r="M216" s="2">
        <v>40150</v>
      </c>
      <c r="N216" s="2">
        <v>45043</v>
      </c>
    </row>
    <row r="217" spans="1:20" x14ac:dyDescent="0.25">
      <c r="A217" t="s">
        <v>326</v>
      </c>
      <c r="B217" s="2">
        <v>12043</v>
      </c>
      <c r="C217" s="2">
        <v>13174</v>
      </c>
      <c r="D217" s="2">
        <v>15308</v>
      </c>
      <c r="E217" s="2">
        <v>14570</v>
      </c>
      <c r="F217" s="2">
        <v>19190</v>
      </c>
      <c r="G217" s="2">
        <v>17633</v>
      </c>
      <c r="H217" s="2">
        <v>19024</v>
      </c>
      <c r="I217" s="2">
        <v>22353</v>
      </c>
      <c r="J217" s="2">
        <v>25825</v>
      </c>
      <c r="K217" s="2">
        <v>26726</v>
      </c>
      <c r="L217" s="2">
        <v>30729</v>
      </c>
      <c r="M217" s="2">
        <v>34409</v>
      </c>
      <c r="N217" s="2">
        <v>36299</v>
      </c>
      <c r="O217" s="2">
        <v>45331.21</v>
      </c>
      <c r="P217" s="2">
        <v>56154.9</v>
      </c>
      <c r="Q217" s="2">
        <v>64976.07</v>
      </c>
      <c r="R217" s="2">
        <v>73671.69</v>
      </c>
      <c r="S217" s="2">
        <v>82684.289999999994</v>
      </c>
      <c r="T217" s="2">
        <v>108511.31</v>
      </c>
    </row>
    <row r="218" spans="1:20" x14ac:dyDescent="0.25">
      <c r="A218" t="s">
        <v>17</v>
      </c>
    </row>
    <row r="219" spans="1:20" x14ac:dyDescent="0.25">
      <c r="A219" t="s">
        <v>176</v>
      </c>
    </row>
    <row r="220" spans="1:20" x14ac:dyDescent="0.25">
      <c r="A220" t="s">
        <v>179</v>
      </c>
      <c r="B220">
        <v>2.12</v>
      </c>
      <c r="C220">
        <v>8.5</v>
      </c>
      <c r="D220">
        <v>9.67</v>
      </c>
      <c r="E220">
        <v>11.52</v>
      </c>
      <c r="F220">
        <v>20.85</v>
      </c>
      <c r="G220">
        <v>16.5</v>
      </c>
      <c r="H220">
        <v>14.76</v>
      </c>
      <c r="I220">
        <v>17.489999999999998</v>
      </c>
      <c r="J220">
        <v>24.44</v>
      </c>
      <c r="K220">
        <v>24.83</v>
      </c>
      <c r="L220">
        <v>23.87</v>
      </c>
      <c r="M220">
        <v>22.04</v>
      </c>
      <c r="N220">
        <v>19.79</v>
      </c>
      <c r="O220">
        <v>24.92</v>
      </c>
      <c r="P220">
        <v>29.55</v>
      </c>
      <c r="Q220">
        <v>30.36</v>
      </c>
      <c r="R220">
        <v>30.8</v>
      </c>
      <c r="S220">
        <v>31.4</v>
      </c>
    </row>
    <row r="221" spans="1:20" x14ac:dyDescent="0.25">
      <c r="A221" t="s">
        <v>180</v>
      </c>
      <c r="B221">
        <v>10.130000000000001</v>
      </c>
      <c r="C221">
        <v>16.7</v>
      </c>
      <c r="D221">
        <v>19.14</v>
      </c>
      <c r="E221">
        <v>27.02</v>
      </c>
      <c r="F221">
        <v>38.61</v>
      </c>
      <c r="G221">
        <v>62.73</v>
      </c>
      <c r="H221">
        <v>35</v>
      </c>
      <c r="I221">
        <v>36.35</v>
      </c>
      <c r="J221">
        <v>51.34</v>
      </c>
      <c r="K221">
        <v>55.4</v>
      </c>
      <c r="L221">
        <v>41.6</v>
      </c>
      <c r="M221">
        <v>37.950000000000003</v>
      </c>
      <c r="N221">
        <v>37.26</v>
      </c>
      <c r="O221">
        <v>43.57</v>
      </c>
      <c r="P221">
        <v>50.13</v>
      </c>
      <c r="Q221">
        <v>49.08</v>
      </c>
      <c r="R221">
        <v>45.4</v>
      </c>
      <c r="S221">
        <v>46.2</v>
      </c>
    </row>
    <row r="222" spans="1:20" x14ac:dyDescent="0.25">
      <c r="A222" t="s">
        <v>609</v>
      </c>
      <c r="B222" s="2">
        <v>1950</v>
      </c>
      <c r="C222" s="2">
        <v>1950</v>
      </c>
      <c r="D222" s="2">
        <v>4542</v>
      </c>
      <c r="E222" s="2">
        <v>3325</v>
      </c>
      <c r="F222" s="2">
        <v>5304</v>
      </c>
      <c r="G222" s="2">
        <v>5309</v>
      </c>
      <c r="H222" s="2">
        <v>5313</v>
      </c>
      <c r="I222" s="2">
        <v>5448</v>
      </c>
      <c r="J222" s="2">
        <v>5452</v>
      </c>
      <c r="K222" s="2">
        <v>5457</v>
      </c>
      <c r="L222" s="2">
        <v>5461</v>
      </c>
      <c r="M222" s="2">
        <v>5460</v>
      </c>
      <c r="N222" s="2">
        <v>6455</v>
      </c>
      <c r="O222" s="2">
        <v>5338.43</v>
      </c>
      <c r="P222" s="2">
        <v>5347.32</v>
      </c>
      <c r="Q222" s="2">
        <v>5507.5</v>
      </c>
      <c r="R222" s="2">
        <v>5245</v>
      </c>
      <c r="S222" s="2">
        <v>5245</v>
      </c>
      <c r="T222" s="2">
        <v>5245</v>
      </c>
    </row>
    <row r="223" spans="1:20" x14ac:dyDescent="0.25">
      <c r="A223" t="s">
        <v>1339</v>
      </c>
      <c r="B223">
        <v>27.45</v>
      </c>
      <c r="C223">
        <v>24.75</v>
      </c>
      <c r="D223">
        <v>43.9</v>
      </c>
      <c r="E223">
        <v>43.3</v>
      </c>
      <c r="F223">
        <v>56.73</v>
      </c>
      <c r="G223">
        <v>77.56</v>
      </c>
      <c r="H223">
        <v>57.38</v>
      </c>
      <c r="I223">
        <v>53.35</v>
      </c>
      <c r="J223">
        <v>46.38</v>
      </c>
      <c r="K223">
        <v>44.75</v>
      </c>
      <c r="L223">
        <v>34.94</v>
      </c>
      <c r="M223">
        <v>30.1</v>
      </c>
      <c r="N223">
        <v>33.6</v>
      </c>
      <c r="O223">
        <v>22</v>
      </c>
      <c r="P223">
        <v>18.45</v>
      </c>
      <c r="Q223">
        <v>17.3</v>
      </c>
    </row>
    <row r="224" spans="1:20" x14ac:dyDescent="0.25">
      <c r="A224" t="s">
        <v>328</v>
      </c>
      <c r="B224">
        <v>21.54</v>
      </c>
      <c r="C224">
        <v>19.84</v>
      </c>
      <c r="D224">
        <v>27.49</v>
      </c>
      <c r="E224">
        <v>30.22</v>
      </c>
      <c r="F224">
        <v>36.200000000000003</v>
      </c>
      <c r="G224">
        <v>43.68</v>
      </c>
      <c r="H224">
        <v>34.840000000000003</v>
      </c>
      <c r="I224">
        <v>34.65</v>
      </c>
      <c r="J224">
        <v>31.56</v>
      </c>
      <c r="K224">
        <v>30.92</v>
      </c>
      <c r="L224">
        <v>25.68</v>
      </c>
      <c r="M224">
        <v>22.33</v>
      </c>
      <c r="N224">
        <v>24.97</v>
      </c>
      <c r="O224">
        <v>17.420000000000002</v>
      </c>
      <c r="P224">
        <v>14.16</v>
      </c>
      <c r="Q224">
        <v>12.59</v>
      </c>
    </row>
    <row r="225" spans="1:20" x14ac:dyDescent="0.25">
      <c r="A225" t="s">
        <v>333</v>
      </c>
      <c r="B225" s="2">
        <v>3199</v>
      </c>
      <c r="C225" s="2">
        <v>4144</v>
      </c>
      <c r="D225" s="2">
        <v>5463</v>
      </c>
      <c r="E225" s="2">
        <v>4721</v>
      </c>
      <c r="F225" s="2">
        <v>8803</v>
      </c>
      <c r="G225" s="2">
        <v>6682</v>
      </c>
      <c r="H225" s="2">
        <v>5759</v>
      </c>
      <c r="I225" s="2">
        <v>8910</v>
      </c>
      <c r="J225" s="2">
        <v>9763</v>
      </c>
      <c r="K225" s="2">
        <v>8546</v>
      </c>
      <c r="L225" s="2">
        <v>11775</v>
      </c>
      <c r="M225" s="2">
        <v>12752</v>
      </c>
      <c r="N225" s="2">
        <v>12882</v>
      </c>
      <c r="O225" s="2">
        <v>16573.29</v>
      </c>
      <c r="P225" s="2">
        <v>22752.09</v>
      </c>
      <c r="Q225" s="2">
        <v>26803.200000000001</v>
      </c>
      <c r="R225" s="2">
        <v>42507.96</v>
      </c>
      <c r="S225" s="2">
        <v>53074.05</v>
      </c>
      <c r="T225" s="2">
        <v>64645.97</v>
      </c>
    </row>
    <row r="226" spans="1:20" x14ac:dyDescent="0.25">
      <c r="A226" t="s">
        <v>182</v>
      </c>
      <c r="B226">
        <v>5.81</v>
      </c>
      <c r="C226">
        <v>6.39</v>
      </c>
      <c r="D226">
        <v>6.21</v>
      </c>
      <c r="E226">
        <v>6.47</v>
      </c>
      <c r="F226">
        <v>8.6199999999999992</v>
      </c>
      <c r="G226">
        <v>6.67</v>
      </c>
      <c r="H226">
        <v>8.69</v>
      </c>
      <c r="I226">
        <v>11.46</v>
      </c>
      <c r="J226">
        <v>13.33</v>
      </c>
      <c r="K226">
        <v>13.9</v>
      </c>
      <c r="L226">
        <v>19.350000000000001</v>
      </c>
      <c r="M226">
        <v>22.78</v>
      </c>
      <c r="N226">
        <v>25.27</v>
      </c>
      <c r="O226">
        <v>32.35</v>
      </c>
      <c r="P226">
        <v>41.36</v>
      </c>
      <c r="Q226">
        <v>51.06</v>
      </c>
    </row>
    <row r="227" spans="1:20" x14ac:dyDescent="0.25">
      <c r="A227" t="s">
        <v>186</v>
      </c>
      <c r="B227">
        <v>2.31</v>
      </c>
      <c r="C227">
        <v>2.4700000000000002</v>
      </c>
      <c r="D227">
        <v>2.44</v>
      </c>
      <c r="E227">
        <v>2.2999999999999998</v>
      </c>
      <c r="F227">
        <v>3.14</v>
      </c>
      <c r="G227">
        <v>2.7</v>
      </c>
      <c r="H227">
        <v>2.2999999999999998</v>
      </c>
      <c r="I227">
        <v>3</v>
      </c>
      <c r="J227">
        <v>2.54</v>
      </c>
      <c r="K227">
        <v>2.16</v>
      </c>
      <c r="L227">
        <v>2.6</v>
      </c>
      <c r="M227">
        <v>2.5099999999999998</v>
      </c>
      <c r="N227">
        <v>2.61</v>
      </c>
      <c r="O227">
        <v>2.4300000000000002</v>
      </c>
      <c r="P227">
        <v>2.59</v>
      </c>
      <c r="Q227">
        <v>3</v>
      </c>
      <c r="R227">
        <v>3.56</v>
      </c>
      <c r="S227">
        <v>4.0999999999999996</v>
      </c>
      <c r="T227">
        <v>4.6100000000000003</v>
      </c>
    </row>
    <row r="228" spans="1:20" x14ac:dyDescent="0.25">
      <c r="A228" t="s">
        <v>327</v>
      </c>
      <c r="B228">
        <v>0.62</v>
      </c>
      <c r="C228">
        <v>0.72</v>
      </c>
      <c r="D228">
        <v>0.68</v>
      </c>
      <c r="E228">
        <v>0.72</v>
      </c>
      <c r="F228">
        <v>0.87</v>
      </c>
      <c r="G228">
        <v>0.91</v>
      </c>
      <c r="H228">
        <v>0.8</v>
      </c>
      <c r="I228">
        <v>0.83</v>
      </c>
      <c r="J228">
        <v>0.96</v>
      </c>
      <c r="K228">
        <v>0.98</v>
      </c>
      <c r="L228">
        <v>0.92</v>
      </c>
      <c r="M228">
        <v>0.83</v>
      </c>
      <c r="N228">
        <v>0.8</v>
      </c>
      <c r="O228">
        <v>0.85</v>
      </c>
      <c r="P228">
        <v>0.95</v>
      </c>
      <c r="Q228">
        <v>0.91</v>
      </c>
    </row>
    <row r="229" spans="1:20" x14ac:dyDescent="0.25">
      <c r="A229" t="s">
        <v>812</v>
      </c>
      <c r="B229">
        <v>5.26</v>
      </c>
      <c r="C229">
        <v>5.49</v>
      </c>
      <c r="D229">
        <v>5.67</v>
      </c>
      <c r="E229">
        <v>5.39</v>
      </c>
      <c r="F229">
        <v>6.37</v>
      </c>
      <c r="G229">
        <v>7.17</v>
      </c>
      <c r="H229">
        <v>6.02</v>
      </c>
      <c r="I229">
        <v>6.26</v>
      </c>
      <c r="J229">
        <v>5.83</v>
      </c>
      <c r="K229">
        <v>4.68</v>
      </c>
      <c r="L229">
        <v>4.72</v>
      </c>
      <c r="M229">
        <v>5.23</v>
      </c>
      <c r="N229">
        <v>5.45</v>
      </c>
      <c r="O229">
        <v>4.8600000000000003</v>
      </c>
      <c r="P229">
        <v>5.2</v>
      </c>
      <c r="Q229">
        <v>5.65</v>
      </c>
    </row>
    <row r="230" spans="1:20" x14ac:dyDescent="0.25">
      <c r="A230" t="s">
        <v>702</v>
      </c>
      <c r="B230">
        <v>79.16</v>
      </c>
      <c r="C230">
        <v>67.010000000000005</v>
      </c>
      <c r="D230">
        <v>65.53</v>
      </c>
      <c r="E230">
        <v>78.11</v>
      </c>
      <c r="F230">
        <v>57.9</v>
      </c>
      <c r="G230">
        <v>50.62</v>
      </c>
      <c r="H230">
        <v>63.12</v>
      </c>
      <c r="I230">
        <v>62.7</v>
      </c>
      <c r="J230">
        <v>79.680000000000007</v>
      </c>
      <c r="K230">
        <v>85.66</v>
      </c>
      <c r="L230">
        <v>70.900000000000006</v>
      </c>
      <c r="M230">
        <v>70.11</v>
      </c>
      <c r="N230">
        <v>66.53</v>
      </c>
      <c r="O230">
        <v>82.43</v>
      </c>
      <c r="P230">
        <v>71.44</v>
      </c>
      <c r="Q230">
        <v>70.02</v>
      </c>
      <c r="R230">
        <v>78.599999999999994</v>
      </c>
      <c r="S230">
        <v>78.599999999999994</v>
      </c>
      <c r="T230">
        <v>78.599999999999994</v>
      </c>
    </row>
    <row r="231" spans="1:20" x14ac:dyDescent="0.25">
      <c r="A231" t="s">
        <v>622</v>
      </c>
      <c r="B231">
        <v>113.84</v>
      </c>
      <c r="C231">
        <v>109.08</v>
      </c>
      <c r="D231">
        <v>116.91</v>
      </c>
      <c r="E231">
        <v>120.45</v>
      </c>
      <c r="F231">
        <v>131.9</v>
      </c>
      <c r="G231">
        <v>147.41</v>
      </c>
      <c r="H231">
        <v>153.80000000000001</v>
      </c>
      <c r="I231">
        <v>149.43</v>
      </c>
      <c r="J231">
        <v>131.59</v>
      </c>
      <c r="K231">
        <v>156.56</v>
      </c>
      <c r="L231">
        <v>147.44999999999999</v>
      </c>
      <c r="M231">
        <v>138.19</v>
      </c>
      <c r="N231">
        <v>147.88</v>
      </c>
      <c r="O231">
        <v>158.9</v>
      </c>
      <c r="P231">
        <v>141.81</v>
      </c>
      <c r="Q231">
        <v>146.13999999999999</v>
      </c>
      <c r="R231">
        <v>166.8</v>
      </c>
      <c r="S231">
        <v>166.8</v>
      </c>
      <c r="T231">
        <v>166.8</v>
      </c>
    </row>
    <row r="232" spans="1:20" x14ac:dyDescent="0.25">
      <c r="A232" t="s">
        <v>621</v>
      </c>
      <c r="B232">
        <v>3.37</v>
      </c>
      <c r="C232">
        <v>3.51</v>
      </c>
      <c r="D232">
        <v>3.36</v>
      </c>
      <c r="E232">
        <v>3.25</v>
      </c>
      <c r="F232">
        <v>3.25</v>
      </c>
      <c r="G232">
        <v>2.76</v>
      </c>
      <c r="H232">
        <v>2.29</v>
      </c>
      <c r="I232">
        <v>2.58</v>
      </c>
      <c r="J232">
        <v>2.96</v>
      </c>
      <c r="K232">
        <v>2.69</v>
      </c>
      <c r="L232">
        <v>2.42</v>
      </c>
      <c r="M232">
        <v>2.56</v>
      </c>
      <c r="N232">
        <v>2.57</v>
      </c>
      <c r="O232">
        <v>2.4</v>
      </c>
      <c r="P232">
        <v>2.72</v>
      </c>
      <c r="Q232">
        <v>2.76</v>
      </c>
      <c r="R232">
        <v>2.4900000000000002</v>
      </c>
      <c r="S232">
        <v>2.37</v>
      </c>
      <c r="T232">
        <v>2.31</v>
      </c>
    </row>
    <row r="233" spans="1:20" x14ac:dyDescent="0.25">
      <c r="A233" t="s">
        <v>810</v>
      </c>
      <c r="B233">
        <v>27.45</v>
      </c>
      <c r="C233">
        <v>24.75</v>
      </c>
      <c r="D233">
        <v>59.66</v>
      </c>
      <c r="E233">
        <v>43.3</v>
      </c>
      <c r="F233">
        <v>56.73</v>
      </c>
      <c r="G233">
        <v>77.56</v>
      </c>
      <c r="H233">
        <v>64.680000000000007</v>
      </c>
      <c r="I233">
        <v>53.95</v>
      </c>
      <c r="J233">
        <v>46.97</v>
      </c>
      <c r="K233">
        <v>44.75</v>
      </c>
      <c r="L233">
        <v>36.07</v>
      </c>
      <c r="M233">
        <v>34.76</v>
      </c>
      <c r="N233">
        <v>34.53</v>
      </c>
      <c r="O233">
        <v>31.79</v>
      </c>
      <c r="P233">
        <v>27.49</v>
      </c>
    </row>
    <row r="234" spans="1:20" x14ac:dyDescent="0.25">
      <c r="A234" t="s">
        <v>757</v>
      </c>
      <c r="B234">
        <v>1.44</v>
      </c>
      <c r="C234">
        <v>1.71</v>
      </c>
      <c r="D234">
        <v>1.77</v>
      </c>
      <c r="E234">
        <v>1.66</v>
      </c>
      <c r="F234">
        <v>2.34</v>
      </c>
      <c r="G234">
        <v>1.62</v>
      </c>
      <c r="H234">
        <v>1.38</v>
      </c>
      <c r="I234">
        <v>1.95</v>
      </c>
      <c r="J234">
        <v>1.64</v>
      </c>
      <c r="K234">
        <v>1.17</v>
      </c>
      <c r="L234">
        <v>1.63</v>
      </c>
      <c r="M234">
        <v>1.74</v>
      </c>
      <c r="N234">
        <v>1.72</v>
      </c>
      <c r="O234">
        <v>1.53</v>
      </c>
      <c r="P234">
        <v>1.75</v>
      </c>
      <c r="Q234">
        <v>2.2000000000000002</v>
      </c>
      <c r="R234">
        <v>1.81</v>
      </c>
      <c r="S234">
        <v>2.33</v>
      </c>
      <c r="T234">
        <v>2.82</v>
      </c>
    </row>
    <row r="235" spans="1:20" x14ac:dyDescent="0.25">
      <c r="A235" t="s">
        <v>813</v>
      </c>
      <c r="B235">
        <v>0.77</v>
      </c>
      <c r="C235">
        <v>1.1200000000000001</v>
      </c>
      <c r="D235">
        <v>1.31</v>
      </c>
      <c r="E235">
        <v>1.03</v>
      </c>
      <c r="F235">
        <v>1.77</v>
      </c>
      <c r="G235">
        <v>1.03</v>
      </c>
      <c r="H235">
        <v>0.81</v>
      </c>
      <c r="I235">
        <v>1.29</v>
      </c>
      <c r="J235">
        <v>0.86</v>
      </c>
      <c r="K235">
        <v>0.35</v>
      </c>
      <c r="L235">
        <v>0.93</v>
      </c>
      <c r="M235">
        <v>1.1200000000000001</v>
      </c>
      <c r="N235">
        <v>1.07</v>
      </c>
      <c r="O235">
        <v>0.83</v>
      </c>
      <c r="P235">
        <v>0.98</v>
      </c>
      <c r="Q235">
        <v>1.41</v>
      </c>
      <c r="R235">
        <v>1.81</v>
      </c>
      <c r="S235">
        <v>2.33</v>
      </c>
      <c r="T235">
        <v>2.82</v>
      </c>
    </row>
    <row r="236" spans="1:20" x14ac:dyDescent="0.25">
      <c r="A236" t="s">
        <v>177</v>
      </c>
      <c r="B236">
        <v>55</v>
      </c>
      <c r="C236" s="2">
        <v>-1215</v>
      </c>
      <c r="D236">
        <v>-423</v>
      </c>
      <c r="E236">
        <v>-624</v>
      </c>
      <c r="F236" s="2">
        <v>-1972</v>
      </c>
      <c r="G236" s="2">
        <v>1279</v>
      </c>
      <c r="H236" s="2">
        <v>1695</v>
      </c>
      <c r="I236">
        <v>-31</v>
      </c>
      <c r="J236">
        <v>294</v>
      </c>
      <c r="K236" s="2">
        <v>3248</v>
      </c>
      <c r="L236">
        <v>-972</v>
      </c>
      <c r="M236" s="2">
        <v>-2866</v>
      </c>
      <c r="N236" s="2">
        <v>-1523</v>
      </c>
      <c r="O236" s="2">
        <v>-4036.69</v>
      </c>
      <c r="P236" s="2">
        <v>-8621.11</v>
      </c>
      <c r="Q236" s="2">
        <v>-9678.1299999999992</v>
      </c>
    </row>
    <row r="237" spans="1:20" x14ac:dyDescent="0.25">
      <c r="A237" t="s">
        <v>17</v>
      </c>
    </row>
    <row r="238" spans="1:20" x14ac:dyDescent="0.25">
      <c r="A238" t="s">
        <v>188</v>
      </c>
    </row>
    <row r="239" spans="1:20" x14ac:dyDescent="0.25">
      <c r="A239" t="s">
        <v>189</v>
      </c>
    </row>
    <row r="240" spans="1:20" x14ac:dyDescent="0.25">
      <c r="A240" t="s">
        <v>121</v>
      </c>
      <c r="B240">
        <v>256</v>
      </c>
      <c r="C240" s="2">
        <v>1106</v>
      </c>
      <c r="D240" s="2">
        <v>1377</v>
      </c>
      <c r="E240" s="2">
        <v>1721</v>
      </c>
      <c r="F240" s="2">
        <v>3434</v>
      </c>
      <c r="G240" s="2">
        <v>3313</v>
      </c>
      <c r="H240" s="2">
        <v>2706</v>
      </c>
      <c r="I240" s="2">
        <v>3619</v>
      </c>
      <c r="J240" s="2">
        <v>5888</v>
      </c>
      <c r="K240" s="2">
        <v>6525</v>
      </c>
      <c r="L240" s="2">
        <v>6856</v>
      </c>
      <c r="M240" s="2">
        <v>7177</v>
      </c>
      <c r="N240" s="2">
        <v>6998</v>
      </c>
      <c r="O240" s="2">
        <v>10531.09</v>
      </c>
      <c r="P240" s="2">
        <v>14769.96</v>
      </c>
      <c r="Q240" s="2">
        <v>18034.63</v>
      </c>
      <c r="R240" s="2">
        <v>20019</v>
      </c>
      <c r="S240" s="2">
        <v>22172</v>
      </c>
      <c r="T240" s="2">
        <v>23796</v>
      </c>
    </row>
    <row r="241" spans="1:20" x14ac:dyDescent="0.25">
      <c r="A241" t="s">
        <v>190</v>
      </c>
      <c r="B241">
        <v>410</v>
      </c>
      <c r="C241">
        <v>375</v>
      </c>
      <c r="D241">
        <v>371</v>
      </c>
      <c r="E241">
        <v>389</v>
      </c>
      <c r="F241">
        <v>407</v>
      </c>
      <c r="G241">
        <v>457</v>
      </c>
      <c r="H241">
        <v>363</v>
      </c>
      <c r="I241">
        <v>376</v>
      </c>
      <c r="J241">
        <v>394</v>
      </c>
      <c r="K241">
        <v>444</v>
      </c>
      <c r="L241">
        <v>515</v>
      </c>
      <c r="M241">
        <v>392</v>
      </c>
      <c r="N241">
        <v>435</v>
      </c>
      <c r="O241">
        <v>573.25</v>
      </c>
      <c r="P241">
        <v>681.75</v>
      </c>
      <c r="Q241">
        <v>728.8</v>
      </c>
      <c r="R241">
        <v>711.11</v>
      </c>
      <c r="S241">
        <v>746.67</v>
      </c>
      <c r="T241">
        <v>784</v>
      </c>
    </row>
    <row r="242" spans="1:20" x14ac:dyDescent="0.25">
      <c r="A242" t="s">
        <v>546</v>
      </c>
      <c r="B242">
        <v>-102</v>
      </c>
      <c r="C242">
        <v>58</v>
      </c>
      <c r="D242">
        <v>-134</v>
      </c>
      <c r="E242">
        <v>21</v>
      </c>
      <c r="F242">
        <v>-12</v>
      </c>
      <c r="G242">
        <v>71</v>
      </c>
      <c r="H242">
        <v>49</v>
      </c>
      <c r="I242">
        <v>80</v>
      </c>
      <c r="J242">
        <v>80</v>
      </c>
      <c r="K242">
        <v>-223</v>
      </c>
      <c r="L242">
        <v>24</v>
      </c>
      <c r="M242">
        <v>-633</v>
      </c>
      <c r="N242">
        <v>639</v>
      </c>
      <c r="O242">
        <v>15.2</v>
      </c>
      <c r="P242">
        <v>-98</v>
      </c>
      <c r="Q242">
        <v>0</v>
      </c>
    </row>
    <row r="243" spans="1:20" x14ac:dyDescent="0.25">
      <c r="A243" t="s">
        <v>67</v>
      </c>
      <c r="B243">
        <v>139</v>
      </c>
      <c r="C243">
        <v>147</v>
      </c>
      <c r="D243">
        <v>131</v>
      </c>
      <c r="E243">
        <v>201</v>
      </c>
      <c r="F243">
        <v>220</v>
      </c>
      <c r="G243">
        <v>258</v>
      </c>
      <c r="H243">
        <v>263</v>
      </c>
      <c r="I243">
        <v>307</v>
      </c>
      <c r="J243">
        <v>346</v>
      </c>
      <c r="K243">
        <v>413</v>
      </c>
      <c r="L243">
        <v>490</v>
      </c>
      <c r="M243">
        <v>577</v>
      </c>
      <c r="N243">
        <v>668</v>
      </c>
      <c r="O243">
        <v>716.99</v>
      </c>
      <c r="P243">
        <v>667.05</v>
      </c>
      <c r="Q243">
        <v>731.27</v>
      </c>
      <c r="R243" s="2">
        <v>1168.3399999999999</v>
      </c>
      <c r="S243" s="2">
        <v>1343.59</v>
      </c>
      <c r="T243" s="2">
        <v>1545.12</v>
      </c>
    </row>
    <row r="244" spans="1:20" x14ac:dyDescent="0.25">
      <c r="A244" t="s">
        <v>816</v>
      </c>
      <c r="B244">
        <v>34</v>
      </c>
      <c r="C244">
        <v>8</v>
      </c>
      <c r="D244">
        <v>53</v>
      </c>
      <c r="E244">
        <v>38</v>
      </c>
      <c r="F244">
        <v>-9</v>
      </c>
      <c r="G244">
        <v>4</v>
      </c>
      <c r="H244">
        <v>-19</v>
      </c>
      <c r="I244">
        <v>60</v>
      </c>
      <c r="J244">
        <v>-70</v>
      </c>
      <c r="K244">
        <v>32</v>
      </c>
      <c r="L244">
        <v>40</v>
      </c>
      <c r="M244">
        <v>47</v>
      </c>
      <c r="N244">
        <v>31</v>
      </c>
      <c r="O244">
        <v>-730.75</v>
      </c>
      <c r="P244">
        <v>428</v>
      </c>
      <c r="Q244">
        <v>0</v>
      </c>
    </row>
    <row r="245" spans="1:20" x14ac:dyDescent="0.25">
      <c r="A245" t="s">
        <v>338</v>
      </c>
    </row>
    <row r="246" spans="1:20" x14ac:dyDescent="0.25">
      <c r="A246" t="s">
        <v>141</v>
      </c>
      <c r="B246">
        <v>-404</v>
      </c>
      <c r="C246">
        <v>-21</v>
      </c>
      <c r="D246">
        <v>-61</v>
      </c>
      <c r="E246">
        <v>-542</v>
      </c>
      <c r="F246">
        <v>-37</v>
      </c>
      <c r="G246">
        <v>16</v>
      </c>
      <c r="H246">
        <v>-207</v>
      </c>
      <c r="I246">
        <v>-427</v>
      </c>
      <c r="J246" s="2">
        <v>-1989</v>
      </c>
      <c r="K246" s="2">
        <v>-1109</v>
      </c>
      <c r="L246">
        <v>903</v>
      </c>
      <c r="M246">
        <v>-69</v>
      </c>
      <c r="N246">
        <v>49</v>
      </c>
      <c r="O246" s="2">
        <v>-3152.18</v>
      </c>
      <c r="P246">
        <v>243.11</v>
      </c>
      <c r="Q246" s="2">
        <v>-1674.65</v>
      </c>
      <c r="R246">
        <v>-867.41</v>
      </c>
      <c r="S246">
        <v>-640.89</v>
      </c>
      <c r="T246">
        <v>-935.83</v>
      </c>
    </row>
    <row r="247" spans="1:20" x14ac:dyDescent="0.25">
      <c r="A247" t="s">
        <v>340</v>
      </c>
      <c r="B247">
        <v>-141</v>
      </c>
      <c r="C247">
        <v>-154</v>
      </c>
      <c r="D247">
        <v>-266</v>
      </c>
      <c r="E247">
        <v>-216</v>
      </c>
      <c r="F247">
        <v>-809</v>
      </c>
      <c r="G247" s="2">
        <v>-1014</v>
      </c>
      <c r="H247">
        <v>248</v>
      </c>
      <c r="I247">
        <v>-421</v>
      </c>
      <c r="J247">
        <v>-405</v>
      </c>
      <c r="K247" s="2">
        <v>-1590</v>
      </c>
      <c r="L247">
        <v>207</v>
      </c>
      <c r="M247">
        <v>304</v>
      </c>
      <c r="N247">
        <v>-494</v>
      </c>
      <c r="O247" s="2">
        <v>-1569.83</v>
      </c>
      <c r="P247">
        <v>-327.39999999999998</v>
      </c>
      <c r="Q247" s="2">
        <v>-1709.74</v>
      </c>
      <c r="R247">
        <v>-878.06</v>
      </c>
      <c r="S247">
        <v>-584.97</v>
      </c>
      <c r="T247">
        <v>-874.44</v>
      </c>
    </row>
    <row r="248" spans="1:20" x14ac:dyDescent="0.25">
      <c r="A248" t="s">
        <v>1228</v>
      </c>
      <c r="B248">
        <v>21</v>
      </c>
      <c r="C248">
        <v>79</v>
      </c>
      <c r="D248">
        <v>-133</v>
      </c>
      <c r="E248">
        <v>184</v>
      </c>
      <c r="F248">
        <v>371</v>
      </c>
      <c r="G248">
        <v>170</v>
      </c>
      <c r="H248">
        <v>-247</v>
      </c>
      <c r="I248">
        <v>327</v>
      </c>
      <c r="J248">
        <v>465</v>
      </c>
      <c r="K248">
        <v>390</v>
      </c>
      <c r="L248">
        <v>-138</v>
      </c>
      <c r="M248">
        <v>281</v>
      </c>
      <c r="N248">
        <v>307</v>
      </c>
      <c r="O248" s="2">
        <v>1363.26</v>
      </c>
      <c r="P248" s="2">
        <v>1860.69</v>
      </c>
      <c r="Q248" s="2">
        <v>2064.3200000000002</v>
      </c>
      <c r="R248">
        <v>769.42</v>
      </c>
      <c r="S248">
        <v>512.59</v>
      </c>
      <c r="T248">
        <v>766.25</v>
      </c>
    </row>
    <row r="249" spans="1:20" x14ac:dyDescent="0.25">
      <c r="A249" t="s">
        <v>499</v>
      </c>
      <c r="B249">
        <v>57</v>
      </c>
      <c r="C249">
        <v>142</v>
      </c>
      <c r="D249">
        <v>-24</v>
      </c>
      <c r="E249">
        <v>173</v>
      </c>
      <c r="F249">
        <v>121</v>
      </c>
      <c r="G249">
        <v>886</v>
      </c>
      <c r="H249">
        <v>44</v>
      </c>
      <c r="I249">
        <v>-10</v>
      </c>
      <c r="J249">
        <v>396</v>
      </c>
      <c r="K249">
        <v>-541</v>
      </c>
      <c r="L249">
        <v>-20</v>
      </c>
      <c r="M249">
        <v>389</v>
      </c>
      <c r="N249">
        <v>250</v>
      </c>
      <c r="O249">
        <v>391.33</v>
      </c>
      <c r="P249">
        <v>-880</v>
      </c>
    </row>
    <row r="250" spans="1:20" x14ac:dyDescent="0.25">
      <c r="A250" t="s">
        <v>1340</v>
      </c>
      <c r="B250">
        <v>-63</v>
      </c>
      <c r="C250">
        <v>26</v>
      </c>
      <c r="D250">
        <v>26</v>
      </c>
      <c r="E250">
        <v>30</v>
      </c>
      <c r="F250">
        <v>-156</v>
      </c>
      <c r="G250">
        <v>-199</v>
      </c>
      <c r="H250">
        <v>-86</v>
      </c>
      <c r="I250">
        <v>-161</v>
      </c>
      <c r="J250">
        <v>-602</v>
      </c>
      <c r="K250">
        <v>-16</v>
      </c>
      <c r="L250">
        <v>-48</v>
      </c>
      <c r="M250">
        <v>287</v>
      </c>
      <c r="N250">
        <v>-119</v>
      </c>
      <c r="O250">
        <v>-102.22</v>
      </c>
      <c r="P250">
        <v>-483.06</v>
      </c>
    </row>
    <row r="251" spans="1:20" x14ac:dyDescent="0.25">
      <c r="A251" t="s">
        <v>1136</v>
      </c>
      <c r="F251">
        <v>133</v>
      </c>
      <c r="G251">
        <v>75</v>
      </c>
      <c r="H251">
        <v>135</v>
      </c>
      <c r="I251">
        <v>-16</v>
      </c>
      <c r="J251">
        <v>755</v>
      </c>
      <c r="K251" s="2">
        <v>1039</v>
      </c>
      <c r="L251">
        <v>-167</v>
      </c>
      <c r="M251">
        <v>-126</v>
      </c>
      <c r="N251">
        <v>-283</v>
      </c>
      <c r="O251">
        <v>-3</v>
      </c>
      <c r="P251">
        <v>785.98</v>
      </c>
      <c r="Q251">
        <v>441.9</v>
      </c>
    </row>
    <row r="252" spans="1:20" x14ac:dyDescent="0.25">
      <c r="A252" t="s">
        <v>1341</v>
      </c>
      <c r="B252">
        <v>-455</v>
      </c>
      <c r="C252">
        <v>80</v>
      </c>
      <c r="D252">
        <v>-635</v>
      </c>
      <c r="E252">
        <v>119</v>
      </c>
      <c r="F252">
        <v>-377</v>
      </c>
      <c r="G252">
        <v>-339</v>
      </c>
      <c r="H252">
        <v>-115</v>
      </c>
      <c r="I252">
        <v>-638</v>
      </c>
      <c r="J252" s="2">
        <v>-1344</v>
      </c>
      <c r="K252">
        <v>0</v>
      </c>
      <c r="L252">
        <v>0</v>
      </c>
      <c r="M252">
        <v>0</v>
      </c>
      <c r="N252">
        <v>0</v>
      </c>
      <c r="O252" s="2">
        <v>-2478.77</v>
      </c>
      <c r="P252">
        <v>-61.18</v>
      </c>
      <c r="Q252" s="2">
        <v>-1242.4000000000001</v>
      </c>
      <c r="R252">
        <v>-976.05</v>
      </c>
      <c r="S252">
        <v>-713.27</v>
      </c>
      <c r="T252" s="2">
        <v>-1044.02</v>
      </c>
    </row>
    <row r="253" spans="1:20" x14ac:dyDescent="0.25">
      <c r="A253" t="s">
        <v>204</v>
      </c>
      <c r="B253">
        <v>623</v>
      </c>
      <c r="C253" s="2">
        <v>1800</v>
      </c>
      <c r="D253" s="2">
        <v>1163</v>
      </c>
      <c r="E253" s="2">
        <v>2566</v>
      </c>
      <c r="F253" s="2">
        <v>3789</v>
      </c>
      <c r="G253" s="2">
        <v>3787</v>
      </c>
      <c r="H253" s="2">
        <v>3247</v>
      </c>
      <c r="I253" s="2">
        <v>3804</v>
      </c>
      <c r="J253" s="2">
        <v>5442</v>
      </c>
      <c r="K253" s="2">
        <v>5399</v>
      </c>
      <c r="L253" s="2">
        <v>8700</v>
      </c>
      <c r="M253" s="2">
        <v>8677</v>
      </c>
      <c r="N253" s="2">
        <v>7958</v>
      </c>
      <c r="O253" s="2">
        <v>8437.1200000000008</v>
      </c>
      <c r="P253" s="2">
        <v>15645.71</v>
      </c>
      <c r="Q253" s="2">
        <v>17802.63</v>
      </c>
      <c r="R253" s="2">
        <v>18953.88</v>
      </c>
      <c r="S253" s="2">
        <v>23541.55</v>
      </c>
      <c r="T253" s="2">
        <v>25081.07</v>
      </c>
    </row>
    <row r="254" spans="1:20" x14ac:dyDescent="0.25">
      <c r="A254" t="s">
        <v>17</v>
      </c>
    </row>
    <row r="255" spans="1:20" x14ac:dyDescent="0.25">
      <c r="A255" t="s">
        <v>205</v>
      </c>
    </row>
    <row r="256" spans="1:20" x14ac:dyDescent="0.25">
      <c r="A256" t="s">
        <v>1342</v>
      </c>
      <c r="B256">
        <v>-607</v>
      </c>
      <c r="C256">
        <v>-811</v>
      </c>
      <c r="D256" s="2">
        <v>-1162</v>
      </c>
      <c r="E256" s="2">
        <v>-1390</v>
      </c>
      <c r="F256" s="2">
        <v>-4856</v>
      </c>
      <c r="G256" s="2">
        <v>-2077</v>
      </c>
      <c r="H256" s="2">
        <v>-1914</v>
      </c>
      <c r="I256" s="2">
        <v>-1355</v>
      </c>
      <c r="J256" s="2">
        <v>-2007</v>
      </c>
      <c r="K256" s="2">
        <v>-1492</v>
      </c>
      <c r="L256" s="2">
        <v>-1672</v>
      </c>
      <c r="M256" s="2">
        <v>-3588</v>
      </c>
      <c r="N256" s="2">
        <v>-6054</v>
      </c>
      <c r="O256" s="2">
        <v>-5165.57</v>
      </c>
      <c r="P256" s="2">
        <v>-2626.67</v>
      </c>
      <c r="Q256" s="2">
        <v>-3940</v>
      </c>
    </row>
    <row r="257" spans="1:20" x14ac:dyDescent="0.25">
      <c r="A257" t="s">
        <v>1343</v>
      </c>
      <c r="B257" s="2">
        <v>1013</v>
      </c>
      <c r="C257">
        <v>878</v>
      </c>
      <c r="D257" s="2">
        <v>1100</v>
      </c>
      <c r="E257" s="2">
        <v>1234</v>
      </c>
      <c r="F257" s="2">
        <v>2743</v>
      </c>
      <c r="G257" s="2">
        <v>3276</v>
      </c>
      <c r="H257" s="2">
        <v>1940</v>
      </c>
      <c r="I257" s="2">
        <v>1754</v>
      </c>
      <c r="J257" s="2">
        <v>1471</v>
      </c>
      <c r="K257" s="2">
        <v>1363</v>
      </c>
      <c r="L257" s="2">
        <v>1268</v>
      </c>
      <c r="M257" s="2">
        <v>2451</v>
      </c>
      <c r="N257" s="2">
        <v>5528</v>
      </c>
      <c r="O257" s="2">
        <v>4424.29</v>
      </c>
      <c r="P257" s="2">
        <v>1801.33</v>
      </c>
      <c r="Q257" s="2">
        <v>2702</v>
      </c>
    </row>
    <row r="258" spans="1:20" x14ac:dyDescent="0.25">
      <c r="A258" t="s">
        <v>206</v>
      </c>
      <c r="B258">
        <v>-197</v>
      </c>
      <c r="C258">
        <v>-241</v>
      </c>
      <c r="D258">
        <v>-215</v>
      </c>
      <c r="E258">
        <v>-253</v>
      </c>
      <c r="F258">
        <v>-345</v>
      </c>
      <c r="G258">
        <v>-622</v>
      </c>
      <c r="H258">
        <v>-441</v>
      </c>
      <c r="I258">
        <v>-422</v>
      </c>
      <c r="J258">
        <v>-668</v>
      </c>
      <c r="K258">
        <v>-787</v>
      </c>
      <c r="L258" s="2">
        <v>-1106</v>
      </c>
      <c r="M258" s="2">
        <v>-1190</v>
      </c>
      <c r="N258" s="2">
        <v>-2260</v>
      </c>
      <c r="O258" s="2">
        <v>-2657.67</v>
      </c>
      <c r="P258" s="2">
        <v>-2547</v>
      </c>
      <c r="Q258" s="2">
        <v>-2462.33</v>
      </c>
      <c r="R258" s="2">
        <v>-2025.33</v>
      </c>
      <c r="S258" s="2">
        <v>-2358.5</v>
      </c>
      <c r="T258" s="2">
        <v>-2134</v>
      </c>
    </row>
    <row r="259" spans="1:20" x14ac:dyDescent="0.25">
      <c r="A259" t="s">
        <v>1036</v>
      </c>
      <c r="B259">
        <v>2.62</v>
      </c>
      <c r="C259">
        <v>2.66</v>
      </c>
      <c r="D259">
        <v>2.23</v>
      </c>
      <c r="E259">
        <v>2.34</v>
      </c>
      <c r="F259">
        <v>2.35</v>
      </c>
      <c r="G259">
        <v>3.72</v>
      </c>
      <c r="H259">
        <v>3.02</v>
      </c>
      <c r="I259">
        <v>2.4500000000000002</v>
      </c>
      <c r="J259">
        <v>2.9</v>
      </c>
      <c r="K259">
        <v>3.05</v>
      </c>
      <c r="L259">
        <v>4.17</v>
      </c>
      <c r="M259">
        <v>4.38</v>
      </c>
      <c r="N259">
        <v>7.97</v>
      </c>
      <c r="O259">
        <v>7.78</v>
      </c>
      <c r="P259">
        <v>5.32</v>
      </c>
      <c r="Q259">
        <v>5.33</v>
      </c>
      <c r="R259">
        <v>3</v>
      </c>
      <c r="S259">
        <v>3</v>
      </c>
      <c r="T259">
        <v>3</v>
      </c>
    </row>
    <row r="260" spans="1:20" x14ac:dyDescent="0.25">
      <c r="A260" t="s">
        <v>1344</v>
      </c>
      <c r="B260">
        <v>-1</v>
      </c>
      <c r="C260">
        <v>-12</v>
      </c>
      <c r="D260">
        <v>-4</v>
      </c>
      <c r="E260">
        <v>-16</v>
      </c>
      <c r="F260">
        <v>-68</v>
      </c>
      <c r="G260">
        <v>-6</v>
      </c>
      <c r="H260">
        <v>-28</v>
      </c>
      <c r="I260">
        <v>-107</v>
      </c>
      <c r="J260">
        <v>-12</v>
      </c>
      <c r="K260">
        <v>-441</v>
      </c>
      <c r="L260">
        <v>-25</v>
      </c>
      <c r="M260">
        <v>0</v>
      </c>
      <c r="N260">
        <v>-29</v>
      </c>
      <c r="O260">
        <v>-225.8</v>
      </c>
      <c r="P260">
        <v>0</v>
      </c>
      <c r="Q260">
        <v>0</v>
      </c>
    </row>
    <row r="261" spans="1:20" x14ac:dyDescent="0.25">
      <c r="A261" t="s">
        <v>212</v>
      </c>
      <c r="B261">
        <v>413</v>
      </c>
      <c r="C261">
        <v>92</v>
      </c>
      <c r="D261">
        <v>-62</v>
      </c>
      <c r="E261">
        <v>-156</v>
      </c>
      <c r="F261" s="2">
        <v>-2113</v>
      </c>
      <c r="G261" s="2">
        <v>1199</v>
      </c>
      <c r="H261">
        <v>26</v>
      </c>
      <c r="I261">
        <v>399</v>
      </c>
      <c r="J261">
        <v>-536</v>
      </c>
      <c r="K261">
        <v>-129</v>
      </c>
      <c r="L261">
        <v>-404</v>
      </c>
      <c r="M261" s="2">
        <v>-1137</v>
      </c>
      <c r="N261">
        <v>-493</v>
      </c>
      <c r="O261">
        <v>-665</v>
      </c>
      <c r="P261">
        <v>0</v>
      </c>
      <c r="Q261">
        <v>0</v>
      </c>
    </row>
    <row r="262" spans="1:20" x14ac:dyDescent="0.25">
      <c r="A262" t="s">
        <v>213</v>
      </c>
      <c r="B262">
        <v>215</v>
      </c>
      <c r="C262">
        <v>-161</v>
      </c>
      <c r="D262">
        <v>-281</v>
      </c>
      <c r="E262">
        <v>-425</v>
      </c>
      <c r="F262" s="2">
        <v>-2526</v>
      </c>
      <c r="G262">
        <v>571</v>
      </c>
      <c r="H262">
        <v>-443</v>
      </c>
      <c r="I262">
        <v>-130</v>
      </c>
      <c r="J262" s="2">
        <v>-1216</v>
      </c>
      <c r="K262" s="2">
        <v>-1357</v>
      </c>
      <c r="L262" s="2">
        <v>-1535</v>
      </c>
      <c r="M262" s="2">
        <v>-2327</v>
      </c>
      <c r="N262" s="2">
        <v>-2782</v>
      </c>
      <c r="O262" s="2">
        <v>-3812.74</v>
      </c>
      <c r="P262" s="2">
        <v>-2717.79</v>
      </c>
      <c r="Q262" s="2">
        <v>-2831.59</v>
      </c>
      <c r="R262" s="2">
        <v>-1913.91</v>
      </c>
      <c r="S262" s="2">
        <v>-2003.19</v>
      </c>
      <c r="T262" s="2">
        <v>-2133.56</v>
      </c>
    </row>
    <row r="263" spans="1:20" x14ac:dyDescent="0.25">
      <c r="A263" t="s">
        <v>17</v>
      </c>
    </row>
    <row r="264" spans="1:20" x14ac:dyDescent="0.25">
      <c r="A264" t="s">
        <v>214</v>
      </c>
    </row>
    <row r="265" spans="1:20" x14ac:dyDescent="0.25">
      <c r="A265" t="s">
        <v>347</v>
      </c>
      <c r="B265">
        <v>-456</v>
      </c>
      <c r="C265">
        <v>-485</v>
      </c>
      <c r="D265">
        <v>-487</v>
      </c>
      <c r="E265">
        <v>-444</v>
      </c>
      <c r="F265">
        <v>-430</v>
      </c>
      <c r="G265">
        <v>-605</v>
      </c>
      <c r="H265">
        <v>-771</v>
      </c>
      <c r="I265">
        <v>-787</v>
      </c>
      <c r="J265">
        <v>-838</v>
      </c>
      <c r="K265">
        <v>-873</v>
      </c>
      <c r="L265">
        <v>-975</v>
      </c>
      <c r="M265" s="2">
        <v>-1192</v>
      </c>
      <c r="N265" s="2">
        <v>-1384</v>
      </c>
      <c r="O265" s="2">
        <v>-1560.05</v>
      </c>
      <c r="P265" s="2">
        <v>-1612.95</v>
      </c>
      <c r="Q265" s="2">
        <v>-1791.5</v>
      </c>
      <c r="R265" s="2">
        <v>-1976.98</v>
      </c>
      <c r="S265" s="2">
        <v>-2185.54</v>
      </c>
      <c r="T265" s="2">
        <v>-2419.62</v>
      </c>
    </row>
    <row r="266" spans="1:20" x14ac:dyDescent="0.25">
      <c r="A266" t="s">
        <v>822</v>
      </c>
      <c r="B266">
        <v>0</v>
      </c>
      <c r="C266">
        <v>0</v>
      </c>
      <c r="D266" s="2">
        <v>2581</v>
      </c>
      <c r="E266" s="2">
        <v>-1207</v>
      </c>
      <c r="F266" s="2">
        <v>1971</v>
      </c>
      <c r="G266">
        <v>0</v>
      </c>
      <c r="H266">
        <v>0</v>
      </c>
      <c r="I266">
        <v>97</v>
      </c>
      <c r="J266">
        <v>0</v>
      </c>
      <c r="K266">
        <v>0</v>
      </c>
      <c r="L266">
        <v>84</v>
      </c>
      <c r="M266">
        <v>593</v>
      </c>
      <c r="N266">
        <v>292</v>
      </c>
      <c r="O266">
        <v>41.71</v>
      </c>
      <c r="P266">
        <v>-225.5</v>
      </c>
      <c r="Q266">
        <v>198</v>
      </c>
    </row>
    <row r="267" spans="1:20" x14ac:dyDescent="0.25">
      <c r="A267" t="s">
        <v>1345</v>
      </c>
      <c r="E267" s="2">
        <v>-1207</v>
      </c>
      <c r="F267">
        <v>-205</v>
      </c>
      <c r="G267">
        <v>0</v>
      </c>
      <c r="H267">
        <v>0</v>
      </c>
      <c r="I267" s="2">
        <v>-2882</v>
      </c>
      <c r="J267">
        <v>0</v>
      </c>
      <c r="K267">
        <v>0</v>
      </c>
      <c r="L267">
        <v>-900</v>
      </c>
      <c r="M267">
        <v>-400</v>
      </c>
      <c r="N267">
        <v>-502</v>
      </c>
      <c r="O267">
        <v>-250</v>
      </c>
    </row>
    <row r="268" spans="1:20" x14ac:dyDescent="0.25">
      <c r="A268" t="s">
        <v>1155</v>
      </c>
      <c r="B268">
        <v>-63</v>
      </c>
      <c r="C268">
        <v>137</v>
      </c>
      <c r="D268" s="2">
        <v>-1181</v>
      </c>
      <c r="E268" s="2">
        <v>-1804</v>
      </c>
      <c r="F268" s="2">
        <v>-1075</v>
      </c>
      <c r="G268" s="2">
        <v>-5159</v>
      </c>
      <c r="H268" s="2">
        <v>-2258</v>
      </c>
      <c r="I268">
        <v>-475</v>
      </c>
      <c r="J268" s="2">
        <v>-3575</v>
      </c>
      <c r="K268" s="2">
        <v>-5904</v>
      </c>
      <c r="L268" s="2">
        <v>-1962</v>
      </c>
      <c r="M268" s="2">
        <v>-3580</v>
      </c>
      <c r="N268" s="2">
        <v>-4634</v>
      </c>
      <c r="O268" s="2">
        <v>-1490.4</v>
      </c>
      <c r="P268" s="2">
        <v>-1822.49</v>
      </c>
    </row>
    <row r="269" spans="1:20" x14ac:dyDescent="0.25">
      <c r="A269" t="s">
        <v>1346</v>
      </c>
      <c r="B269">
        <v>159</v>
      </c>
      <c r="C269">
        <v>107</v>
      </c>
      <c r="D269">
        <v>88</v>
      </c>
      <c r="E269">
        <v>88</v>
      </c>
      <c r="F269">
        <v>97</v>
      </c>
      <c r="G269">
        <v>124</v>
      </c>
      <c r="H269">
        <v>145</v>
      </c>
      <c r="I269">
        <v>174</v>
      </c>
      <c r="J269">
        <v>175</v>
      </c>
      <c r="K269">
        <v>199</v>
      </c>
      <c r="L269">
        <v>227</v>
      </c>
      <c r="M269">
        <v>243</v>
      </c>
      <c r="N269">
        <v>261</v>
      </c>
      <c r="O269">
        <v>141</v>
      </c>
      <c r="P269">
        <v>80</v>
      </c>
      <c r="Q269">
        <v>120</v>
      </c>
    </row>
    <row r="270" spans="1:20" x14ac:dyDescent="0.25">
      <c r="A270" t="s">
        <v>1347</v>
      </c>
      <c r="B270">
        <v>-245</v>
      </c>
      <c r="C270">
        <v>0</v>
      </c>
      <c r="D270" s="2">
        <v>-1325</v>
      </c>
      <c r="E270" s="2">
        <v>-1892</v>
      </c>
      <c r="F270" s="2">
        <v>-1172</v>
      </c>
      <c r="G270" s="2">
        <v>-5283</v>
      </c>
      <c r="H270" s="2">
        <v>-2403</v>
      </c>
      <c r="I270">
        <v>-649</v>
      </c>
      <c r="J270" s="2">
        <v>-3750</v>
      </c>
      <c r="K270" s="2">
        <v>-6103</v>
      </c>
      <c r="L270" s="2">
        <v>-2189</v>
      </c>
      <c r="M270" s="2">
        <v>-3823</v>
      </c>
      <c r="N270" s="2">
        <v>-4895</v>
      </c>
      <c r="O270" s="2">
        <v>-1746.55</v>
      </c>
      <c r="P270" s="2">
        <v>-4695.21</v>
      </c>
      <c r="Q270" s="2">
        <v>-6859.65</v>
      </c>
      <c r="R270" s="2">
        <v>-9000</v>
      </c>
      <c r="S270" s="2">
        <v>-9500</v>
      </c>
      <c r="T270" s="2">
        <v>-10000</v>
      </c>
    </row>
    <row r="271" spans="1:20" x14ac:dyDescent="0.25">
      <c r="A271" t="s">
        <v>522</v>
      </c>
      <c r="B271">
        <v>0</v>
      </c>
      <c r="C271">
        <v>0</v>
      </c>
      <c r="D271">
        <v>0</v>
      </c>
      <c r="E271">
        <v>-77</v>
      </c>
      <c r="F271">
        <v>-125</v>
      </c>
      <c r="G271">
        <v>-164</v>
      </c>
      <c r="H271">
        <v>-86</v>
      </c>
      <c r="I271">
        <v>-172</v>
      </c>
      <c r="J271">
        <v>-178</v>
      </c>
      <c r="K271">
        <v>-266</v>
      </c>
      <c r="L271">
        <v>-179</v>
      </c>
      <c r="M271">
        <v>-291</v>
      </c>
      <c r="N271">
        <v>-251</v>
      </c>
      <c r="O271">
        <v>-429.16</v>
      </c>
      <c r="P271">
        <v>-223.67</v>
      </c>
      <c r="Q271">
        <v>-256</v>
      </c>
    </row>
    <row r="272" spans="1:20" x14ac:dyDescent="0.25">
      <c r="A272" t="s">
        <v>218</v>
      </c>
      <c r="B272">
        <v>-519</v>
      </c>
      <c r="C272">
        <v>-348</v>
      </c>
      <c r="D272">
        <v>913</v>
      </c>
      <c r="E272" s="2">
        <v>-3532</v>
      </c>
      <c r="F272">
        <v>341</v>
      </c>
      <c r="G272" s="2">
        <v>-5928</v>
      </c>
      <c r="H272" s="2">
        <v>-3115</v>
      </c>
      <c r="I272" s="2">
        <v>-1337</v>
      </c>
      <c r="J272" s="2">
        <v>-4591</v>
      </c>
      <c r="K272" s="2">
        <v>-7043</v>
      </c>
      <c r="L272" s="2">
        <v>-3032</v>
      </c>
      <c r="M272" s="2">
        <v>-4470</v>
      </c>
      <c r="N272" s="2">
        <v>-5977</v>
      </c>
      <c r="O272" s="2">
        <v>-3672.36</v>
      </c>
      <c r="P272" s="2">
        <v>-6321.55</v>
      </c>
      <c r="Q272" s="2">
        <v>-7292.23</v>
      </c>
      <c r="R272" s="2">
        <v>-10976.98</v>
      </c>
      <c r="S272" s="2">
        <v>-11685.54</v>
      </c>
      <c r="T272" s="2">
        <v>-12419.62</v>
      </c>
    </row>
    <row r="273" spans="1:20" x14ac:dyDescent="0.25">
      <c r="A273" t="s">
        <v>17</v>
      </c>
    </row>
    <row r="274" spans="1:20" x14ac:dyDescent="0.25">
      <c r="A274" t="s">
        <v>176</v>
      </c>
    </row>
    <row r="275" spans="1:20" x14ac:dyDescent="0.25">
      <c r="A275" t="s">
        <v>220</v>
      </c>
      <c r="B275">
        <v>319</v>
      </c>
      <c r="C275" s="2">
        <v>1291</v>
      </c>
      <c r="D275" s="2">
        <v>1795</v>
      </c>
      <c r="E275" s="2">
        <v>-1391</v>
      </c>
      <c r="F275" s="2">
        <v>1604</v>
      </c>
      <c r="G275" s="2">
        <v>-1570</v>
      </c>
      <c r="H275">
        <v>-311</v>
      </c>
      <c r="I275" s="2">
        <v>2337</v>
      </c>
      <c r="J275">
        <v>-365</v>
      </c>
      <c r="K275" s="2">
        <v>-3001</v>
      </c>
      <c r="L275" s="2">
        <v>4133</v>
      </c>
      <c r="M275" s="2">
        <v>1880</v>
      </c>
      <c r="N275">
        <v>-801</v>
      </c>
      <c r="O275">
        <v>900.29</v>
      </c>
      <c r="P275" s="2">
        <v>7014.94</v>
      </c>
      <c r="Q275" s="2">
        <v>8405.19</v>
      </c>
      <c r="R275" s="2">
        <v>9055.18</v>
      </c>
      <c r="S275" s="2">
        <v>9852.82</v>
      </c>
      <c r="T275" s="2">
        <v>10527.9</v>
      </c>
    </row>
    <row r="276" spans="1:20" x14ac:dyDescent="0.25">
      <c r="A276" t="s">
        <v>1348</v>
      </c>
      <c r="B276" s="2">
        <v>1392</v>
      </c>
      <c r="C276" s="2">
        <v>1711</v>
      </c>
      <c r="D276" s="2">
        <v>3002</v>
      </c>
      <c r="E276" s="2">
        <v>4797</v>
      </c>
      <c r="F276" s="2">
        <v>3406</v>
      </c>
      <c r="G276" s="2">
        <v>5010</v>
      </c>
      <c r="H276" s="2">
        <v>3440</v>
      </c>
      <c r="I276" s="2">
        <v>3129</v>
      </c>
      <c r="J276" s="2">
        <v>5466</v>
      </c>
      <c r="K276" s="2">
        <v>5101</v>
      </c>
      <c r="L276" s="2">
        <v>2100</v>
      </c>
      <c r="M276" s="2">
        <v>6233</v>
      </c>
      <c r="N276" s="2">
        <v>8113</v>
      </c>
      <c r="O276" s="2">
        <v>7282</v>
      </c>
      <c r="P276" s="2">
        <v>8307.0499999999993</v>
      </c>
      <c r="Q276" s="2">
        <v>21965.200000000001</v>
      </c>
      <c r="R276" s="2">
        <v>18837.57</v>
      </c>
      <c r="S276" s="2">
        <v>27892.75</v>
      </c>
      <c r="T276" s="2">
        <v>37745.56</v>
      </c>
    </row>
    <row r="277" spans="1:20" x14ac:dyDescent="0.25">
      <c r="A277" t="s">
        <v>222</v>
      </c>
      <c r="B277" s="2">
        <v>1711</v>
      </c>
      <c r="C277" s="2">
        <v>3002</v>
      </c>
      <c r="D277" s="2">
        <v>4797</v>
      </c>
      <c r="E277" s="2">
        <v>3406</v>
      </c>
      <c r="F277" s="2">
        <v>5010</v>
      </c>
      <c r="G277" s="2">
        <v>3440</v>
      </c>
      <c r="H277" s="2">
        <v>3129</v>
      </c>
      <c r="I277" s="2">
        <v>5466</v>
      </c>
      <c r="J277" s="2">
        <v>5101</v>
      </c>
      <c r="K277" s="2">
        <v>2100</v>
      </c>
      <c r="L277" s="2">
        <v>6233</v>
      </c>
      <c r="M277" s="2">
        <v>8113</v>
      </c>
      <c r="N277" s="2">
        <v>7312</v>
      </c>
      <c r="O277" s="2">
        <v>8032.81</v>
      </c>
      <c r="P277" s="2">
        <v>17211.349999999999</v>
      </c>
      <c r="Q277" s="2">
        <v>28357.29</v>
      </c>
      <c r="R277" s="2">
        <v>27892.75</v>
      </c>
      <c r="S277" s="2">
        <v>37745.56</v>
      </c>
      <c r="T277" s="2">
        <v>48273.46</v>
      </c>
    </row>
    <row r="278" spans="1:20" x14ac:dyDescent="0.25">
      <c r="A278" t="s">
        <v>178</v>
      </c>
    </row>
    <row r="279" spans="1:20" x14ac:dyDescent="0.25">
      <c r="A279" t="s">
        <v>225</v>
      </c>
      <c r="B279">
        <v>426</v>
      </c>
      <c r="C279" s="2">
        <v>1559</v>
      </c>
      <c r="D279">
        <v>948</v>
      </c>
      <c r="E279" s="2">
        <v>2313</v>
      </c>
      <c r="F279" s="2">
        <v>3444</v>
      </c>
      <c r="G279" s="2">
        <v>3165</v>
      </c>
      <c r="H279" s="2">
        <v>2806</v>
      </c>
      <c r="I279" s="2">
        <v>3382</v>
      </c>
      <c r="J279" s="2">
        <v>4774</v>
      </c>
      <c r="K279" s="2">
        <v>4612</v>
      </c>
      <c r="L279" s="2">
        <v>7594</v>
      </c>
      <c r="M279" s="2">
        <v>7487</v>
      </c>
      <c r="N279" s="2">
        <v>5698</v>
      </c>
      <c r="O279" s="2">
        <v>5719.79</v>
      </c>
      <c r="P279" s="2">
        <v>12124.74</v>
      </c>
      <c r="Q279" s="2">
        <v>15237.63</v>
      </c>
      <c r="R279" s="2">
        <v>17149.830000000002</v>
      </c>
      <c r="S279" s="2">
        <v>21538.35</v>
      </c>
      <c r="T279" s="2">
        <v>22947.51</v>
      </c>
    </row>
    <row r="280" spans="1:20" x14ac:dyDescent="0.25">
      <c r="A280" t="s">
        <v>1061</v>
      </c>
      <c r="B280">
        <v>5.67</v>
      </c>
      <c r="C280">
        <v>17.18</v>
      </c>
      <c r="D280">
        <v>9.81</v>
      </c>
      <c r="E280">
        <v>21.37</v>
      </c>
      <c r="F280">
        <v>23.43</v>
      </c>
      <c r="G280">
        <v>18.95</v>
      </c>
      <c r="H280">
        <v>19.21</v>
      </c>
      <c r="I280">
        <v>19.66</v>
      </c>
      <c r="J280">
        <v>20.7</v>
      </c>
      <c r="K280">
        <v>17.89</v>
      </c>
      <c r="L280">
        <v>28.64</v>
      </c>
      <c r="M280">
        <v>27.55</v>
      </c>
      <c r="N280">
        <v>20.09</v>
      </c>
      <c r="O280">
        <v>17.440000000000001</v>
      </c>
      <c r="P280">
        <v>42.53</v>
      </c>
      <c r="Q280">
        <v>52.28</v>
      </c>
    </row>
    <row r="281" spans="1:20" x14ac:dyDescent="0.25">
      <c r="A281" t="s">
        <v>1349</v>
      </c>
      <c r="B281">
        <v>0.35</v>
      </c>
      <c r="C281">
        <v>1.27</v>
      </c>
      <c r="D281">
        <v>0.77</v>
      </c>
      <c r="E281">
        <v>2.0699999999999998</v>
      </c>
      <c r="F281">
        <v>3.18</v>
      </c>
      <c r="G281">
        <v>3.08</v>
      </c>
      <c r="H281">
        <v>2.97</v>
      </c>
      <c r="I281">
        <v>3.66</v>
      </c>
      <c r="J281">
        <v>5.19</v>
      </c>
      <c r="K281">
        <v>5.26</v>
      </c>
      <c r="L281">
        <v>8.99</v>
      </c>
      <c r="M281">
        <v>8.98</v>
      </c>
      <c r="N281">
        <v>7.05</v>
      </c>
      <c r="O281">
        <v>7.9</v>
      </c>
      <c r="P281">
        <v>15.36</v>
      </c>
      <c r="Q281">
        <v>19.670000000000002</v>
      </c>
      <c r="R281">
        <v>18.22</v>
      </c>
    </row>
    <row r="282" spans="1:20" x14ac:dyDescent="0.25">
      <c r="A282" t="s">
        <v>767</v>
      </c>
      <c r="B282">
        <v>0.52</v>
      </c>
      <c r="C282">
        <v>1.48</v>
      </c>
      <c r="D282">
        <v>0.96</v>
      </c>
      <c r="E282">
        <v>2.3199999999999998</v>
      </c>
      <c r="F282">
        <v>3.53</v>
      </c>
      <c r="G282">
        <v>3.74</v>
      </c>
      <c r="H282">
        <v>3.47</v>
      </c>
      <c r="I282">
        <v>4.1500000000000004</v>
      </c>
      <c r="J282">
        <v>5.98</v>
      </c>
      <c r="K282">
        <v>6.2</v>
      </c>
      <c r="L282">
        <v>10.36</v>
      </c>
      <c r="M282">
        <v>10.49</v>
      </c>
      <c r="N282">
        <v>9.9</v>
      </c>
      <c r="O282">
        <v>10.65</v>
      </c>
      <c r="P282">
        <v>16.96</v>
      </c>
      <c r="Q282">
        <v>20.61</v>
      </c>
    </row>
    <row r="283" spans="1:20" x14ac:dyDescent="0.25">
      <c r="A283" t="s">
        <v>17</v>
      </c>
    </row>
    <row r="284" spans="1:20" x14ac:dyDescent="0.25">
      <c r="A284" t="s">
        <v>231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C5E6-14A0-4E16-8AB8-F94DB20901F0}">
  <dimension ref="A1:U259"/>
  <sheetViews>
    <sheetView workbookViewId="0">
      <selection sqref="A1:U259"/>
    </sheetView>
  </sheetViews>
  <sheetFormatPr defaultRowHeight="15" x14ac:dyDescent="0.25"/>
  <sheetData>
    <row r="1" spans="1:21" x14ac:dyDescent="0.25">
      <c r="A1" t="s">
        <v>1350</v>
      </c>
    </row>
    <row r="2" spans="1:21" x14ac:dyDescent="0.25">
      <c r="A2" t="s">
        <v>1351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41820</v>
      </c>
      <c r="C4" s="1">
        <v>42185</v>
      </c>
      <c r="D4" s="1">
        <v>42551</v>
      </c>
      <c r="E4" s="1">
        <v>42916</v>
      </c>
      <c r="F4" s="1">
        <v>43281</v>
      </c>
      <c r="G4" s="1">
        <v>43646</v>
      </c>
      <c r="H4" s="1">
        <v>44012</v>
      </c>
      <c r="I4" s="1">
        <v>44377</v>
      </c>
      <c r="J4" s="1">
        <v>44742</v>
      </c>
      <c r="K4" s="1">
        <v>45107</v>
      </c>
      <c r="L4" s="1">
        <v>45473</v>
      </c>
      <c r="M4" s="1">
        <v>45838</v>
      </c>
      <c r="N4" s="1">
        <v>46203</v>
      </c>
      <c r="O4" s="1">
        <v>46568</v>
      </c>
      <c r="P4" s="1">
        <v>46934</v>
      </c>
      <c r="Q4" s="1">
        <v>47299</v>
      </c>
      <c r="R4" s="1">
        <v>47664</v>
      </c>
      <c r="S4" s="1">
        <v>48029</v>
      </c>
      <c r="T4" s="1">
        <v>48395</v>
      </c>
      <c r="U4" s="1">
        <v>48760</v>
      </c>
    </row>
    <row r="5" spans="1:21" x14ac:dyDescent="0.25">
      <c r="A5" t="s">
        <v>14</v>
      </c>
    </row>
    <row r="6" spans="1:21" x14ac:dyDescent="0.25">
      <c r="A6" t="s">
        <v>15</v>
      </c>
      <c r="B6">
        <v>0.35</v>
      </c>
      <c r="C6">
        <v>0.3</v>
      </c>
      <c r="D6">
        <v>0.47</v>
      </c>
      <c r="E6">
        <v>0.59</v>
      </c>
      <c r="F6">
        <v>0.8</v>
      </c>
      <c r="G6">
        <v>0.85</v>
      </c>
      <c r="H6">
        <v>1.04</v>
      </c>
      <c r="I6">
        <v>1.46</v>
      </c>
      <c r="J6">
        <v>2.12</v>
      </c>
      <c r="K6">
        <v>2.54</v>
      </c>
      <c r="L6">
        <v>2.37</v>
      </c>
      <c r="M6">
        <v>3.33</v>
      </c>
      <c r="N6">
        <v>3.76</v>
      </c>
      <c r="O6">
        <v>5.48</v>
      </c>
      <c r="P6">
        <v>6.84</v>
      </c>
      <c r="Q6">
        <v>8.23</v>
      </c>
      <c r="R6">
        <v>8.6</v>
      </c>
      <c r="S6">
        <v>10.41</v>
      </c>
    </row>
    <row r="7" spans="1:21" x14ac:dyDescent="0.25">
      <c r="A7" t="s">
        <v>16</v>
      </c>
      <c r="B7" s="2">
        <v>2929.41</v>
      </c>
      <c r="C7" s="2">
        <v>2814.05</v>
      </c>
      <c r="D7" s="2">
        <v>2984.49</v>
      </c>
      <c r="E7" s="2">
        <v>3480.01</v>
      </c>
      <c r="F7" s="2">
        <v>4036.7</v>
      </c>
      <c r="G7" s="2">
        <v>4568.8999999999996</v>
      </c>
      <c r="H7" s="2">
        <v>5806.42</v>
      </c>
      <c r="I7" s="2">
        <v>6918.73</v>
      </c>
      <c r="J7" s="2">
        <v>9211.8799999999992</v>
      </c>
      <c r="K7" s="2">
        <v>10496.06</v>
      </c>
      <c r="L7" s="2">
        <v>9812.25</v>
      </c>
      <c r="M7" s="2">
        <v>12156.16</v>
      </c>
      <c r="N7" s="2">
        <v>13579.48</v>
      </c>
      <c r="O7" s="2">
        <v>18198.12</v>
      </c>
      <c r="P7" s="2">
        <v>21913.95</v>
      </c>
      <c r="Q7" s="2">
        <v>25181</v>
      </c>
      <c r="R7" s="2">
        <v>27146</v>
      </c>
      <c r="S7" s="2">
        <v>30543.5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443</v>
      </c>
      <c r="B10" s="2">
        <v>2286.44</v>
      </c>
      <c r="C10" s="2">
        <v>2125.4</v>
      </c>
      <c r="D10" s="2">
        <v>2250.2600000000002</v>
      </c>
      <c r="E10" s="2">
        <v>2703.93</v>
      </c>
      <c r="F10" s="2">
        <v>3160.67</v>
      </c>
      <c r="G10" s="2">
        <v>3392.24</v>
      </c>
      <c r="H10" s="2">
        <v>4328.7299999999996</v>
      </c>
      <c r="I10" s="2">
        <v>5240.32</v>
      </c>
      <c r="J10" s="2">
        <v>7301.43</v>
      </c>
      <c r="K10" s="2">
        <v>8379.0300000000007</v>
      </c>
      <c r="L10" s="2">
        <v>7482.68</v>
      </c>
      <c r="M10" s="2">
        <v>9472.85</v>
      </c>
      <c r="N10" s="2">
        <v>10453.540000000001</v>
      </c>
      <c r="O10" s="2">
        <v>14876.43</v>
      </c>
      <c r="P10" s="2">
        <v>17984.810000000001</v>
      </c>
      <c r="Q10" s="2">
        <v>20545.990000000002</v>
      </c>
    </row>
    <row r="11" spans="1:21" x14ac:dyDescent="0.25">
      <c r="A11" t="s">
        <v>444</v>
      </c>
      <c r="B11">
        <v>642.97</v>
      </c>
      <c r="C11">
        <v>688.65</v>
      </c>
      <c r="D11">
        <v>734.23</v>
      </c>
      <c r="E11">
        <v>776.08</v>
      </c>
      <c r="F11">
        <v>876.03</v>
      </c>
      <c r="G11" s="2">
        <v>1176.6600000000001</v>
      </c>
      <c r="H11" s="2">
        <v>1477.7</v>
      </c>
      <c r="I11" s="2">
        <v>1678.42</v>
      </c>
      <c r="J11" s="2">
        <v>1910.46</v>
      </c>
      <c r="K11" s="2">
        <v>2117.0300000000002</v>
      </c>
      <c r="L11" s="2">
        <v>2329.5700000000002</v>
      </c>
      <c r="M11" s="2">
        <v>2683.31</v>
      </c>
      <c r="N11" s="2">
        <v>3125.94</v>
      </c>
      <c r="O11" s="2">
        <v>3562.53</v>
      </c>
      <c r="P11" s="2">
        <v>4049.87</v>
      </c>
      <c r="Q11" s="2">
        <v>4752.7299999999996</v>
      </c>
      <c r="R11" s="2">
        <v>5683.59</v>
      </c>
      <c r="S11" s="2">
        <v>6581.59</v>
      </c>
    </row>
    <row r="12" spans="1:21" x14ac:dyDescent="0.25">
      <c r="A12" t="s">
        <v>17</v>
      </c>
    </row>
    <row r="13" spans="1:21" x14ac:dyDescent="0.25">
      <c r="A13" t="s">
        <v>723</v>
      </c>
      <c r="B13">
        <v>194.33</v>
      </c>
      <c r="C13">
        <v>185.59</v>
      </c>
      <c r="D13">
        <v>219.79</v>
      </c>
      <c r="E13">
        <v>208.01</v>
      </c>
      <c r="F13">
        <v>235.21</v>
      </c>
      <c r="G13">
        <v>246.51</v>
      </c>
      <c r="H13">
        <v>195.88</v>
      </c>
      <c r="I13">
        <v>207.42</v>
      </c>
      <c r="J13">
        <v>218.13</v>
      </c>
      <c r="K13">
        <v>248.92</v>
      </c>
      <c r="L13">
        <v>282.77</v>
      </c>
      <c r="M13">
        <v>246.73</v>
      </c>
      <c r="N13">
        <v>253.42</v>
      </c>
      <c r="O13">
        <v>240.71</v>
      </c>
      <c r="P13">
        <v>226.44</v>
      </c>
      <c r="Q13">
        <v>206.07</v>
      </c>
      <c r="R13">
        <v>218.46</v>
      </c>
      <c r="S13">
        <v>212.75</v>
      </c>
    </row>
    <row r="14" spans="1:21" x14ac:dyDescent="0.25">
      <c r="A14" t="s">
        <v>569</v>
      </c>
      <c r="B14">
        <v>1.91</v>
      </c>
      <c r="C14">
        <v>1.91</v>
      </c>
      <c r="D14">
        <v>1.77</v>
      </c>
      <c r="E14">
        <v>1.8</v>
      </c>
      <c r="F14">
        <v>1.74</v>
      </c>
      <c r="G14">
        <v>1.7</v>
      </c>
      <c r="H14">
        <v>1.9</v>
      </c>
      <c r="I14">
        <v>1.92</v>
      </c>
      <c r="J14">
        <v>1.93</v>
      </c>
      <c r="K14">
        <v>1.68</v>
      </c>
      <c r="L14">
        <v>1.33</v>
      </c>
      <c r="M14">
        <v>1.52</v>
      </c>
      <c r="N14">
        <v>1.53</v>
      </c>
      <c r="O14">
        <v>1.52</v>
      </c>
      <c r="P14">
        <v>1.55</v>
      </c>
      <c r="Q14">
        <v>1.56</v>
      </c>
      <c r="R14">
        <v>1.71</v>
      </c>
      <c r="S14">
        <v>1.8</v>
      </c>
    </row>
    <row r="15" spans="1:21" x14ac:dyDescent="0.25">
      <c r="A15" t="s">
        <v>17</v>
      </c>
    </row>
    <row r="16" spans="1:21" x14ac:dyDescent="0.25">
      <c r="A16" t="s">
        <v>1352</v>
      </c>
      <c r="D16">
        <v>61.3</v>
      </c>
      <c r="E16">
        <v>63.1</v>
      </c>
      <c r="F16">
        <v>64.28</v>
      </c>
      <c r="G16">
        <v>61.83</v>
      </c>
      <c r="H16">
        <v>60.74</v>
      </c>
      <c r="I16">
        <v>62.22</v>
      </c>
      <c r="J16">
        <v>61</v>
      </c>
      <c r="K16">
        <v>61.62</v>
      </c>
      <c r="L16">
        <v>61.87</v>
      </c>
      <c r="M16">
        <v>60.91</v>
      </c>
      <c r="N16">
        <v>61.3</v>
      </c>
      <c r="O16">
        <v>62.66</v>
      </c>
      <c r="P16">
        <v>62.96</v>
      </c>
      <c r="Q16">
        <v>63.34</v>
      </c>
      <c r="R16">
        <v>63.3</v>
      </c>
      <c r="S16">
        <v>63.7</v>
      </c>
    </row>
    <row r="17" spans="1:19" x14ac:dyDescent="0.25">
      <c r="A17" t="s">
        <v>1264</v>
      </c>
      <c r="B17">
        <v>539.47</v>
      </c>
      <c r="C17">
        <v>530.62</v>
      </c>
      <c r="D17">
        <v>0</v>
      </c>
      <c r="E17">
        <v>0</v>
      </c>
      <c r="F17">
        <v>608.53</v>
      </c>
      <c r="G17">
        <v>711.03</v>
      </c>
      <c r="H17">
        <v>863.86</v>
      </c>
      <c r="I17">
        <v>928.49</v>
      </c>
      <c r="J17" s="2">
        <v>1105.25</v>
      </c>
      <c r="K17" s="2">
        <v>1296.73</v>
      </c>
      <c r="L17" s="2">
        <v>1278.98</v>
      </c>
      <c r="M17" s="2">
        <v>1360.33</v>
      </c>
      <c r="N17" s="2">
        <v>1532.12</v>
      </c>
      <c r="O17" s="2">
        <v>1712.84</v>
      </c>
      <c r="P17" s="2">
        <v>1942.83</v>
      </c>
      <c r="Q17" s="2">
        <v>2171.91</v>
      </c>
      <c r="R17" s="2">
        <v>2518</v>
      </c>
      <c r="S17" s="2">
        <v>2798.26</v>
      </c>
    </row>
    <row r="18" spans="1:19" x14ac:dyDescent="0.25">
      <c r="A18" t="s">
        <v>29</v>
      </c>
      <c r="B18">
        <v>793.58</v>
      </c>
      <c r="C18">
        <v>844.23</v>
      </c>
      <c r="D18">
        <v>995.08</v>
      </c>
      <c r="E18" s="2">
        <v>1293.55</v>
      </c>
      <c r="F18" s="2">
        <v>1554.79</v>
      </c>
      <c r="G18" s="2">
        <v>1605.77</v>
      </c>
      <c r="H18" s="2">
        <v>2295.21</v>
      </c>
      <c r="I18" s="2">
        <v>2705.07</v>
      </c>
      <c r="J18" s="2">
        <v>3898.51</v>
      </c>
      <c r="K18" s="2">
        <v>4309.7</v>
      </c>
      <c r="L18" s="2">
        <v>3896.62</v>
      </c>
      <c r="M18" s="2">
        <v>5238.18</v>
      </c>
      <c r="N18" s="2">
        <v>5838.86</v>
      </c>
      <c r="O18" s="2">
        <v>8546.7999999999993</v>
      </c>
      <c r="P18" s="2">
        <v>10425.85</v>
      </c>
      <c r="Q18" s="2">
        <v>11691.25</v>
      </c>
      <c r="R18" s="2">
        <v>12947.5</v>
      </c>
      <c r="S18" s="2">
        <v>14727</v>
      </c>
    </row>
    <row r="19" spans="1:19" x14ac:dyDescent="0.25">
      <c r="A19" t="s">
        <v>1353</v>
      </c>
      <c r="B19">
        <v>26.36</v>
      </c>
      <c r="C19">
        <v>23.5</v>
      </c>
      <c r="D19">
        <v>29.47</v>
      </c>
      <c r="E19">
        <v>33.67</v>
      </c>
      <c r="F19">
        <v>38.15</v>
      </c>
      <c r="G19">
        <v>30.41</v>
      </c>
      <c r="H19">
        <v>25.87</v>
      </c>
      <c r="I19">
        <v>35.97</v>
      </c>
      <c r="J19">
        <v>39.67</v>
      </c>
      <c r="K19">
        <v>38.06</v>
      </c>
      <c r="L19">
        <v>34.1</v>
      </c>
      <c r="M19">
        <v>39.28</v>
      </c>
      <c r="N19">
        <v>41.69</v>
      </c>
      <c r="O19">
        <v>45.66</v>
      </c>
      <c r="P19">
        <v>46.8</v>
      </c>
      <c r="Q19">
        <v>47.3</v>
      </c>
      <c r="R19">
        <v>47.3</v>
      </c>
      <c r="S19">
        <v>47.91</v>
      </c>
    </row>
    <row r="20" spans="1:19" x14ac:dyDescent="0.25">
      <c r="A20" t="s">
        <v>17</v>
      </c>
    </row>
    <row r="21" spans="1:19" x14ac:dyDescent="0.25">
      <c r="A21" t="s">
        <v>93</v>
      </c>
      <c r="B21">
        <v>83.07</v>
      </c>
      <c r="C21">
        <v>80.540000000000006</v>
      </c>
      <c r="D21">
        <v>66.930000000000007</v>
      </c>
      <c r="E21">
        <v>57.84</v>
      </c>
      <c r="F21">
        <v>62.68</v>
      </c>
      <c r="G21">
        <v>233.22</v>
      </c>
      <c r="H21">
        <v>348.05</v>
      </c>
      <c r="I21">
        <v>333.34</v>
      </c>
      <c r="J21">
        <v>363.34</v>
      </c>
      <c r="K21">
        <v>415.11</v>
      </c>
      <c r="L21">
        <v>401.73</v>
      </c>
      <c r="M21">
        <v>394.09</v>
      </c>
      <c r="N21">
        <v>393.98</v>
      </c>
      <c r="O21">
        <v>403.83</v>
      </c>
      <c r="P21">
        <v>406.4</v>
      </c>
      <c r="Q21">
        <v>451.21</v>
      </c>
      <c r="R21">
        <v>621.98</v>
      </c>
      <c r="S21">
        <v>699.71</v>
      </c>
    </row>
    <row r="22" spans="1:19" x14ac:dyDescent="0.25">
      <c r="A22" t="s">
        <v>528</v>
      </c>
      <c r="B22">
        <v>597.46</v>
      </c>
      <c r="C22">
        <v>487.79</v>
      </c>
      <c r="D22">
        <v>730.06</v>
      </c>
      <c r="E22">
        <v>934.9</v>
      </c>
      <c r="F22" s="2">
        <v>1258.83</v>
      </c>
      <c r="G22" s="2">
        <v>1327.96</v>
      </c>
      <c r="H22" s="2">
        <v>1634.83</v>
      </c>
      <c r="I22" s="2">
        <v>2261.06</v>
      </c>
      <c r="J22" s="2">
        <v>3205.4</v>
      </c>
      <c r="K22" s="2">
        <v>3557.68</v>
      </c>
      <c r="L22" s="2">
        <v>3233.62</v>
      </c>
      <c r="M22" s="2">
        <v>4451.68</v>
      </c>
      <c r="N22" s="2">
        <v>4959.3599999999997</v>
      </c>
      <c r="O22" s="2">
        <v>7239.36</v>
      </c>
      <c r="P22" s="2">
        <v>8883.48</v>
      </c>
      <c r="Q22" s="2">
        <v>10408.67</v>
      </c>
      <c r="R22" s="2">
        <v>11061</v>
      </c>
      <c r="S22" s="2">
        <v>12586.5</v>
      </c>
    </row>
    <row r="23" spans="1:19" x14ac:dyDescent="0.25">
      <c r="A23" t="s">
        <v>17</v>
      </c>
    </row>
    <row r="24" spans="1:19" x14ac:dyDescent="0.25">
      <c r="A24" t="s">
        <v>242</v>
      </c>
      <c r="B24">
        <v>-67.5</v>
      </c>
      <c r="C24">
        <v>-45.79</v>
      </c>
      <c r="D24">
        <v>-34.97</v>
      </c>
      <c r="E24">
        <v>-38.590000000000003</v>
      </c>
      <c r="F24">
        <v>-66.95</v>
      </c>
      <c r="G24">
        <v>-130.5</v>
      </c>
      <c r="H24">
        <v>-152.68</v>
      </c>
      <c r="I24">
        <v>-231.63</v>
      </c>
      <c r="J24">
        <v>-307.32</v>
      </c>
      <c r="K24">
        <v>-341.59</v>
      </c>
      <c r="L24">
        <v>-277.38</v>
      </c>
      <c r="M24">
        <v>-335.26</v>
      </c>
      <c r="N24">
        <v>-375.95</v>
      </c>
      <c r="O24">
        <v>-453.39</v>
      </c>
      <c r="P24">
        <v>-528.91999999999996</v>
      </c>
      <c r="Q24">
        <v>-674</v>
      </c>
      <c r="R24">
        <v>-721.5</v>
      </c>
      <c r="S24">
        <v>-799</v>
      </c>
    </row>
    <row r="25" spans="1:19" x14ac:dyDescent="0.25">
      <c r="A25" t="s">
        <v>36</v>
      </c>
      <c r="B25">
        <v>711.38</v>
      </c>
      <c r="C25">
        <v>560.12</v>
      </c>
      <c r="D25">
        <v>727.96</v>
      </c>
      <c r="E25" s="2">
        <v>1041.07</v>
      </c>
      <c r="F25" s="2">
        <v>1163</v>
      </c>
      <c r="G25" s="2">
        <v>1022.13</v>
      </c>
      <c r="H25" s="2">
        <v>1626.18</v>
      </c>
      <c r="I25" s="2">
        <v>1953.4</v>
      </c>
      <c r="J25" s="2">
        <v>3005.38</v>
      </c>
      <c r="K25" s="2">
        <v>3328.21</v>
      </c>
      <c r="L25" s="2">
        <v>3031.19</v>
      </c>
      <c r="M25" s="2">
        <v>3746.64</v>
      </c>
      <c r="N25" s="2">
        <v>3767.13</v>
      </c>
      <c r="O25" s="2">
        <v>6930.46</v>
      </c>
      <c r="P25" s="2">
        <v>7754.17</v>
      </c>
      <c r="Q25" s="2">
        <v>8666.11</v>
      </c>
      <c r="R25" s="2">
        <v>8168.7</v>
      </c>
      <c r="S25" s="2">
        <v>9517.5</v>
      </c>
    </row>
    <row r="26" spans="1:19" x14ac:dyDescent="0.25">
      <c r="A26" t="s">
        <v>17</v>
      </c>
    </row>
    <row r="27" spans="1:19" x14ac:dyDescent="0.25">
      <c r="A27" t="s">
        <v>37</v>
      </c>
    </row>
    <row r="28" spans="1:19" x14ac:dyDescent="0.25">
      <c r="A28" t="s">
        <v>17</v>
      </c>
    </row>
    <row r="29" spans="1:19" x14ac:dyDescent="0.25">
      <c r="A29" t="s">
        <v>1354</v>
      </c>
    </row>
    <row r="30" spans="1:19" x14ac:dyDescent="0.25">
      <c r="A30" t="s">
        <v>569</v>
      </c>
      <c r="B30">
        <v>1.91</v>
      </c>
      <c r="C30">
        <v>1.91</v>
      </c>
      <c r="D30">
        <v>1.77</v>
      </c>
      <c r="E30">
        <v>1.8</v>
      </c>
      <c r="F30">
        <v>1.74</v>
      </c>
      <c r="G30">
        <v>1.7</v>
      </c>
      <c r="H30">
        <v>1.9</v>
      </c>
      <c r="I30">
        <v>1.92</v>
      </c>
      <c r="J30">
        <v>1.93</v>
      </c>
      <c r="K30">
        <v>1.68</v>
      </c>
      <c r="L30">
        <v>1.33</v>
      </c>
      <c r="M30">
        <v>1.52</v>
      </c>
      <c r="N30">
        <v>1.53</v>
      </c>
      <c r="O30">
        <v>1.52</v>
      </c>
      <c r="P30">
        <v>1.55</v>
      </c>
      <c r="Q30">
        <v>1.56</v>
      </c>
      <c r="R30">
        <v>1.71</v>
      </c>
      <c r="S30">
        <v>1.8</v>
      </c>
    </row>
    <row r="31" spans="1:19" x14ac:dyDescent="0.25">
      <c r="A31" t="s">
        <v>1071</v>
      </c>
      <c r="B31">
        <v>977</v>
      </c>
      <c r="C31">
        <v>984</v>
      </c>
      <c r="D31" s="2">
        <v>1210</v>
      </c>
      <c r="E31" s="2">
        <v>1460</v>
      </c>
      <c r="F31" s="2">
        <v>1560</v>
      </c>
      <c r="G31" s="2">
        <v>1840</v>
      </c>
      <c r="H31" s="2">
        <v>2130</v>
      </c>
      <c r="I31" s="2">
        <v>4690</v>
      </c>
      <c r="J31" s="2">
        <v>13110</v>
      </c>
      <c r="K31" s="2">
        <v>11400</v>
      </c>
      <c r="L31" s="2">
        <v>9830</v>
      </c>
      <c r="M31" s="2">
        <v>7860</v>
      </c>
      <c r="N31" s="2">
        <v>12570</v>
      </c>
    </row>
    <row r="32" spans="1:19" x14ac:dyDescent="0.25">
      <c r="A32" t="s">
        <v>17</v>
      </c>
    </row>
    <row r="33" spans="1:19" x14ac:dyDescent="0.25">
      <c r="A33" t="s">
        <v>58</v>
      </c>
    </row>
    <row r="34" spans="1:19" x14ac:dyDescent="0.25">
      <c r="A34" t="s">
        <v>1355</v>
      </c>
      <c r="B34" s="2">
        <v>2929.41</v>
      </c>
      <c r="C34" s="2">
        <v>2814.05</v>
      </c>
      <c r="D34" s="2">
        <v>2984.49</v>
      </c>
      <c r="E34" s="2">
        <v>3480.01</v>
      </c>
      <c r="F34" s="2">
        <v>4036.7</v>
      </c>
      <c r="G34" s="2">
        <v>4568.8999999999996</v>
      </c>
      <c r="H34" s="2">
        <v>5806.42</v>
      </c>
      <c r="I34" s="2">
        <v>6918.73</v>
      </c>
      <c r="J34" s="2">
        <v>9211.8799999999992</v>
      </c>
      <c r="K34" s="2">
        <v>10496.06</v>
      </c>
      <c r="L34" s="2">
        <v>9812.25</v>
      </c>
      <c r="M34" s="2">
        <v>12156.16</v>
      </c>
      <c r="N34" s="2">
        <v>13579.48</v>
      </c>
      <c r="O34" s="2">
        <v>18198.12</v>
      </c>
      <c r="P34" s="2">
        <v>21913.95</v>
      </c>
      <c r="Q34" s="2">
        <v>25181</v>
      </c>
      <c r="R34" s="2">
        <v>27146</v>
      </c>
      <c r="S34" s="2">
        <v>30543.5</v>
      </c>
    </row>
    <row r="35" spans="1:19" x14ac:dyDescent="0.25">
      <c r="A35" t="s">
        <v>443</v>
      </c>
      <c r="B35" s="2">
        <v>2286.44</v>
      </c>
      <c r="C35" s="2">
        <v>2125.4</v>
      </c>
      <c r="D35" s="2">
        <v>2250.2600000000002</v>
      </c>
      <c r="E35" s="2">
        <v>2703.93</v>
      </c>
      <c r="F35" s="2">
        <v>3160.67</v>
      </c>
      <c r="G35" s="2">
        <v>3392.24</v>
      </c>
      <c r="H35" s="2">
        <v>4328.7299999999996</v>
      </c>
      <c r="I35" s="2">
        <v>5240.32</v>
      </c>
      <c r="J35" s="2">
        <v>7301.43</v>
      </c>
      <c r="K35" s="2">
        <v>8379.0300000000007</v>
      </c>
      <c r="L35" s="2">
        <v>7482.68</v>
      </c>
      <c r="M35" s="2">
        <v>9472.85</v>
      </c>
      <c r="N35" s="2">
        <v>10453.540000000001</v>
      </c>
      <c r="O35" s="2">
        <v>14876.43</v>
      </c>
      <c r="P35" s="2">
        <v>17984.810000000001</v>
      </c>
      <c r="Q35" s="2">
        <v>20545.990000000002</v>
      </c>
    </row>
    <row r="36" spans="1:19" x14ac:dyDescent="0.25">
      <c r="A36" t="s">
        <v>1356</v>
      </c>
      <c r="B36" s="2">
        <v>1466.28</v>
      </c>
      <c r="C36" s="2">
        <v>1224.8599999999999</v>
      </c>
      <c r="D36" s="2">
        <v>1293.92</v>
      </c>
      <c r="E36" s="2">
        <v>1600.89</v>
      </c>
      <c r="F36" s="2">
        <v>1731.81</v>
      </c>
      <c r="G36" s="2">
        <v>1630.9</v>
      </c>
      <c r="H36" s="2">
        <v>2080.48</v>
      </c>
      <c r="I36" s="2">
        <v>2661.17</v>
      </c>
      <c r="J36" s="2">
        <v>4014.73</v>
      </c>
      <c r="K36" s="2">
        <v>4336.66</v>
      </c>
      <c r="L36" s="2">
        <v>4333.3</v>
      </c>
      <c r="M36" s="2">
        <v>6198.82</v>
      </c>
      <c r="N36" s="2">
        <v>6630.81</v>
      </c>
      <c r="O36" s="2">
        <v>9521.16</v>
      </c>
      <c r="P36" s="2">
        <v>12421.23</v>
      </c>
      <c r="Q36" s="2">
        <v>13440.2</v>
      </c>
    </row>
    <row r="37" spans="1:19" x14ac:dyDescent="0.25">
      <c r="A37" t="s">
        <v>1357</v>
      </c>
      <c r="B37">
        <v>50</v>
      </c>
      <c r="C37">
        <v>44</v>
      </c>
      <c r="D37">
        <v>43</v>
      </c>
      <c r="E37">
        <v>46</v>
      </c>
      <c r="F37">
        <v>43</v>
      </c>
      <c r="G37">
        <v>36</v>
      </c>
      <c r="H37">
        <v>36</v>
      </c>
      <c r="I37">
        <v>39</v>
      </c>
      <c r="J37">
        <v>44</v>
      </c>
      <c r="K37">
        <v>41</v>
      </c>
      <c r="L37">
        <v>44</v>
      </c>
      <c r="M37">
        <v>51</v>
      </c>
      <c r="N37">
        <v>49</v>
      </c>
      <c r="O37">
        <v>52.86</v>
      </c>
      <c r="P37">
        <v>52.95</v>
      </c>
      <c r="Q37">
        <v>53.95</v>
      </c>
    </row>
    <row r="38" spans="1:19" x14ac:dyDescent="0.25">
      <c r="A38" t="s">
        <v>1358</v>
      </c>
      <c r="B38">
        <v>705.47</v>
      </c>
      <c r="C38">
        <v>736.96</v>
      </c>
      <c r="D38">
        <v>772.05</v>
      </c>
      <c r="E38">
        <v>917.18</v>
      </c>
      <c r="F38" s="2">
        <v>1116.02</v>
      </c>
      <c r="G38" s="2">
        <v>1161.26</v>
      </c>
      <c r="H38" s="2">
        <v>1278.3800000000001</v>
      </c>
      <c r="I38" s="2">
        <v>1505.99</v>
      </c>
      <c r="J38" s="2">
        <v>2050.0300000000002</v>
      </c>
      <c r="K38" s="2">
        <v>2791.13</v>
      </c>
      <c r="L38" s="2">
        <v>2054.44</v>
      </c>
      <c r="M38" s="2">
        <v>2196.35</v>
      </c>
      <c r="N38" s="2">
        <v>2706.76</v>
      </c>
      <c r="O38" s="2">
        <v>3768.23</v>
      </c>
      <c r="P38" s="2">
        <v>4002.51</v>
      </c>
      <c r="Q38" s="2">
        <v>5105.47</v>
      </c>
    </row>
    <row r="39" spans="1:19" x14ac:dyDescent="0.25">
      <c r="A39" t="s">
        <v>76</v>
      </c>
      <c r="B39">
        <v>24</v>
      </c>
      <c r="C39">
        <v>26</v>
      </c>
      <c r="D39">
        <v>26</v>
      </c>
      <c r="E39">
        <v>26</v>
      </c>
      <c r="F39">
        <v>28</v>
      </c>
      <c r="G39">
        <v>25</v>
      </c>
      <c r="H39">
        <v>22</v>
      </c>
      <c r="I39">
        <v>22</v>
      </c>
      <c r="J39">
        <v>22</v>
      </c>
      <c r="K39">
        <v>26</v>
      </c>
      <c r="L39">
        <v>21</v>
      </c>
      <c r="M39">
        <v>18</v>
      </c>
      <c r="N39">
        <v>20</v>
      </c>
      <c r="O39">
        <v>21.02</v>
      </c>
      <c r="P39">
        <v>20.3</v>
      </c>
      <c r="Q39">
        <v>19.97</v>
      </c>
    </row>
    <row r="40" spans="1:19" x14ac:dyDescent="0.25">
      <c r="A40" t="s">
        <v>1359</v>
      </c>
      <c r="E40">
        <v>66.400000000000006</v>
      </c>
      <c r="F40">
        <v>85.84</v>
      </c>
      <c r="G40">
        <v>238.28</v>
      </c>
      <c r="H40">
        <v>497.03</v>
      </c>
      <c r="I40">
        <v>562.1</v>
      </c>
      <c r="J40">
        <v>562.46</v>
      </c>
      <c r="K40">
        <v>378.03</v>
      </c>
      <c r="L40">
        <v>291.16000000000003</v>
      </c>
      <c r="M40">
        <v>355.89</v>
      </c>
      <c r="N40">
        <v>460.32</v>
      </c>
      <c r="O40">
        <v>597.89</v>
      </c>
      <c r="P40">
        <v>706.48</v>
      </c>
      <c r="Q40">
        <v>769.03</v>
      </c>
    </row>
    <row r="41" spans="1:19" x14ac:dyDescent="0.25">
      <c r="A41" t="s">
        <v>1357</v>
      </c>
      <c r="E41">
        <v>2</v>
      </c>
      <c r="F41">
        <v>2</v>
      </c>
      <c r="G41">
        <v>5</v>
      </c>
      <c r="H41">
        <v>9</v>
      </c>
      <c r="I41">
        <v>8</v>
      </c>
      <c r="J41">
        <v>6</v>
      </c>
      <c r="K41">
        <v>4</v>
      </c>
      <c r="L41">
        <v>3</v>
      </c>
      <c r="M41">
        <v>3</v>
      </c>
      <c r="N41">
        <v>3</v>
      </c>
      <c r="O41">
        <v>3.44</v>
      </c>
      <c r="P41">
        <v>3.1</v>
      </c>
      <c r="Q41">
        <v>2.8</v>
      </c>
    </row>
    <row r="42" spans="1:19" x14ac:dyDescent="0.25">
      <c r="A42" t="s">
        <v>1360</v>
      </c>
      <c r="E42">
        <v>0</v>
      </c>
      <c r="F42">
        <v>0</v>
      </c>
      <c r="G42">
        <v>129.85</v>
      </c>
      <c r="H42">
        <v>269.67</v>
      </c>
      <c r="I42">
        <v>304.63</v>
      </c>
      <c r="J42">
        <v>414.81</v>
      </c>
      <c r="K42">
        <v>492.11</v>
      </c>
      <c r="L42">
        <v>470.57</v>
      </c>
      <c r="M42">
        <v>517.20000000000005</v>
      </c>
      <c r="N42">
        <v>502.52</v>
      </c>
      <c r="O42">
        <v>554.63</v>
      </c>
      <c r="P42">
        <v>651.84</v>
      </c>
      <c r="Q42">
        <v>667.01</v>
      </c>
    </row>
    <row r="43" spans="1:19" x14ac:dyDescent="0.25">
      <c r="A43" t="s">
        <v>76</v>
      </c>
      <c r="E43">
        <v>0</v>
      </c>
      <c r="F43">
        <v>0</v>
      </c>
      <c r="G43">
        <v>3</v>
      </c>
      <c r="H43">
        <v>5</v>
      </c>
      <c r="I43">
        <v>4</v>
      </c>
      <c r="J43">
        <v>4</v>
      </c>
      <c r="K43">
        <v>5</v>
      </c>
      <c r="L43">
        <v>5</v>
      </c>
      <c r="M43">
        <v>4</v>
      </c>
      <c r="N43">
        <v>4</v>
      </c>
      <c r="O43">
        <v>3.13</v>
      </c>
      <c r="P43">
        <v>3.17</v>
      </c>
      <c r="Q43">
        <v>3.05</v>
      </c>
    </row>
    <row r="44" spans="1:19" x14ac:dyDescent="0.25">
      <c r="A44" t="s">
        <v>78</v>
      </c>
      <c r="E44">
        <v>119.47</v>
      </c>
      <c r="F44">
        <v>227</v>
      </c>
      <c r="G44">
        <v>231.95</v>
      </c>
      <c r="H44">
        <v>203.17</v>
      </c>
      <c r="I44">
        <v>206.43</v>
      </c>
      <c r="J44">
        <v>259.39999999999998</v>
      </c>
      <c r="K44">
        <v>381.09</v>
      </c>
      <c r="L44">
        <v>333.22</v>
      </c>
      <c r="M44">
        <v>204.6</v>
      </c>
      <c r="N44">
        <v>153.12</v>
      </c>
      <c r="O44">
        <v>122.83</v>
      </c>
      <c r="P44">
        <v>200.89</v>
      </c>
      <c r="Q44">
        <v>104.35</v>
      </c>
    </row>
    <row r="45" spans="1:19" x14ac:dyDescent="0.25">
      <c r="A45" t="s">
        <v>1357</v>
      </c>
      <c r="E45">
        <v>4</v>
      </c>
      <c r="F45">
        <v>5</v>
      </c>
      <c r="G45">
        <v>5</v>
      </c>
      <c r="H45">
        <v>3</v>
      </c>
      <c r="I45">
        <v>3</v>
      </c>
      <c r="J45">
        <v>3</v>
      </c>
      <c r="K45">
        <v>4</v>
      </c>
      <c r="L45">
        <v>3</v>
      </c>
      <c r="M45">
        <v>2</v>
      </c>
      <c r="N45">
        <v>1</v>
      </c>
      <c r="O45">
        <v>0.63</v>
      </c>
      <c r="P45">
        <v>0.89</v>
      </c>
      <c r="Q45">
        <v>0.46</v>
      </c>
    </row>
    <row r="46" spans="1:19" x14ac:dyDescent="0.25">
      <c r="A46" t="s">
        <v>444</v>
      </c>
      <c r="B46">
        <v>642.97</v>
      </c>
      <c r="C46">
        <v>688.65</v>
      </c>
      <c r="D46">
        <v>734.23</v>
      </c>
      <c r="E46">
        <v>776.08</v>
      </c>
      <c r="F46">
        <v>876.03</v>
      </c>
      <c r="G46" s="2">
        <v>1176.6600000000001</v>
      </c>
      <c r="H46" s="2">
        <v>1477.7</v>
      </c>
      <c r="I46" s="2">
        <v>1678.42</v>
      </c>
      <c r="J46" s="2">
        <v>1910.46</v>
      </c>
      <c r="K46" s="2">
        <v>2117.0300000000002</v>
      </c>
      <c r="L46" s="2">
        <v>2329.5700000000002</v>
      </c>
      <c r="M46" s="2">
        <v>2683.31</v>
      </c>
      <c r="N46" s="2">
        <v>3125.94</v>
      </c>
      <c r="O46" s="2">
        <v>3562.53</v>
      </c>
      <c r="P46" s="2">
        <v>4049.87</v>
      </c>
      <c r="Q46" s="2">
        <v>4752.7299999999996</v>
      </c>
      <c r="R46" s="2">
        <v>5683.59</v>
      </c>
      <c r="S46" s="2">
        <v>6581.59</v>
      </c>
    </row>
    <row r="47" spans="1:19" x14ac:dyDescent="0.25">
      <c r="A47" t="s">
        <v>69</v>
      </c>
      <c r="B47">
        <v>22</v>
      </c>
      <c r="C47">
        <v>24</v>
      </c>
      <c r="E47">
        <v>22</v>
      </c>
      <c r="F47">
        <v>22</v>
      </c>
      <c r="G47">
        <v>26</v>
      </c>
      <c r="H47">
        <v>25</v>
      </c>
      <c r="I47">
        <v>24</v>
      </c>
      <c r="J47">
        <v>21</v>
      </c>
      <c r="K47">
        <v>20</v>
      </c>
      <c r="L47">
        <v>24</v>
      </c>
      <c r="M47">
        <v>22</v>
      </c>
      <c r="N47">
        <v>23</v>
      </c>
      <c r="O47">
        <v>19.239999999999998</v>
      </c>
      <c r="P47">
        <v>18.84</v>
      </c>
      <c r="Q47">
        <v>19.34</v>
      </c>
      <c r="R47">
        <v>20.48</v>
      </c>
      <c r="S47">
        <v>20.71</v>
      </c>
    </row>
    <row r="48" spans="1:19" x14ac:dyDescent="0.25">
      <c r="A48" t="s">
        <v>17</v>
      </c>
    </row>
    <row r="49" spans="1:19" x14ac:dyDescent="0.25">
      <c r="A49" t="s">
        <v>1361</v>
      </c>
      <c r="B49" s="2">
        <v>2929.41</v>
      </c>
      <c r="C49" s="2">
        <v>2814.05</v>
      </c>
      <c r="D49" s="2">
        <v>3259</v>
      </c>
      <c r="E49" s="2">
        <v>3798</v>
      </c>
      <c r="F49" s="2">
        <v>4036.7</v>
      </c>
      <c r="G49" s="2">
        <v>4568.8999999999996</v>
      </c>
      <c r="H49" s="2">
        <v>5806.42</v>
      </c>
      <c r="I49" s="2">
        <v>6918.73</v>
      </c>
      <c r="J49" s="2">
        <v>9211.8799999999992</v>
      </c>
      <c r="K49" s="2">
        <v>10496.06</v>
      </c>
      <c r="L49" s="2">
        <v>9812.25</v>
      </c>
      <c r="M49" s="2">
        <v>12156.16</v>
      </c>
      <c r="N49" s="2">
        <v>13579.48</v>
      </c>
      <c r="O49" s="2">
        <v>18564.009999999998</v>
      </c>
      <c r="P49" s="2">
        <v>21648.22</v>
      </c>
      <c r="Q49" s="2">
        <v>24556.85</v>
      </c>
    </row>
    <row r="50" spans="1:19" x14ac:dyDescent="0.25">
      <c r="A50" t="s">
        <v>1362</v>
      </c>
      <c r="E50" s="2">
        <v>3408.88</v>
      </c>
      <c r="F50" s="2">
        <v>3944.02</v>
      </c>
      <c r="G50" s="2">
        <v>4080.82</v>
      </c>
      <c r="H50" s="2">
        <v>4745.45</v>
      </c>
      <c r="I50" s="2">
        <v>5734.83</v>
      </c>
      <c r="J50" s="2">
        <v>7924.82</v>
      </c>
      <c r="K50" s="2">
        <v>9324.19</v>
      </c>
      <c r="L50" s="2">
        <v>8733.56</v>
      </c>
      <c r="M50" s="2">
        <v>10947.36</v>
      </c>
      <c r="N50" s="2">
        <v>12244.73</v>
      </c>
      <c r="O50" s="2">
        <v>17079.48</v>
      </c>
      <c r="P50" s="2">
        <v>19851.09</v>
      </c>
      <c r="Q50" s="2">
        <v>22571.11</v>
      </c>
      <c r="R50" s="2">
        <v>26082.28</v>
      </c>
      <c r="S50" s="2">
        <v>30008.79</v>
      </c>
    </row>
    <row r="51" spans="1:19" x14ac:dyDescent="0.25">
      <c r="A51" t="s">
        <v>1266</v>
      </c>
      <c r="N51" s="2">
        <v>3895.77</v>
      </c>
      <c r="O51" s="2">
        <v>5417.69</v>
      </c>
      <c r="P51" s="2">
        <v>6296.55</v>
      </c>
      <c r="Q51" s="2">
        <v>7103.71</v>
      </c>
      <c r="R51" s="2">
        <v>7600.02</v>
      </c>
      <c r="S51" s="2">
        <v>8717.23</v>
      </c>
    </row>
    <row r="52" spans="1:19" x14ac:dyDescent="0.25">
      <c r="A52" t="s">
        <v>76</v>
      </c>
      <c r="H52">
        <v>31</v>
      </c>
      <c r="O52">
        <v>34.26</v>
      </c>
      <c r="P52">
        <v>34.25</v>
      </c>
      <c r="Q52">
        <v>30.85</v>
      </c>
    </row>
    <row r="53" spans="1:19" x14ac:dyDescent="0.25">
      <c r="A53" t="s">
        <v>1267</v>
      </c>
      <c r="N53" s="2">
        <v>3142.34</v>
      </c>
      <c r="O53" s="2">
        <v>4982.8999999999996</v>
      </c>
      <c r="P53" s="2">
        <v>6223.21</v>
      </c>
      <c r="Q53" s="2">
        <v>7428.28</v>
      </c>
    </row>
    <row r="54" spans="1:19" x14ac:dyDescent="0.25">
      <c r="A54" t="s">
        <v>592</v>
      </c>
    </row>
    <row r="55" spans="1:19" x14ac:dyDescent="0.25">
      <c r="A55" t="s">
        <v>1363</v>
      </c>
      <c r="N55">
        <v>753.43</v>
      </c>
      <c r="O55">
        <v>569.59</v>
      </c>
      <c r="P55">
        <v>588.59</v>
      </c>
      <c r="Q55">
        <v>332.98</v>
      </c>
    </row>
    <row r="56" spans="1:19" x14ac:dyDescent="0.25">
      <c r="A56" t="s">
        <v>592</v>
      </c>
    </row>
    <row r="57" spans="1:19" x14ac:dyDescent="0.25">
      <c r="A57" t="s">
        <v>1364</v>
      </c>
      <c r="N57" s="2">
        <v>8750.18</v>
      </c>
      <c r="O57" s="2">
        <v>11388.67</v>
      </c>
      <c r="P57" s="2">
        <v>13581.83</v>
      </c>
      <c r="Q57" s="2">
        <v>15749.23</v>
      </c>
      <c r="R57" s="2">
        <v>18482.25</v>
      </c>
      <c r="S57" s="2">
        <v>21291.56</v>
      </c>
    </row>
    <row r="58" spans="1:19" x14ac:dyDescent="0.25">
      <c r="A58" t="s">
        <v>76</v>
      </c>
      <c r="O58">
        <v>65.27</v>
      </c>
      <c r="P58">
        <v>65.75</v>
      </c>
      <c r="Q58">
        <v>69.150000000000006</v>
      </c>
    </row>
    <row r="59" spans="1:19" x14ac:dyDescent="0.25">
      <c r="A59" t="s">
        <v>1365</v>
      </c>
      <c r="E59">
        <v>0</v>
      </c>
      <c r="F59">
        <v>0</v>
      </c>
      <c r="G59">
        <v>151.16</v>
      </c>
      <c r="H59">
        <v>329.7</v>
      </c>
      <c r="I59">
        <v>369.22</v>
      </c>
      <c r="J59">
        <v>456.58</v>
      </c>
      <c r="K59">
        <v>543.4</v>
      </c>
      <c r="L59">
        <v>528.70000000000005</v>
      </c>
      <c r="M59">
        <v>587.11</v>
      </c>
      <c r="N59">
        <v>584.05999999999995</v>
      </c>
      <c r="O59">
        <v>641.09</v>
      </c>
      <c r="P59">
        <v>774.9</v>
      </c>
      <c r="Q59">
        <v>814.3</v>
      </c>
      <c r="R59">
        <v>708.19</v>
      </c>
      <c r="S59">
        <v>738.64</v>
      </c>
    </row>
    <row r="60" spans="1:19" x14ac:dyDescent="0.25">
      <c r="A60" t="s">
        <v>1366</v>
      </c>
      <c r="E60">
        <v>71.56</v>
      </c>
      <c r="F60">
        <v>92.52</v>
      </c>
      <c r="G60">
        <v>332.81</v>
      </c>
      <c r="H60">
        <v>727.45</v>
      </c>
      <c r="I60">
        <v>812.62</v>
      </c>
      <c r="J60">
        <v>832.18</v>
      </c>
      <c r="K60">
        <v>631.6</v>
      </c>
      <c r="L60">
        <v>552.49</v>
      </c>
      <c r="M60">
        <v>621.72</v>
      </c>
      <c r="N60">
        <v>750.42</v>
      </c>
      <c r="O60">
        <v>970.33</v>
      </c>
      <c r="P60" s="2">
        <v>1015.49</v>
      </c>
      <c r="Q60" s="2">
        <v>1045.98</v>
      </c>
      <c r="R60">
        <v>968.97</v>
      </c>
      <c r="S60" s="2">
        <v>1034.8599999999999</v>
      </c>
    </row>
    <row r="61" spans="1:19" x14ac:dyDescent="0.25">
      <c r="A61" t="s">
        <v>1367</v>
      </c>
      <c r="E61">
        <v>-0.42</v>
      </c>
      <c r="F61">
        <v>0.17</v>
      </c>
      <c r="G61">
        <v>-0.56999999999999995</v>
      </c>
      <c r="H61">
        <v>0.21</v>
      </c>
      <c r="I61">
        <v>1.33</v>
      </c>
      <c r="J61">
        <v>-1.69</v>
      </c>
      <c r="K61">
        <v>-3.14</v>
      </c>
      <c r="L61">
        <v>-2.5</v>
      </c>
      <c r="M61">
        <v>-0.03</v>
      </c>
      <c r="N61">
        <v>0.26</v>
      </c>
      <c r="O61">
        <v>-1.45</v>
      </c>
      <c r="P61">
        <v>-2.5099999999999998</v>
      </c>
      <c r="Q61">
        <v>-2.84</v>
      </c>
      <c r="R61">
        <v>-7.07</v>
      </c>
      <c r="S61">
        <v>-8.1</v>
      </c>
    </row>
    <row r="62" spans="1:19" x14ac:dyDescent="0.25">
      <c r="A62" t="s">
        <v>17</v>
      </c>
    </row>
    <row r="63" spans="1:19" x14ac:dyDescent="0.25">
      <c r="A63" t="s">
        <v>84</v>
      </c>
    </row>
    <row r="64" spans="1:19" x14ac:dyDescent="0.25">
      <c r="A64" t="s">
        <v>1362</v>
      </c>
      <c r="E64" s="2">
        <v>2160.75</v>
      </c>
      <c r="F64" s="2">
        <v>2554.2199999999998</v>
      </c>
      <c r="G64" s="2">
        <v>2590.4299999999998</v>
      </c>
      <c r="H64" s="2">
        <v>3028.17</v>
      </c>
      <c r="I64" s="2">
        <v>3705.22</v>
      </c>
      <c r="J64" s="2">
        <v>5167.68</v>
      </c>
      <c r="K64" s="2">
        <v>5957.57</v>
      </c>
      <c r="L64" s="2">
        <v>5629.3</v>
      </c>
      <c r="O64" s="2">
        <v>10301.57</v>
      </c>
      <c r="P64" s="2">
        <v>12857.74</v>
      </c>
      <c r="Q64" s="2">
        <v>14222.51</v>
      </c>
    </row>
    <row r="65" spans="1:19" x14ac:dyDescent="0.25">
      <c r="A65" t="s">
        <v>1365</v>
      </c>
      <c r="E65">
        <v>0</v>
      </c>
      <c r="F65">
        <v>0</v>
      </c>
      <c r="G65">
        <v>78.8</v>
      </c>
      <c r="H65">
        <v>183.64</v>
      </c>
      <c r="I65">
        <v>206.71</v>
      </c>
      <c r="J65">
        <v>242.52</v>
      </c>
      <c r="K65">
        <v>281.94</v>
      </c>
      <c r="L65">
        <v>282.91000000000003</v>
      </c>
      <c r="P65">
        <v>475.2</v>
      </c>
    </row>
    <row r="66" spans="1:19" x14ac:dyDescent="0.25">
      <c r="A66" t="s">
        <v>1366</v>
      </c>
      <c r="E66">
        <v>30.91</v>
      </c>
      <c r="F66">
        <v>38.43</v>
      </c>
      <c r="G66">
        <v>155.77000000000001</v>
      </c>
      <c r="H66">
        <v>315.72000000000003</v>
      </c>
      <c r="I66">
        <v>390.57</v>
      </c>
      <c r="J66">
        <v>378.96</v>
      </c>
      <c r="K66">
        <v>221.25</v>
      </c>
      <c r="L66">
        <v>158.96</v>
      </c>
      <c r="O66">
        <v>460.16</v>
      </c>
      <c r="P66">
        <v>478.57</v>
      </c>
      <c r="Q66">
        <v>497.71</v>
      </c>
    </row>
    <row r="67" spans="1:19" x14ac:dyDescent="0.25">
      <c r="A67" t="s">
        <v>17</v>
      </c>
    </row>
    <row r="68" spans="1:19" x14ac:dyDescent="0.25">
      <c r="A68" t="s">
        <v>72</v>
      </c>
    </row>
    <row r="69" spans="1:19" x14ac:dyDescent="0.25">
      <c r="A69" t="s">
        <v>80</v>
      </c>
      <c r="B69" s="2">
        <v>2929.41</v>
      </c>
      <c r="C69" s="2">
        <v>2814.05</v>
      </c>
      <c r="D69" s="2">
        <v>2984.49</v>
      </c>
      <c r="E69" s="2">
        <v>3480.01</v>
      </c>
      <c r="F69" s="2">
        <v>4036.7</v>
      </c>
      <c r="G69" s="2">
        <v>4568.8999999999996</v>
      </c>
      <c r="H69" s="2">
        <v>5806.42</v>
      </c>
      <c r="I69" s="2">
        <v>6918.73</v>
      </c>
      <c r="J69" s="2">
        <v>9211.8799999999992</v>
      </c>
      <c r="K69" s="2">
        <v>10496.06</v>
      </c>
      <c r="L69" s="2">
        <v>9812.25</v>
      </c>
      <c r="M69" s="2">
        <v>12156.16</v>
      </c>
      <c r="N69" s="2">
        <v>13579.48</v>
      </c>
      <c r="O69" s="2">
        <v>18198.12</v>
      </c>
      <c r="P69" s="2">
        <v>21913.95</v>
      </c>
      <c r="Q69" s="2">
        <v>25181</v>
      </c>
      <c r="R69" s="2">
        <v>27146</v>
      </c>
      <c r="S69" s="2">
        <v>30543.5</v>
      </c>
    </row>
    <row r="70" spans="1:19" x14ac:dyDescent="0.25">
      <c r="A70" t="s">
        <v>585</v>
      </c>
      <c r="B70">
        <v>260.08999999999997</v>
      </c>
      <c r="C70">
        <v>162.66999999999999</v>
      </c>
      <c r="D70">
        <v>430.07</v>
      </c>
      <c r="E70">
        <v>412.1</v>
      </c>
      <c r="F70">
        <v>643.03</v>
      </c>
      <c r="G70" s="2">
        <v>1215.81</v>
      </c>
      <c r="H70" s="2">
        <v>1495.98</v>
      </c>
      <c r="I70" s="2">
        <v>1831.45</v>
      </c>
      <c r="J70" s="2">
        <v>2660.44</v>
      </c>
      <c r="K70" s="2">
        <v>2867.44</v>
      </c>
      <c r="L70" s="2">
        <v>4196.7299999999996</v>
      </c>
      <c r="M70" s="2">
        <v>4042.57</v>
      </c>
      <c r="N70" s="2">
        <v>4048.36</v>
      </c>
      <c r="O70" s="2">
        <v>4144.6499999999996</v>
      </c>
      <c r="P70" s="2">
        <v>4759.8100000000004</v>
      </c>
      <c r="Q70" s="2">
        <v>5836.34</v>
      </c>
      <c r="R70" s="2">
        <v>6521.81</v>
      </c>
      <c r="S70" s="2">
        <v>7308.06</v>
      </c>
    </row>
    <row r="71" spans="1:19" x14ac:dyDescent="0.25">
      <c r="A71" t="s">
        <v>61</v>
      </c>
      <c r="B71">
        <v>9</v>
      </c>
      <c r="C71">
        <v>6</v>
      </c>
      <c r="D71">
        <v>14</v>
      </c>
      <c r="E71">
        <v>12</v>
      </c>
      <c r="F71">
        <v>16</v>
      </c>
      <c r="G71">
        <v>27</v>
      </c>
      <c r="H71">
        <v>26</v>
      </c>
      <c r="I71">
        <v>26</v>
      </c>
      <c r="J71">
        <v>29</v>
      </c>
      <c r="K71">
        <v>27</v>
      </c>
      <c r="L71">
        <v>43</v>
      </c>
      <c r="M71">
        <v>33</v>
      </c>
      <c r="N71">
        <v>29.8</v>
      </c>
      <c r="O71">
        <v>22.51</v>
      </c>
      <c r="P71">
        <v>21.88</v>
      </c>
      <c r="Q71">
        <v>25</v>
      </c>
      <c r="R71">
        <v>23.5</v>
      </c>
      <c r="S71">
        <v>23</v>
      </c>
    </row>
    <row r="72" spans="1:19" x14ac:dyDescent="0.25">
      <c r="A72" t="s">
        <v>736</v>
      </c>
      <c r="B72">
        <v>741.47</v>
      </c>
      <c r="C72">
        <v>691.48</v>
      </c>
      <c r="D72">
        <v>894.56</v>
      </c>
      <c r="E72" s="2">
        <v>1104.31</v>
      </c>
      <c r="F72">
        <v>636.36</v>
      </c>
      <c r="G72" s="2">
        <v>1105.73</v>
      </c>
      <c r="H72" s="2">
        <v>1598.2</v>
      </c>
      <c r="I72" s="2">
        <v>1690.56</v>
      </c>
      <c r="J72" s="2">
        <v>2528.48</v>
      </c>
      <c r="K72" s="2">
        <v>2493.38</v>
      </c>
      <c r="L72" s="2">
        <v>1738.07</v>
      </c>
      <c r="M72" s="2">
        <v>3205.39</v>
      </c>
      <c r="N72" s="2">
        <v>3643.74</v>
      </c>
      <c r="P72" s="2">
        <v>6840</v>
      </c>
    </row>
    <row r="73" spans="1:19" x14ac:dyDescent="0.25">
      <c r="A73" t="s">
        <v>69</v>
      </c>
      <c r="B73">
        <v>25</v>
      </c>
      <c r="C73">
        <v>25</v>
      </c>
      <c r="D73">
        <v>30</v>
      </c>
      <c r="E73">
        <v>32</v>
      </c>
      <c r="F73">
        <v>16</v>
      </c>
      <c r="G73">
        <v>24</v>
      </c>
      <c r="H73">
        <v>27</v>
      </c>
      <c r="I73">
        <v>25</v>
      </c>
      <c r="J73">
        <v>27</v>
      </c>
      <c r="K73">
        <v>24</v>
      </c>
      <c r="L73">
        <v>18</v>
      </c>
      <c r="M73">
        <v>27</v>
      </c>
      <c r="N73">
        <v>26.8</v>
      </c>
      <c r="P73">
        <v>30</v>
      </c>
    </row>
    <row r="74" spans="1:19" x14ac:dyDescent="0.25">
      <c r="A74" t="s">
        <v>1271</v>
      </c>
      <c r="B74">
        <v>371.14</v>
      </c>
      <c r="C74">
        <v>405.32</v>
      </c>
      <c r="D74">
        <v>367.91</v>
      </c>
      <c r="E74">
        <v>688.09</v>
      </c>
      <c r="F74" s="2">
        <v>1178.5999999999999</v>
      </c>
      <c r="G74">
        <v>584.09</v>
      </c>
      <c r="H74">
        <v>911.85</v>
      </c>
      <c r="I74" s="2">
        <v>1343.47</v>
      </c>
      <c r="J74" s="2">
        <v>1430.5</v>
      </c>
      <c r="K74" s="2">
        <v>1895.71</v>
      </c>
      <c r="L74">
        <v>906.92</v>
      </c>
      <c r="M74" s="2">
        <v>1452.83</v>
      </c>
      <c r="N74" s="2">
        <v>1833.84</v>
      </c>
      <c r="P74" s="2">
        <v>3876</v>
      </c>
    </row>
    <row r="75" spans="1:19" x14ac:dyDescent="0.25">
      <c r="A75" t="s">
        <v>69</v>
      </c>
      <c r="B75">
        <v>13</v>
      </c>
      <c r="C75">
        <v>14</v>
      </c>
      <c r="D75">
        <v>12</v>
      </c>
      <c r="E75">
        <v>20</v>
      </c>
      <c r="F75">
        <v>29</v>
      </c>
      <c r="G75">
        <v>13</v>
      </c>
      <c r="H75">
        <v>16</v>
      </c>
      <c r="I75">
        <v>19</v>
      </c>
      <c r="J75">
        <v>16</v>
      </c>
      <c r="K75">
        <v>18</v>
      </c>
      <c r="L75">
        <v>9</v>
      </c>
      <c r="M75">
        <v>12</v>
      </c>
      <c r="N75">
        <v>13.5</v>
      </c>
      <c r="P75">
        <v>17</v>
      </c>
    </row>
    <row r="76" spans="1:19" x14ac:dyDescent="0.25">
      <c r="A76" t="s">
        <v>583</v>
      </c>
      <c r="B76">
        <v>705.16</v>
      </c>
      <c r="C76">
        <v>815.91</v>
      </c>
      <c r="D76">
        <v>521.34</v>
      </c>
      <c r="E76">
        <v>523.02</v>
      </c>
      <c r="F76">
        <v>494.33</v>
      </c>
      <c r="G76">
        <v>596.45000000000005</v>
      </c>
      <c r="H76">
        <v>651.33000000000004</v>
      </c>
      <c r="I76">
        <v>765.97</v>
      </c>
      <c r="J76">
        <v>928.04</v>
      </c>
      <c r="K76" s="2">
        <v>1254.96</v>
      </c>
      <c r="L76" s="2">
        <v>1070.79</v>
      </c>
      <c r="M76" s="2">
        <v>1362.31</v>
      </c>
      <c r="N76" s="2">
        <v>1757.34</v>
      </c>
      <c r="P76" s="2">
        <v>2736</v>
      </c>
    </row>
    <row r="77" spans="1:19" x14ac:dyDescent="0.25">
      <c r="A77" t="s">
        <v>69</v>
      </c>
      <c r="B77">
        <v>24</v>
      </c>
      <c r="C77">
        <v>29</v>
      </c>
      <c r="D77">
        <v>18</v>
      </c>
      <c r="E77">
        <v>14</v>
      </c>
      <c r="F77">
        <v>12</v>
      </c>
      <c r="G77">
        <v>13</v>
      </c>
      <c r="H77">
        <v>11</v>
      </c>
      <c r="I77">
        <v>11</v>
      </c>
      <c r="J77">
        <v>10</v>
      </c>
      <c r="K77">
        <v>12</v>
      </c>
      <c r="L77">
        <v>11</v>
      </c>
      <c r="M77">
        <v>11</v>
      </c>
      <c r="N77">
        <v>13</v>
      </c>
      <c r="P77">
        <v>12</v>
      </c>
    </row>
    <row r="78" spans="1:19" x14ac:dyDescent="0.25">
      <c r="A78" t="s">
        <v>586</v>
      </c>
      <c r="B78">
        <v>334.65</v>
      </c>
      <c r="C78">
        <v>426.96</v>
      </c>
      <c r="D78">
        <v>444.22</v>
      </c>
      <c r="E78">
        <v>351.2</v>
      </c>
      <c r="F78">
        <v>638.36</v>
      </c>
      <c r="G78">
        <v>581.53</v>
      </c>
      <c r="H78">
        <v>660.77</v>
      </c>
      <c r="I78">
        <v>639.38</v>
      </c>
      <c r="J78">
        <v>724.77</v>
      </c>
      <c r="K78">
        <v>888.02</v>
      </c>
      <c r="L78">
        <v>963.2</v>
      </c>
      <c r="M78" s="2">
        <v>1133</v>
      </c>
      <c r="N78">
        <v>915.11</v>
      </c>
      <c r="P78" s="2">
        <v>2052</v>
      </c>
    </row>
    <row r="79" spans="1:19" x14ac:dyDescent="0.25">
      <c r="A79" t="s">
        <v>69</v>
      </c>
      <c r="B79">
        <v>11</v>
      </c>
      <c r="C79">
        <v>15</v>
      </c>
      <c r="D79">
        <v>15</v>
      </c>
      <c r="E79">
        <v>10</v>
      </c>
      <c r="F79">
        <v>16</v>
      </c>
      <c r="G79">
        <v>13</v>
      </c>
      <c r="H79">
        <v>11</v>
      </c>
      <c r="I79">
        <v>9</v>
      </c>
      <c r="J79">
        <v>8</v>
      </c>
      <c r="K79">
        <v>9</v>
      </c>
      <c r="L79">
        <v>10</v>
      </c>
      <c r="M79">
        <v>9</v>
      </c>
      <c r="N79">
        <v>6.7</v>
      </c>
      <c r="P79">
        <v>9</v>
      </c>
    </row>
    <row r="80" spans="1:19" x14ac:dyDescent="0.25">
      <c r="A80" t="s">
        <v>1368</v>
      </c>
      <c r="B80">
        <v>306.77999999999997</v>
      </c>
      <c r="C80">
        <v>194.67</v>
      </c>
      <c r="D80">
        <v>167.94</v>
      </c>
      <c r="E80">
        <v>263.79000000000002</v>
      </c>
      <c r="F80">
        <v>300.88</v>
      </c>
      <c r="G80">
        <v>305.92</v>
      </c>
      <c r="H80">
        <v>322.08999999999997</v>
      </c>
      <c r="I80">
        <v>396.42</v>
      </c>
      <c r="J80">
        <v>636.66</v>
      </c>
      <c r="K80">
        <v>682.1</v>
      </c>
      <c r="L80">
        <v>540.26</v>
      </c>
      <c r="M80">
        <v>574.20000000000005</v>
      </c>
      <c r="N80">
        <v>726.69</v>
      </c>
      <c r="P80">
        <v>912</v>
      </c>
    </row>
    <row r="81" spans="1:19" x14ac:dyDescent="0.25">
      <c r="A81" t="s">
        <v>69</v>
      </c>
      <c r="B81">
        <v>11</v>
      </c>
      <c r="C81">
        <v>7</v>
      </c>
      <c r="D81">
        <v>6</v>
      </c>
      <c r="E81">
        <v>8</v>
      </c>
      <c r="F81">
        <v>7</v>
      </c>
      <c r="G81">
        <v>7</v>
      </c>
      <c r="H81">
        <v>6</v>
      </c>
      <c r="I81">
        <v>6</v>
      </c>
      <c r="J81">
        <v>7</v>
      </c>
      <c r="K81">
        <v>6</v>
      </c>
      <c r="L81">
        <v>6</v>
      </c>
      <c r="M81">
        <v>5</v>
      </c>
      <c r="N81">
        <v>5.4</v>
      </c>
      <c r="P81">
        <v>4</v>
      </c>
    </row>
    <row r="82" spans="1:19" x14ac:dyDescent="0.25">
      <c r="A82" t="s">
        <v>1115</v>
      </c>
      <c r="B82">
        <v>210.12</v>
      </c>
      <c r="C82">
        <v>117.03</v>
      </c>
      <c r="D82">
        <v>158.47</v>
      </c>
      <c r="E82">
        <v>137.5</v>
      </c>
      <c r="F82">
        <v>145.13</v>
      </c>
      <c r="G82">
        <v>179.38</v>
      </c>
      <c r="H82">
        <v>166.21</v>
      </c>
      <c r="I82">
        <v>251.48</v>
      </c>
      <c r="J82">
        <v>302.99</v>
      </c>
      <c r="K82">
        <v>414.45</v>
      </c>
      <c r="L82">
        <v>396.27</v>
      </c>
      <c r="M82">
        <v>385.87</v>
      </c>
      <c r="N82">
        <v>654.4</v>
      </c>
      <c r="P82">
        <v>684</v>
      </c>
    </row>
    <row r="83" spans="1:19" x14ac:dyDescent="0.25">
      <c r="A83" t="s">
        <v>61</v>
      </c>
      <c r="B83">
        <v>7</v>
      </c>
      <c r="C83">
        <v>4</v>
      </c>
      <c r="D83">
        <v>5</v>
      </c>
      <c r="E83">
        <v>4</v>
      </c>
      <c r="F83">
        <v>4</v>
      </c>
      <c r="G83">
        <v>3</v>
      </c>
      <c r="H83">
        <v>3</v>
      </c>
      <c r="I83">
        <v>4</v>
      </c>
      <c r="J83">
        <v>3</v>
      </c>
      <c r="K83">
        <v>4</v>
      </c>
      <c r="L83">
        <v>3</v>
      </c>
      <c r="M83">
        <v>3</v>
      </c>
      <c r="N83">
        <v>4.8</v>
      </c>
    </row>
    <row r="84" spans="1:19" x14ac:dyDescent="0.25">
      <c r="A84" t="s">
        <v>17</v>
      </c>
    </row>
    <row r="85" spans="1:19" x14ac:dyDescent="0.25">
      <c r="A85" t="s">
        <v>79</v>
      </c>
    </row>
    <row r="86" spans="1:19" x14ac:dyDescent="0.25">
      <c r="A86" t="s">
        <v>80</v>
      </c>
      <c r="B86" s="2">
        <v>2929.41</v>
      </c>
      <c r="C86" s="2">
        <v>2814.05</v>
      </c>
      <c r="D86" s="2">
        <v>2984.49</v>
      </c>
      <c r="E86" s="2">
        <v>3480.01</v>
      </c>
      <c r="F86" s="2">
        <v>4036.7</v>
      </c>
      <c r="G86" s="2">
        <v>4568.8999999999996</v>
      </c>
      <c r="H86" s="2">
        <v>5806.42</v>
      </c>
      <c r="I86" s="2">
        <v>6918.73</v>
      </c>
      <c r="J86" s="2">
        <v>9211.8799999999992</v>
      </c>
      <c r="K86" s="2">
        <v>10496.06</v>
      </c>
      <c r="L86" s="2">
        <v>9812.25</v>
      </c>
      <c r="M86" s="2">
        <v>12156.16</v>
      </c>
      <c r="N86" s="2">
        <v>13579.48</v>
      </c>
      <c r="O86" s="2">
        <v>18198.12</v>
      </c>
      <c r="P86" s="2">
        <v>21913.95</v>
      </c>
      <c r="Q86" s="2">
        <v>25181</v>
      </c>
      <c r="R86" s="2">
        <v>27146</v>
      </c>
      <c r="S86" s="2">
        <v>30543.5</v>
      </c>
    </row>
    <row r="87" spans="1:19" x14ac:dyDescent="0.25">
      <c r="A87" t="s">
        <v>1174</v>
      </c>
      <c r="B87">
        <v>100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</row>
    <row r="88" spans="1:19" x14ac:dyDescent="0.25">
      <c r="A88" t="s">
        <v>17</v>
      </c>
    </row>
    <row r="89" spans="1:19" x14ac:dyDescent="0.25">
      <c r="A89" t="s">
        <v>82</v>
      </c>
      <c r="B89" s="2">
        <v>1232.96</v>
      </c>
      <c r="C89" s="2">
        <v>1215.23</v>
      </c>
      <c r="D89" s="2">
        <v>1163.3900000000001</v>
      </c>
      <c r="E89" s="2">
        <v>1286.22</v>
      </c>
      <c r="F89" s="2">
        <v>1446.04</v>
      </c>
      <c r="G89" s="2">
        <v>1869.38</v>
      </c>
      <c r="H89" s="2">
        <v>2449.56</v>
      </c>
      <c r="I89" s="2">
        <v>2772.17</v>
      </c>
      <c r="J89" s="2">
        <v>3592.44</v>
      </c>
      <c r="K89" s="2">
        <v>4218.3100000000004</v>
      </c>
      <c r="L89" s="2">
        <v>3928.07</v>
      </c>
      <c r="M89" s="2">
        <v>4751.87</v>
      </c>
      <c r="N89" s="2">
        <v>5255.06</v>
      </c>
      <c r="O89" s="2">
        <v>6876.05</v>
      </c>
      <c r="P89" s="2">
        <v>8025.76</v>
      </c>
      <c r="Q89" s="2">
        <v>9049.0400000000009</v>
      </c>
      <c r="R89" s="2">
        <v>10185.120000000001</v>
      </c>
      <c r="S89" s="2">
        <v>11534.03</v>
      </c>
    </row>
    <row r="90" spans="1:19" x14ac:dyDescent="0.25">
      <c r="A90" t="s">
        <v>17</v>
      </c>
    </row>
    <row r="91" spans="1:19" x14ac:dyDescent="0.25">
      <c r="A91" t="s">
        <v>84</v>
      </c>
      <c r="B91" s="2">
        <v>1706.2</v>
      </c>
      <c r="C91" s="2">
        <v>1616.79</v>
      </c>
      <c r="D91" s="2">
        <v>1829.38</v>
      </c>
      <c r="E91" s="2">
        <v>2197.14</v>
      </c>
      <c r="F91" s="2">
        <v>2595.98</v>
      </c>
      <c r="G91" s="2">
        <v>2824.85</v>
      </c>
      <c r="H91" s="2">
        <v>3527.6</v>
      </c>
      <c r="I91" s="2">
        <v>4304.79</v>
      </c>
      <c r="J91" s="2">
        <v>5788.58</v>
      </c>
      <c r="K91" s="2">
        <v>6467.73</v>
      </c>
      <c r="L91" s="2">
        <v>6070.62</v>
      </c>
      <c r="M91" s="2">
        <v>7575.16</v>
      </c>
      <c r="N91" s="2">
        <v>8473.83</v>
      </c>
      <c r="O91" s="2">
        <v>11451.54</v>
      </c>
      <c r="P91" s="2">
        <v>13632.74</v>
      </c>
      <c r="Q91" s="2">
        <v>15604.42</v>
      </c>
      <c r="R91" s="2">
        <v>17567.25</v>
      </c>
      <c r="S91" s="2">
        <v>20240.16</v>
      </c>
    </row>
    <row r="92" spans="1:19" x14ac:dyDescent="0.25">
      <c r="A92" t="s">
        <v>85</v>
      </c>
      <c r="D92">
        <v>63.06</v>
      </c>
      <c r="E92">
        <v>63.48</v>
      </c>
      <c r="F92">
        <v>64.3</v>
      </c>
      <c r="G92">
        <v>61.8</v>
      </c>
      <c r="H92">
        <v>60.8</v>
      </c>
      <c r="I92">
        <v>62.22</v>
      </c>
      <c r="J92">
        <v>62.84</v>
      </c>
      <c r="K92">
        <v>61.62</v>
      </c>
      <c r="L92">
        <v>61.87</v>
      </c>
      <c r="M92">
        <v>29.93</v>
      </c>
      <c r="O92">
        <v>62.66</v>
      </c>
      <c r="P92">
        <v>63.01</v>
      </c>
      <c r="Q92">
        <v>63.3</v>
      </c>
      <c r="R92">
        <v>63.3</v>
      </c>
      <c r="S92">
        <v>63.7</v>
      </c>
    </row>
    <row r="93" spans="1:19" x14ac:dyDescent="0.25">
      <c r="A93" t="s">
        <v>17</v>
      </c>
    </row>
    <row r="94" spans="1:19" x14ac:dyDescent="0.25">
      <c r="A94" t="s">
        <v>1369</v>
      </c>
      <c r="D94">
        <v>865</v>
      </c>
      <c r="E94">
        <v>976</v>
      </c>
      <c r="F94" s="2">
        <v>1039.8599999999999</v>
      </c>
      <c r="G94" s="2">
        <v>1219.08</v>
      </c>
      <c r="H94" s="2">
        <v>1513.52</v>
      </c>
      <c r="I94" s="2">
        <v>1320.18</v>
      </c>
      <c r="J94" s="2">
        <v>1895.6</v>
      </c>
      <c r="K94">
        <v>637.6</v>
      </c>
      <c r="L94" s="2">
        <v>2173.9</v>
      </c>
      <c r="M94" s="2">
        <v>2334</v>
      </c>
      <c r="N94" s="2">
        <v>2633.1</v>
      </c>
      <c r="O94" s="2">
        <v>2913.63</v>
      </c>
      <c r="P94" s="2">
        <v>3307.83</v>
      </c>
      <c r="Q94" s="2">
        <v>3827.67</v>
      </c>
      <c r="R94" s="2">
        <v>4912.17</v>
      </c>
      <c r="S94" s="2">
        <v>5528.71</v>
      </c>
    </row>
    <row r="95" spans="1:19" x14ac:dyDescent="0.25">
      <c r="A95" t="s">
        <v>83</v>
      </c>
      <c r="B95">
        <v>31.56</v>
      </c>
      <c r="C95">
        <v>33.31</v>
      </c>
      <c r="D95">
        <v>26.41</v>
      </c>
      <c r="E95">
        <v>24.09</v>
      </c>
      <c r="F95">
        <v>26.03</v>
      </c>
      <c r="G95">
        <v>28.68</v>
      </c>
      <c r="H95">
        <v>31.94</v>
      </c>
      <c r="I95">
        <v>23.97</v>
      </c>
      <c r="J95">
        <v>21.33</v>
      </c>
      <c r="K95">
        <v>21.75</v>
      </c>
      <c r="L95">
        <v>25.87</v>
      </c>
      <c r="M95">
        <v>21.63</v>
      </c>
      <c r="N95">
        <v>19.62</v>
      </c>
      <c r="O95">
        <v>16.09</v>
      </c>
      <c r="P95">
        <v>15.65</v>
      </c>
      <c r="Q95">
        <v>15.7</v>
      </c>
      <c r="R95">
        <v>17.7</v>
      </c>
      <c r="S95">
        <v>17.399999999999999</v>
      </c>
    </row>
    <row r="96" spans="1:19" x14ac:dyDescent="0.25">
      <c r="A96" t="s">
        <v>276</v>
      </c>
      <c r="J96">
        <v>796.29</v>
      </c>
      <c r="K96">
        <v>880.6</v>
      </c>
      <c r="L96">
        <v>899.4</v>
      </c>
      <c r="M96">
        <v>979.1</v>
      </c>
      <c r="N96" s="2">
        <v>1091.2</v>
      </c>
      <c r="O96" s="2">
        <v>1204.6500000000001</v>
      </c>
      <c r="P96" s="2">
        <v>1351.07</v>
      </c>
      <c r="Q96" s="2">
        <v>1560.84</v>
      </c>
    </row>
    <row r="97" spans="1:19" x14ac:dyDescent="0.25">
      <c r="A97" t="s">
        <v>61</v>
      </c>
      <c r="B97">
        <v>13.14</v>
      </c>
      <c r="C97">
        <v>14.46</v>
      </c>
      <c r="D97">
        <v>11.64</v>
      </c>
      <c r="E97">
        <v>10.220000000000001</v>
      </c>
      <c r="F97">
        <v>10.96</v>
      </c>
      <c r="G97">
        <v>13.11</v>
      </c>
      <c r="H97">
        <v>12.64</v>
      </c>
      <c r="I97">
        <v>10.55</v>
      </c>
      <c r="J97">
        <v>9.34</v>
      </c>
      <c r="K97">
        <v>9.4</v>
      </c>
      <c r="L97">
        <v>9.8800000000000008</v>
      </c>
      <c r="M97">
        <v>8.4700000000000006</v>
      </c>
      <c r="N97">
        <v>8.33</v>
      </c>
      <c r="O97">
        <v>6.67</v>
      </c>
      <c r="P97">
        <v>6.12</v>
      </c>
      <c r="Q97">
        <v>6.23</v>
      </c>
    </row>
    <row r="98" spans="1:19" x14ac:dyDescent="0.25">
      <c r="A98" t="s">
        <v>89</v>
      </c>
      <c r="B98">
        <v>539.47</v>
      </c>
      <c r="C98">
        <v>530.62</v>
      </c>
      <c r="D98">
        <v>0</v>
      </c>
      <c r="E98">
        <v>0</v>
      </c>
      <c r="F98">
        <v>608.53</v>
      </c>
      <c r="G98">
        <v>711.03</v>
      </c>
      <c r="H98">
        <v>863.86</v>
      </c>
      <c r="I98">
        <v>928.49</v>
      </c>
      <c r="J98" s="2">
        <v>1105.25</v>
      </c>
      <c r="K98" s="2">
        <v>1296.73</v>
      </c>
      <c r="L98" s="2">
        <v>1278.98</v>
      </c>
      <c r="M98" s="2">
        <v>1360.33</v>
      </c>
      <c r="N98" s="2">
        <v>1532.12</v>
      </c>
      <c r="O98" s="2">
        <v>1712.84</v>
      </c>
      <c r="P98" s="2">
        <v>1942.83</v>
      </c>
      <c r="Q98" s="2">
        <v>2171.91</v>
      </c>
      <c r="R98" s="2">
        <v>2518</v>
      </c>
      <c r="S98" s="2">
        <v>2798.26</v>
      </c>
    </row>
    <row r="99" spans="1:19" x14ac:dyDescent="0.25">
      <c r="A99" t="s">
        <v>1370</v>
      </c>
      <c r="B99">
        <v>539.47</v>
      </c>
      <c r="C99">
        <v>530.62</v>
      </c>
      <c r="D99">
        <v>481.26</v>
      </c>
      <c r="E99">
        <v>526.69000000000005</v>
      </c>
      <c r="F99">
        <v>608.53</v>
      </c>
      <c r="G99">
        <v>711.03</v>
      </c>
      <c r="H99">
        <v>863.86</v>
      </c>
      <c r="I99">
        <v>928.49</v>
      </c>
      <c r="J99" s="2">
        <v>1105.25</v>
      </c>
      <c r="K99" s="2">
        <v>1296.73</v>
      </c>
      <c r="L99" s="2">
        <v>1278.98</v>
      </c>
      <c r="M99" s="2">
        <v>1360.33</v>
      </c>
      <c r="N99" s="2">
        <v>1532.12</v>
      </c>
      <c r="O99" s="2">
        <v>1677.47</v>
      </c>
      <c r="P99" s="2">
        <v>1918.31</v>
      </c>
      <c r="Q99" s="2">
        <v>2117.81</v>
      </c>
      <c r="R99" s="2">
        <v>2122</v>
      </c>
      <c r="S99" s="2">
        <v>2292</v>
      </c>
    </row>
    <row r="100" spans="1:19" x14ac:dyDescent="0.25">
      <c r="A100" t="s">
        <v>61</v>
      </c>
      <c r="B100">
        <v>18.420000000000002</v>
      </c>
      <c r="C100">
        <v>18.86</v>
      </c>
      <c r="D100">
        <v>0</v>
      </c>
      <c r="E100">
        <v>0</v>
      </c>
      <c r="F100">
        <v>15.07</v>
      </c>
      <c r="G100">
        <v>15.56</v>
      </c>
      <c r="H100">
        <v>14.88</v>
      </c>
      <c r="I100">
        <v>13.42</v>
      </c>
      <c r="J100">
        <v>12</v>
      </c>
      <c r="K100">
        <v>12.35</v>
      </c>
      <c r="L100">
        <v>13.03</v>
      </c>
      <c r="M100">
        <v>11.19</v>
      </c>
      <c r="N100">
        <v>11.28</v>
      </c>
      <c r="O100">
        <v>9.2899999999999991</v>
      </c>
      <c r="P100">
        <v>9.0500000000000007</v>
      </c>
      <c r="Q100">
        <v>9.09</v>
      </c>
      <c r="R100">
        <v>10.5</v>
      </c>
      <c r="S100">
        <v>10.4</v>
      </c>
    </row>
    <row r="101" spans="1:19" x14ac:dyDescent="0.25">
      <c r="A101" t="s">
        <v>17</v>
      </c>
    </row>
    <row r="102" spans="1:19" x14ac:dyDescent="0.25">
      <c r="A102" t="s">
        <v>91</v>
      </c>
      <c r="B102">
        <v>793.58</v>
      </c>
      <c r="C102">
        <v>844.23</v>
      </c>
      <c r="D102">
        <v>995.08</v>
      </c>
      <c r="E102" s="2">
        <v>1293.55</v>
      </c>
      <c r="F102" s="2">
        <v>1554.79</v>
      </c>
      <c r="G102" s="2">
        <v>1605.77</v>
      </c>
      <c r="H102" s="2">
        <v>2295.21</v>
      </c>
      <c r="I102" s="2">
        <v>2705.07</v>
      </c>
      <c r="J102" s="2">
        <v>3898.51</v>
      </c>
      <c r="K102" s="2">
        <v>4309.7</v>
      </c>
      <c r="L102" s="2">
        <v>3896.62</v>
      </c>
      <c r="M102" s="2">
        <v>5238.18</v>
      </c>
      <c r="N102" s="2">
        <v>5838.86</v>
      </c>
      <c r="O102" s="2">
        <v>8546.7999999999993</v>
      </c>
      <c r="P102" s="2">
        <v>10425.85</v>
      </c>
      <c r="Q102" s="2">
        <v>11691.25</v>
      </c>
      <c r="R102" s="2">
        <v>12947.5</v>
      </c>
      <c r="S102" s="2">
        <v>14727</v>
      </c>
    </row>
    <row r="103" spans="1:19" x14ac:dyDescent="0.25">
      <c r="A103" t="s">
        <v>92</v>
      </c>
      <c r="D103">
        <v>33.299999999999997</v>
      </c>
      <c r="E103">
        <v>37.200000000000003</v>
      </c>
      <c r="F103">
        <v>38.5</v>
      </c>
      <c r="G103">
        <v>35.1</v>
      </c>
      <c r="H103">
        <v>25.9</v>
      </c>
      <c r="O103">
        <v>46.83</v>
      </c>
      <c r="P103">
        <v>47.74</v>
      </c>
      <c r="Q103">
        <v>47.77</v>
      </c>
      <c r="R103">
        <v>45.6</v>
      </c>
      <c r="S103">
        <v>46.3</v>
      </c>
    </row>
    <row r="104" spans="1:19" x14ac:dyDescent="0.25">
      <c r="A104" t="s">
        <v>17</v>
      </c>
    </row>
    <row r="105" spans="1:19" x14ac:dyDescent="0.25">
      <c r="A105" t="s">
        <v>93</v>
      </c>
      <c r="B105">
        <v>83.07</v>
      </c>
      <c r="C105">
        <v>80.540000000000006</v>
      </c>
      <c r="D105">
        <v>66.930000000000007</v>
      </c>
      <c r="E105">
        <v>57.84</v>
      </c>
      <c r="F105">
        <v>62.68</v>
      </c>
      <c r="G105">
        <v>233.22</v>
      </c>
      <c r="H105">
        <v>348.05</v>
      </c>
      <c r="I105">
        <v>333.34</v>
      </c>
      <c r="J105">
        <v>363.34</v>
      </c>
      <c r="K105">
        <v>415.11</v>
      </c>
      <c r="L105">
        <v>401.73</v>
      </c>
      <c r="M105">
        <v>394.09</v>
      </c>
      <c r="N105">
        <v>393.98</v>
      </c>
      <c r="O105">
        <v>403.83</v>
      </c>
      <c r="P105">
        <v>406.4</v>
      </c>
      <c r="Q105">
        <v>451.21</v>
      </c>
      <c r="R105">
        <v>621.98</v>
      </c>
      <c r="S105">
        <v>699.71</v>
      </c>
    </row>
    <row r="106" spans="1:19" x14ac:dyDescent="0.25">
      <c r="A106" t="s">
        <v>277</v>
      </c>
      <c r="B106">
        <v>876.65</v>
      </c>
      <c r="C106">
        <v>924.77</v>
      </c>
      <c r="D106" s="2">
        <v>1062.01</v>
      </c>
      <c r="E106" s="2">
        <v>1351.39</v>
      </c>
      <c r="F106" s="2">
        <v>1617.47</v>
      </c>
      <c r="G106" s="2">
        <v>1838.99</v>
      </c>
      <c r="H106" s="2">
        <v>2398.54</v>
      </c>
      <c r="I106" s="2">
        <v>2821.82</v>
      </c>
      <c r="J106" s="2">
        <v>4016.58</v>
      </c>
      <c r="K106" s="2">
        <v>4409.8100000000004</v>
      </c>
      <c r="L106" s="2">
        <v>4298.3500000000004</v>
      </c>
      <c r="M106" s="2">
        <v>5632.27</v>
      </c>
      <c r="N106" s="2">
        <v>6232.83</v>
      </c>
      <c r="O106" s="2">
        <v>8979</v>
      </c>
      <c r="P106" s="2">
        <v>10761.56</v>
      </c>
      <c r="Q106" s="2">
        <v>12682.63</v>
      </c>
      <c r="R106" s="2">
        <v>13443</v>
      </c>
      <c r="S106" s="2">
        <v>15257</v>
      </c>
    </row>
    <row r="107" spans="1:19" x14ac:dyDescent="0.25">
      <c r="A107" t="s">
        <v>1371</v>
      </c>
      <c r="B107">
        <v>29.19</v>
      </c>
      <c r="C107">
        <v>26.36</v>
      </c>
      <c r="D107">
        <v>31.52</v>
      </c>
      <c r="E107">
        <v>35.200000000000003</v>
      </c>
      <c r="F107">
        <v>39.700000000000003</v>
      </c>
      <c r="G107">
        <v>35.51</v>
      </c>
      <c r="H107">
        <v>32.47</v>
      </c>
      <c r="I107">
        <v>41.35</v>
      </c>
      <c r="J107">
        <v>44.01</v>
      </c>
      <c r="K107">
        <v>42.41</v>
      </c>
      <c r="L107">
        <v>38.75</v>
      </c>
      <c r="M107">
        <v>42.95</v>
      </c>
      <c r="N107">
        <v>45.04</v>
      </c>
      <c r="O107">
        <v>48.96</v>
      </c>
      <c r="P107">
        <v>49.81</v>
      </c>
      <c r="Q107">
        <v>49.86</v>
      </c>
      <c r="R107">
        <v>49.55</v>
      </c>
      <c r="S107">
        <v>50.03</v>
      </c>
    </row>
    <row r="108" spans="1:19" x14ac:dyDescent="0.25">
      <c r="A108" t="s">
        <v>17</v>
      </c>
    </row>
    <row r="109" spans="1:19" x14ac:dyDescent="0.25">
      <c r="A109" t="s">
        <v>1372</v>
      </c>
      <c r="B109">
        <v>53.81</v>
      </c>
      <c r="C109">
        <v>106.01</v>
      </c>
      <c r="D109">
        <v>122.89</v>
      </c>
      <c r="E109">
        <v>122.48</v>
      </c>
      <c r="F109">
        <v>114.38</v>
      </c>
      <c r="G109">
        <v>124.6</v>
      </c>
      <c r="H109">
        <v>160.27000000000001</v>
      </c>
      <c r="I109">
        <v>157.33000000000001</v>
      </c>
      <c r="J109">
        <v>160.34</v>
      </c>
      <c r="K109">
        <v>296.94</v>
      </c>
      <c r="L109">
        <v>311.25</v>
      </c>
      <c r="M109">
        <v>302.17</v>
      </c>
      <c r="N109">
        <v>284.44</v>
      </c>
      <c r="O109">
        <v>283.16000000000003</v>
      </c>
      <c r="P109">
        <v>273.37</v>
      </c>
      <c r="Q109">
        <v>224.13</v>
      </c>
    </row>
    <row r="110" spans="1:19" x14ac:dyDescent="0.25">
      <c r="A110" t="s">
        <v>1373</v>
      </c>
      <c r="O110">
        <v>-210.35</v>
      </c>
      <c r="P110">
        <v>-244.78</v>
      </c>
      <c r="Q110">
        <v>-187.42</v>
      </c>
    </row>
    <row r="111" spans="1:19" x14ac:dyDescent="0.25">
      <c r="A111" t="s">
        <v>95</v>
      </c>
      <c r="B111">
        <v>37.61</v>
      </c>
      <c r="C111">
        <v>227.21</v>
      </c>
      <c r="D111">
        <v>102.25</v>
      </c>
      <c r="E111">
        <v>105.65</v>
      </c>
      <c r="F111">
        <v>83.89</v>
      </c>
      <c r="G111">
        <v>93.14</v>
      </c>
      <c r="H111">
        <v>185.49</v>
      </c>
      <c r="I111">
        <v>128.03</v>
      </c>
      <c r="J111">
        <v>164.94</v>
      </c>
      <c r="K111">
        <v>205.51</v>
      </c>
      <c r="L111">
        <v>156.18</v>
      </c>
      <c r="M111">
        <v>130.68</v>
      </c>
      <c r="N111">
        <v>54.86</v>
      </c>
      <c r="O111">
        <v>98.13</v>
      </c>
      <c r="P111">
        <v>90.93</v>
      </c>
      <c r="Q111">
        <v>107.93</v>
      </c>
      <c r="R111">
        <v>107.08</v>
      </c>
      <c r="S111">
        <v>104.93</v>
      </c>
    </row>
    <row r="112" spans="1:19" x14ac:dyDescent="0.25">
      <c r="A112" t="s">
        <v>100</v>
      </c>
      <c r="B112">
        <v>755.97</v>
      </c>
      <c r="C112">
        <v>482.88</v>
      </c>
      <c r="D112">
        <v>892.83</v>
      </c>
      <c r="E112" s="2">
        <v>1190.54</v>
      </c>
      <c r="F112" s="2">
        <v>1473.53</v>
      </c>
      <c r="G112" s="2">
        <v>1512.63</v>
      </c>
      <c r="H112" s="2">
        <v>1608.36</v>
      </c>
      <c r="I112" s="2">
        <v>2577.0500000000002</v>
      </c>
      <c r="J112" s="2">
        <v>3489.24</v>
      </c>
      <c r="K112" s="2">
        <v>3789.19</v>
      </c>
      <c r="L112" s="2">
        <v>3740.44</v>
      </c>
      <c r="M112" s="2">
        <v>4998</v>
      </c>
      <c r="N112" s="2">
        <v>5605.93</v>
      </c>
      <c r="O112" s="2">
        <v>8420</v>
      </c>
      <c r="P112" s="2">
        <v>10339.530000000001</v>
      </c>
      <c r="Q112" s="2">
        <v>12063.78</v>
      </c>
      <c r="R112" s="2">
        <v>12904.5</v>
      </c>
      <c r="S112" s="2">
        <v>14686</v>
      </c>
    </row>
    <row r="113" spans="1:19" x14ac:dyDescent="0.25">
      <c r="A113" t="s">
        <v>1374</v>
      </c>
      <c r="B113">
        <v>-6.38</v>
      </c>
      <c r="C113">
        <v>-61.26</v>
      </c>
      <c r="D113">
        <v>-7.43</v>
      </c>
      <c r="E113">
        <v>-8.17</v>
      </c>
      <c r="F113">
        <v>438.63</v>
      </c>
      <c r="G113">
        <v>-64.05</v>
      </c>
      <c r="H113">
        <v>-118.32</v>
      </c>
      <c r="I113">
        <v>-33.07</v>
      </c>
      <c r="J113">
        <v>-361.99</v>
      </c>
      <c r="K113">
        <v>-132.33000000000001</v>
      </c>
      <c r="L113">
        <v>-81.06</v>
      </c>
      <c r="M113">
        <v>-75.88</v>
      </c>
      <c r="N113">
        <v>-49.48</v>
      </c>
      <c r="O113">
        <v>-48.29</v>
      </c>
      <c r="P113">
        <v>-41.5</v>
      </c>
      <c r="Q113">
        <v>-42</v>
      </c>
    </row>
    <row r="114" spans="1:19" x14ac:dyDescent="0.25">
      <c r="A114" t="s">
        <v>1375</v>
      </c>
      <c r="B114">
        <v>15.81</v>
      </c>
      <c r="C114">
        <v>15.34</v>
      </c>
      <c r="D114">
        <v>25.69</v>
      </c>
      <c r="E114">
        <v>17.29</v>
      </c>
      <c r="F114">
        <v>17.600000000000001</v>
      </c>
      <c r="G114">
        <v>216.39</v>
      </c>
      <c r="H114">
        <v>244.72</v>
      </c>
      <c r="I114">
        <v>209.56</v>
      </c>
      <c r="J114">
        <v>238.86</v>
      </c>
      <c r="K114">
        <v>271.56</v>
      </c>
      <c r="L114">
        <v>239.9</v>
      </c>
      <c r="M114">
        <v>219.69</v>
      </c>
      <c r="N114">
        <v>178.08</v>
      </c>
      <c r="O114">
        <v>147.65</v>
      </c>
      <c r="P114">
        <v>132</v>
      </c>
    </row>
    <row r="115" spans="1:19" x14ac:dyDescent="0.25">
      <c r="A115" t="s">
        <v>17</v>
      </c>
    </row>
    <row r="116" spans="1:19" x14ac:dyDescent="0.25">
      <c r="A116" t="s">
        <v>101</v>
      </c>
      <c r="D116">
        <v>213</v>
      </c>
      <c r="E116">
        <v>234</v>
      </c>
      <c r="F116">
        <v>214.7</v>
      </c>
      <c r="G116">
        <v>185.26</v>
      </c>
      <c r="H116">
        <v>220</v>
      </c>
      <c r="K116">
        <v>52.5</v>
      </c>
      <c r="L116">
        <v>506.9</v>
      </c>
      <c r="M116">
        <v>658.7</v>
      </c>
      <c r="N116">
        <v>824.5</v>
      </c>
      <c r="O116" s="2">
        <v>1232.94</v>
      </c>
      <c r="P116" s="2">
        <v>1504.06</v>
      </c>
      <c r="Q116" s="2">
        <v>1704.08</v>
      </c>
      <c r="R116" s="2">
        <v>1822.49</v>
      </c>
      <c r="S116" s="2">
        <v>2121.29</v>
      </c>
    </row>
    <row r="117" spans="1:19" x14ac:dyDescent="0.25">
      <c r="A117" t="s">
        <v>102</v>
      </c>
      <c r="D117">
        <v>18.2</v>
      </c>
      <c r="E117">
        <v>21.5</v>
      </c>
      <c r="F117">
        <v>14.6</v>
      </c>
      <c r="G117">
        <v>12.2</v>
      </c>
      <c r="H117">
        <v>11.9</v>
      </c>
      <c r="O117">
        <v>14.45</v>
      </c>
      <c r="P117">
        <v>14.59</v>
      </c>
      <c r="Q117">
        <v>14.5</v>
      </c>
      <c r="R117">
        <v>14.5</v>
      </c>
      <c r="S117">
        <v>14.5</v>
      </c>
    </row>
    <row r="118" spans="1:19" x14ac:dyDescent="0.25">
      <c r="A118" t="s">
        <v>17</v>
      </c>
    </row>
    <row r="119" spans="1:19" x14ac:dyDescent="0.25">
      <c r="A119" t="s">
        <v>106</v>
      </c>
      <c r="B119">
        <v>597.46</v>
      </c>
      <c r="C119">
        <v>487.79</v>
      </c>
      <c r="D119">
        <v>730.06</v>
      </c>
      <c r="E119">
        <v>934.9</v>
      </c>
      <c r="F119" s="2">
        <v>1258.83</v>
      </c>
      <c r="G119" s="2">
        <v>1327.96</v>
      </c>
      <c r="H119" s="2">
        <v>1634.83</v>
      </c>
      <c r="I119" s="2">
        <v>2261.06</v>
      </c>
      <c r="J119" s="2">
        <v>3205.4</v>
      </c>
      <c r="K119" s="2">
        <v>3557.68</v>
      </c>
      <c r="L119" s="2">
        <v>3233.62</v>
      </c>
      <c r="M119" s="2">
        <v>4451.68</v>
      </c>
      <c r="N119" s="2">
        <v>4959.3599999999997</v>
      </c>
      <c r="O119" s="2">
        <v>7239.36</v>
      </c>
      <c r="P119" s="2">
        <v>8883.48</v>
      </c>
      <c r="Q119" s="2">
        <v>10408.67</v>
      </c>
      <c r="R119" s="2">
        <v>11061</v>
      </c>
      <c r="S119" s="2">
        <v>12586.5</v>
      </c>
    </row>
    <row r="120" spans="1:19" x14ac:dyDescent="0.25">
      <c r="A120" t="s">
        <v>280</v>
      </c>
      <c r="B120">
        <v>20.399999999999999</v>
      </c>
      <c r="C120">
        <v>17.329999999999998</v>
      </c>
      <c r="D120">
        <v>26.88</v>
      </c>
      <c r="E120">
        <v>29.17</v>
      </c>
      <c r="F120">
        <v>31.18</v>
      </c>
      <c r="G120">
        <v>29.07</v>
      </c>
      <c r="H120">
        <v>28.16</v>
      </c>
      <c r="I120">
        <v>32.68</v>
      </c>
      <c r="J120">
        <v>34.799999999999997</v>
      </c>
      <c r="K120">
        <v>33.9</v>
      </c>
      <c r="L120">
        <v>32.950000000000003</v>
      </c>
      <c r="M120">
        <v>36.619999999999997</v>
      </c>
      <c r="N120">
        <v>36.520000000000003</v>
      </c>
      <c r="O120">
        <v>39.700000000000003</v>
      </c>
      <c r="P120">
        <v>40.619999999999997</v>
      </c>
      <c r="Q120">
        <v>40.909999999999997</v>
      </c>
      <c r="R120">
        <v>40.81</v>
      </c>
      <c r="S120">
        <v>41.28</v>
      </c>
    </row>
    <row r="121" spans="1:19" x14ac:dyDescent="0.25">
      <c r="A121" t="s">
        <v>1174</v>
      </c>
      <c r="B121">
        <v>19.89</v>
      </c>
      <c r="C121">
        <v>13.01</v>
      </c>
      <c r="D121">
        <v>26.51</v>
      </c>
      <c r="E121">
        <v>17.27</v>
      </c>
      <c r="F121">
        <v>19.87</v>
      </c>
      <c r="G121">
        <v>25.73</v>
      </c>
      <c r="H121">
        <v>20.96</v>
      </c>
      <c r="I121">
        <v>30.04</v>
      </c>
      <c r="J121">
        <v>36.06</v>
      </c>
      <c r="K121">
        <v>32.270000000000003</v>
      </c>
      <c r="L121">
        <v>28.15</v>
      </c>
      <c r="M121">
        <v>33.409999999999997</v>
      </c>
      <c r="N121">
        <v>35.57</v>
      </c>
      <c r="O121">
        <v>39.36</v>
      </c>
      <c r="P121">
        <v>40.24</v>
      </c>
      <c r="Q121">
        <v>41.47</v>
      </c>
      <c r="R121">
        <v>42.5</v>
      </c>
      <c r="S121">
        <v>42.9</v>
      </c>
    </row>
    <row r="122" spans="1:19" x14ac:dyDescent="0.25">
      <c r="A122" t="s">
        <v>1376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-0.6</v>
      </c>
      <c r="H122">
        <v>-1.76</v>
      </c>
      <c r="I122">
        <v>-0.94</v>
      </c>
      <c r="J122">
        <v>0.25</v>
      </c>
      <c r="K122">
        <v>7.0000000000000007E-2</v>
      </c>
      <c r="L122">
        <v>0</v>
      </c>
      <c r="M122">
        <v>0</v>
      </c>
      <c r="N122">
        <v>0</v>
      </c>
    </row>
    <row r="123" spans="1:19" x14ac:dyDescent="0.25">
      <c r="A123" t="s">
        <v>17</v>
      </c>
    </row>
    <row r="124" spans="1:19" x14ac:dyDescent="0.25">
      <c r="A124" t="s">
        <v>108</v>
      </c>
      <c r="B124" s="2">
        <v>1660.16</v>
      </c>
      <c r="C124" s="2">
        <v>1622.82</v>
      </c>
      <c r="D124" s="2">
        <v>1558.69</v>
      </c>
      <c r="E124" s="2">
        <v>1564.68</v>
      </c>
      <c r="F124" s="2">
        <v>1563.46</v>
      </c>
      <c r="G124" s="2">
        <v>1560.53</v>
      </c>
      <c r="H124" s="2">
        <v>1567.97</v>
      </c>
      <c r="I124" s="2">
        <v>1540.86</v>
      </c>
      <c r="J124" s="2">
        <v>1504.94</v>
      </c>
      <c r="K124" s="2">
        <v>1394.83</v>
      </c>
      <c r="L124" s="2">
        <v>1353.45</v>
      </c>
      <c r="M124" s="2">
        <v>1330.3</v>
      </c>
      <c r="N124" s="2">
        <v>1311.52</v>
      </c>
      <c r="O124" s="2">
        <v>1298.19</v>
      </c>
      <c r="P124" s="2">
        <v>1284.75</v>
      </c>
      <c r="Q124" s="2">
        <v>1259.53</v>
      </c>
    </row>
    <row r="125" spans="1:19" x14ac:dyDescent="0.25">
      <c r="A125" t="s">
        <v>888</v>
      </c>
      <c r="B125">
        <v>0.35</v>
      </c>
      <c r="C125">
        <v>0.23</v>
      </c>
      <c r="D125">
        <v>0.45</v>
      </c>
      <c r="E125">
        <v>0.59</v>
      </c>
      <c r="F125">
        <v>0.51</v>
      </c>
      <c r="G125">
        <v>0.75</v>
      </c>
      <c r="H125">
        <v>0.78</v>
      </c>
      <c r="I125">
        <v>1.35</v>
      </c>
      <c r="J125">
        <v>2.21</v>
      </c>
      <c r="K125">
        <v>2.4300000000000002</v>
      </c>
      <c r="L125">
        <v>2.04</v>
      </c>
      <c r="M125">
        <v>3.05</v>
      </c>
      <c r="N125">
        <v>3.68</v>
      </c>
      <c r="O125">
        <v>5.78</v>
      </c>
      <c r="P125">
        <v>6.82</v>
      </c>
      <c r="Q125">
        <v>7.86</v>
      </c>
      <c r="R125">
        <v>8.43</v>
      </c>
      <c r="S125">
        <v>9.98</v>
      </c>
    </row>
    <row r="126" spans="1:19" x14ac:dyDescent="0.25">
      <c r="A126" t="s">
        <v>17</v>
      </c>
    </row>
    <row r="127" spans="1:19" x14ac:dyDescent="0.25">
      <c r="A127" t="s">
        <v>109</v>
      </c>
      <c r="B127" s="2">
        <v>1681.18</v>
      </c>
      <c r="C127" s="2">
        <v>1637.01</v>
      </c>
      <c r="D127" s="2">
        <v>1567.79</v>
      </c>
      <c r="E127" s="2">
        <v>1574.81</v>
      </c>
      <c r="F127" s="2">
        <v>1573.78</v>
      </c>
      <c r="G127" s="2">
        <v>1569.49</v>
      </c>
      <c r="H127" s="2">
        <v>1580.05</v>
      </c>
      <c r="I127" s="2">
        <v>1554.37</v>
      </c>
      <c r="J127" s="2">
        <v>1515.55</v>
      </c>
      <c r="K127" s="2">
        <v>1402.35</v>
      </c>
      <c r="L127" s="2">
        <v>1361.87</v>
      </c>
      <c r="M127" s="2">
        <v>1337.5</v>
      </c>
      <c r="N127" s="2">
        <v>1319.63</v>
      </c>
      <c r="O127" s="2">
        <v>1306.04</v>
      </c>
      <c r="P127" s="2">
        <v>1291.76</v>
      </c>
      <c r="Q127" s="2">
        <v>1268.98</v>
      </c>
      <c r="R127" s="2">
        <v>1235.8699999999999</v>
      </c>
      <c r="S127" s="2">
        <v>1209.1300000000001</v>
      </c>
    </row>
    <row r="128" spans="1:19" x14ac:dyDescent="0.25">
      <c r="A128" t="s">
        <v>110</v>
      </c>
      <c r="B128">
        <v>0.35</v>
      </c>
      <c r="C128">
        <v>0.3</v>
      </c>
      <c r="D128">
        <v>0.47</v>
      </c>
      <c r="E128">
        <v>0.59</v>
      </c>
      <c r="F128">
        <v>0.8</v>
      </c>
      <c r="G128">
        <v>0.85</v>
      </c>
      <c r="H128">
        <v>1.04</v>
      </c>
      <c r="I128">
        <v>1.46</v>
      </c>
      <c r="J128">
        <v>2.12</v>
      </c>
      <c r="K128">
        <v>2.54</v>
      </c>
      <c r="L128">
        <v>2.37</v>
      </c>
      <c r="M128">
        <v>3.33</v>
      </c>
      <c r="N128">
        <v>3.76</v>
      </c>
      <c r="O128">
        <v>5.48</v>
      </c>
      <c r="P128">
        <v>6.84</v>
      </c>
      <c r="Q128">
        <v>8.23</v>
      </c>
      <c r="R128">
        <v>8.6</v>
      </c>
      <c r="S128">
        <v>10.41</v>
      </c>
    </row>
    <row r="129" spans="1:19" x14ac:dyDescent="0.25">
      <c r="A129" t="s">
        <v>17</v>
      </c>
    </row>
    <row r="130" spans="1:19" x14ac:dyDescent="0.25">
      <c r="A130" t="s">
        <v>282</v>
      </c>
    </row>
    <row r="131" spans="1:19" x14ac:dyDescent="0.25">
      <c r="A131" t="s">
        <v>601</v>
      </c>
      <c r="B131" s="2">
        <v>1232.96</v>
      </c>
      <c r="C131" s="2">
        <v>1215.23</v>
      </c>
      <c r="D131" s="2">
        <v>1163.3900000000001</v>
      </c>
      <c r="E131" s="2">
        <v>1286.22</v>
      </c>
      <c r="F131" s="2">
        <v>1446.04</v>
      </c>
      <c r="G131" s="2">
        <v>1869.38</v>
      </c>
      <c r="H131" s="2">
        <v>2449.56</v>
      </c>
      <c r="I131" s="2">
        <v>2772.17</v>
      </c>
      <c r="J131" s="2">
        <v>3592.44</v>
      </c>
      <c r="K131" s="2">
        <v>4218.3100000000004</v>
      </c>
      <c r="L131" s="2">
        <v>3928.07</v>
      </c>
      <c r="M131" s="2">
        <v>4751.87</v>
      </c>
      <c r="N131" s="2">
        <v>5255.06</v>
      </c>
      <c r="O131" s="2">
        <v>6841.46</v>
      </c>
      <c r="P131" s="2">
        <v>7952.72</v>
      </c>
      <c r="Q131" s="2">
        <v>9027.85</v>
      </c>
      <c r="R131" s="2">
        <v>9675</v>
      </c>
      <c r="S131" s="2">
        <v>10670</v>
      </c>
    </row>
    <row r="132" spans="1:19" x14ac:dyDescent="0.25">
      <c r="A132" t="s">
        <v>63</v>
      </c>
      <c r="B132" s="2">
        <v>1696.45</v>
      </c>
      <c r="C132" s="2">
        <v>1598.82</v>
      </c>
      <c r="D132" s="2">
        <v>2095.61</v>
      </c>
      <c r="E132" s="2">
        <v>2511.79</v>
      </c>
      <c r="F132" s="2">
        <v>2590.66</v>
      </c>
      <c r="G132" s="2">
        <v>2699.53</v>
      </c>
      <c r="H132" s="2">
        <v>3356.86</v>
      </c>
      <c r="I132" s="2">
        <v>4146.57</v>
      </c>
      <c r="J132" s="2">
        <v>5619.44</v>
      </c>
      <c r="K132" s="2">
        <v>6277.75</v>
      </c>
      <c r="L132" s="2">
        <v>5884.17</v>
      </c>
      <c r="M132" s="2">
        <v>7404.3</v>
      </c>
      <c r="N132" s="2">
        <v>8324.42</v>
      </c>
      <c r="O132" s="2">
        <v>11440.15</v>
      </c>
      <c r="P132" s="2">
        <v>13530.86</v>
      </c>
      <c r="Q132" s="2">
        <v>15410.7</v>
      </c>
      <c r="R132" s="2">
        <v>16865</v>
      </c>
      <c r="S132" s="2">
        <v>18643</v>
      </c>
    </row>
    <row r="133" spans="1:19" x14ac:dyDescent="0.25">
      <c r="A133" t="s">
        <v>64</v>
      </c>
      <c r="D133">
        <v>61.3</v>
      </c>
      <c r="E133">
        <v>63.1</v>
      </c>
      <c r="F133">
        <v>64.28</v>
      </c>
      <c r="G133">
        <v>61.83</v>
      </c>
      <c r="H133">
        <v>60.74</v>
      </c>
      <c r="I133">
        <v>62.22</v>
      </c>
      <c r="J133">
        <v>61</v>
      </c>
      <c r="K133">
        <v>61.62</v>
      </c>
      <c r="L133">
        <v>61.87</v>
      </c>
      <c r="M133">
        <v>60.91</v>
      </c>
      <c r="N133">
        <v>61.3</v>
      </c>
      <c r="O133">
        <v>62.66</v>
      </c>
      <c r="P133">
        <v>62.96</v>
      </c>
      <c r="Q133">
        <v>63.34</v>
      </c>
      <c r="R133">
        <v>63.3</v>
      </c>
      <c r="S133">
        <v>63.7</v>
      </c>
    </row>
    <row r="134" spans="1:19" x14ac:dyDescent="0.25">
      <c r="A134" t="s">
        <v>87</v>
      </c>
      <c r="B134">
        <v>924.38</v>
      </c>
      <c r="C134">
        <v>937.48</v>
      </c>
      <c r="D134">
        <v>860.66</v>
      </c>
      <c r="E134">
        <v>914.9</v>
      </c>
      <c r="F134" s="2">
        <v>1050.8399999999999</v>
      </c>
      <c r="G134" s="2">
        <v>1310.1500000000001</v>
      </c>
      <c r="H134" s="2">
        <v>1854.66</v>
      </c>
      <c r="I134" s="2">
        <v>1658.09</v>
      </c>
      <c r="J134" s="2">
        <v>1965.26</v>
      </c>
      <c r="K134" s="2">
        <v>2283.0500000000002</v>
      </c>
      <c r="L134" s="2">
        <v>2537.96</v>
      </c>
      <c r="M134" s="2">
        <v>2629.17</v>
      </c>
      <c r="N134" s="2">
        <v>2663.64</v>
      </c>
      <c r="O134" s="2">
        <v>2896.18</v>
      </c>
      <c r="P134" s="2">
        <v>3423.98</v>
      </c>
      <c r="Q134" s="2">
        <v>3812.52</v>
      </c>
    </row>
    <row r="135" spans="1:19" x14ac:dyDescent="0.25">
      <c r="A135" t="s">
        <v>1377</v>
      </c>
      <c r="B135">
        <v>384.91</v>
      </c>
      <c r="C135">
        <v>406.86</v>
      </c>
      <c r="D135">
        <v>379.4</v>
      </c>
      <c r="E135">
        <v>388.21</v>
      </c>
      <c r="F135">
        <v>442.3</v>
      </c>
      <c r="G135">
        <v>599.12</v>
      </c>
      <c r="H135">
        <v>734.15</v>
      </c>
      <c r="I135">
        <v>729.6</v>
      </c>
      <c r="J135">
        <v>860.01</v>
      </c>
      <c r="K135">
        <v>986.33</v>
      </c>
      <c r="L135">
        <v>969.51</v>
      </c>
      <c r="M135" s="2">
        <v>1029.73</v>
      </c>
      <c r="N135" s="2">
        <v>1131.52</v>
      </c>
      <c r="O135" s="2">
        <v>1223.3</v>
      </c>
      <c r="P135" s="2">
        <v>1359.21</v>
      </c>
      <c r="Q135" s="2">
        <v>1556.1</v>
      </c>
      <c r="R135" s="2">
        <v>1750.59</v>
      </c>
      <c r="S135" s="2">
        <v>1916.6</v>
      </c>
    </row>
    <row r="136" spans="1:19" x14ac:dyDescent="0.25">
      <c r="A136" t="s">
        <v>116</v>
      </c>
      <c r="B136">
        <v>772.07</v>
      </c>
      <c r="C136">
        <v>661.34</v>
      </c>
      <c r="D136">
        <v>960.45</v>
      </c>
      <c r="E136" s="2">
        <v>1278.9000000000001</v>
      </c>
      <c r="F136" s="2">
        <v>1539.83</v>
      </c>
      <c r="G136" s="2">
        <v>1389.37</v>
      </c>
      <c r="H136" s="2">
        <v>1502.2</v>
      </c>
      <c r="I136" s="2">
        <v>2488.48</v>
      </c>
      <c r="J136" s="2">
        <v>3654.18</v>
      </c>
      <c r="K136" s="2">
        <v>3994.7</v>
      </c>
      <c r="L136" s="2">
        <v>3346.21</v>
      </c>
      <c r="M136" s="2">
        <v>4775.13</v>
      </c>
      <c r="N136" s="2">
        <v>5660.78</v>
      </c>
    </row>
    <row r="137" spans="1:19" x14ac:dyDescent="0.25">
      <c r="A137" t="s">
        <v>1378</v>
      </c>
      <c r="B137">
        <v>26.36</v>
      </c>
      <c r="C137">
        <v>23.5</v>
      </c>
      <c r="D137">
        <v>29.47</v>
      </c>
      <c r="E137">
        <v>33.67</v>
      </c>
      <c r="F137">
        <v>38.15</v>
      </c>
      <c r="G137">
        <v>30.41</v>
      </c>
      <c r="H137">
        <v>25.87</v>
      </c>
      <c r="I137">
        <v>35.97</v>
      </c>
      <c r="J137">
        <v>39.67</v>
      </c>
      <c r="K137">
        <v>38.06</v>
      </c>
      <c r="L137">
        <v>34.1</v>
      </c>
      <c r="M137">
        <v>39.28</v>
      </c>
      <c r="N137">
        <v>41.69</v>
      </c>
      <c r="O137">
        <v>45.66</v>
      </c>
      <c r="P137">
        <v>46.8</v>
      </c>
      <c r="Q137">
        <v>47.3</v>
      </c>
      <c r="R137">
        <v>47.3</v>
      </c>
      <c r="S137">
        <v>47.91</v>
      </c>
    </row>
    <row r="138" spans="1:19" x14ac:dyDescent="0.25">
      <c r="A138" t="s">
        <v>121</v>
      </c>
      <c r="B138">
        <v>582.76</v>
      </c>
      <c r="C138">
        <v>366.16</v>
      </c>
      <c r="D138">
        <v>704.42</v>
      </c>
      <c r="E138">
        <v>926.08</v>
      </c>
      <c r="F138">
        <v>802.27</v>
      </c>
      <c r="G138" s="2">
        <v>1175.6199999999999</v>
      </c>
      <c r="H138" s="2">
        <v>1216.79</v>
      </c>
      <c r="I138" s="2">
        <v>2078.29</v>
      </c>
      <c r="J138" s="2">
        <v>3321.81</v>
      </c>
      <c r="K138" s="2">
        <v>3387.28</v>
      </c>
      <c r="L138" s="2">
        <v>2761.9</v>
      </c>
      <c r="M138" s="2">
        <v>4061.64</v>
      </c>
      <c r="N138" s="2">
        <v>4830.7700000000004</v>
      </c>
      <c r="O138" s="2">
        <v>7142.1</v>
      </c>
      <c r="P138" s="2">
        <v>8806.94</v>
      </c>
      <c r="Q138" s="2">
        <v>10248.5</v>
      </c>
      <c r="R138" s="2">
        <v>11276</v>
      </c>
      <c r="S138" s="2">
        <v>12568</v>
      </c>
    </row>
    <row r="139" spans="1:19" x14ac:dyDescent="0.25">
      <c r="A139" t="s">
        <v>120</v>
      </c>
      <c r="B139">
        <v>151.71</v>
      </c>
      <c r="C139">
        <v>67.97</v>
      </c>
      <c r="D139">
        <v>153.77000000000001</v>
      </c>
      <c r="E139">
        <v>247.17</v>
      </c>
      <c r="F139">
        <v>653.66999999999996</v>
      </c>
      <c r="G139">
        <v>121.21</v>
      </c>
      <c r="H139">
        <v>101.69</v>
      </c>
      <c r="I139">
        <v>283.10000000000002</v>
      </c>
      <c r="J139">
        <v>167.18</v>
      </c>
      <c r="K139">
        <v>401.84</v>
      </c>
      <c r="L139">
        <v>428.14</v>
      </c>
      <c r="M139">
        <v>582.80999999999995</v>
      </c>
      <c r="N139">
        <v>775.15</v>
      </c>
      <c r="O139" s="2">
        <v>1280.82</v>
      </c>
      <c r="P139" s="2">
        <v>1620.04</v>
      </c>
      <c r="Q139" s="2">
        <v>1967.05</v>
      </c>
      <c r="R139" s="2">
        <v>1836</v>
      </c>
      <c r="S139" s="2">
        <v>2046</v>
      </c>
    </row>
    <row r="140" spans="1:19" x14ac:dyDescent="0.25">
      <c r="A140" t="s">
        <v>489</v>
      </c>
      <c r="B140">
        <v>20.7</v>
      </c>
      <c r="C140">
        <v>15.7</v>
      </c>
      <c r="D140">
        <v>17.899999999999999</v>
      </c>
      <c r="E140">
        <v>21.1</v>
      </c>
      <c r="F140">
        <v>44.9</v>
      </c>
      <c r="G140">
        <v>9.4</v>
      </c>
      <c r="H140">
        <v>7.7</v>
      </c>
      <c r="I140">
        <v>12</v>
      </c>
      <c r="J140">
        <v>4.8</v>
      </c>
      <c r="K140">
        <v>10.6</v>
      </c>
      <c r="L140">
        <v>13.4</v>
      </c>
      <c r="M140">
        <v>12.5</v>
      </c>
      <c r="N140">
        <v>13.8</v>
      </c>
      <c r="O140">
        <v>14.45</v>
      </c>
      <c r="P140">
        <v>14.36</v>
      </c>
      <c r="Q140">
        <v>14.56</v>
      </c>
    </row>
    <row r="141" spans="1:19" x14ac:dyDescent="0.25">
      <c r="A141" t="s">
        <v>124</v>
      </c>
      <c r="B141">
        <v>0.35</v>
      </c>
      <c r="C141">
        <v>0.22</v>
      </c>
      <c r="D141">
        <v>0.45</v>
      </c>
      <c r="E141">
        <v>0.59</v>
      </c>
      <c r="F141">
        <v>0.51</v>
      </c>
      <c r="G141">
        <v>0.75</v>
      </c>
      <c r="H141">
        <v>0.77</v>
      </c>
      <c r="I141">
        <v>1.34</v>
      </c>
      <c r="J141">
        <v>2.19</v>
      </c>
      <c r="K141">
        <v>2.42</v>
      </c>
      <c r="L141">
        <v>2.0299999999999998</v>
      </c>
      <c r="M141">
        <v>3.04</v>
      </c>
      <c r="N141">
        <v>3.66</v>
      </c>
      <c r="O141">
        <v>5.38</v>
      </c>
      <c r="P141">
        <v>6.93</v>
      </c>
      <c r="Q141">
        <v>8.08</v>
      </c>
      <c r="R141">
        <v>8.43</v>
      </c>
      <c r="S141">
        <v>9.98</v>
      </c>
    </row>
    <row r="142" spans="1:19" x14ac:dyDescent="0.25">
      <c r="A142" t="s">
        <v>1379</v>
      </c>
      <c r="B142">
        <v>0.18</v>
      </c>
      <c r="C142">
        <v>0.2</v>
      </c>
      <c r="D142">
        <v>0.21</v>
      </c>
      <c r="E142">
        <v>0.21</v>
      </c>
      <c r="F142">
        <v>0.25</v>
      </c>
      <c r="G142">
        <v>0.3</v>
      </c>
      <c r="H142">
        <v>0.33</v>
      </c>
      <c r="I142">
        <v>0.36</v>
      </c>
      <c r="J142">
        <v>0.42</v>
      </c>
      <c r="K142">
        <v>0.52</v>
      </c>
      <c r="L142">
        <v>0.56999999999999995</v>
      </c>
      <c r="M142">
        <v>0.68</v>
      </c>
      <c r="N142">
        <v>5.93</v>
      </c>
      <c r="O142">
        <v>0.92</v>
      </c>
      <c r="P142">
        <v>1.02</v>
      </c>
      <c r="Q142">
        <v>1.1399999999999999</v>
      </c>
      <c r="R142">
        <v>1.47</v>
      </c>
      <c r="S142">
        <v>1.59</v>
      </c>
    </row>
    <row r="143" spans="1:19" x14ac:dyDescent="0.25">
      <c r="A143" t="s">
        <v>17</v>
      </c>
    </row>
    <row r="144" spans="1:19" x14ac:dyDescent="0.25">
      <c r="A144" t="s">
        <v>651</v>
      </c>
    </row>
    <row r="145" spans="1:19" x14ac:dyDescent="0.25">
      <c r="A145" t="s">
        <v>131</v>
      </c>
    </row>
    <row r="146" spans="1:19" x14ac:dyDescent="0.25">
      <c r="A146" t="s">
        <v>1380</v>
      </c>
      <c r="B146">
        <v>9.75</v>
      </c>
      <c r="C146">
        <v>17.97</v>
      </c>
      <c r="D146">
        <v>8.2799999999999994</v>
      </c>
      <c r="E146">
        <v>3.34</v>
      </c>
      <c r="F146">
        <v>5.32</v>
      </c>
      <c r="G146">
        <v>125.32</v>
      </c>
      <c r="H146">
        <v>170.73</v>
      </c>
      <c r="I146">
        <v>158.22</v>
      </c>
      <c r="J146">
        <v>169.14</v>
      </c>
      <c r="K146">
        <v>189.98</v>
      </c>
      <c r="L146">
        <v>186.44</v>
      </c>
      <c r="M146">
        <v>170.86</v>
      </c>
      <c r="N146">
        <v>149.41</v>
      </c>
      <c r="O146">
        <v>146.16</v>
      </c>
      <c r="P146">
        <v>147.22999999999999</v>
      </c>
      <c r="Q146">
        <v>147.24</v>
      </c>
    </row>
    <row r="147" spans="1:19" x14ac:dyDescent="0.25">
      <c r="A147" t="s">
        <v>133</v>
      </c>
      <c r="B147">
        <v>5.13</v>
      </c>
      <c r="C147">
        <v>16.82</v>
      </c>
      <c r="D147">
        <v>22.48</v>
      </c>
      <c r="E147">
        <v>9.92</v>
      </c>
      <c r="F147">
        <v>11.13</v>
      </c>
      <c r="G147">
        <v>87.75</v>
      </c>
      <c r="H147">
        <v>82.43</v>
      </c>
      <c r="I147">
        <v>61.05</v>
      </c>
      <c r="J147">
        <v>63.76</v>
      </c>
      <c r="K147">
        <v>105.74</v>
      </c>
      <c r="L147">
        <v>70.05</v>
      </c>
      <c r="M147">
        <v>50.71</v>
      </c>
      <c r="N147">
        <v>40.270000000000003</v>
      </c>
      <c r="O147">
        <v>33.880000000000003</v>
      </c>
    </row>
    <row r="148" spans="1:19" x14ac:dyDescent="0.25">
      <c r="A148" t="s">
        <v>1381</v>
      </c>
      <c r="B148">
        <v>6.63</v>
      </c>
      <c r="C148">
        <v>13.96</v>
      </c>
      <c r="D148">
        <v>3.88</v>
      </c>
      <c r="E148">
        <v>4.03</v>
      </c>
      <c r="F148">
        <v>1.1499999999999999</v>
      </c>
      <c r="G148">
        <v>3.33</v>
      </c>
      <c r="H148">
        <v>2.0699999999999998</v>
      </c>
      <c r="I148">
        <v>2.71</v>
      </c>
      <c r="J148">
        <v>5.96</v>
      </c>
      <c r="K148">
        <v>19.3</v>
      </c>
      <c r="L148">
        <v>4.4400000000000004</v>
      </c>
      <c r="M148">
        <v>5.24</v>
      </c>
      <c r="N148">
        <v>0</v>
      </c>
    </row>
    <row r="149" spans="1:19" x14ac:dyDescent="0.25">
      <c r="A149" t="s">
        <v>1382</v>
      </c>
      <c r="D149">
        <v>0</v>
      </c>
      <c r="E149">
        <v>-3.06</v>
      </c>
      <c r="F149">
        <v>441.68</v>
      </c>
      <c r="G149">
        <v>-9.41</v>
      </c>
      <c r="H149">
        <v>-34.92</v>
      </c>
      <c r="I149">
        <v>35.520000000000003</v>
      </c>
      <c r="J149">
        <v>-286.02999999999997</v>
      </c>
      <c r="K149">
        <v>-46.07</v>
      </c>
      <c r="L149">
        <v>7.63</v>
      </c>
      <c r="M149">
        <v>3.63</v>
      </c>
      <c r="N149">
        <v>21.8</v>
      </c>
    </row>
    <row r="150" spans="1:19" x14ac:dyDescent="0.25">
      <c r="A150" t="s">
        <v>1383</v>
      </c>
      <c r="B150">
        <v>-6.81</v>
      </c>
      <c r="C150">
        <v>-61.26</v>
      </c>
      <c r="D150">
        <v>-9</v>
      </c>
      <c r="E150">
        <v>-5.41</v>
      </c>
      <c r="F150">
        <v>-2.71</v>
      </c>
      <c r="G150">
        <v>-54.64</v>
      </c>
      <c r="H150">
        <v>-83.4</v>
      </c>
      <c r="I150">
        <v>-69.34</v>
      </c>
      <c r="J150">
        <v>-74.709999999999994</v>
      </c>
      <c r="K150">
        <v>-90.41</v>
      </c>
      <c r="L150">
        <v>-86.31</v>
      </c>
      <c r="M150">
        <v>-79.510000000000005</v>
      </c>
      <c r="N150">
        <v>-71.28</v>
      </c>
      <c r="O150">
        <v>-68.64</v>
      </c>
    </row>
    <row r="151" spans="1:19" x14ac:dyDescent="0.25">
      <c r="A151" t="s">
        <v>17</v>
      </c>
    </row>
    <row r="152" spans="1:19" x14ac:dyDescent="0.25">
      <c r="A152" t="s">
        <v>134</v>
      </c>
    </row>
    <row r="153" spans="1:19" x14ac:dyDescent="0.25">
      <c r="A153" t="s">
        <v>135</v>
      </c>
    </row>
    <row r="154" spans="1:19" x14ac:dyDescent="0.25">
      <c r="A154" t="s">
        <v>136</v>
      </c>
      <c r="B154" s="2">
        <v>4586.83</v>
      </c>
      <c r="C154" s="2">
        <v>3904.58</v>
      </c>
      <c r="D154" s="2">
        <v>3868.03</v>
      </c>
      <c r="E154" s="2">
        <v>4392.07</v>
      </c>
      <c r="F154" s="2">
        <v>4549</v>
      </c>
      <c r="G154" s="2">
        <v>4315.08</v>
      </c>
      <c r="H154" s="2">
        <v>4723.55</v>
      </c>
      <c r="I154" s="2">
        <v>5696.25</v>
      </c>
      <c r="J154" s="2">
        <v>7168.91</v>
      </c>
      <c r="K154" s="2">
        <v>8372.0300000000007</v>
      </c>
      <c r="L154" s="2">
        <v>10031.14</v>
      </c>
      <c r="M154" s="2">
        <v>10698.79</v>
      </c>
      <c r="N154" s="2">
        <v>12381.79</v>
      </c>
      <c r="O154" s="2">
        <v>16932.439999999999</v>
      </c>
      <c r="P154" s="2">
        <v>19634.59</v>
      </c>
      <c r="Q154" s="2">
        <v>25210.92</v>
      </c>
    </row>
    <row r="155" spans="1:19" x14ac:dyDescent="0.25">
      <c r="A155" t="s">
        <v>1384</v>
      </c>
      <c r="B155" s="2">
        <v>3152.64</v>
      </c>
      <c r="C155" s="2">
        <v>2387.11</v>
      </c>
      <c r="D155" s="2">
        <v>2491.29</v>
      </c>
      <c r="E155" s="2">
        <v>3016.74</v>
      </c>
      <c r="F155" s="2">
        <v>2880.32</v>
      </c>
      <c r="G155" s="2">
        <v>1739.39</v>
      </c>
      <c r="H155" s="2">
        <v>1980.47</v>
      </c>
      <c r="I155" s="2">
        <v>2494.52</v>
      </c>
      <c r="J155" s="2">
        <v>2708.01</v>
      </c>
      <c r="K155" s="2">
        <v>3243.16</v>
      </c>
      <c r="L155" s="2">
        <v>4504</v>
      </c>
      <c r="M155" s="2">
        <v>4494.62</v>
      </c>
      <c r="N155" s="2">
        <v>4902.41</v>
      </c>
      <c r="O155" s="2">
        <v>7692.99</v>
      </c>
      <c r="P155" s="2">
        <v>8978.5</v>
      </c>
      <c r="Q155" s="2">
        <v>12334.59</v>
      </c>
      <c r="R155" s="2">
        <v>9851.26</v>
      </c>
      <c r="S155" s="2">
        <v>11381.22</v>
      </c>
    </row>
    <row r="156" spans="1:19" x14ac:dyDescent="0.25">
      <c r="A156" t="s">
        <v>536</v>
      </c>
      <c r="B156">
        <v>630.86</v>
      </c>
      <c r="C156">
        <v>838.03</v>
      </c>
      <c r="D156" s="2">
        <v>1108.49</v>
      </c>
      <c r="E156" s="2">
        <v>1153.05</v>
      </c>
      <c r="F156" s="2">
        <v>1404.38</v>
      </c>
      <c r="G156" s="2">
        <v>1015.99</v>
      </c>
      <c r="H156" s="2">
        <v>1234.4100000000001</v>
      </c>
      <c r="I156" s="2">
        <v>1434.61</v>
      </c>
      <c r="J156" s="2">
        <v>1584.91</v>
      </c>
      <c r="K156" s="2">
        <v>1927.87</v>
      </c>
      <c r="L156" s="2">
        <v>1977.13</v>
      </c>
      <c r="M156" s="2">
        <v>2078.91</v>
      </c>
      <c r="N156" s="2">
        <v>1649.84</v>
      </c>
      <c r="O156" s="2">
        <v>3655.29</v>
      </c>
      <c r="P156" s="2">
        <v>5878.52</v>
      </c>
      <c r="Q156" s="2">
        <v>9401.7999999999993</v>
      </c>
      <c r="R156" s="2">
        <v>6061</v>
      </c>
      <c r="S156" s="2">
        <v>6794</v>
      </c>
    </row>
    <row r="157" spans="1:19" x14ac:dyDescent="0.25">
      <c r="A157" t="s">
        <v>1385</v>
      </c>
      <c r="B157" s="2">
        <v>2521.7800000000002</v>
      </c>
      <c r="C157" s="2">
        <v>1549.09</v>
      </c>
      <c r="D157" s="2">
        <v>1382.81</v>
      </c>
      <c r="E157" s="2">
        <v>1863.69</v>
      </c>
      <c r="F157" s="2">
        <v>1475.94</v>
      </c>
      <c r="G157">
        <v>723.39</v>
      </c>
      <c r="H157">
        <v>746.06</v>
      </c>
      <c r="I157" s="2">
        <v>1059.9100000000001</v>
      </c>
      <c r="J157" s="2">
        <v>1123.0999999999999</v>
      </c>
      <c r="K157" s="2">
        <v>1315.29</v>
      </c>
      <c r="L157" s="2">
        <v>2526.87</v>
      </c>
      <c r="M157" s="2">
        <v>2415.7199999999998</v>
      </c>
      <c r="N157" s="2">
        <v>3252.57</v>
      </c>
      <c r="O157" s="2">
        <v>3252.69</v>
      </c>
      <c r="P157" s="2">
        <v>3252.68</v>
      </c>
      <c r="Q157" s="2">
        <v>3252.57</v>
      </c>
    </row>
    <row r="158" spans="1:19" x14ac:dyDescent="0.25">
      <c r="A158" t="s">
        <v>141</v>
      </c>
      <c r="B158">
        <v>492.86</v>
      </c>
      <c r="C158">
        <v>585.49</v>
      </c>
      <c r="D158">
        <v>613.23</v>
      </c>
      <c r="E158">
        <v>571.12</v>
      </c>
      <c r="F158">
        <v>651.67999999999995</v>
      </c>
      <c r="G158">
        <v>990.11</v>
      </c>
      <c r="H158" s="2">
        <v>1107.4100000000001</v>
      </c>
      <c r="I158" s="2">
        <v>1305.48</v>
      </c>
      <c r="J158" s="2">
        <v>1811.88</v>
      </c>
      <c r="K158" s="2">
        <v>1753.36</v>
      </c>
      <c r="L158" s="2">
        <v>1833.04</v>
      </c>
      <c r="M158" s="2">
        <v>2263.92</v>
      </c>
      <c r="N158" s="2">
        <v>2889.21</v>
      </c>
      <c r="O158" s="2">
        <v>3728.1</v>
      </c>
      <c r="P158" s="2">
        <v>4093.71</v>
      </c>
      <c r="Q158" s="2">
        <v>4533.1899999999996</v>
      </c>
      <c r="R158" s="2">
        <v>5090</v>
      </c>
      <c r="S158" s="2">
        <v>5622</v>
      </c>
    </row>
    <row r="159" spans="1:19" x14ac:dyDescent="0.25">
      <c r="A159" t="s">
        <v>340</v>
      </c>
      <c r="B159">
        <v>656.46</v>
      </c>
      <c r="C159">
        <v>617.9</v>
      </c>
      <c r="D159">
        <v>698.64</v>
      </c>
      <c r="E159">
        <v>732.99</v>
      </c>
      <c r="F159">
        <v>931.85</v>
      </c>
      <c r="G159" s="2">
        <v>1262.5</v>
      </c>
      <c r="H159" s="2">
        <v>1310.99</v>
      </c>
      <c r="I159" s="2">
        <v>1575.38</v>
      </c>
      <c r="J159" s="2">
        <v>2146.89</v>
      </c>
      <c r="K159" s="2">
        <v>2876.78</v>
      </c>
      <c r="L159" s="2">
        <v>3034.78</v>
      </c>
      <c r="M159" s="2">
        <v>3212.15</v>
      </c>
      <c r="N159" s="2">
        <v>3648.54</v>
      </c>
      <c r="O159" s="2">
        <v>4728.55</v>
      </c>
      <c r="P159" s="2">
        <v>5218.51</v>
      </c>
      <c r="Q159" s="2">
        <v>5803.1</v>
      </c>
      <c r="R159" s="2">
        <v>6096</v>
      </c>
      <c r="S159" s="2">
        <v>6723</v>
      </c>
    </row>
    <row r="160" spans="1:19" x14ac:dyDescent="0.25">
      <c r="A160" t="s">
        <v>305</v>
      </c>
      <c r="B160">
        <v>221.61</v>
      </c>
      <c r="C160">
        <v>194.22</v>
      </c>
      <c r="D160">
        <v>208.69</v>
      </c>
      <c r="E160">
        <v>240.39</v>
      </c>
      <c r="F160">
        <v>331.07</v>
      </c>
      <c r="G160">
        <v>444.63</v>
      </c>
      <c r="H160">
        <v>478.59</v>
      </c>
      <c r="I160">
        <v>595.15</v>
      </c>
      <c r="J160" s="2">
        <v>1042.92</v>
      </c>
      <c r="K160" s="2">
        <v>1559.2</v>
      </c>
      <c r="L160" s="2">
        <v>1485.4</v>
      </c>
      <c r="M160" s="2">
        <v>1491.79</v>
      </c>
      <c r="N160" s="2">
        <v>1849.68</v>
      </c>
      <c r="O160" s="2">
        <v>2520.83</v>
      </c>
      <c r="P160" s="2">
        <v>2497.92</v>
      </c>
    </row>
    <row r="161" spans="1:19" x14ac:dyDescent="0.25">
      <c r="A161" t="s">
        <v>1386</v>
      </c>
      <c r="B161">
        <v>171.25</v>
      </c>
      <c r="C161">
        <v>156.82</v>
      </c>
      <c r="D161">
        <v>187.73</v>
      </c>
      <c r="E161">
        <v>193.03</v>
      </c>
      <c r="F161">
        <v>280.20999999999998</v>
      </c>
      <c r="G161">
        <v>285.19</v>
      </c>
      <c r="H161">
        <v>334.97</v>
      </c>
      <c r="I161">
        <v>453.43</v>
      </c>
      <c r="J161">
        <v>451.78</v>
      </c>
      <c r="K161">
        <v>578.86</v>
      </c>
      <c r="L161">
        <v>700.9</v>
      </c>
      <c r="M161">
        <v>833.93</v>
      </c>
      <c r="N161">
        <v>937.72</v>
      </c>
      <c r="O161" s="2">
        <v>1260.42</v>
      </c>
      <c r="P161" s="2">
        <v>1248.96</v>
      </c>
    </row>
    <row r="162" spans="1:19" x14ac:dyDescent="0.25">
      <c r="A162" t="s">
        <v>145</v>
      </c>
      <c r="B162">
        <v>284.87</v>
      </c>
      <c r="C162">
        <v>314.07</v>
      </c>
      <c r="D162">
        <v>64.87</v>
      </c>
      <c r="E162">
        <v>71.22</v>
      </c>
      <c r="F162">
        <v>85.16</v>
      </c>
      <c r="G162">
        <v>323.08</v>
      </c>
      <c r="H162">
        <v>324.68</v>
      </c>
      <c r="I162">
        <v>320.87</v>
      </c>
      <c r="J162">
        <v>502.14</v>
      </c>
      <c r="K162">
        <v>498.73</v>
      </c>
      <c r="L162">
        <v>659.33</v>
      </c>
      <c r="M162">
        <v>728.1</v>
      </c>
      <c r="N162">
        <v>941.64</v>
      </c>
      <c r="O162">
        <v>992.44</v>
      </c>
      <c r="P162">
        <v>948.11</v>
      </c>
      <c r="Q162" s="2">
        <v>1151.73</v>
      </c>
    </row>
    <row r="163" spans="1:19" x14ac:dyDescent="0.25">
      <c r="A163" t="s">
        <v>146</v>
      </c>
      <c r="B163">
        <v>951.83</v>
      </c>
      <c r="C163">
        <v>921.44</v>
      </c>
      <c r="D163" s="2">
        <v>1094.4000000000001</v>
      </c>
      <c r="E163" s="2">
        <v>1140.1099999999999</v>
      </c>
      <c r="F163" s="2">
        <v>1089.6199999999999</v>
      </c>
      <c r="G163" s="2">
        <v>4693.4399999999996</v>
      </c>
      <c r="H163" s="2">
        <v>4556.42</v>
      </c>
      <c r="I163" s="2">
        <v>4574.88</v>
      </c>
      <c r="J163" s="2">
        <v>5428.18</v>
      </c>
      <c r="K163" s="2">
        <v>5700.33</v>
      </c>
      <c r="L163" s="2">
        <v>5402.42</v>
      </c>
      <c r="M163" s="2">
        <v>5369.14</v>
      </c>
      <c r="N163" s="2">
        <v>5569.75</v>
      </c>
    </row>
    <row r="164" spans="1:19" x14ac:dyDescent="0.25">
      <c r="A164" t="s">
        <v>409</v>
      </c>
      <c r="B164">
        <v>330.26</v>
      </c>
      <c r="C164">
        <v>314.58999999999997</v>
      </c>
      <c r="D164">
        <v>278.01</v>
      </c>
      <c r="E164">
        <v>283.98</v>
      </c>
      <c r="F164">
        <v>286.31</v>
      </c>
      <c r="G164">
        <v>448.8</v>
      </c>
      <c r="H164">
        <v>519.82000000000005</v>
      </c>
      <c r="I164">
        <v>663.03</v>
      </c>
      <c r="J164">
        <v>849.93</v>
      </c>
      <c r="K164" s="2">
        <v>1031.8399999999999</v>
      </c>
      <c r="L164" s="2">
        <v>1109.97</v>
      </c>
      <c r="M164" s="2">
        <v>1252.78</v>
      </c>
      <c r="N164" s="2">
        <v>1380.55</v>
      </c>
      <c r="O164" s="2">
        <v>1497.8</v>
      </c>
      <c r="P164" s="2">
        <v>1709.23</v>
      </c>
      <c r="Q164" s="2">
        <v>2017.95</v>
      </c>
      <c r="R164" s="2">
        <v>2259.19</v>
      </c>
      <c r="S164" s="2">
        <v>2576.44</v>
      </c>
    </row>
    <row r="165" spans="1:19" x14ac:dyDescent="0.25">
      <c r="A165" t="s">
        <v>604</v>
      </c>
      <c r="B165">
        <v>75.14</v>
      </c>
      <c r="C165">
        <v>78.650000000000006</v>
      </c>
      <c r="D165">
        <v>302.22000000000003</v>
      </c>
      <c r="E165">
        <v>291.97000000000003</v>
      </c>
      <c r="F165">
        <v>193.2</v>
      </c>
      <c r="G165">
        <v>206.14</v>
      </c>
      <c r="H165">
        <v>236.8</v>
      </c>
      <c r="I165">
        <v>270.45999999999998</v>
      </c>
      <c r="J165">
        <v>579.16999999999996</v>
      </c>
      <c r="K165">
        <v>816.9</v>
      </c>
      <c r="L165">
        <v>915.24</v>
      </c>
      <c r="M165" s="2">
        <v>1105.77</v>
      </c>
      <c r="N165" s="2">
        <v>1037.22</v>
      </c>
      <c r="O165" s="2">
        <v>1106.03</v>
      </c>
      <c r="P165" s="2">
        <v>1261.1099999999999</v>
      </c>
      <c r="Q165" s="2">
        <v>1399.11</v>
      </c>
    </row>
    <row r="166" spans="1:19" x14ac:dyDescent="0.25">
      <c r="A166" t="s">
        <v>312</v>
      </c>
      <c r="C166">
        <v>347.16</v>
      </c>
      <c r="D166">
        <v>339.51</v>
      </c>
      <c r="E166">
        <v>368.49</v>
      </c>
      <c r="F166">
        <v>374.03</v>
      </c>
      <c r="G166" s="2">
        <v>3772.53</v>
      </c>
      <c r="H166" s="2">
        <v>3436.82</v>
      </c>
      <c r="I166" s="2">
        <v>3196.48</v>
      </c>
      <c r="J166" s="2">
        <v>3514.46</v>
      </c>
      <c r="K166" s="2">
        <v>3214.12</v>
      </c>
      <c r="L166" s="2">
        <v>2684.49</v>
      </c>
      <c r="M166" s="2">
        <v>2236.98</v>
      </c>
      <c r="N166" s="2">
        <v>2044.59</v>
      </c>
      <c r="O166" s="2">
        <v>1946</v>
      </c>
      <c r="P166" s="2">
        <v>1932.66</v>
      </c>
      <c r="Q166" s="2">
        <v>2044.59</v>
      </c>
    </row>
    <row r="167" spans="1:19" x14ac:dyDescent="0.25">
      <c r="A167" t="s">
        <v>152</v>
      </c>
      <c r="B167">
        <v>335.36</v>
      </c>
      <c r="C167">
        <v>335.26</v>
      </c>
      <c r="D167">
        <v>335.18</v>
      </c>
      <c r="E167">
        <v>349.53</v>
      </c>
      <c r="F167">
        <v>354.7</v>
      </c>
      <c r="G167" s="2">
        <v>2211.86</v>
      </c>
      <c r="H167" s="2">
        <v>2045.4</v>
      </c>
      <c r="I167" s="2">
        <v>2011.17</v>
      </c>
      <c r="J167" s="2">
        <v>2320.0500000000002</v>
      </c>
      <c r="K167" s="2">
        <v>2278.8200000000002</v>
      </c>
      <c r="L167" s="2">
        <v>2015.73</v>
      </c>
      <c r="M167" s="2">
        <v>1792.19</v>
      </c>
      <c r="N167" s="2">
        <v>1788.76</v>
      </c>
      <c r="O167" s="2">
        <v>1765.36</v>
      </c>
      <c r="P167" s="2">
        <v>1713.69</v>
      </c>
      <c r="Q167" s="2">
        <v>1647.88</v>
      </c>
      <c r="R167" s="2">
        <v>1789</v>
      </c>
      <c r="S167" s="2">
        <v>1789</v>
      </c>
    </row>
    <row r="168" spans="1:19" x14ac:dyDescent="0.25">
      <c r="A168" t="s">
        <v>151</v>
      </c>
      <c r="B168">
        <v>27.7</v>
      </c>
      <c r="C168">
        <v>11.9</v>
      </c>
      <c r="D168">
        <v>4.33</v>
      </c>
      <c r="E168">
        <v>18.96</v>
      </c>
      <c r="F168">
        <v>19.329999999999998</v>
      </c>
      <c r="G168" s="2">
        <v>1560.67</v>
      </c>
      <c r="H168" s="2">
        <v>1391.41</v>
      </c>
      <c r="I168" s="2">
        <v>1185.31</v>
      </c>
      <c r="J168" s="2">
        <v>1194.4100000000001</v>
      </c>
      <c r="K168">
        <v>935.3</v>
      </c>
      <c r="L168">
        <v>668.76</v>
      </c>
      <c r="M168">
        <v>444.79</v>
      </c>
      <c r="N168">
        <v>255.84</v>
      </c>
      <c r="O168">
        <v>191.41</v>
      </c>
      <c r="P168">
        <v>49.87</v>
      </c>
      <c r="Q168">
        <v>44.52</v>
      </c>
      <c r="R168">
        <v>16</v>
      </c>
      <c r="S168">
        <v>-12</v>
      </c>
    </row>
    <row r="169" spans="1:19" x14ac:dyDescent="0.25">
      <c r="A169" t="s">
        <v>78</v>
      </c>
      <c r="B169">
        <v>258.52</v>
      </c>
      <c r="C169">
        <v>181.04</v>
      </c>
      <c r="D169">
        <v>174.66</v>
      </c>
      <c r="E169">
        <v>195.68</v>
      </c>
      <c r="F169">
        <v>236.08</v>
      </c>
      <c r="G169">
        <v>265.97000000000003</v>
      </c>
      <c r="H169">
        <v>362.98</v>
      </c>
      <c r="I169">
        <v>444.91</v>
      </c>
      <c r="J169">
        <v>484.61</v>
      </c>
      <c r="K169">
        <v>637.46</v>
      </c>
      <c r="L169">
        <v>692.72</v>
      </c>
      <c r="M169">
        <v>773.61</v>
      </c>
      <c r="N169" s="2">
        <v>1107.3800000000001</v>
      </c>
      <c r="O169" s="2">
        <v>1113.44</v>
      </c>
      <c r="P169" s="2">
        <v>1207.55</v>
      </c>
      <c r="Q169" s="2">
        <v>1279.3</v>
      </c>
    </row>
    <row r="170" spans="1:19" x14ac:dyDescent="0.25">
      <c r="A170" t="s">
        <v>155</v>
      </c>
      <c r="B170" s="2">
        <v>5535.85</v>
      </c>
      <c r="C170" s="2">
        <v>4826.01</v>
      </c>
      <c r="D170" s="2">
        <v>4962.43</v>
      </c>
      <c r="E170" s="2">
        <v>5532.17</v>
      </c>
      <c r="F170" s="2">
        <v>5638.62</v>
      </c>
      <c r="G170" s="2">
        <v>9008.52</v>
      </c>
      <c r="H170" s="2">
        <v>9279.9599999999991</v>
      </c>
      <c r="I170" s="2">
        <v>10271.120000000001</v>
      </c>
      <c r="J170" s="2">
        <v>12597.09</v>
      </c>
      <c r="K170" s="2">
        <v>14072.36</v>
      </c>
      <c r="L170" s="2">
        <v>15433.57</v>
      </c>
      <c r="M170" s="2">
        <v>16067.93</v>
      </c>
      <c r="N170" s="2">
        <v>17951.54</v>
      </c>
      <c r="O170" s="2">
        <v>22268.080000000002</v>
      </c>
      <c r="P170" s="2">
        <v>24702.87</v>
      </c>
      <c r="Q170" s="2">
        <v>28630.87</v>
      </c>
      <c r="R170" s="2">
        <v>24217.68</v>
      </c>
      <c r="S170" s="2">
        <v>25675.93</v>
      </c>
    </row>
    <row r="171" spans="1:19" x14ac:dyDescent="0.25">
      <c r="A171" t="s">
        <v>17</v>
      </c>
    </row>
    <row r="172" spans="1:19" x14ac:dyDescent="0.25">
      <c r="A172" t="s">
        <v>156</v>
      </c>
    </row>
    <row r="173" spans="1:19" x14ac:dyDescent="0.25">
      <c r="A173" t="s">
        <v>157</v>
      </c>
      <c r="B173">
        <v>895.61</v>
      </c>
      <c r="C173" s="2">
        <v>1001.76</v>
      </c>
      <c r="D173" s="2">
        <v>1002.42</v>
      </c>
      <c r="E173" s="2">
        <v>1293.1600000000001</v>
      </c>
      <c r="F173" s="2">
        <v>1214.27</v>
      </c>
      <c r="G173" s="2">
        <v>1768.49</v>
      </c>
      <c r="H173" s="2">
        <v>1699.79</v>
      </c>
      <c r="I173" s="2">
        <v>2103.23</v>
      </c>
      <c r="J173" s="2">
        <v>2838.87</v>
      </c>
      <c r="K173" s="2">
        <v>3742.84</v>
      </c>
      <c r="L173" s="2">
        <v>4660.7700000000004</v>
      </c>
      <c r="M173" s="2">
        <v>4085.8</v>
      </c>
      <c r="N173" s="2">
        <v>4304.93</v>
      </c>
      <c r="O173" s="2">
        <v>5393.02</v>
      </c>
      <c r="P173" s="2">
        <v>5984.58</v>
      </c>
      <c r="Q173" s="2">
        <v>6598.56</v>
      </c>
    </row>
    <row r="174" spans="1:19" x14ac:dyDescent="0.25">
      <c r="A174" t="s">
        <v>158</v>
      </c>
      <c r="B174">
        <v>103.42</v>
      </c>
      <c r="C174">
        <v>103.34</v>
      </c>
      <c r="D174">
        <v>106.52</v>
      </c>
      <c r="E174">
        <v>147.38</v>
      </c>
      <c r="F174">
        <v>169.35</v>
      </c>
      <c r="G174">
        <v>202.42</v>
      </c>
      <c r="H174">
        <v>264.27999999999997</v>
      </c>
      <c r="I174">
        <v>342.08</v>
      </c>
      <c r="J174">
        <v>443.34</v>
      </c>
      <c r="K174">
        <v>371.03</v>
      </c>
      <c r="L174">
        <v>359.49</v>
      </c>
      <c r="M174">
        <v>458.51</v>
      </c>
      <c r="N174">
        <v>623.66999999999996</v>
      </c>
      <c r="O174">
        <v>783.71</v>
      </c>
      <c r="P174">
        <v>880.62</v>
      </c>
      <c r="Q174">
        <v>986.31</v>
      </c>
      <c r="R174" s="2">
        <v>1060</v>
      </c>
      <c r="S174" s="2">
        <v>1169</v>
      </c>
    </row>
    <row r="175" spans="1:19" x14ac:dyDescent="0.25">
      <c r="A175" t="s">
        <v>694</v>
      </c>
      <c r="B175">
        <v>0</v>
      </c>
      <c r="C175">
        <v>16.98</v>
      </c>
      <c r="D175">
        <v>0</v>
      </c>
      <c r="E175">
        <v>249.98</v>
      </c>
      <c r="F175">
        <v>0</v>
      </c>
      <c r="G175">
        <v>250</v>
      </c>
      <c r="H175">
        <v>0</v>
      </c>
      <c r="I175">
        <v>20</v>
      </c>
      <c r="J175">
        <v>0</v>
      </c>
      <c r="K175">
        <v>0</v>
      </c>
      <c r="L175">
        <v>749.94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9" x14ac:dyDescent="0.25">
      <c r="A176" t="s">
        <v>418</v>
      </c>
      <c r="B176">
        <v>792.19</v>
      </c>
      <c r="C176">
        <v>881.44</v>
      </c>
      <c r="D176">
        <v>895.91</v>
      </c>
      <c r="E176">
        <v>895.8</v>
      </c>
      <c r="F176" s="2">
        <v>1044.92</v>
      </c>
      <c r="G176" s="2">
        <v>1316.07</v>
      </c>
      <c r="H176" s="2">
        <v>1406.51</v>
      </c>
      <c r="I176" s="2">
        <v>1708.82</v>
      </c>
      <c r="J176" s="2">
        <v>2395.5300000000002</v>
      </c>
      <c r="K176" s="2">
        <v>3337.77</v>
      </c>
      <c r="L176" s="2">
        <v>3514.96</v>
      </c>
      <c r="M176" s="2">
        <v>3582.09</v>
      </c>
      <c r="N176" s="2">
        <v>3628.32</v>
      </c>
      <c r="O176" s="2">
        <v>4487.03</v>
      </c>
      <c r="P176" s="2">
        <v>4442.6499999999996</v>
      </c>
      <c r="Q176" s="2">
        <v>6796.58</v>
      </c>
    </row>
    <row r="177" spans="1:19" x14ac:dyDescent="0.25">
      <c r="A177" t="s">
        <v>161</v>
      </c>
      <c r="B177">
        <v>207.1</v>
      </c>
      <c r="C177">
        <v>220.03</v>
      </c>
      <c r="D177">
        <v>233.7</v>
      </c>
      <c r="E177">
        <v>180.86</v>
      </c>
      <c r="F177">
        <v>279.58</v>
      </c>
      <c r="G177">
        <v>282.35000000000002</v>
      </c>
      <c r="H177">
        <v>336.24</v>
      </c>
      <c r="I177">
        <v>295.19</v>
      </c>
      <c r="J177">
        <v>500.97</v>
      </c>
      <c r="K177">
        <v>651.72</v>
      </c>
      <c r="L177">
        <v>985.86</v>
      </c>
      <c r="M177">
        <v>816.83</v>
      </c>
      <c r="N177">
        <v>932.9</v>
      </c>
      <c r="O177" s="2">
        <v>1177.2</v>
      </c>
      <c r="P177" s="2">
        <v>1369.54</v>
      </c>
      <c r="Q177" s="2">
        <v>1645.73</v>
      </c>
    </row>
    <row r="178" spans="1:19" x14ac:dyDescent="0.25">
      <c r="A178" t="s">
        <v>1387</v>
      </c>
      <c r="E178">
        <v>65.510000000000005</v>
      </c>
      <c r="F178">
        <v>69.260000000000005</v>
      </c>
      <c r="G178">
        <v>206.67</v>
      </c>
      <c r="H178">
        <v>233.49</v>
      </c>
      <c r="I178">
        <v>284.94</v>
      </c>
      <c r="J178">
        <v>381.74</v>
      </c>
      <c r="K178">
        <v>416.61</v>
      </c>
      <c r="L178">
        <v>501.93</v>
      </c>
      <c r="M178">
        <v>548.01</v>
      </c>
      <c r="N178">
        <v>604.13</v>
      </c>
      <c r="O178">
        <v>761.14</v>
      </c>
      <c r="P178">
        <v>824.31</v>
      </c>
      <c r="Q178">
        <v>690.6</v>
      </c>
    </row>
    <row r="179" spans="1:19" x14ac:dyDescent="0.25">
      <c r="A179" t="s">
        <v>501</v>
      </c>
      <c r="B179">
        <v>59.58</v>
      </c>
      <c r="C179">
        <v>0</v>
      </c>
      <c r="D179">
        <v>0</v>
      </c>
      <c r="F179">
        <v>1.2</v>
      </c>
      <c r="G179">
        <v>702.29</v>
      </c>
      <c r="H179">
        <v>660.89</v>
      </c>
      <c r="I179">
        <v>650.62</v>
      </c>
      <c r="J179">
        <v>658.94</v>
      </c>
      <c r="K179">
        <v>529.29</v>
      </c>
      <c r="L179">
        <v>486.69</v>
      </c>
      <c r="M179">
        <v>446.95</v>
      </c>
      <c r="N179">
        <v>473.65</v>
      </c>
      <c r="O179">
        <v>485.67</v>
      </c>
      <c r="P179">
        <v>495.54</v>
      </c>
      <c r="Q179">
        <v>452.61</v>
      </c>
    </row>
    <row r="180" spans="1:19" x14ac:dyDescent="0.25">
      <c r="A180" t="s">
        <v>78</v>
      </c>
      <c r="B180">
        <v>585.09</v>
      </c>
      <c r="C180">
        <v>661.41</v>
      </c>
      <c r="D180">
        <v>662.21</v>
      </c>
      <c r="E180">
        <v>649.42999999999995</v>
      </c>
      <c r="F180">
        <v>696.08</v>
      </c>
      <c r="G180">
        <v>827.05</v>
      </c>
      <c r="H180">
        <v>865.78</v>
      </c>
      <c r="I180" s="2">
        <v>1161.02</v>
      </c>
      <c r="J180" s="2">
        <v>1545.04</v>
      </c>
      <c r="K180" s="2">
        <v>2303.4899999999998</v>
      </c>
      <c r="L180" s="2">
        <v>2063.5700000000002</v>
      </c>
      <c r="M180" s="2">
        <v>2262.44</v>
      </c>
      <c r="N180" s="2">
        <v>2144.23</v>
      </c>
      <c r="O180" s="2">
        <v>2788.19</v>
      </c>
      <c r="P180" s="2">
        <v>3332.15</v>
      </c>
      <c r="Q180" s="2">
        <v>2849.9</v>
      </c>
    </row>
    <row r="181" spans="1:19" x14ac:dyDescent="0.25">
      <c r="A181" t="s">
        <v>164</v>
      </c>
    </row>
    <row r="182" spans="1:19" x14ac:dyDescent="0.25">
      <c r="A182" t="s">
        <v>315</v>
      </c>
      <c r="B182">
        <v>747.92</v>
      </c>
      <c r="C182" s="2">
        <v>3173.44</v>
      </c>
      <c r="D182" s="2">
        <v>3057.94</v>
      </c>
      <c r="E182" s="2">
        <v>2680.47</v>
      </c>
      <c r="F182" s="2">
        <v>2237.4</v>
      </c>
      <c r="G182" s="2">
        <v>3173.38</v>
      </c>
      <c r="H182" s="2">
        <v>3469.67</v>
      </c>
      <c r="I182" s="2">
        <v>3422.77</v>
      </c>
      <c r="J182" s="2">
        <v>6660.72</v>
      </c>
      <c r="K182" s="2">
        <v>5890.74</v>
      </c>
      <c r="L182" s="2">
        <v>5880.2</v>
      </c>
      <c r="M182" s="2">
        <v>5884.26</v>
      </c>
      <c r="N182" s="2">
        <v>5887.42</v>
      </c>
      <c r="O182" s="2">
        <v>5729.45</v>
      </c>
      <c r="P182" s="2">
        <v>5380.1</v>
      </c>
      <c r="Q182" s="2">
        <v>4498.05</v>
      </c>
      <c r="R182" s="2">
        <v>1323.48</v>
      </c>
      <c r="S182">
        <v>-206.48</v>
      </c>
    </row>
    <row r="183" spans="1:19" x14ac:dyDescent="0.25">
      <c r="A183" t="s">
        <v>1388</v>
      </c>
      <c r="B183">
        <v>57.5</v>
      </c>
      <c r="C183">
        <v>47.15</v>
      </c>
      <c r="D183">
        <v>56.34</v>
      </c>
      <c r="E183">
        <v>59.71</v>
      </c>
      <c r="F183">
        <v>72</v>
      </c>
      <c r="G183">
        <v>98.77</v>
      </c>
      <c r="H183">
        <v>96.33</v>
      </c>
      <c r="I183">
        <v>87.58</v>
      </c>
      <c r="J183">
        <v>124.62</v>
      </c>
      <c r="K183">
        <v>176.68</v>
      </c>
      <c r="L183">
        <v>294.45999999999998</v>
      </c>
      <c r="M183">
        <v>348.84</v>
      </c>
      <c r="N183">
        <v>238.11</v>
      </c>
      <c r="O183">
        <v>276.54000000000002</v>
      </c>
      <c r="P183">
        <v>319.39999999999998</v>
      </c>
      <c r="Q183">
        <v>367.45</v>
      </c>
    </row>
    <row r="184" spans="1:19" x14ac:dyDescent="0.25">
      <c r="A184" t="s">
        <v>78</v>
      </c>
      <c r="B184">
        <v>48.81</v>
      </c>
      <c r="C184">
        <v>182.23</v>
      </c>
      <c r="D184">
        <v>156.62</v>
      </c>
      <c r="E184">
        <v>172.41</v>
      </c>
      <c r="F184">
        <v>493.24</v>
      </c>
      <c r="G184">
        <v>587.9</v>
      </c>
      <c r="H184">
        <v>672.28</v>
      </c>
      <c r="I184">
        <v>631.29</v>
      </c>
      <c r="J184">
        <v>882.64</v>
      </c>
      <c r="K184">
        <v>813.06</v>
      </c>
      <c r="L184">
        <v>743.12</v>
      </c>
      <c r="M184">
        <v>609.63</v>
      </c>
      <c r="N184">
        <v>697.61</v>
      </c>
      <c r="O184">
        <v>760.55</v>
      </c>
      <c r="P184">
        <v>974.66</v>
      </c>
      <c r="Q184">
        <v>993.75</v>
      </c>
    </row>
    <row r="185" spans="1:19" x14ac:dyDescent="0.25">
      <c r="A185" t="s">
        <v>167</v>
      </c>
      <c r="B185" s="2">
        <v>1869.32</v>
      </c>
      <c r="C185" s="2">
        <v>4404.57</v>
      </c>
      <c r="D185" s="2">
        <v>4273.32</v>
      </c>
      <c r="E185" s="2">
        <v>4205.76</v>
      </c>
      <c r="F185" s="2">
        <v>4018.11</v>
      </c>
      <c r="G185" s="2">
        <v>6330.82</v>
      </c>
      <c r="H185" s="2">
        <v>6598.95</v>
      </c>
      <c r="I185" s="2">
        <v>6895.48</v>
      </c>
      <c r="J185" s="2">
        <v>11198</v>
      </c>
      <c r="K185" s="2">
        <v>11152.6</v>
      </c>
      <c r="L185" s="2">
        <v>12065.24</v>
      </c>
      <c r="M185" s="2">
        <v>11375.47</v>
      </c>
      <c r="N185" s="2">
        <v>11601.72</v>
      </c>
      <c r="O185" s="2">
        <v>12789.15</v>
      </c>
      <c r="P185" s="2">
        <v>13499.24</v>
      </c>
      <c r="Q185" s="2">
        <v>13895.14</v>
      </c>
      <c r="R185" s="2">
        <v>16965</v>
      </c>
      <c r="S185" s="2">
        <v>18451</v>
      </c>
    </row>
    <row r="186" spans="1:19" x14ac:dyDescent="0.25">
      <c r="A186" t="s">
        <v>170</v>
      </c>
      <c r="B186" s="2">
        <v>3669.35</v>
      </c>
      <c r="C186">
        <v>421.44</v>
      </c>
      <c r="D186">
        <v>689.11</v>
      </c>
      <c r="E186" s="2">
        <v>1326.42</v>
      </c>
      <c r="F186" s="2">
        <v>1620.51</v>
      </c>
      <c r="G186" s="2">
        <v>2677.69</v>
      </c>
      <c r="H186" s="2">
        <v>2681.01</v>
      </c>
      <c r="I186" s="2">
        <v>3375.64</v>
      </c>
      <c r="J186" s="2">
        <v>1399.09</v>
      </c>
      <c r="K186" s="2">
        <v>2919.75</v>
      </c>
      <c r="L186" s="2">
        <v>3368.33</v>
      </c>
      <c r="M186" s="2">
        <v>4692.45</v>
      </c>
      <c r="N186" s="2">
        <v>6349.82</v>
      </c>
      <c r="O186" s="2">
        <v>9847.27</v>
      </c>
      <c r="P186" s="2">
        <v>12186.87</v>
      </c>
      <c r="Q186" s="2">
        <v>16797.89</v>
      </c>
      <c r="R186" s="2">
        <v>16271.99</v>
      </c>
      <c r="S186" s="2">
        <v>19146.349999999999</v>
      </c>
    </row>
    <row r="187" spans="1:19" x14ac:dyDescent="0.25">
      <c r="A187" t="s">
        <v>172</v>
      </c>
      <c r="B187" s="2">
        <v>1220.5</v>
      </c>
      <c r="C187">
        <v>474.37</v>
      </c>
      <c r="D187">
        <v>452.97</v>
      </c>
      <c r="E187">
        <v>529.28</v>
      </c>
      <c r="F187">
        <v>618</v>
      </c>
      <c r="G187" s="2">
        <v>2017.31</v>
      </c>
      <c r="H187" s="2">
        <v>2090.27</v>
      </c>
      <c r="I187" s="2">
        <v>2175.9899999999998</v>
      </c>
      <c r="J187" s="2">
        <v>1061.94</v>
      </c>
      <c r="K187" s="2">
        <v>2107.66</v>
      </c>
      <c r="L187" s="2">
        <v>2280.13</v>
      </c>
      <c r="M187" s="2">
        <v>2511.92</v>
      </c>
      <c r="N187" s="2">
        <v>2700.41</v>
      </c>
      <c r="O187" s="2">
        <v>-1293.8900000000001</v>
      </c>
      <c r="P187" s="2">
        <v>-5728.86</v>
      </c>
      <c r="Q187" s="2">
        <v>-6091.52</v>
      </c>
    </row>
    <row r="188" spans="1:19" x14ac:dyDescent="0.25">
      <c r="A188" t="s">
        <v>171</v>
      </c>
      <c r="B188">
        <v>0.17</v>
      </c>
      <c r="C188">
        <v>0.16</v>
      </c>
      <c r="D188">
        <v>0.16</v>
      </c>
      <c r="E188">
        <v>0.16</v>
      </c>
      <c r="F188">
        <v>0.16</v>
      </c>
      <c r="G188">
        <v>0.16</v>
      </c>
      <c r="H188">
        <v>0.16</v>
      </c>
      <c r="I188">
        <v>0.15</v>
      </c>
      <c r="J188">
        <v>0.14000000000000001</v>
      </c>
      <c r="K188">
        <v>0.14000000000000001</v>
      </c>
      <c r="L188">
        <v>0.13</v>
      </c>
      <c r="M188">
        <v>0.13</v>
      </c>
      <c r="N188">
        <v>1.31</v>
      </c>
    </row>
    <row r="189" spans="1:19" x14ac:dyDescent="0.25">
      <c r="A189" t="s">
        <v>173</v>
      </c>
      <c r="B189" s="2">
        <v>2479.11</v>
      </c>
      <c r="C189">
        <v>-12.36</v>
      </c>
      <c r="D189">
        <v>284.83</v>
      </c>
      <c r="E189">
        <v>848.46</v>
      </c>
      <c r="F189" s="2">
        <v>1056.45</v>
      </c>
      <c r="G189">
        <v>714.83</v>
      </c>
      <c r="H189">
        <v>654.92999999999995</v>
      </c>
      <c r="I189" s="2">
        <v>1277.1199999999999</v>
      </c>
      <c r="J189">
        <v>366.88</v>
      </c>
      <c r="K189">
        <v>848.43</v>
      </c>
      <c r="L189" s="2">
        <v>1137.27</v>
      </c>
      <c r="M189" s="2">
        <v>2179.33</v>
      </c>
      <c r="N189" s="2">
        <v>3683.86</v>
      </c>
      <c r="O189" s="2">
        <v>8466.2000000000007</v>
      </c>
      <c r="P189" s="2">
        <v>14546.71</v>
      </c>
      <c r="Q189" s="2">
        <v>19602.38</v>
      </c>
    </row>
    <row r="190" spans="1:19" x14ac:dyDescent="0.25">
      <c r="A190" t="s">
        <v>913</v>
      </c>
      <c r="B190">
        <v>-30.27</v>
      </c>
      <c r="C190">
        <v>-40.57</v>
      </c>
      <c r="D190">
        <v>-48.69</v>
      </c>
      <c r="E190">
        <v>-51.32</v>
      </c>
      <c r="F190">
        <v>-53.93</v>
      </c>
      <c r="G190">
        <v>-73.03</v>
      </c>
      <c r="H190">
        <v>-79.77</v>
      </c>
      <c r="I190">
        <v>-75.56</v>
      </c>
      <c r="J190">
        <v>-27.47</v>
      </c>
      <c r="K190">
        <v>-36.340000000000003</v>
      </c>
      <c r="L190">
        <v>-49.08</v>
      </c>
      <c r="M190">
        <v>1.2</v>
      </c>
      <c r="N190">
        <v>-34.450000000000003</v>
      </c>
      <c r="O190">
        <v>-34.450000000000003</v>
      </c>
      <c r="P190">
        <v>-34.450000000000003</v>
      </c>
      <c r="Q190">
        <v>-34.450000000000003</v>
      </c>
    </row>
    <row r="191" spans="1:19" x14ac:dyDescent="0.25">
      <c r="A191" t="s">
        <v>326</v>
      </c>
      <c r="B191" s="2">
        <v>5535.85</v>
      </c>
      <c r="C191" s="2">
        <v>4826.01</v>
      </c>
      <c r="D191" s="2">
        <v>4962.43</v>
      </c>
      <c r="E191" s="2">
        <v>5532.17</v>
      </c>
      <c r="F191" s="2">
        <v>5638.62</v>
      </c>
      <c r="G191" s="2">
        <v>9008.52</v>
      </c>
      <c r="H191" s="2">
        <v>9279.9599999999991</v>
      </c>
      <c r="I191" s="2">
        <v>10271.120000000001</v>
      </c>
      <c r="J191" s="2">
        <v>12597.09</v>
      </c>
      <c r="K191" s="2">
        <v>14072.36</v>
      </c>
      <c r="L191" s="2">
        <v>15433.57</v>
      </c>
      <c r="M191" s="2">
        <v>16067.93</v>
      </c>
      <c r="N191" s="2">
        <v>17951.54</v>
      </c>
      <c r="O191" s="2">
        <v>22268.080000000002</v>
      </c>
      <c r="P191" s="2">
        <v>24702.87</v>
      </c>
      <c r="Q191" s="2">
        <v>28630.87</v>
      </c>
      <c r="R191" s="2">
        <v>24217.68</v>
      </c>
      <c r="S191" s="2">
        <v>25675.93</v>
      </c>
    </row>
    <row r="192" spans="1:19" x14ac:dyDescent="0.25">
      <c r="A192" t="s">
        <v>17</v>
      </c>
    </row>
    <row r="193" spans="1:19" x14ac:dyDescent="0.25">
      <c r="A193" t="s">
        <v>176</v>
      </c>
    </row>
    <row r="194" spans="1:19" x14ac:dyDescent="0.25">
      <c r="A194" t="s">
        <v>179</v>
      </c>
      <c r="B194">
        <v>10.77</v>
      </c>
      <c r="C194">
        <v>7.07</v>
      </c>
      <c r="D194">
        <v>17.649999999999999</v>
      </c>
      <c r="E194">
        <v>12.5</v>
      </c>
      <c r="F194">
        <v>14.36</v>
      </c>
      <c r="G194">
        <v>16.05</v>
      </c>
      <c r="H194">
        <v>13.31</v>
      </c>
      <c r="I194">
        <v>21.26</v>
      </c>
      <c r="J194">
        <v>29.05</v>
      </c>
      <c r="K194">
        <v>25.4</v>
      </c>
      <c r="L194">
        <v>18.72</v>
      </c>
      <c r="M194">
        <v>25.79</v>
      </c>
      <c r="N194">
        <v>28.4</v>
      </c>
      <c r="O194">
        <v>35.08</v>
      </c>
      <c r="P194">
        <v>37.340000000000003</v>
      </c>
      <c r="Q194">
        <v>34.51</v>
      </c>
      <c r="R194">
        <v>37.6</v>
      </c>
      <c r="S194">
        <v>38.5</v>
      </c>
    </row>
    <row r="195" spans="1:19" x14ac:dyDescent="0.25">
      <c r="A195" t="s">
        <v>180</v>
      </c>
      <c r="B195">
        <v>16.690000000000001</v>
      </c>
      <c r="C195">
        <v>23.73</v>
      </c>
      <c r="D195">
        <v>130.94999999999999</v>
      </c>
      <c r="E195">
        <v>92.71</v>
      </c>
      <c r="F195">
        <v>85.49</v>
      </c>
      <c r="G195">
        <v>62.06</v>
      </c>
      <c r="H195">
        <v>61.41</v>
      </c>
      <c r="I195">
        <v>74.739999999999995</v>
      </c>
      <c r="J195">
        <v>190.01</v>
      </c>
      <c r="K195">
        <v>242.51</v>
      </c>
      <c r="L195">
        <v>103.13</v>
      </c>
      <c r="M195">
        <v>110.45</v>
      </c>
      <c r="N195">
        <v>89.83</v>
      </c>
      <c r="O195">
        <v>89.27</v>
      </c>
      <c r="P195">
        <v>87.13</v>
      </c>
      <c r="Q195">
        <v>59.47</v>
      </c>
      <c r="R195">
        <v>61.31</v>
      </c>
      <c r="S195">
        <v>57.31</v>
      </c>
    </row>
    <row r="196" spans="1:19" x14ac:dyDescent="0.25">
      <c r="A196" t="s">
        <v>914</v>
      </c>
      <c r="B196">
        <v>61.41</v>
      </c>
      <c r="C196">
        <v>75.94</v>
      </c>
      <c r="D196">
        <v>68.87</v>
      </c>
      <c r="E196">
        <v>54.89</v>
      </c>
      <c r="F196">
        <v>58.92</v>
      </c>
      <c r="G196">
        <v>79.099999999999994</v>
      </c>
      <c r="H196">
        <v>69.8</v>
      </c>
      <c r="I196">
        <v>68.87</v>
      </c>
      <c r="J196">
        <v>71.790000000000006</v>
      </c>
      <c r="K196">
        <v>60.97</v>
      </c>
      <c r="L196">
        <v>68.37</v>
      </c>
      <c r="M196">
        <v>67.98</v>
      </c>
      <c r="N196">
        <v>77.66</v>
      </c>
      <c r="O196">
        <v>72.510000000000005</v>
      </c>
      <c r="P196">
        <v>66.94</v>
      </c>
      <c r="Q196">
        <v>51.52</v>
      </c>
    </row>
    <row r="197" spans="1:19" x14ac:dyDescent="0.25">
      <c r="A197" t="s">
        <v>1389</v>
      </c>
      <c r="B197">
        <v>31.86</v>
      </c>
      <c r="C197">
        <v>32.07</v>
      </c>
      <c r="D197">
        <v>30.87</v>
      </c>
      <c r="E197">
        <v>35.090000000000003</v>
      </c>
      <c r="F197">
        <v>35.14</v>
      </c>
      <c r="G197">
        <v>30.84</v>
      </c>
      <c r="H197">
        <v>34.19</v>
      </c>
      <c r="I197">
        <v>36.44</v>
      </c>
      <c r="J197">
        <v>34.42</v>
      </c>
      <c r="K197">
        <v>30.04</v>
      </c>
      <c r="L197">
        <v>32.72</v>
      </c>
      <c r="M197">
        <v>30.29</v>
      </c>
      <c r="N197">
        <v>34.700000000000003</v>
      </c>
      <c r="O197">
        <v>41.75</v>
      </c>
      <c r="P197">
        <v>40.21</v>
      </c>
      <c r="Q197">
        <v>36.06</v>
      </c>
      <c r="R197">
        <v>35.64</v>
      </c>
      <c r="S197">
        <v>33.450000000000003</v>
      </c>
    </row>
    <row r="198" spans="1:19" x14ac:dyDescent="0.25">
      <c r="A198" t="s">
        <v>622</v>
      </c>
      <c r="B198">
        <v>194.33</v>
      </c>
      <c r="C198">
        <v>185.59</v>
      </c>
      <c r="D198">
        <v>219.79</v>
      </c>
      <c r="E198">
        <v>208.01</v>
      </c>
      <c r="F198">
        <v>235.21</v>
      </c>
      <c r="G198">
        <v>246.51</v>
      </c>
      <c r="H198">
        <v>195.88</v>
      </c>
      <c r="I198">
        <v>207.42</v>
      </c>
      <c r="J198">
        <v>218.13</v>
      </c>
      <c r="K198">
        <v>248.92</v>
      </c>
      <c r="L198">
        <v>282.77</v>
      </c>
      <c r="M198">
        <v>246.73</v>
      </c>
      <c r="N198">
        <v>253.42</v>
      </c>
      <c r="O198">
        <v>240.71</v>
      </c>
      <c r="P198">
        <v>226.44</v>
      </c>
      <c r="Q198">
        <v>206.07</v>
      </c>
      <c r="R198">
        <v>218.46</v>
      </c>
      <c r="S198">
        <v>212.75</v>
      </c>
    </row>
    <row r="199" spans="1:19" x14ac:dyDescent="0.25">
      <c r="A199" t="s">
        <v>812</v>
      </c>
      <c r="B199">
        <v>5.76</v>
      </c>
      <c r="C199">
        <v>5.22</v>
      </c>
      <c r="D199">
        <v>5.44</v>
      </c>
      <c r="E199">
        <v>6.41</v>
      </c>
      <c r="F199">
        <v>6.6</v>
      </c>
      <c r="G199">
        <v>5.57</v>
      </c>
      <c r="H199">
        <v>5.54</v>
      </c>
      <c r="I199">
        <v>5.73</v>
      </c>
      <c r="J199">
        <v>5.91</v>
      </c>
      <c r="K199">
        <v>5.89</v>
      </c>
      <c r="L199">
        <v>5.47</v>
      </c>
      <c r="M199">
        <v>5.93</v>
      </c>
      <c r="N199">
        <v>5.27</v>
      </c>
      <c r="O199">
        <v>5.19</v>
      </c>
      <c r="P199">
        <v>5.49</v>
      </c>
      <c r="Q199">
        <v>5.13</v>
      </c>
    </row>
    <row r="200" spans="1:19" x14ac:dyDescent="0.25">
      <c r="A200" t="s">
        <v>327</v>
      </c>
      <c r="B200">
        <v>0.54</v>
      </c>
      <c r="C200">
        <v>0.54</v>
      </c>
      <c r="D200">
        <v>0.67</v>
      </c>
      <c r="E200">
        <v>0.72</v>
      </c>
      <c r="F200">
        <v>0.72</v>
      </c>
      <c r="G200">
        <v>0.62</v>
      </c>
      <c r="H200">
        <v>0.63</v>
      </c>
      <c r="I200">
        <v>0.71</v>
      </c>
      <c r="J200">
        <v>0.81</v>
      </c>
      <c r="K200">
        <v>0.79</v>
      </c>
      <c r="L200">
        <v>0.67</v>
      </c>
      <c r="M200">
        <v>0.77</v>
      </c>
      <c r="N200">
        <v>0.8</v>
      </c>
      <c r="O200">
        <v>0.92</v>
      </c>
      <c r="P200">
        <v>0.91</v>
      </c>
      <c r="Q200">
        <v>0.79</v>
      </c>
    </row>
    <row r="201" spans="1:19" x14ac:dyDescent="0.25">
      <c r="A201" t="s">
        <v>811</v>
      </c>
      <c r="B201">
        <v>20.3</v>
      </c>
      <c r="C201">
        <v>757.03</v>
      </c>
      <c r="D201">
        <v>443.75</v>
      </c>
      <c r="E201">
        <v>220.93</v>
      </c>
      <c r="F201">
        <v>138.07</v>
      </c>
      <c r="G201">
        <v>127.85</v>
      </c>
      <c r="H201">
        <v>133.13999999999999</v>
      </c>
      <c r="I201">
        <v>105.04</v>
      </c>
      <c r="K201">
        <v>207.66</v>
      </c>
      <c r="L201">
        <v>202.46</v>
      </c>
      <c r="M201">
        <v>129.75</v>
      </c>
      <c r="N201">
        <v>96.88</v>
      </c>
      <c r="O201">
        <v>68.23</v>
      </c>
      <c r="P201">
        <v>54.97</v>
      </c>
      <c r="Q201">
        <v>33.04</v>
      </c>
    </row>
    <row r="202" spans="1:19" x14ac:dyDescent="0.25">
      <c r="A202" t="s">
        <v>186</v>
      </c>
      <c r="B202">
        <v>5.12</v>
      </c>
      <c r="C202">
        <v>3.9</v>
      </c>
      <c r="D202">
        <v>3.86</v>
      </c>
      <c r="E202">
        <v>3.4</v>
      </c>
      <c r="F202">
        <v>3.75</v>
      </c>
      <c r="G202">
        <v>2.44</v>
      </c>
      <c r="H202">
        <v>2.78</v>
      </c>
      <c r="I202">
        <v>2.71</v>
      </c>
      <c r="J202">
        <v>2.5299999999999998</v>
      </c>
      <c r="K202">
        <v>2.2400000000000002</v>
      </c>
      <c r="L202">
        <v>2.15</v>
      </c>
      <c r="M202">
        <v>2.62</v>
      </c>
      <c r="N202">
        <v>2.88</v>
      </c>
      <c r="O202">
        <v>3.06</v>
      </c>
      <c r="P202">
        <v>3.58</v>
      </c>
      <c r="Q202">
        <v>5.09</v>
      </c>
    </row>
    <row r="203" spans="1:19" x14ac:dyDescent="0.25">
      <c r="A203" t="s">
        <v>813</v>
      </c>
      <c r="B203">
        <v>3.52</v>
      </c>
      <c r="C203">
        <v>2.38</v>
      </c>
      <c r="D203">
        <v>2.4900000000000002</v>
      </c>
      <c r="E203">
        <v>2.33</v>
      </c>
      <c r="F203">
        <v>2.37</v>
      </c>
      <c r="G203">
        <v>0.98</v>
      </c>
      <c r="H203">
        <v>1.17</v>
      </c>
      <c r="I203">
        <v>1.19</v>
      </c>
      <c r="J203">
        <v>0.95</v>
      </c>
      <c r="K203">
        <v>0.87</v>
      </c>
      <c r="L203">
        <v>0.97</v>
      </c>
      <c r="M203">
        <v>1.1000000000000001</v>
      </c>
      <c r="N203">
        <v>1.1399999999999999</v>
      </c>
      <c r="O203">
        <v>0.85</v>
      </c>
      <c r="P203">
        <v>1.08</v>
      </c>
      <c r="Q203">
        <v>1.76</v>
      </c>
    </row>
    <row r="204" spans="1:19" x14ac:dyDescent="0.25">
      <c r="A204" t="s">
        <v>1390</v>
      </c>
      <c r="B204">
        <v>16.88</v>
      </c>
      <c r="C204">
        <v>88.28</v>
      </c>
      <c r="D204">
        <v>81.61</v>
      </c>
      <c r="E204">
        <v>66.900000000000006</v>
      </c>
      <c r="F204">
        <v>58</v>
      </c>
      <c r="G204">
        <v>54.24</v>
      </c>
      <c r="H204">
        <v>56.91</v>
      </c>
      <c r="I204">
        <v>50.86</v>
      </c>
      <c r="J204">
        <v>100.01</v>
      </c>
      <c r="K204">
        <v>67.37</v>
      </c>
      <c r="L204">
        <v>64.17</v>
      </c>
      <c r="M204">
        <v>56.29</v>
      </c>
      <c r="N204">
        <v>48.99</v>
      </c>
      <c r="O204">
        <v>38.35</v>
      </c>
      <c r="P204">
        <v>31.71</v>
      </c>
      <c r="Q204">
        <v>17.02</v>
      </c>
    </row>
    <row r="205" spans="1:19" x14ac:dyDescent="0.25">
      <c r="A205" t="s">
        <v>424</v>
      </c>
      <c r="B205">
        <v>2.2200000000000002</v>
      </c>
      <c r="C205">
        <v>0.27</v>
      </c>
      <c r="D205">
        <v>0.44</v>
      </c>
      <c r="E205">
        <v>0.85</v>
      </c>
      <c r="F205">
        <v>1.04</v>
      </c>
      <c r="G205">
        <v>1.67</v>
      </c>
      <c r="H205">
        <v>1.71</v>
      </c>
      <c r="I205">
        <v>2.21</v>
      </c>
      <c r="J205">
        <v>0.99</v>
      </c>
      <c r="K205">
        <v>2.14</v>
      </c>
      <c r="L205">
        <v>2.5099999999999998</v>
      </c>
      <c r="M205">
        <v>3.55</v>
      </c>
      <c r="N205">
        <v>4.8600000000000003</v>
      </c>
      <c r="O205">
        <v>8.07</v>
      </c>
      <c r="P205">
        <v>10.17</v>
      </c>
      <c r="Q205">
        <v>15.48</v>
      </c>
    </row>
    <row r="206" spans="1:19" x14ac:dyDescent="0.25">
      <c r="A206" t="s">
        <v>814</v>
      </c>
      <c r="B206">
        <v>2</v>
      </c>
      <c r="C206">
        <v>0.05</v>
      </c>
      <c r="D206">
        <v>0.22</v>
      </c>
      <c r="E206">
        <v>0.61</v>
      </c>
      <c r="F206">
        <v>0.8</v>
      </c>
      <c r="G206">
        <v>-0.7</v>
      </c>
      <c r="H206">
        <v>-0.5</v>
      </c>
      <c r="I206">
        <v>0.12</v>
      </c>
      <c r="J206" s="2">
        <v>-2477.41</v>
      </c>
      <c r="K206">
        <v>-0.22</v>
      </c>
      <c r="L206">
        <v>0.51</v>
      </c>
      <c r="M206">
        <v>1.86</v>
      </c>
      <c r="N206">
        <v>3.29</v>
      </c>
      <c r="P206">
        <v>8.1300000000000008</v>
      </c>
    </row>
    <row r="207" spans="1:19" x14ac:dyDescent="0.25">
      <c r="A207" t="s">
        <v>757</v>
      </c>
      <c r="B207">
        <v>4.07</v>
      </c>
      <c r="C207">
        <v>2.97</v>
      </c>
      <c r="D207">
        <v>3.1</v>
      </c>
      <c r="E207">
        <v>2.77</v>
      </c>
      <c r="F207">
        <v>2.91</v>
      </c>
      <c r="G207">
        <v>1.54</v>
      </c>
      <c r="H207">
        <v>1.82</v>
      </c>
      <c r="I207">
        <v>1.81</v>
      </c>
      <c r="J207">
        <v>1.59</v>
      </c>
      <c r="K207">
        <v>1.33</v>
      </c>
      <c r="L207">
        <v>1.36</v>
      </c>
      <c r="M207">
        <v>1.65</v>
      </c>
      <c r="N207">
        <v>1.81</v>
      </c>
      <c r="O207">
        <v>1.93</v>
      </c>
      <c r="P207">
        <v>2.48</v>
      </c>
      <c r="Q207">
        <v>3.83</v>
      </c>
    </row>
    <row r="208" spans="1:19" x14ac:dyDescent="0.25">
      <c r="A208" t="s">
        <v>333</v>
      </c>
      <c r="B208" s="2">
        <v>3688.69</v>
      </c>
      <c r="C208" s="2">
        <v>2902.81</v>
      </c>
      <c r="D208" s="2">
        <v>2865.61</v>
      </c>
      <c r="E208" s="2">
        <v>3098.9</v>
      </c>
      <c r="F208" s="2">
        <v>3334.73</v>
      </c>
      <c r="G208" s="2">
        <v>2546.59</v>
      </c>
      <c r="H208" s="2">
        <v>3023.76</v>
      </c>
      <c r="I208" s="2">
        <v>3593.02</v>
      </c>
      <c r="J208" s="2">
        <v>2816.51</v>
      </c>
      <c r="K208" s="2">
        <v>4629.1899999999996</v>
      </c>
      <c r="L208" s="2">
        <v>5370.37</v>
      </c>
      <c r="M208" s="2">
        <v>6612.99</v>
      </c>
      <c r="N208" s="2">
        <v>8076.86</v>
      </c>
      <c r="O208" s="2">
        <v>12077.9</v>
      </c>
      <c r="P208" s="2">
        <v>16999.830000000002</v>
      </c>
      <c r="Q208" s="2">
        <v>18207.259999999998</v>
      </c>
      <c r="R208" s="2">
        <v>16271.99</v>
      </c>
      <c r="S208" s="2">
        <v>19146.349999999999</v>
      </c>
    </row>
    <row r="209" spans="1:19" x14ac:dyDescent="0.25">
      <c r="A209" t="s">
        <v>185</v>
      </c>
      <c r="B209">
        <v>38.35</v>
      </c>
      <c r="C209">
        <v>92.55</v>
      </c>
      <c r="D209">
        <v>34.450000000000003</v>
      </c>
      <c r="E209">
        <v>2.4300000000000002</v>
      </c>
      <c r="F209">
        <v>19.600000000000001</v>
      </c>
      <c r="G209">
        <v>102.07</v>
      </c>
      <c r="H209">
        <v>53.27</v>
      </c>
      <c r="I209">
        <v>36.58</v>
      </c>
      <c r="J209">
        <v>117.68</v>
      </c>
      <c r="K209">
        <v>58.44</v>
      </c>
      <c r="L209">
        <v>30.32</v>
      </c>
      <c r="M209">
        <v>24.29</v>
      </c>
      <c r="N209">
        <v>4.54</v>
      </c>
    </row>
    <row r="210" spans="1:19" x14ac:dyDescent="0.25">
      <c r="A210" t="s">
        <v>17</v>
      </c>
    </row>
    <row r="211" spans="1:19" x14ac:dyDescent="0.25">
      <c r="A211" t="s">
        <v>188</v>
      </c>
    </row>
    <row r="212" spans="1:19" x14ac:dyDescent="0.25">
      <c r="A212" t="s">
        <v>189</v>
      </c>
    </row>
    <row r="213" spans="1:19" x14ac:dyDescent="0.25">
      <c r="A213" t="s">
        <v>121</v>
      </c>
      <c r="B213">
        <v>582.76</v>
      </c>
      <c r="C213">
        <v>366.16</v>
      </c>
      <c r="D213">
        <v>704.42</v>
      </c>
      <c r="E213">
        <v>926.08</v>
      </c>
      <c r="F213">
        <v>802.27</v>
      </c>
      <c r="G213" s="2">
        <v>1175.6199999999999</v>
      </c>
      <c r="H213" s="2">
        <v>1216.79</v>
      </c>
      <c r="I213" s="2">
        <v>2078.29</v>
      </c>
      <c r="J213" s="2">
        <v>3321.81</v>
      </c>
      <c r="K213" s="2">
        <v>3387.28</v>
      </c>
      <c r="L213" s="2">
        <v>2761.9</v>
      </c>
      <c r="M213" s="2">
        <v>4061.64</v>
      </c>
      <c r="N213" s="2">
        <v>4830.7700000000004</v>
      </c>
      <c r="O213" s="2">
        <v>7142.1</v>
      </c>
      <c r="P213" s="2">
        <v>8806.94</v>
      </c>
      <c r="Q213" s="2">
        <v>10248.5</v>
      </c>
      <c r="R213" s="2">
        <v>11276</v>
      </c>
      <c r="S213" s="2">
        <v>12568</v>
      </c>
    </row>
    <row r="214" spans="1:19" x14ac:dyDescent="0.25">
      <c r="A214" t="s">
        <v>190</v>
      </c>
      <c r="B214">
        <v>51.1</v>
      </c>
      <c r="C214">
        <v>55.8</v>
      </c>
      <c r="D214">
        <v>52.6</v>
      </c>
      <c r="E214">
        <v>49.1</v>
      </c>
      <c r="F214">
        <v>53.3</v>
      </c>
      <c r="G214">
        <v>72.599999999999994</v>
      </c>
      <c r="H214">
        <v>127.47</v>
      </c>
      <c r="I214">
        <v>127.08</v>
      </c>
      <c r="J214">
        <v>134.25</v>
      </c>
      <c r="K214">
        <v>154.49</v>
      </c>
      <c r="L214">
        <v>162.46</v>
      </c>
      <c r="M214">
        <v>192</v>
      </c>
      <c r="N214">
        <v>214.5</v>
      </c>
      <c r="O214">
        <v>234.7</v>
      </c>
      <c r="P214">
        <v>274.27</v>
      </c>
      <c r="Q214">
        <v>342.92</v>
      </c>
      <c r="R214">
        <v>252</v>
      </c>
      <c r="S214">
        <v>264</v>
      </c>
    </row>
    <row r="215" spans="1:19" x14ac:dyDescent="0.25">
      <c r="A215" t="s">
        <v>1391</v>
      </c>
      <c r="E215">
        <v>-4.17</v>
      </c>
      <c r="F215">
        <v>9.89</v>
      </c>
      <c r="G215">
        <v>3.83</v>
      </c>
      <c r="H215">
        <v>13.86</v>
      </c>
      <c r="I215">
        <v>-19.440000000000001</v>
      </c>
      <c r="J215">
        <v>46.53</v>
      </c>
      <c r="K215">
        <v>-17.829999999999998</v>
      </c>
      <c r="L215">
        <v>-12.53</v>
      </c>
      <c r="M215">
        <v>14.97</v>
      </c>
      <c r="N215">
        <v>6.73</v>
      </c>
    </row>
    <row r="216" spans="1:19" x14ac:dyDescent="0.25">
      <c r="A216" t="s">
        <v>67</v>
      </c>
      <c r="B216">
        <v>40.39</v>
      </c>
      <c r="C216">
        <v>39.9</v>
      </c>
      <c r="D216">
        <v>33.11</v>
      </c>
      <c r="E216">
        <v>50.94</v>
      </c>
      <c r="F216">
        <v>62.78</v>
      </c>
      <c r="G216">
        <v>94.19</v>
      </c>
      <c r="H216">
        <v>111.38</v>
      </c>
      <c r="I216">
        <v>111.84</v>
      </c>
      <c r="J216">
        <v>126.92</v>
      </c>
      <c r="K216">
        <v>171.42</v>
      </c>
      <c r="L216">
        <v>212.7</v>
      </c>
      <c r="M216">
        <v>265.01</v>
      </c>
      <c r="N216">
        <v>310.17</v>
      </c>
      <c r="O216">
        <v>323.36</v>
      </c>
      <c r="P216">
        <v>372.81</v>
      </c>
      <c r="Q216">
        <v>478.77</v>
      </c>
      <c r="R216">
        <v>638.29999999999995</v>
      </c>
      <c r="S216">
        <v>730.81</v>
      </c>
    </row>
    <row r="217" spans="1:19" x14ac:dyDescent="0.25">
      <c r="A217" t="s">
        <v>546</v>
      </c>
      <c r="B217">
        <v>17.18</v>
      </c>
      <c r="C217">
        <v>-24.25</v>
      </c>
      <c r="D217">
        <v>19.8</v>
      </c>
      <c r="E217">
        <v>4.01</v>
      </c>
      <c r="F217">
        <v>98.76</v>
      </c>
      <c r="G217">
        <v>-27.51</v>
      </c>
      <c r="H217">
        <v>-93.11</v>
      </c>
      <c r="I217">
        <v>-44.45</v>
      </c>
      <c r="J217">
        <v>-329.5</v>
      </c>
      <c r="K217">
        <v>-298.14999999999998</v>
      </c>
      <c r="L217">
        <v>-155.22999999999999</v>
      </c>
      <c r="M217">
        <v>-246.58</v>
      </c>
      <c r="N217">
        <v>77.8</v>
      </c>
      <c r="O217">
        <v>-89.71</v>
      </c>
      <c r="P217">
        <v>-321.51</v>
      </c>
      <c r="Q217">
        <v>-159.86000000000001</v>
      </c>
    </row>
    <row r="218" spans="1:19" x14ac:dyDescent="0.25">
      <c r="A218" t="s">
        <v>338</v>
      </c>
    </row>
    <row r="219" spans="1:19" x14ac:dyDescent="0.25">
      <c r="A219" t="s">
        <v>141</v>
      </c>
      <c r="B219">
        <v>32.590000000000003</v>
      </c>
      <c r="C219">
        <v>-118.52</v>
      </c>
      <c r="D219">
        <v>-8.2899999999999991</v>
      </c>
      <c r="E219">
        <v>39.75</v>
      </c>
      <c r="F219">
        <v>-76.03</v>
      </c>
      <c r="G219">
        <v>-146.15</v>
      </c>
      <c r="H219">
        <v>-118.36</v>
      </c>
      <c r="I219">
        <v>-203.16</v>
      </c>
      <c r="J219">
        <v>-510.33</v>
      </c>
      <c r="K219">
        <v>-48.53</v>
      </c>
      <c r="L219">
        <v>-80.89</v>
      </c>
      <c r="M219">
        <v>-367.9</v>
      </c>
      <c r="N219">
        <v>-641.82000000000005</v>
      </c>
      <c r="O219">
        <v>-230.13</v>
      </c>
      <c r="P219">
        <v>-769.68</v>
      </c>
      <c r="Q219">
        <v>-122.52</v>
      </c>
    </row>
    <row r="220" spans="1:19" x14ac:dyDescent="0.25">
      <c r="A220" t="s">
        <v>340</v>
      </c>
      <c r="B220">
        <v>-26.17</v>
      </c>
      <c r="C220">
        <v>27.5</v>
      </c>
      <c r="D220">
        <v>-67.58</v>
      </c>
      <c r="E220">
        <v>-46.55</v>
      </c>
      <c r="F220">
        <v>-179.61</v>
      </c>
      <c r="G220">
        <v>-59.56</v>
      </c>
      <c r="H220">
        <v>-74.819999999999993</v>
      </c>
      <c r="I220">
        <v>-270.10000000000002</v>
      </c>
      <c r="J220">
        <v>-567</v>
      </c>
      <c r="K220">
        <v>-749.05</v>
      </c>
      <c r="L220">
        <v>-164.09</v>
      </c>
      <c r="M220">
        <v>-155.16999999999999</v>
      </c>
      <c r="N220">
        <v>-465.96</v>
      </c>
      <c r="O220">
        <v>-154.30000000000001</v>
      </c>
      <c r="P220">
        <v>-911.01</v>
      </c>
      <c r="Q220">
        <v>-163.97</v>
      </c>
    </row>
    <row r="221" spans="1:19" x14ac:dyDescent="0.25">
      <c r="A221" t="s">
        <v>158</v>
      </c>
      <c r="B221">
        <v>-12.33</v>
      </c>
      <c r="C221">
        <v>0.85</v>
      </c>
      <c r="D221">
        <v>3.11</v>
      </c>
      <c r="E221">
        <v>39.97</v>
      </c>
      <c r="F221">
        <v>21.78</v>
      </c>
      <c r="G221">
        <v>-21.63</v>
      </c>
      <c r="H221">
        <v>61.14</v>
      </c>
      <c r="I221">
        <v>79.37</v>
      </c>
      <c r="J221">
        <v>101.63</v>
      </c>
      <c r="K221">
        <v>-144.66</v>
      </c>
      <c r="L221">
        <v>24.98</v>
      </c>
      <c r="M221">
        <v>33.79</v>
      </c>
      <c r="N221">
        <v>172.36</v>
      </c>
      <c r="O221">
        <v>75.180000000000007</v>
      </c>
      <c r="P221">
        <v>126.05</v>
      </c>
      <c r="Q221">
        <v>68.27</v>
      </c>
    </row>
    <row r="222" spans="1:19" x14ac:dyDescent="0.25">
      <c r="A222" t="s">
        <v>78</v>
      </c>
      <c r="B222">
        <v>-10.039999999999999</v>
      </c>
      <c r="C222">
        <v>0.77</v>
      </c>
      <c r="D222">
        <v>25.86</v>
      </c>
      <c r="E222">
        <v>6.31</v>
      </c>
      <c r="F222">
        <v>99.46</v>
      </c>
      <c r="G222">
        <v>-0.61</v>
      </c>
      <c r="H222">
        <v>80.47</v>
      </c>
      <c r="I222">
        <v>1.17</v>
      </c>
      <c r="J222">
        <v>343.09</v>
      </c>
      <c r="K222">
        <v>238.97</v>
      </c>
      <c r="L222">
        <v>537.24</v>
      </c>
      <c r="M222">
        <v>-68.569999999999993</v>
      </c>
      <c r="N222">
        <v>61.45</v>
      </c>
      <c r="O222">
        <v>279.87</v>
      </c>
      <c r="P222">
        <v>218.3</v>
      </c>
      <c r="Q222">
        <v>214.66</v>
      </c>
    </row>
    <row r="223" spans="1:19" x14ac:dyDescent="0.25">
      <c r="A223" t="s">
        <v>514</v>
      </c>
      <c r="B223">
        <v>-26.27</v>
      </c>
      <c r="C223">
        <v>11.14</v>
      </c>
      <c r="D223">
        <v>14.61</v>
      </c>
      <c r="E223">
        <v>-25.96</v>
      </c>
      <c r="F223">
        <v>-41.75</v>
      </c>
      <c r="G223">
        <v>-47.12</v>
      </c>
      <c r="H223">
        <v>-11.15</v>
      </c>
      <c r="I223">
        <v>-96.22</v>
      </c>
      <c r="J223">
        <v>-217.07</v>
      </c>
      <c r="K223">
        <v>-121.02</v>
      </c>
      <c r="L223">
        <v>-289.51</v>
      </c>
      <c r="M223">
        <v>-10.46</v>
      </c>
      <c r="N223">
        <v>-501.42</v>
      </c>
      <c r="O223">
        <v>125.64</v>
      </c>
      <c r="P223">
        <v>-499.03</v>
      </c>
      <c r="Q223">
        <v>-79.44</v>
      </c>
    </row>
    <row r="224" spans="1:19" x14ac:dyDescent="0.25">
      <c r="A224" t="s">
        <v>1392</v>
      </c>
      <c r="B224">
        <v>102.27</v>
      </c>
      <c r="C224">
        <v>90.15</v>
      </c>
      <c r="D224">
        <v>-27.8</v>
      </c>
      <c r="E224">
        <v>31.46</v>
      </c>
      <c r="F224">
        <v>368.89</v>
      </c>
      <c r="G224">
        <v>-51.27</v>
      </c>
      <c r="H224">
        <v>-24.65</v>
      </c>
      <c r="I224">
        <v>245.62</v>
      </c>
      <c r="J224">
        <v>544.27</v>
      </c>
      <c r="K224">
        <v>834.4</v>
      </c>
      <c r="L224">
        <v>-228.9</v>
      </c>
      <c r="M224">
        <v>-77.87</v>
      </c>
      <c r="N224">
        <v>-100.28</v>
      </c>
      <c r="O224">
        <v>777.11</v>
      </c>
      <c r="P224">
        <v>527.14</v>
      </c>
      <c r="Q224">
        <v>93.63</v>
      </c>
    </row>
    <row r="225" spans="1:19" x14ac:dyDescent="0.25">
      <c r="A225" t="s">
        <v>204</v>
      </c>
      <c r="B225">
        <v>778.89</v>
      </c>
      <c r="C225">
        <v>605.91</v>
      </c>
      <c r="D225">
        <v>857.78</v>
      </c>
      <c r="E225" s="2">
        <v>1079.67</v>
      </c>
      <c r="F225" s="2">
        <v>1229.1199999999999</v>
      </c>
      <c r="G225" s="2">
        <v>1152.6300000000001</v>
      </c>
      <c r="H225" s="2">
        <v>1778.85</v>
      </c>
      <c r="I225" s="2">
        <v>2185.0300000000002</v>
      </c>
      <c r="J225" s="2">
        <v>3312.7</v>
      </c>
      <c r="K225" s="2">
        <v>3669.81</v>
      </c>
      <c r="L225" s="2">
        <v>3308.58</v>
      </c>
      <c r="M225" s="2">
        <v>4081.9</v>
      </c>
      <c r="N225" s="2">
        <v>4143.08</v>
      </c>
      <c r="O225" s="2">
        <v>6932.47</v>
      </c>
      <c r="P225" s="2">
        <v>8229.85</v>
      </c>
      <c r="Q225" s="2">
        <v>9327.81</v>
      </c>
      <c r="R225" s="2">
        <v>9001.2800000000007</v>
      </c>
      <c r="S225" s="2">
        <v>10470.77</v>
      </c>
    </row>
    <row r="226" spans="1:19" x14ac:dyDescent="0.25">
      <c r="A226" t="s">
        <v>17</v>
      </c>
    </row>
    <row r="227" spans="1:19" x14ac:dyDescent="0.25">
      <c r="A227" t="s">
        <v>205</v>
      </c>
    </row>
    <row r="228" spans="1:19" x14ac:dyDescent="0.25">
      <c r="A228" t="s">
        <v>206</v>
      </c>
      <c r="B228">
        <v>-67.5</v>
      </c>
      <c r="C228">
        <v>-45.79</v>
      </c>
      <c r="D228">
        <v>-34.97</v>
      </c>
      <c r="E228">
        <v>-38.590000000000003</v>
      </c>
      <c r="F228">
        <v>-66.95</v>
      </c>
      <c r="G228">
        <v>-130.5</v>
      </c>
      <c r="H228">
        <v>-152.68</v>
      </c>
      <c r="I228">
        <v>-231.63</v>
      </c>
      <c r="J228">
        <v>-307.32</v>
      </c>
      <c r="K228">
        <v>-341.59</v>
      </c>
      <c r="L228">
        <v>-277.38</v>
      </c>
      <c r="M228">
        <v>-335.26</v>
      </c>
      <c r="N228">
        <v>-375.95</v>
      </c>
      <c r="O228">
        <v>-453.39</v>
      </c>
      <c r="P228">
        <v>-528.91999999999996</v>
      </c>
      <c r="Q228">
        <v>-674</v>
      </c>
      <c r="R228">
        <v>-721.5</v>
      </c>
      <c r="S228">
        <v>-799</v>
      </c>
    </row>
    <row r="229" spans="1:19" x14ac:dyDescent="0.25">
      <c r="A229" t="s">
        <v>61</v>
      </c>
      <c r="B229">
        <v>2.2999999999999998</v>
      </c>
      <c r="C229">
        <v>1.63</v>
      </c>
      <c r="D229">
        <v>1.07</v>
      </c>
      <c r="E229">
        <v>1.02</v>
      </c>
      <c r="F229">
        <v>1.66</v>
      </c>
      <c r="G229">
        <v>2.86</v>
      </c>
      <c r="H229">
        <v>2.63</v>
      </c>
      <c r="I229">
        <v>3.35</v>
      </c>
      <c r="J229">
        <v>3.34</v>
      </c>
      <c r="K229">
        <v>3.25</v>
      </c>
      <c r="L229">
        <v>2.83</v>
      </c>
      <c r="M229">
        <v>2.76</v>
      </c>
      <c r="N229">
        <v>2.77</v>
      </c>
      <c r="O229">
        <v>2.65</v>
      </c>
      <c r="P229">
        <v>2.71</v>
      </c>
      <c r="Q229">
        <v>2.75</v>
      </c>
      <c r="R229">
        <v>3</v>
      </c>
      <c r="S229">
        <v>3</v>
      </c>
    </row>
    <row r="230" spans="1:19" x14ac:dyDescent="0.25">
      <c r="A230" t="s">
        <v>1393</v>
      </c>
      <c r="B230">
        <v>3.84</v>
      </c>
      <c r="C230">
        <v>0</v>
      </c>
      <c r="D230">
        <v>7.08</v>
      </c>
      <c r="E230">
        <v>2.95</v>
      </c>
      <c r="F230">
        <v>0</v>
      </c>
      <c r="G230">
        <v>0</v>
      </c>
      <c r="H230">
        <v>0</v>
      </c>
      <c r="I230">
        <v>1.86</v>
      </c>
      <c r="J230">
        <v>27.66</v>
      </c>
      <c r="K230">
        <v>0</v>
      </c>
      <c r="L230">
        <v>5.08</v>
      </c>
      <c r="M230">
        <v>0.16</v>
      </c>
    </row>
    <row r="231" spans="1:19" x14ac:dyDescent="0.25">
      <c r="A231" t="s">
        <v>556</v>
      </c>
      <c r="B231">
        <v>-67.5</v>
      </c>
      <c r="C231">
        <v>-45.79</v>
      </c>
      <c r="D231">
        <v>-31.74</v>
      </c>
      <c r="E231">
        <v>-38.590000000000003</v>
      </c>
      <c r="F231">
        <v>-66.95</v>
      </c>
      <c r="G231">
        <v>-130.5</v>
      </c>
      <c r="H231">
        <v>-152.68</v>
      </c>
      <c r="I231">
        <v>-231.63</v>
      </c>
      <c r="J231">
        <v>-307.32</v>
      </c>
      <c r="K231">
        <v>-341.59</v>
      </c>
      <c r="L231">
        <v>-277.38</v>
      </c>
      <c r="M231">
        <v>-335.26</v>
      </c>
      <c r="N231">
        <v>-375.95</v>
      </c>
      <c r="O231">
        <v>-331.53</v>
      </c>
    </row>
    <row r="232" spans="1:19" x14ac:dyDescent="0.25">
      <c r="A232" t="s">
        <v>1394</v>
      </c>
      <c r="B232">
        <v>18</v>
      </c>
      <c r="C232">
        <v>0</v>
      </c>
      <c r="D232">
        <v>0</v>
      </c>
      <c r="E232">
        <v>28.56</v>
      </c>
      <c r="F232">
        <v>17.399999999999999</v>
      </c>
      <c r="G232" s="2">
        <v>1818.28</v>
      </c>
      <c r="H232">
        <v>90.14</v>
      </c>
      <c r="I232">
        <v>0</v>
      </c>
      <c r="J232">
        <v>479.11</v>
      </c>
      <c r="K232">
        <v>27.14</v>
      </c>
      <c r="L232">
        <v>3.68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9" x14ac:dyDescent="0.25">
      <c r="A233" t="s">
        <v>209</v>
      </c>
      <c r="E233">
        <v>796.39</v>
      </c>
      <c r="F233">
        <v>923.6</v>
      </c>
      <c r="G233">
        <v>930.98</v>
      </c>
      <c r="H233">
        <v>891.59</v>
      </c>
      <c r="I233">
        <v>838.53</v>
      </c>
      <c r="J233">
        <v>990.44</v>
      </c>
      <c r="K233" s="2">
        <v>1348.33</v>
      </c>
      <c r="L233" s="2">
        <v>1688.66</v>
      </c>
      <c r="M233" s="2">
        <v>3021.19</v>
      </c>
      <c r="N233" s="2">
        <v>3142.67</v>
      </c>
    </row>
    <row r="234" spans="1:19" x14ac:dyDescent="0.25">
      <c r="A234" t="s">
        <v>1395</v>
      </c>
      <c r="B234">
        <v>-18</v>
      </c>
      <c r="C234">
        <v>0</v>
      </c>
      <c r="D234">
        <v>0</v>
      </c>
      <c r="E234">
        <v>-28.56</v>
      </c>
      <c r="F234">
        <v>-17.399999999999999</v>
      </c>
      <c r="G234" s="2">
        <v>-1818.28</v>
      </c>
      <c r="H234">
        <v>-90.14</v>
      </c>
      <c r="I234">
        <v>16.829999999999998</v>
      </c>
      <c r="J234">
        <v>-479.11</v>
      </c>
      <c r="K234">
        <v>-27.14</v>
      </c>
      <c r="L234">
        <v>-3.68</v>
      </c>
      <c r="M234">
        <v>0</v>
      </c>
      <c r="N234">
        <v>0</v>
      </c>
    </row>
    <row r="235" spans="1:19" x14ac:dyDescent="0.25">
      <c r="A235" t="s">
        <v>1396</v>
      </c>
      <c r="B235" s="2">
        <v>-1834.22</v>
      </c>
      <c r="C235" s="2">
        <v>-1731.55</v>
      </c>
      <c r="D235" s="2">
        <v>-1175.72</v>
      </c>
      <c r="E235" s="2">
        <v>-1626.98</v>
      </c>
      <c r="F235">
        <v>-469.71</v>
      </c>
      <c r="G235">
        <v>-81.53</v>
      </c>
      <c r="H235">
        <v>-798.49</v>
      </c>
      <c r="I235" s="2">
        <v>-1018.74</v>
      </c>
      <c r="J235">
        <v>-987.66</v>
      </c>
      <c r="K235" s="2">
        <v>-1441.93</v>
      </c>
      <c r="L235" s="2">
        <v>-2756.99</v>
      </c>
      <c r="M235" s="2">
        <v>-2772.58</v>
      </c>
      <c r="N235" s="2">
        <v>-3711.09</v>
      </c>
    </row>
    <row r="236" spans="1:19" x14ac:dyDescent="0.25">
      <c r="A236" t="s">
        <v>1397</v>
      </c>
      <c r="B236">
        <v>-64.05</v>
      </c>
      <c r="C236">
        <v>-60.81</v>
      </c>
      <c r="D236">
        <v>-68.38</v>
      </c>
      <c r="E236">
        <v>-97.53</v>
      </c>
      <c r="F236">
        <v>-77.92</v>
      </c>
      <c r="G236">
        <v>-81.02</v>
      </c>
      <c r="H236">
        <v>-110.24</v>
      </c>
      <c r="I236">
        <v>-107.87</v>
      </c>
      <c r="J236">
        <v>-121.25</v>
      </c>
      <c r="K236">
        <v>-95.59</v>
      </c>
      <c r="L236">
        <v>-134.1</v>
      </c>
      <c r="M236">
        <v>-118.29</v>
      </c>
      <c r="N236">
        <v>-264.95999999999998</v>
      </c>
    </row>
    <row r="237" spans="1:19" x14ac:dyDescent="0.25">
      <c r="A237" t="s">
        <v>762</v>
      </c>
      <c r="B237">
        <v>-593.1</v>
      </c>
      <c r="C237">
        <v>964.01</v>
      </c>
      <c r="D237">
        <v>169.35</v>
      </c>
      <c r="E237">
        <v>-496.68</v>
      </c>
      <c r="F237">
        <v>375.97</v>
      </c>
      <c r="G237">
        <v>768.43</v>
      </c>
      <c r="H237">
        <v>-17.14</v>
      </c>
      <c r="I237">
        <v>-288.08</v>
      </c>
      <c r="J237">
        <v>-118.48</v>
      </c>
      <c r="K237">
        <v>-189.19</v>
      </c>
      <c r="L237" s="2">
        <v>-1202.43</v>
      </c>
      <c r="M237">
        <v>130.32</v>
      </c>
      <c r="N237">
        <v>-833.38</v>
      </c>
      <c r="O237">
        <v>-327.64999999999998</v>
      </c>
      <c r="P237">
        <v>-320</v>
      </c>
      <c r="Q237">
        <v>-320</v>
      </c>
    </row>
    <row r="238" spans="1:19" x14ac:dyDescent="0.25">
      <c r="A238" t="s">
        <v>213</v>
      </c>
      <c r="B238">
        <v>-676.11</v>
      </c>
      <c r="C238">
        <v>918.22</v>
      </c>
      <c r="D238">
        <v>144.69</v>
      </c>
      <c r="E238">
        <v>-560.89</v>
      </c>
      <c r="F238">
        <v>291.62</v>
      </c>
      <c r="G238" s="2">
        <v>-1180.98</v>
      </c>
      <c r="H238">
        <v>-258.87</v>
      </c>
      <c r="I238">
        <v>-500.4</v>
      </c>
      <c r="J238">
        <v>-876.46</v>
      </c>
      <c r="K238">
        <v>-482.57</v>
      </c>
      <c r="L238" s="2">
        <v>-1476.99</v>
      </c>
      <c r="M238">
        <v>-202.48</v>
      </c>
      <c r="N238" s="2">
        <v>-1190.0999999999999</v>
      </c>
      <c r="O238">
        <v>-461.98</v>
      </c>
      <c r="P238">
        <v>-544.47</v>
      </c>
      <c r="Q238">
        <v>-724.04</v>
      </c>
    </row>
    <row r="239" spans="1:19" x14ac:dyDescent="0.25">
      <c r="A239" t="s">
        <v>17</v>
      </c>
    </row>
    <row r="240" spans="1:19" x14ac:dyDescent="0.25">
      <c r="A240" t="s">
        <v>214</v>
      </c>
    </row>
    <row r="241" spans="1:19" x14ac:dyDescent="0.25">
      <c r="A241" t="s">
        <v>347</v>
      </c>
      <c r="B241">
        <v>-298.87</v>
      </c>
      <c r="C241" s="2">
        <v>-3041.06</v>
      </c>
      <c r="D241">
        <v>-346.28</v>
      </c>
      <c r="E241">
        <v>-343.99</v>
      </c>
      <c r="F241">
        <v>-402.07</v>
      </c>
      <c r="G241">
        <v>-472.26</v>
      </c>
      <c r="H241">
        <v>-522.41999999999996</v>
      </c>
      <c r="I241">
        <v>-559.35</v>
      </c>
      <c r="J241">
        <v>-638.53</v>
      </c>
      <c r="K241">
        <v>-732.56</v>
      </c>
      <c r="L241">
        <v>-773.04</v>
      </c>
      <c r="M241">
        <v>-904.59</v>
      </c>
      <c r="N241" s="2">
        <v>-1057.83</v>
      </c>
      <c r="O241" s="2">
        <v>-1197.08</v>
      </c>
      <c r="P241" s="2">
        <v>-1249.43</v>
      </c>
      <c r="Q241" s="2">
        <v>-1416.75</v>
      </c>
      <c r="R241" s="2">
        <v>-1879.8</v>
      </c>
      <c r="S241" s="2">
        <v>-2131.5100000000002</v>
      </c>
    </row>
    <row r="242" spans="1:19" x14ac:dyDescent="0.25">
      <c r="A242" t="s">
        <v>1398</v>
      </c>
      <c r="B242">
        <v>0</v>
      </c>
      <c r="C242" s="2">
        <v>2308.79</v>
      </c>
      <c r="D242">
        <v>-135</v>
      </c>
      <c r="E242">
        <v>-130</v>
      </c>
      <c r="F242">
        <v>-697.56</v>
      </c>
      <c r="G242">
        <v>-2.4700000000000002</v>
      </c>
      <c r="H242">
        <v>20.8</v>
      </c>
      <c r="I242">
        <v>-29.66</v>
      </c>
      <c r="J242" s="2">
        <v>3222.41</v>
      </c>
      <c r="K242">
        <v>-787.25</v>
      </c>
      <c r="L242">
        <v>735.04</v>
      </c>
      <c r="M242">
        <v>-750</v>
      </c>
      <c r="N242">
        <v>0</v>
      </c>
      <c r="O242">
        <v>-200</v>
      </c>
      <c r="P242">
        <v>-400</v>
      </c>
      <c r="Q242">
        <v>-400</v>
      </c>
    </row>
    <row r="243" spans="1:19" x14ac:dyDescent="0.25">
      <c r="A243" t="s">
        <v>713</v>
      </c>
      <c r="B243">
        <v>0</v>
      </c>
      <c r="C243">
        <v>-916.12</v>
      </c>
      <c r="D243">
        <v>-135</v>
      </c>
      <c r="E243">
        <v>-130</v>
      </c>
      <c r="F243">
        <v>-946.25</v>
      </c>
      <c r="G243">
        <v>-902.47</v>
      </c>
      <c r="H243" s="2">
        <v>-1171.03</v>
      </c>
      <c r="I243">
        <v>-70</v>
      </c>
      <c r="J243">
        <v>-620</v>
      </c>
      <c r="K243" s="2">
        <v>-1087.25</v>
      </c>
      <c r="L243">
        <v>0</v>
      </c>
      <c r="M243">
        <v>-750</v>
      </c>
      <c r="N243">
        <v>0</v>
      </c>
      <c r="O243">
        <v>-400</v>
      </c>
      <c r="P243">
        <v>-400</v>
      </c>
      <c r="Q243">
        <v>-600</v>
      </c>
    </row>
    <row r="244" spans="1:19" x14ac:dyDescent="0.25">
      <c r="A244" t="s">
        <v>1399</v>
      </c>
      <c r="B244">
        <v>132.78</v>
      </c>
      <c r="C244">
        <v>62.41</v>
      </c>
      <c r="D244">
        <v>50.23</v>
      </c>
      <c r="E244">
        <v>45.36</v>
      </c>
      <c r="F244">
        <v>61.44</v>
      </c>
      <c r="G244">
        <v>64.83</v>
      </c>
      <c r="H244">
        <v>75.63</v>
      </c>
      <c r="I244">
        <v>86.1</v>
      </c>
      <c r="J244">
        <v>113.01</v>
      </c>
      <c r="K244">
        <v>124.85</v>
      </c>
      <c r="L244">
        <v>144.93</v>
      </c>
      <c r="M244">
        <v>151.51</v>
      </c>
      <c r="N244">
        <v>168.57</v>
      </c>
      <c r="O244">
        <v>339.23</v>
      </c>
      <c r="P244">
        <v>363.94</v>
      </c>
      <c r="Q244">
        <v>375.57</v>
      </c>
    </row>
    <row r="245" spans="1:19" x14ac:dyDescent="0.25">
      <c r="A245" t="s">
        <v>1400</v>
      </c>
      <c r="B245">
        <v>-240.84</v>
      </c>
      <c r="C245">
        <v>-602.89</v>
      </c>
      <c r="D245">
        <v>-181.71</v>
      </c>
      <c r="E245">
        <v>-25</v>
      </c>
      <c r="F245">
        <v>-203.17</v>
      </c>
      <c r="G245" s="2">
        <v>-1095.2</v>
      </c>
      <c r="H245">
        <v>-829.08</v>
      </c>
      <c r="I245">
        <v>-938.61</v>
      </c>
      <c r="J245" s="2">
        <v>-4867.8100000000004</v>
      </c>
      <c r="K245" s="2">
        <v>-1311.86</v>
      </c>
      <c r="L245" s="2">
        <v>-1735.75</v>
      </c>
      <c r="M245" s="2">
        <v>-2149.9499999999998</v>
      </c>
      <c r="N245" s="2">
        <v>-2289.77</v>
      </c>
      <c r="O245" s="2">
        <v>-1982.1</v>
      </c>
      <c r="P245" s="2">
        <v>-4003.67</v>
      </c>
      <c r="Q245" s="2">
        <v>-3863.2</v>
      </c>
      <c r="R245" s="2">
        <v>-4838.3999999999996</v>
      </c>
      <c r="S245" s="2">
        <v>-5806.08</v>
      </c>
    </row>
    <row r="246" spans="1:19" x14ac:dyDescent="0.25">
      <c r="A246" t="s">
        <v>1401</v>
      </c>
      <c r="G246" s="2">
        <v>1183.79</v>
      </c>
      <c r="H246">
        <v>0</v>
      </c>
      <c r="I246">
        <v>0</v>
      </c>
      <c r="K246">
        <v>-6.52</v>
      </c>
      <c r="L246">
        <v>0</v>
      </c>
      <c r="M246">
        <v>0</v>
      </c>
      <c r="N246">
        <v>-1.6</v>
      </c>
    </row>
    <row r="247" spans="1:19" x14ac:dyDescent="0.25">
      <c r="A247" t="s">
        <v>212</v>
      </c>
      <c r="B247">
        <v>-51.95</v>
      </c>
      <c r="C247">
        <v>-30.23</v>
      </c>
      <c r="D247">
        <v>-23.94</v>
      </c>
      <c r="E247">
        <v>-19.170000000000002</v>
      </c>
      <c r="F247">
        <v>-28.76</v>
      </c>
      <c r="G247" s="2">
        <v>1145.1099999999999</v>
      </c>
      <c r="H247">
        <v>-44.56</v>
      </c>
      <c r="I247">
        <v>-56.36</v>
      </c>
      <c r="J247">
        <v>-1.72</v>
      </c>
      <c r="K247">
        <v>-28.66</v>
      </c>
      <c r="L247">
        <v>-147.21</v>
      </c>
      <c r="M247">
        <v>-132.66</v>
      </c>
      <c r="N247">
        <v>-1.6</v>
      </c>
      <c r="O247">
        <v>-310.8</v>
      </c>
      <c r="P247">
        <v>-332.67</v>
      </c>
      <c r="Q247">
        <v>-345.49</v>
      </c>
    </row>
    <row r="248" spans="1:19" x14ac:dyDescent="0.25">
      <c r="A248" t="s">
        <v>218</v>
      </c>
      <c r="B248">
        <v>-458.89</v>
      </c>
      <c r="C248" s="2">
        <v>-1302.97</v>
      </c>
      <c r="D248">
        <v>-636.70000000000005</v>
      </c>
      <c r="E248">
        <v>-472.81</v>
      </c>
      <c r="F248" s="2">
        <v>-1270.0999999999999</v>
      </c>
      <c r="G248">
        <v>-360.01</v>
      </c>
      <c r="H248" s="2">
        <v>-1299.6400000000001</v>
      </c>
      <c r="I248" s="2">
        <v>-1497.88</v>
      </c>
      <c r="J248" s="2">
        <v>-2257.0100000000002</v>
      </c>
      <c r="K248" s="2">
        <v>-2830.29</v>
      </c>
      <c r="L248" s="2">
        <v>-1776.02</v>
      </c>
      <c r="M248" s="2">
        <v>-3785.69</v>
      </c>
      <c r="N248" s="2">
        <v>-3385.61</v>
      </c>
      <c r="O248" s="2">
        <v>-4423.7</v>
      </c>
      <c r="P248" s="2">
        <v>-5578.34</v>
      </c>
      <c r="Q248" s="2">
        <v>-5462.44</v>
      </c>
    </row>
    <row r="249" spans="1:19" x14ac:dyDescent="0.25">
      <c r="A249" t="s">
        <v>17</v>
      </c>
    </row>
    <row r="250" spans="1:19" x14ac:dyDescent="0.25">
      <c r="A250" t="s">
        <v>176</v>
      </c>
    </row>
    <row r="251" spans="1:19" x14ac:dyDescent="0.25">
      <c r="A251" t="s">
        <v>219</v>
      </c>
      <c r="B251">
        <v>1.58</v>
      </c>
      <c r="C251">
        <v>-13.99</v>
      </c>
      <c r="D251">
        <v>2.78</v>
      </c>
      <c r="E251">
        <v>-1.41</v>
      </c>
      <c r="F251">
        <v>0.7</v>
      </c>
      <c r="G251">
        <v>-0.03</v>
      </c>
      <c r="H251">
        <v>-1.93</v>
      </c>
      <c r="I251">
        <v>13.46</v>
      </c>
      <c r="J251">
        <v>-28.94</v>
      </c>
      <c r="K251">
        <v>-13.99</v>
      </c>
      <c r="L251">
        <v>-6.31</v>
      </c>
      <c r="M251">
        <v>8.0399999999999991</v>
      </c>
      <c r="N251">
        <v>3.56</v>
      </c>
      <c r="O251">
        <v>14.84</v>
      </c>
      <c r="P251">
        <v>13.19</v>
      </c>
      <c r="Q251">
        <v>0</v>
      </c>
    </row>
    <row r="252" spans="1:19" x14ac:dyDescent="0.25">
      <c r="A252" t="s">
        <v>220</v>
      </c>
      <c r="B252">
        <v>-354.53</v>
      </c>
      <c r="C252">
        <v>207.16</v>
      </c>
      <c r="D252">
        <v>270.45999999999998</v>
      </c>
      <c r="E252">
        <v>44.56</v>
      </c>
      <c r="F252">
        <v>251.33</v>
      </c>
      <c r="G252">
        <v>-388.39</v>
      </c>
      <c r="H252">
        <v>218.42</v>
      </c>
      <c r="I252">
        <v>200.2</v>
      </c>
      <c r="J252">
        <v>150.30000000000001</v>
      </c>
      <c r="K252">
        <v>342.96</v>
      </c>
      <c r="L252">
        <v>49.26</v>
      </c>
      <c r="M252">
        <v>101.78</v>
      </c>
      <c r="N252">
        <v>-429.07</v>
      </c>
      <c r="O252" s="2">
        <v>2510.9</v>
      </c>
      <c r="P252" s="2">
        <v>2377.7800000000002</v>
      </c>
      <c r="Q252" s="2">
        <v>3470.95</v>
      </c>
    </row>
    <row r="253" spans="1:19" x14ac:dyDescent="0.25">
      <c r="A253" t="s">
        <v>221</v>
      </c>
      <c r="B253">
        <v>985.39</v>
      </c>
      <c r="C253">
        <v>630.86</v>
      </c>
      <c r="D253">
        <v>838.03</v>
      </c>
      <c r="E253" s="2">
        <v>1108.49</v>
      </c>
      <c r="F253" s="2">
        <v>1153.05</v>
      </c>
      <c r="G253" s="2">
        <v>1404.38</v>
      </c>
      <c r="H253" s="2">
        <v>1015.99</v>
      </c>
      <c r="I253" s="2">
        <v>1234.4100000000001</v>
      </c>
      <c r="J253" s="2">
        <v>1434.61</v>
      </c>
      <c r="K253" s="2">
        <v>1584.91</v>
      </c>
      <c r="L253" s="2">
        <v>1927.87</v>
      </c>
      <c r="M253" s="2">
        <v>1977.13</v>
      </c>
      <c r="N253" s="2">
        <v>2078.91</v>
      </c>
      <c r="O253" s="2">
        <v>1681.82</v>
      </c>
      <c r="P253" s="2">
        <v>3234.6</v>
      </c>
      <c r="Q253" s="2">
        <v>5538.46</v>
      </c>
    </row>
    <row r="254" spans="1:19" x14ac:dyDescent="0.25">
      <c r="A254" t="s">
        <v>178</v>
      </c>
    </row>
    <row r="255" spans="1:19" x14ac:dyDescent="0.25">
      <c r="A255" t="s">
        <v>225</v>
      </c>
      <c r="B255">
        <v>711.38</v>
      </c>
      <c r="C255">
        <v>560.12</v>
      </c>
      <c r="D255">
        <v>727.96</v>
      </c>
      <c r="E255" s="2">
        <v>1041.07</v>
      </c>
      <c r="F255" s="2">
        <v>1163</v>
      </c>
      <c r="G255" s="2">
        <v>1022.13</v>
      </c>
      <c r="H255" s="2">
        <v>1626.18</v>
      </c>
      <c r="I255" s="2">
        <v>1953.4</v>
      </c>
      <c r="J255" s="2">
        <v>3005.38</v>
      </c>
      <c r="K255" s="2">
        <v>3328.21</v>
      </c>
      <c r="L255" s="2">
        <v>3031.19</v>
      </c>
      <c r="M255" s="2">
        <v>3746.64</v>
      </c>
      <c r="N255" s="2">
        <v>3767.13</v>
      </c>
      <c r="O255" s="2">
        <v>6930.46</v>
      </c>
      <c r="P255" s="2">
        <v>7754.17</v>
      </c>
      <c r="Q255" s="2">
        <v>8666.11</v>
      </c>
      <c r="R255" s="2">
        <v>8168.7</v>
      </c>
      <c r="S255" s="2">
        <v>9517.5</v>
      </c>
    </row>
    <row r="256" spans="1:19" x14ac:dyDescent="0.25">
      <c r="A256" t="s">
        <v>228</v>
      </c>
      <c r="B256">
        <v>24.28</v>
      </c>
      <c r="C256">
        <v>19.899999999999999</v>
      </c>
      <c r="D256">
        <v>25.25</v>
      </c>
      <c r="E256">
        <v>27.41</v>
      </c>
      <c r="F256">
        <v>28.79</v>
      </c>
      <c r="G256">
        <v>22.37</v>
      </c>
      <c r="H256">
        <v>28.01</v>
      </c>
      <c r="I256">
        <v>28.23</v>
      </c>
      <c r="J256">
        <v>32.630000000000003</v>
      </c>
      <c r="K256">
        <v>31.71</v>
      </c>
      <c r="L256">
        <v>30.89</v>
      </c>
      <c r="M256">
        <v>30.82</v>
      </c>
      <c r="N256">
        <v>27.74</v>
      </c>
      <c r="O256">
        <v>37.479999999999997</v>
      </c>
      <c r="P256">
        <v>35.24</v>
      </c>
      <c r="Q256">
        <v>37.549999999999997</v>
      </c>
      <c r="R256">
        <v>34.82</v>
      </c>
      <c r="S256">
        <v>35.18</v>
      </c>
    </row>
    <row r="257" spans="1:19" x14ac:dyDescent="0.25">
      <c r="A257" t="s">
        <v>615</v>
      </c>
      <c r="B257">
        <v>0.42</v>
      </c>
      <c r="C257">
        <v>0.34</v>
      </c>
      <c r="D257">
        <v>0.52</v>
      </c>
      <c r="E257">
        <v>0.66</v>
      </c>
      <c r="F257">
        <v>0.74</v>
      </c>
      <c r="G257">
        <v>0.65</v>
      </c>
      <c r="H257">
        <v>1.03</v>
      </c>
      <c r="I257">
        <v>1.26</v>
      </c>
      <c r="J257">
        <v>1.98</v>
      </c>
      <c r="K257">
        <v>2.37</v>
      </c>
      <c r="L257">
        <v>2.23</v>
      </c>
      <c r="M257">
        <v>2.8</v>
      </c>
      <c r="N257">
        <v>2.85</v>
      </c>
      <c r="O257">
        <v>4.8499999999999996</v>
      </c>
      <c r="P257">
        <v>6.17</v>
      </c>
      <c r="Q257">
        <v>6.99</v>
      </c>
      <c r="R257">
        <v>6.61</v>
      </c>
      <c r="S257">
        <v>7.87</v>
      </c>
    </row>
    <row r="258" spans="1:19" x14ac:dyDescent="0.25">
      <c r="A258" t="s">
        <v>17</v>
      </c>
    </row>
    <row r="259" spans="1:19" x14ac:dyDescent="0.25">
      <c r="A259" t="s">
        <v>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25B9-214E-4D7C-9B21-623A67C1E91C}">
  <dimension ref="A1:U233"/>
  <sheetViews>
    <sheetView workbookViewId="0">
      <selection sqref="A1:U233"/>
    </sheetView>
  </sheetViews>
  <sheetFormatPr defaultRowHeight="15" x14ac:dyDescent="0.25"/>
  <sheetData>
    <row r="1" spans="1:21" x14ac:dyDescent="0.25">
      <c r="A1" t="s">
        <v>1402</v>
      </c>
    </row>
    <row r="2" spans="1:21" x14ac:dyDescent="0.25">
      <c r="A2" t="s">
        <v>1403</v>
      </c>
    </row>
    <row r="3" spans="1:21" x14ac:dyDescent="0.25">
      <c r="A3" t="s">
        <v>1404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1405</v>
      </c>
      <c r="B6" s="2">
        <v>4102.95</v>
      </c>
      <c r="C6" s="2">
        <v>5850.04</v>
      </c>
      <c r="D6" s="2">
        <v>6002</v>
      </c>
      <c r="E6" s="2">
        <v>4057.37</v>
      </c>
      <c r="F6" s="2">
        <v>15073</v>
      </c>
      <c r="G6" s="2">
        <v>21346.240000000002</v>
      </c>
      <c r="H6" s="2">
        <v>2765.5</v>
      </c>
      <c r="I6" s="2">
        <v>6952</v>
      </c>
      <c r="J6" s="2">
        <v>13989</v>
      </c>
      <c r="K6" s="2">
        <v>3242</v>
      </c>
      <c r="L6" s="2">
        <v>-13244</v>
      </c>
      <c r="M6" s="2">
        <v>27182.17</v>
      </c>
      <c r="N6" s="2">
        <v>62160.85</v>
      </c>
      <c r="O6" s="2">
        <v>347005.75</v>
      </c>
      <c r="P6" s="2">
        <v>465289.98</v>
      </c>
      <c r="Q6" s="2">
        <v>531896.31999999995</v>
      </c>
      <c r="R6" s="2">
        <v>509256.14</v>
      </c>
      <c r="S6" s="2">
        <v>599560.55000000005</v>
      </c>
      <c r="T6" s="2">
        <v>1639481.3</v>
      </c>
      <c r="U6" s="2">
        <v>2406137.61</v>
      </c>
    </row>
    <row r="7" spans="1:21" x14ac:dyDescent="0.25">
      <c r="A7" t="s">
        <v>16</v>
      </c>
      <c r="B7" s="2">
        <v>14165.1</v>
      </c>
      <c r="C7" s="2">
        <v>17125.57</v>
      </c>
      <c r="D7" s="2">
        <v>18798</v>
      </c>
      <c r="E7" s="2">
        <v>17197.98</v>
      </c>
      <c r="F7" s="2">
        <v>30109.43</v>
      </c>
      <c r="G7" s="2">
        <v>40445.07</v>
      </c>
      <c r="H7" s="2">
        <v>26990.73</v>
      </c>
      <c r="I7" s="2">
        <v>31900.42</v>
      </c>
      <c r="J7" s="2">
        <v>42997.79</v>
      </c>
      <c r="K7" s="2">
        <v>44621.57</v>
      </c>
      <c r="L7" s="2">
        <v>32765.72</v>
      </c>
      <c r="M7" s="2">
        <v>66192.960000000006</v>
      </c>
      <c r="N7" s="2">
        <v>97146.68</v>
      </c>
      <c r="O7" s="2">
        <v>346223.76</v>
      </c>
      <c r="P7" s="2">
        <v>537460.93999999994</v>
      </c>
      <c r="Q7" s="2">
        <v>622251.63</v>
      </c>
      <c r="R7" s="2">
        <v>622977.61</v>
      </c>
      <c r="S7" s="2">
        <v>574474.74</v>
      </c>
      <c r="T7" s="2">
        <v>745445.63</v>
      </c>
      <c r="U7" s="2">
        <v>678991.26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237</v>
      </c>
      <c r="B10" s="2">
        <v>10211.99</v>
      </c>
      <c r="C10" s="2">
        <v>13311.63</v>
      </c>
      <c r="D10" s="2">
        <v>14045.34</v>
      </c>
      <c r="E10" s="2">
        <v>12340.77</v>
      </c>
      <c r="F10" s="2">
        <v>22887.26</v>
      </c>
      <c r="G10" s="2">
        <v>32370.94</v>
      </c>
      <c r="H10" s="2">
        <v>20292.689999999999</v>
      </c>
      <c r="I10" s="2">
        <v>22536.400000000001</v>
      </c>
      <c r="J10" s="2">
        <v>30599.71</v>
      </c>
      <c r="K10" s="2">
        <v>28168.799999999999</v>
      </c>
      <c r="L10" s="2">
        <v>20768.66</v>
      </c>
      <c r="M10" s="2">
        <v>44731.66</v>
      </c>
      <c r="N10" s="2">
        <v>74904.13</v>
      </c>
      <c r="O10" s="2">
        <v>257536.48</v>
      </c>
      <c r="P10" s="2">
        <v>401276.41</v>
      </c>
      <c r="Q10" s="2">
        <v>469625.61</v>
      </c>
      <c r="R10" s="2">
        <v>464636.08</v>
      </c>
      <c r="S10" s="2">
        <v>382189.75</v>
      </c>
    </row>
    <row r="11" spans="1:21" x14ac:dyDescent="0.25">
      <c r="A11" t="s">
        <v>1406</v>
      </c>
      <c r="B11" s="2">
        <v>3391.56</v>
      </c>
      <c r="C11" s="2">
        <v>3320.66</v>
      </c>
      <c r="D11" s="2">
        <v>4148.32</v>
      </c>
      <c r="E11" s="2">
        <v>4347.54</v>
      </c>
      <c r="F11" s="2">
        <v>6648.75</v>
      </c>
      <c r="G11" s="2">
        <v>7420.86</v>
      </c>
      <c r="H11" s="2">
        <v>5139.5600000000004</v>
      </c>
      <c r="I11" s="2">
        <v>7471.24</v>
      </c>
      <c r="J11" s="2">
        <v>10529.45</v>
      </c>
      <c r="K11" s="2">
        <v>14183.92</v>
      </c>
      <c r="L11" s="2">
        <v>9653.06</v>
      </c>
      <c r="M11" s="2">
        <v>19274.11</v>
      </c>
      <c r="N11" s="2">
        <v>20690.080000000002</v>
      </c>
      <c r="O11" s="2">
        <v>84149.18</v>
      </c>
      <c r="P11" s="2">
        <v>125429.46</v>
      </c>
      <c r="Q11" s="2">
        <v>137884.31</v>
      </c>
      <c r="R11" s="2">
        <v>130323.28</v>
      </c>
      <c r="S11" s="2">
        <v>106377</v>
      </c>
    </row>
    <row r="12" spans="1:21" x14ac:dyDescent="0.25">
      <c r="A12" t="s">
        <v>17</v>
      </c>
    </row>
    <row r="13" spans="1:21" x14ac:dyDescent="0.25">
      <c r="A13" t="s">
        <v>1072</v>
      </c>
      <c r="B13">
        <v>37.4</v>
      </c>
      <c r="C13">
        <v>44.8</v>
      </c>
      <c r="D13">
        <v>44.1</v>
      </c>
      <c r="E13">
        <v>37.28</v>
      </c>
      <c r="F13">
        <v>57.81</v>
      </c>
      <c r="G13">
        <v>62.46</v>
      </c>
      <c r="H13">
        <v>30.25</v>
      </c>
      <c r="I13">
        <v>33.89</v>
      </c>
      <c r="J13">
        <v>44.08</v>
      </c>
      <c r="K13">
        <v>35.020000000000003</v>
      </c>
      <c r="L13">
        <v>-1.63</v>
      </c>
      <c r="M13">
        <v>48.08</v>
      </c>
      <c r="N13">
        <v>60.41</v>
      </c>
      <c r="O13">
        <v>84.07</v>
      </c>
      <c r="P13">
        <v>84.35</v>
      </c>
      <c r="Q13">
        <v>81.290000000000006</v>
      </c>
      <c r="R13">
        <v>76.540000000000006</v>
      </c>
      <c r="S13">
        <v>69.91</v>
      </c>
      <c r="T13">
        <v>72.08</v>
      </c>
      <c r="U13">
        <v>72.08</v>
      </c>
    </row>
    <row r="14" spans="1:21" x14ac:dyDescent="0.25">
      <c r="A14" t="s">
        <v>1299</v>
      </c>
      <c r="B14">
        <v>968.8</v>
      </c>
      <c r="C14" s="2">
        <v>1409.53</v>
      </c>
      <c r="D14" s="2">
        <v>1620.32</v>
      </c>
      <c r="E14" s="2">
        <v>1744.71</v>
      </c>
      <c r="F14" s="2">
        <v>1975.39</v>
      </c>
      <c r="G14" s="2">
        <v>2284</v>
      </c>
      <c r="H14" s="2">
        <v>2855.64</v>
      </c>
      <c r="I14" s="2">
        <v>3111.3</v>
      </c>
      <c r="J14" s="2">
        <v>3551.2</v>
      </c>
      <c r="K14" s="2">
        <v>4474.55</v>
      </c>
      <c r="L14" s="2">
        <v>3750.71</v>
      </c>
      <c r="M14" s="2">
        <v>4436.34</v>
      </c>
      <c r="N14" s="2">
        <v>6465.64</v>
      </c>
      <c r="O14" s="2">
        <v>12231.56</v>
      </c>
      <c r="P14" s="2">
        <v>16297.63</v>
      </c>
      <c r="Q14" s="2">
        <v>19493.78</v>
      </c>
      <c r="R14" s="2">
        <v>22302.04</v>
      </c>
      <c r="S14" s="2">
        <v>19449.759999999998</v>
      </c>
      <c r="T14" s="2">
        <v>33327.589999999997</v>
      </c>
      <c r="U14" s="2">
        <v>48912.52</v>
      </c>
    </row>
    <row r="15" spans="1:21" x14ac:dyDescent="0.25">
      <c r="A15" t="s">
        <v>776</v>
      </c>
      <c r="B15">
        <v>8.08</v>
      </c>
      <c r="C15">
        <v>8.31</v>
      </c>
      <c r="D15">
        <v>9.34</v>
      </c>
      <c r="E15">
        <v>10.87</v>
      </c>
      <c r="F15">
        <v>8.26</v>
      </c>
      <c r="G15">
        <v>7.16</v>
      </c>
      <c r="H15">
        <v>11.81</v>
      </c>
      <c r="I15">
        <v>10.57</v>
      </c>
      <c r="J15">
        <v>9.41</v>
      </c>
      <c r="K15">
        <v>10.99</v>
      </c>
      <c r="L15">
        <v>12.78</v>
      </c>
      <c r="M15">
        <v>7.48</v>
      </c>
      <c r="N15">
        <v>6.93</v>
      </c>
      <c r="O15">
        <v>3.46</v>
      </c>
      <c r="P15">
        <v>3.17</v>
      </c>
      <c r="Q15">
        <v>3.33</v>
      </c>
      <c r="R15">
        <v>3.4</v>
      </c>
      <c r="S15">
        <v>2.78</v>
      </c>
      <c r="T15">
        <v>1.57</v>
      </c>
      <c r="U15">
        <v>1.57</v>
      </c>
    </row>
    <row r="16" spans="1:21" x14ac:dyDescent="0.25">
      <c r="A16" t="s">
        <v>91</v>
      </c>
      <c r="B16" s="2">
        <v>3379.79</v>
      </c>
      <c r="C16" s="2">
        <v>5109.47</v>
      </c>
      <c r="D16" s="2">
        <v>5336.1</v>
      </c>
      <c r="E16" s="2">
        <v>3276.75</v>
      </c>
      <c r="F16" s="2">
        <v>13721.33</v>
      </c>
      <c r="G16" s="2">
        <v>20843.75</v>
      </c>
      <c r="H16" s="2">
        <v>2712.72</v>
      </c>
      <c r="I16" s="2">
        <v>5012.6000000000004</v>
      </c>
      <c r="J16" s="2">
        <v>12410.34</v>
      </c>
      <c r="K16" s="2">
        <v>6809.42</v>
      </c>
      <c r="L16" s="2">
        <v>-7730.31</v>
      </c>
      <c r="M16" s="2">
        <v>23467.32</v>
      </c>
      <c r="N16" s="2">
        <v>47206.32</v>
      </c>
      <c r="O16" s="2">
        <v>267632.53000000003</v>
      </c>
      <c r="P16" s="2">
        <v>423439.4</v>
      </c>
      <c r="Q16" s="2">
        <v>473625.34</v>
      </c>
      <c r="R16" s="2">
        <v>502300.83</v>
      </c>
      <c r="S16" s="2">
        <v>494646.76</v>
      </c>
      <c r="T16" s="2">
        <v>1073620.71</v>
      </c>
      <c r="U16" s="2">
        <v>2248174.14</v>
      </c>
    </row>
    <row r="17" spans="1:21" x14ac:dyDescent="0.25">
      <c r="A17" t="s">
        <v>1353</v>
      </c>
      <c r="B17">
        <v>23.86</v>
      </c>
      <c r="C17">
        <v>29.84</v>
      </c>
      <c r="D17">
        <v>28.39</v>
      </c>
      <c r="E17">
        <v>19.05</v>
      </c>
      <c r="F17">
        <v>45.57</v>
      </c>
      <c r="G17">
        <v>51.54</v>
      </c>
      <c r="H17">
        <v>10.07</v>
      </c>
      <c r="I17">
        <v>15.71</v>
      </c>
      <c r="J17">
        <v>28.86</v>
      </c>
      <c r="K17">
        <v>15.26</v>
      </c>
      <c r="L17">
        <v>-23.59</v>
      </c>
      <c r="M17">
        <v>35.450000000000003</v>
      </c>
      <c r="N17">
        <v>48.59</v>
      </c>
      <c r="O17">
        <v>76.8</v>
      </c>
      <c r="P17">
        <v>78.44</v>
      </c>
      <c r="Q17">
        <v>74.349999999999994</v>
      </c>
      <c r="R17">
        <v>63.71</v>
      </c>
      <c r="S17">
        <v>50.22</v>
      </c>
      <c r="T17">
        <v>72.08</v>
      </c>
      <c r="U17">
        <v>72.08</v>
      </c>
    </row>
    <row r="18" spans="1:21" x14ac:dyDescent="0.25">
      <c r="A18" t="s">
        <v>100</v>
      </c>
      <c r="B18" s="2">
        <v>3074.93</v>
      </c>
      <c r="C18" s="2">
        <v>5047.67</v>
      </c>
      <c r="D18" s="2">
        <v>5269.12</v>
      </c>
      <c r="E18" s="2">
        <v>3216.45</v>
      </c>
      <c r="F18" s="2">
        <v>13439.57</v>
      </c>
      <c r="G18" s="2">
        <v>21341.03</v>
      </c>
      <c r="H18" s="2">
        <v>2442.73</v>
      </c>
      <c r="I18" s="2">
        <v>6237.04</v>
      </c>
      <c r="J18" s="2">
        <v>13415.99</v>
      </c>
      <c r="K18" s="2">
        <v>4002.78</v>
      </c>
      <c r="L18" s="2">
        <v>-11657.82</v>
      </c>
      <c r="M18" s="2">
        <v>23885.35</v>
      </c>
      <c r="N18" s="2">
        <v>50465.55</v>
      </c>
      <c r="O18" s="2">
        <v>325722.43</v>
      </c>
      <c r="P18" s="2">
        <v>431736.42</v>
      </c>
      <c r="Q18" s="2">
        <v>484644.63</v>
      </c>
      <c r="R18" s="2">
        <v>512344.2</v>
      </c>
      <c r="S18" s="2">
        <v>570623.61</v>
      </c>
      <c r="T18" s="2">
        <v>1536444.94</v>
      </c>
      <c r="U18" s="2">
        <v>2254919.2599999998</v>
      </c>
    </row>
    <row r="19" spans="1:21" x14ac:dyDescent="0.25">
      <c r="A19" t="s">
        <v>528</v>
      </c>
      <c r="B19" s="2">
        <v>2872.47</v>
      </c>
      <c r="C19" s="2">
        <v>4195.46</v>
      </c>
      <c r="D19" s="2">
        <v>4322.3599999999997</v>
      </c>
      <c r="E19" s="2">
        <v>2953.77</v>
      </c>
      <c r="F19" s="2">
        <v>10641.51</v>
      </c>
      <c r="G19" s="2">
        <v>15540.11</v>
      </c>
      <c r="H19" s="2">
        <v>2013.29</v>
      </c>
      <c r="I19" s="2">
        <v>4755.1000000000004</v>
      </c>
      <c r="J19" s="2">
        <v>9602.32</v>
      </c>
      <c r="K19" s="2">
        <v>2229.56</v>
      </c>
      <c r="L19" s="2">
        <v>-9112.43</v>
      </c>
      <c r="M19" s="2">
        <v>19788.68</v>
      </c>
      <c r="N19" s="2">
        <v>42919.29</v>
      </c>
      <c r="O19" s="2">
        <v>251374.36</v>
      </c>
      <c r="P19" s="2">
        <v>339146</v>
      </c>
      <c r="Q19" s="2">
        <v>381317.88</v>
      </c>
      <c r="R19" s="2">
        <v>299074.44</v>
      </c>
      <c r="S19" s="2">
        <v>394861.7</v>
      </c>
      <c r="T19" s="2">
        <v>1197628.57</v>
      </c>
      <c r="U19" s="2">
        <v>1757665.16</v>
      </c>
    </row>
    <row r="20" spans="1:21" x14ac:dyDescent="0.25">
      <c r="A20" t="s">
        <v>17</v>
      </c>
    </row>
    <row r="21" spans="1:21" x14ac:dyDescent="0.25">
      <c r="A21" t="s">
        <v>242</v>
      </c>
      <c r="B21" s="2">
        <v>-3205.8</v>
      </c>
      <c r="C21" s="2">
        <v>-4800.72</v>
      </c>
      <c r="D21" s="2">
        <v>-6774.63</v>
      </c>
      <c r="E21" s="2">
        <v>-5956.35</v>
      </c>
      <c r="F21" s="2">
        <v>-9128.2999999999993</v>
      </c>
      <c r="G21" s="2">
        <v>-16036.15</v>
      </c>
      <c r="H21" s="2">
        <v>-13920.24</v>
      </c>
      <c r="I21" s="2">
        <v>-10068.66</v>
      </c>
      <c r="J21" s="2">
        <v>-12486.64</v>
      </c>
      <c r="K21" s="2">
        <v>-19010.259999999998</v>
      </c>
      <c r="L21" s="2">
        <v>-8325.14</v>
      </c>
      <c r="M21" s="2">
        <v>-15945.53</v>
      </c>
      <c r="N21" s="2">
        <v>-27518.92</v>
      </c>
      <c r="O21" s="2">
        <v>-45802.29</v>
      </c>
      <c r="P21" s="2">
        <v>-61702.23</v>
      </c>
      <c r="Q21" s="2">
        <v>-71501.03</v>
      </c>
      <c r="R21" s="2">
        <v>-89091.06</v>
      </c>
      <c r="S21" s="2">
        <v>-80982.070000000007</v>
      </c>
      <c r="T21" s="2">
        <v>-76911.97</v>
      </c>
      <c r="U21" s="2">
        <v>-77681.09</v>
      </c>
    </row>
    <row r="22" spans="1:21" x14ac:dyDescent="0.25">
      <c r="A22" t="s">
        <v>1407</v>
      </c>
      <c r="B22">
        <v>22.63</v>
      </c>
      <c r="C22">
        <v>28.03</v>
      </c>
      <c r="D22">
        <v>36.04</v>
      </c>
      <c r="E22">
        <v>34.630000000000003</v>
      </c>
      <c r="F22">
        <v>30.32</v>
      </c>
      <c r="G22">
        <v>39.65</v>
      </c>
      <c r="H22">
        <v>51.57</v>
      </c>
      <c r="I22">
        <v>31.56</v>
      </c>
      <c r="J22">
        <v>29.04</v>
      </c>
      <c r="K22">
        <v>42.6</v>
      </c>
      <c r="L22">
        <v>25.41</v>
      </c>
      <c r="M22">
        <v>24.09</v>
      </c>
      <c r="N22">
        <v>28.33</v>
      </c>
      <c r="O22">
        <v>14.02</v>
      </c>
      <c r="P22">
        <v>12.05</v>
      </c>
      <c r="Q22">
        <v>12.72</v>
      </c>
      <c r="R22">
        <v>12.67</v>
      </c>
      <c r="S22">
        <v>14</v>
      </c>
    </row>
    <row r="23" spans="1:21" x14ac:dyDescent="0.25">
      <c r="A23" t="s">
        <v>17</v>
      </c>
    </row>
    <row r="24" spans="1:21" x14ac:dyDescent="0.25">
      <c r="A24" t="s">
        <v>37</v>
      </c>
    </row>
    <row r="25" spans="1:21" x14ac:dyDescent="0.25">
      <c r="A25" t="s">
        <v>17</v>
      </c>
    </row>
    <row r="26" spans="1:21" x14ac:dyDescent="0.25">
      <c r="A26" t="s">
        <v>38</v>
      </c>
    </row>
    <row r="27" spans="1:21" x14ac:dyDescent="0.25">
      <c r="A27" t="s">
        <v>244</v>
      </c>
    </row>
    <row r="28" spans="1:21" x14ac:dyDescent="0.25">
      <c r="A28" t="s">
        <v>1408</v>
      </c>
      <c r="O28" s="2">
        <v>2293.73</v>
      </c>
      <c r="P28" s="2">
        <v>3069.78</v>
      </c>
      <c r="Q28" s="2">
        <v>2943.6</v>
      </c>
    </row>
    <row r="29" spans="1:21" x14ac:dyDescent="0.25">
      <c r="A29" t="s">
        <v>1409</v>
      </c>
      <c r="O29">
        <v>175.33</v>
      </c>
      <c r="P29">
        <v>32.450000000000003</v>
      </c>
      <c r="Q29">
        <v>-0.83</v>
      </c>
    </row>
    <row r="30" spans="1:21" x14ac:dyDescent="0.25">
      <c r="A30" t="s">
        <v>1410</v>
      </c>
      <c r="O30" s="2">
        <v>113999.58</v>
      </c>
      <c r="P30" s="2">
        <v>138003.29</v>
      </c>
      <c r="Q30" s="2">
        <v>166398.48000000001</v>
      </c>
    </row>
    <row r="31" spans="1:21" x14ac:dyDescent="0.25">
      <c r="A31" t="s">
        <v>1409</v>
      </c>
      <c r="O31">
        <v>26.31</v>
      </c>
      <c r="P31">
        <v>23.11</v>
      </c>
      <c r="Q31">
        <v>16.72</v>
      </c>
      <c r="R31">
        <v>19.3</v>
      </c>
      <c r="S31">
        <v>6.9</v>
      </c>
    </row>
    <row r="32" spans="1:21" x14ac:dyDescent="0.25">
      <c r="A32" t="s">
        <v>17</v>
      </c>
    </row>
    <row r="33" spans="1:19" x14ac:dyDescent="0.25">
      <c r="A33" t="s">
        <v>249</v>
      </c>
    </row>
    <row r="34" spans="1:19" x14ac:dyDescent="0.25">
      <c r="A34" t="s">
        <v>1411</v>
      </c>
      <c r="O34">
        <v>426.89</v>
      </c>
      <c r="P34">
        <v>551.34</v>
      </c>
      <c r="Q34">
        <v>469.02</v>
      </c>
    </row>
    <row r="35" spans="1:19" x14ac:dyDescent="0.25">
      <c r="A35" t="s">
        <v>1409</v>
      </c>
      <c r="O35">
        <v>246.23</v>
      </c>
      <c r="P35">
        <v>27.19</v>
      </c>
      <c r="Q35">
        <v>-16.03</v>
      </c>
    </row>
    <row r="36" spans="1:19" x14ac:dyDescent="0.25">
      <c r="A36" t="s">
        <v>1410</v>
      </c>
      <c r="O36" s="2">
        <v>221078</v>
      </c>
      <c r="P36" s="2">
        <v>270252.84999999998</v>
      </c>
      <c r="Q36" s="2">
        <v>354314.32</v>
      </c>
    </row>
    <row r="37" spans="1:19" x14ac:dyDescent="0.25">
      <c r="A37" t="s">
        <v>1409</v>
      </c>
      <c r="O37">
        <v>18.13</v>
      </c>
      <c r="P37">
        <v>18.149999999999999</v>
      </c>
      <c r="Q37">
        <v>18.45</v>
      </c>
    </row>
    <row r="38" spans="1:19" x14ac:dyDescent="0.25">
      <c r="A38" t="s">
        <v>17</v>
      </c>
    </row>
    <row r="39" spans="1:19" x14ac:dyDescent="0.25">
      <c r="A39" t="s">
        <v>250</v>
      </c>
    </row>
    <row r="40" spans="1:19" x14ac:dyDescent="0.25">
      <c r="A40" t="s">
        <v>1408</v>
      </c>
      <c r="O40" s="2">
        <v>2240.79</v>
      </c>
      <c r="P40" s="2">
        <v>3465.26</v>
      </c>
      <c r="Q40" s="2">
        <v>4517.46</v>
      </c>
    </row>
    <row r="41" spans="1:19" x14ac:dyDescent="0.25">
      <c r="A41" t="s">
        <v>1409</v>
      </c>
      <c r="O41">
        <v>-7.23</v>
      </c>
      <c r="P41">
        <v>64.48</v>
      </c>
      <c r="Q41">
        <v>12.18</v>
      </c>
    </row>
    <row r="42" spans="1:19" x14ac:dyDescent="0.25">
      <c r="A42" t="s">
        <v>1410</v>
      </c>
      <c r="O42" s="2">
        <v>24112.35</v>
      </c>
      <c r="P42" s="2">
        <v>33371.910000000003</v>
      </c>
      <c r="Q42" s="2">
        <v>33103.410000000003</v>
      </c>
    </row>
    <row r="43" spans="1:19" x14ac:dyDescent="0.25">
      <c r="A43" t="s">
        <v>1409</v>
      </c>
      <c r="O43">
        <v>94.51</v>
      </c>
      <c r="P43">
        <v>39.33</v>
      </c>
      <c r="Q43">
        <v>43.32</v>
      </c>
    </row>
    <row r="44" spans="1:19" x14ac:dyDescent="0.25">
      <c r="A44" t="s">
        <v>17</v>
      </c>
    </row>
    <row r="45" spans="1:19" x14ac:dyDescent="0.25">
      <c r="A45" t="s">
        <v>258</v>
      </c>
    </row>
    <row r="46" spans="1:19" x14ac:dyDescent="0.25">
      <c r="A46" t="s">
        <v>244</v>
      </c>
    </row>
    <row r="47" spans="1:19" x14ac:dyDescent="0.25">
      <c r="A47" t="s">
        <v>60</v>
      </c>
      <c r="B47" s="2">
        <v>10211.99</v>
      </c>
      <c r="C47" s="2">
        <v>13311.63</v>
      </c>
      <c r="D47" s="2">
        <v>14045.34</v>
      </c>
      <c r="E47" s="2">
        <v>12340.77</v>
      </c>
      <c r="F47" s="2">
        <v>22887.26</v>
      </c>
      <c r="G47" s="2">
        <v>32370.94</v>
      </c>
      <c r="H47" s="2">
        <v>20292.689999999999</v>
      </c>
      <c r="I47" s="2">
        <v>22536.400000000001</v>
      </c>
      <c r="J47" s="2">
        <v>30599.71</v>
      </c>
      <c r="K47" s="2">
        <v>28168.799999999999</v>
      </c>
      <c r="L47" s="2">
        <v>20768.66</v>
      </c>
      <c r="M47" s="2">
        <v>44731.66</v>
      </c>
      <c r="N47" s="2">
        <v>74904.13</v>
      </c>
      <c r="O47" s="2">
        <v>257536.48</v>
      </c>
      <c r="P47" s="2">
        <v>401276.41</v>
      </c>
      <c r="Q47" s="2">
        <v>469625.61</v>
      </c>
      <c r="R47" s="2">
        <v>464636.08</v>
      </c>
      <c r="S47" s="2">
        <v>382189.75</v>
      </c>
    </row>
    <row r="48" spans="1:19" x14ac:dyDescent="0.25">
      <c r="A48" t="s">
        <v>61</v>
      </c>
      <c r="O48">
        <v>75.92</v>
      </c>
      <c r="P48">
        <v>77.41</v>
      </c>
      <c r="Q48">
        <v>77.739999999999995</v>
      </c>
      <c r="R48">
        <v>76.86</v>
      </c>
    </row>
    <row r="49" spans="1:21" x14ac:dyDescent="0.25">
      <c r="A49" t="s">
        <v>62</v>
      </c>
    </row>
    <row r="50" spans="1:21" x14ac:dyDescent="0.25">
      <c r="A50" t="s">
        <v>63</v>
      </c>
      <c r="O50" s="2">
        <v>212338.42</v>
      </c>
      <c r="P50" s="2">
        <v>353692.69</v>
      </c>
      <c r="Q50" s="2">
        <v>252937.86</v>
      </c>
    </row>
    <row r="51" spans="1:21" x14ac:dyDescent="0.25">
      <c r="A51" t="s">
        <v>116</v>
      </c>
      <c r="O51" s="2">
        <v>202088.91</v>
      </c>
      <c r="P51" s="2">
        <v>310811.36</v>
      </c>
      <c r="Q51" s="2">
        <v>313603.28000000003</v>
      </c>
      <c r="R51" s="2">
        <v>14791.17</v>
      </c>
      <c r="S51" s="2">
        <v>26786.36</v>
      </c>
    </row>
    <row r="52" spans="1:21" x14ac:dyDescent="0.25">
      <c r="A52" t="s">
        <v>269</v>
      </c>
      <c r="O52">
        <v>80.569999999999993</v>
      </c>
      <c r="P52">
        <v>81.75</v>
      </c>
      <c r="Q52">
        <v>80.040000000000006</v>
      </c>
    </row>
    <row r="53" spans="1:21" x14ac:dyDescent="0.25">
      <c r="A53" t="s">
        <v>17</v>
      </c>
    </row>
    <row r="54" spans="1:21" x14ac:dyDescent="0.25">
      <c r="A54" t="s">
        <v>1412</v>
      </c>
    </row>
    <row r="55" spans="1:21" x14ac:dyDescent="0.25">
      <c r="A55" t="s">
        <v>60</v>
      </c>
      <c r="B55" s="2">
        <v>3391.56</v>
      </c>
      <c r="C55" s="2">
        <v>3320.66</v>
      </c>
      <c r="D55" s="2">
        <v>4148.32</v>
      </c>
      <c r="E55" s="2">
        <v>4347.54</v>
      </c>
      <c r="F55" s="2">
        <v>6648.75</v>
      </c>
      <c r="G55" s="2">
        <v>7420.86</v>
      </c>
      <c r="H55" s="2">
        <v>5139.5600000000004</v>
      </c>
      <c r="I55" s="2">
        <v>7471.24</v>
      </c>
      <c r="J55" s="2">
        <v>10529.45</v>
      </c>
      <c r="K55" s="2">
        <v>14183.92</v>
      </c>
      <c r="L55" s="2">
        <v>9653.06</v>
      </c>
      <c r="M55" s="2">
        <v>19274.11</v>
      </c>
      <c r="N55" s="2">
        <v>20690.080000000002</v>
      </c>
      <c r="O55" s="2">
        <v>84149.18</v>
      </c>
      <c r="P55" s="2">
        <v>125429.46</v>
      </c>
      <c r="Q55" s="2">
        <v>137884.31</v>
      </c>
      <c r="R55" s="2">
        <v>130323.28</v>
      </c>
      <c r="S55" s="2">
        <v>106377</v>
      </c>
    </row>
    <row r="56" spans="1:21" x14ac:dyDescent="0.25">
      <c r="A56" t="s">
        <v>61</v>
      </c>
      <c r="O56">
        <v>24.26</v>
      </c>
      <c r="P56">
        <v>23.1</v>
      </c>
      <c r="Q56">
        <v>22.1</v>
      </c>
      <c r="R56">
        <v>20.54</v>
      </c>
      <c r="S56">
        <v>14.53</v>
      </c>
    </row>
    <row r="57" spans="1:21" x14ac:dyDescent="0.25">
      <c r="A57" t="s">
        <v>62</v>
      </c>
    </row>
    <row r="58" spans="1:21" x14ac:dyDescent="0.25">
      <c r="A58" t="s">
        <v>63</v>
      </c>
      <c r="O58" s="2">
        <v>60210.13</v>
      </c>
      <c r="P58" s="2">
        <v>109233.35</v>
      </c>
      <c r="Q58" s="2">
        <v>54354.51</v>
      </c>
    </row>
    <row r="59" spans="1:21" x14ac:dyDescent="0.25">
      <c r="A59" t="s">
        <v>116</v>
      </c>
      <c r="O59" s="2">
        <v>56141.26</v>
      </c>
      <c r="P59" s="2">
        <v>86875.92</v>
      </c>
      <c r="Q59" s="2">
        <v>81230.94</v>
      </c>
    </row>
    <row r="60" spans="1:21" x14ac:dyDescent="0.25">
      <c r="A60" t="s">
        <v>269</v>
      </c>
      <c r="O60">
        <v>68.66</v>
      </c>
      <c r="P60">
        <v>71.81</v>
      </c>
      <c r="Q60">
        <v>66.36</v>
      </c>
    </row>
    <row r="61" spans="1:21" x14ac:dyDescent="0.25">
      <c r="A61" t="s">
        <v>17</v>
      </c>
    </row>
    <row r="62" spans="1:21" x14ac:dyDescent="0.25">
      <c r="A62" t="s">
        <v>260</v>
      </c>
    </row>
    <row r="63" spans="1:21" x14ac:dyDescent="0.25">
      <c r="A63" t="s">
        <v>60</v>
      </c>
      <c r="B63">
        <v>561.54999999999995</v>
      </c>
      <c r="C63">
        <v>493.28</v>
      </c>
      <c r="D63">
        <v>604.34</v>
      </c>
      <c r="E63">
        <v>509.67</v>
      </c>
      <c r="F63">
        <v>573.42999999999995</v>
      </c>
      <c r="G63">
        <v>653.27</v>
      </c>
      <c r="H63" s="2">
        <v>1558.48</v>
      </c>
      <c r="I63" s="2">
        <v>1892.77</v>
      </c>
      <c r="J63" s="2">
        <v>1868.63</v>
      </c>
      <c r="K63" s="2">
        <v>2268.84</v>
      </c>
      <c r="L63" s="2">
        <v>2344</v>
      </c>
      <c r="M63" s="2">
        <v>2187.1799999999998</v>
      </c>
      <c r="N63" s="2">
        <v>1552.46</v>
      </c>
      <c r="O63" s="2">
        <v>1337.68</v>
      </c>
      <c r="P63" s="2">
        <v>1454.31</v>
      </c>
      <c r="Q63" s="2">
        <v>1434.94</v>
      </c>
      <c r="R63" s="2">
        <v>1460.65</v>
      </c>
      <c r="S63" s="2">
        <v>1469.98</v>
      </c>
      <c r="T63" s="2">
        <v>1499.95</v>
      </c>
      <c r="U63" s="2">
        <v>1499.95</v>
      </c>
    </row>
    <row r="64" spans="1:21" x14ac:dyDescent="0.25">
      <c r="A64" t="s">
        <v>17</v>
      </c>
    </row>
    <row r="65" spans="1:21" x14ac:dyDescent="0.25">
      <c r="A65" t="s">
        <v>250</v>
      </c>
    </row>
    <row r="66" spans="1:21" x14ac:dyDescent="0.25">
      <c r="A66" t="s">
        <v>60</v>
      </c>
      <c r="O66" s="2">
        <v>45399.79</v>
      </c>
      <c r="P66" s="2">
        <v>101977.69</v>
      </c>
      <c r="Q66" s="2">
        <v>158312.75</v>
      </c>
      <c r="R66" s="2">
        <v>209575.7</v>
      </c>
      <c r="S66" s="2">
        <v>180339.14</v>
      </c>
    </row>
    <row r="67" spans="1:21" x14ac:dyDescent="0.25">
      <c r="A67" t="s">
        <v>1413</v>
      </c>
      <c r="O67">
        <v>21.77</v>
      </c>
      <c r="P67">
        <v>28.08</v>
      </c>
      <c r="Q67">
        <v>36.799999999999997</v>
      </c>
      <c r="R67">
        <v>69.209999999999994</v>
      </c>
      <c r="S67">
        <v>84.06</v>
      </c>
    </row>
    <row r="68" spans="1:21" x14ac:dyDescent="0.25">
      <c r="A68" t="s">
        <v>116</v>
      </c>
      <c r="O68" s="2">
        <v>20591.41</v>
      </c>
      <c r="P68" s="2">
        <v>58059.21</v>
      </c>
      <c r="Q68" s="2">
        <v>95124.75</v>
      </c>
    </row>
    <row r="69" spans="1:21" x14ac:dyDescent="0.25">
      <c r="A69" t="s">
        <v>269</v>
      </c>
      <c r="O69">
        <v>59.34</v>
      </c>
      <c r="P69">
        <v>69.459999999999994</v>
      </c>
      <c r="Q69">
        <v>71.41</v>
      </c>
    </row>
    <row r="70" spans="1:21" x14ac:dyDescent="0.25">
      <c r="A70" t="s">
        <v>17</v>
      </c>
    </row>
    <row r="71" spans="1:21" x14ac:dyDescent="0.25">
      <c r="A71" t="s">
        <v>274</v>
      </c>
    </row>
    <row r="72" spans="1:21" x14ac:dyDescent="0.25">
      <c r="A72" t="s">
        <v>80</v>
      </c>
      <c r="B72" s="2">
        <v>14165.1</v>
      </c>
      <c r="C72" s="2">
        <v>17125.57</v>
      </c>
      <c r="D72" s="2">
        <v>18798</v>
      </c>
      <c r="E72" s="2">
        <v>17197.98</v>
      </c>
      <c r="F72" s="2">
        <v>30109.43</v>
      </c>
      <c r="G72" s="2">
        <v>40445.07</v>
      </c>
      <c r="H72" s="2">
        <v>26990.73</v>
      </c>
      <c r="I72" s="2">
        <v>31900.42</v>
      </c>
      <c r="J72" s="2">
        <v>42997.79</v>
      </c>
      <c r="K72" s="2">
        <v>44621.57</v>
      </c>
      <c r="L72" s="2">
        <v>32765.72</v>
      </c>
      <c r="M72" s="2">
        <v>66192.960000000006</v>
      </c>
      <c r="N72" s="2">
        <v>97146.68</v>
      </c>
      <c r="O72" s="2">
        <v>346223.76</v>
      </c>
      <c r="P72" s="2">
        <v>537460.93999999994</v>
      </c>
      <c r="Q72" s="2">
        <v>622251.63</v>
      </c>
      <c r="R72" s="2">
        <v>622977.61</v>
      </c>
      <c r="S72" s="2">
        <v>574474.74</v>
      </c>
      <c r="T72" s="2">
        <v>745445.63</v>
      </c>
      <c r="U72" s="2">
        <v>678991.26</v>
      </c>
    </row>
    <row r="73" spans="1:21" x14ac:dyDescent="0.25">
      <c r="A73" t="s">
        <v>17</v>
      </c>
    </row>
    <row r="74" spans="1:21" x14ac:dyDescent="0.25">
      <c r="A74" t="s">
        <v>82</v>
      </c>
      <c r="B74" s="2">
        <v>8864.59</v>
      </c>
      <c r="C74" s="2">
        <v>9461.73</v>
      </c>
      <c r="D74" s="2">
        <v>10515.35</v>
      </c>
      <c r="E74" s="2">
        <v>10787.14</v>
      </c>
      <c r="F74" s="2">
        <v>12701.84</v>
      </c>
      <c r="G74" s="2">
        <v>15180.84</v>
      </c>
      <c r="H74" s="2">
        <v>18818.810000000001</v>
      </c>
      <c r="I74" s="2">
        <v>21089.79</v>
      </c>
      <c r="J74" s="2">
        <v>24045.599999999999</v>
      </c>
      <c r="K74" s="2">
        <v>28993.71</v>
      </c>
      <c r="L74" s="2">
        <v>33299.17</v>
      </c>
      <c r="M74" s="2">
        <v>34364.81</v>
      </c>
      <c r="N74" s="2">
        <v>38455.89</v>
      </c>
      <c r="O74" s="2">
        <v>55473.36</v>
      </c>
      <c r="P74" s="2">
        <v>83689.94</v>
      </c>
      <c r="Q74" s="2">
        <v>107943.93</v>
      </c>
      <c r="R74" s="2">
        <v>146850.54</v>
      </c>
      <c r="S74" s="2">
        <v>181261.79</v>
      </c>
      <c r="T74" s="2">
        <v>320456.38</v>
      </c>
      <c r="U74" s="2">
        <v>459420.24</v>
      </c>
    </row>
    <row r="75" spans="1:21" x14ac:dyDescent="0.25">
      <c r="A75" t="s">
        <v>83</v>
      </c>
      <c r="B75">
        <v>62.58</v>
      </c>
      <c r="C75">
        <v>55.25</v>
      </c>
      <c r="D75">
        <v>55.94</v>
      </c>
      <c r="E75">
        <v>62.72</v>
      </c>
      <c r="F75">
        <v>42.19</v>
      </c>
      <c r="G75">
        <v>37.53</v>
      </c>
      <c r="H75">
        <v>69.72</v>
      </c>
      <c r="I75">
        <v>66.11</v>
      </c>
      <c r="J75">
        <v>55.92</v>
      </c>
      <c r="K75">
        <v>64.98</v>
      </c>
      <c r="L75">
        <v>101.63</v>
      </c>
      <c r="M75">
        <v>51.92</v>
      </c>
      <c r="N75">
        <v>39.590000000000003</v>
      </c>
      <c r="O75">
        <v>20.5</v>
      </c>
      <c r="P75">
        <v>21.63</v>
      </c>
      <c r="Q75">
        <v>24.08</v>
      </c>
      <c r="R75">
        <v>39.590000000000003</v>
      </c>
      <c r="S75">
        <v>39.590000000000003</v>
      </c>
      <c r="T75">
        <v>39.590000000000003</v>
      </c>
      <c r="U75">
        <v>39.590000000000003</v>
      </c>
    </row>
    <row r="76" spans="1:21" x14ac:dyDescent="0.25">
      <c r="A76" t="s">
        <v>84</v>
      </c>
      <c r="B76" s="2">
        <v>5300.52</v>
      </c>
      <c r="C76" s="2">
        <v>7663.84</v>
      </c>
      <c r="D76" s="2">
        <v>8282.65</v>
      </c>
      <c r="E76" s="2">
        <v>6410.84</v>
      </c>
      <c r="F76" s="2">
        <v>17407.59</v>
      </c>
      <c r="G76" s="2">
        <v>25264.23</v>
      </c>
      <c r="H76" s="2">
        <v>8171.92</v>
      </c>
      <c r="I76" s="2">
        <v>10810.63</v>
      </c>
      <c r="J76" s="2">
        <v>18952.189999999999</v>
      </c>
      <c r="K76" s="2">
        <v>15627.86</v>
      </c>
      <c r="L76">
        <v>-533.45000000000005</v>
      </c>
      <c r="M76" s="2">
        <v>31828.15</v>
      </c>
      <c r="N76" s="2">
        <v>58690.79</v>
      </c>
      <c r="O76" s="2">
        <v>292382.58</v>
      </c>
      <c r="P76" s="2">
        <v>460785.41</v>
      </c>
      <c r="Q76" s="2">
        <v>501582.14</v>
      </c>
      <c r="R76" s="2">
        <v>513328.86</v>
      </c>
      <c r="S76" s="2">
        <v>508618.53</v>
      </c>
      <c r="T76" s="2">
        <v>1531841.42</v>
      </c>
      <c r="U76" s="2">
        <v>2248174.13</v>
      </c>
    </row>
    <row r="77" spans="1:21" x14ac:dyDescent="0.25">
      <c r="A77" t="s">
        <v>85</v>
      </c>
      <c r="B77">
        <v>37.4</v>
      </c>
      <c r="C77">
        <v>44.8</v>
      </c>
      <c r="D77">
        <v>44.1</v>
      </c>
      <c r="E77">
        <v>37.28</v>
      </c>
      <c r="F77">
        <v>57.81</v>
      </c>
      <c r="G77">
        <v>62.46</v>
      </c>
      <c r="H77">
        <v>30.25</v>
      </c>
      <c r="I77">
        <v>33.89</v>
      </c>
      <c r="J77">
        <v>44.08</v>
      </c>
      <c r="K77">
        <v>35.020000000000003</v>
      </c>
      <c r="L77">
        <v>-1.63</v>
      </c>
      <c r="M77">
        <v>48.08</v>
      </c>
      <c r="N77">
        <v>60.41</v>
      </c>
      <c r="O77">
        <v>84.07</v>
      </c>
      <c r="P77">
        <v>84.35</v>
      </c>
      <c r="Q77">
        <v>81.290000000000006</v>
      </c>
      <c r="R77">
        <v>76.540000000000006</v>
      </c>
      <c r="S77">
        <v>69.91</v>
      </c>
      <c r="T77">
        <v>72.08</v>
      </c>
      <c r="U77">
        <v>72.08</v>
      </c>
    </row>
    <row r="78" spans="1:21" x14ac:dyDescent="0.25">
      <c r="A78" t="s">
        <v>17</v>
      </c>
    </row>
    <row r="79" spans="1:21" x14ac:dyDescent="0.25">
      <c r="A79" t="s">
        <v>275</v>
      </c>
      <c r="B79" s="2">
        <v>10785.32</v>
      </c>
      <c r="C79" s="2">
        <v>12016.1</v>
      </c>
      <c r="D79" s="2">
        <v>13461.9</v>
      </c>
      <c r="E79" s="2">
        <v>13921.23</v>
      </c>
      <c r="F79" s="2">
        <v>16388.11</v>
      </c>
      <c r="G79" s="2">
        <v>19601.32</v>
      </c>
      <c r="H79" s="2">
        <v>24271.55</v>
      </c>
      <c r="I79" s="2">
        <v>26887.79</v>
      </c>
      <c r="J79" s="2">
        <v>30587.45</v>
      </c>
      <c r="K79" s="2">
        <v>37812.15</v>
      </c>
      <c r="L79" s="2">
        <v>40496.03</v>
      </c>
      <c r="M79" s="2">
        <v>42725.64</v>
      </c>
      <c r="N79" s="2">
        <v>49940.36</v>
      </c>
      <c r="O79" s="2">
        <v>78823.839999999997</v>
      </c>
      <c r="P79" s="2">
        <v>107186.72</v>
      </c>
      <c r="Q79" s="2">
        <v>144447.12</v>
      </c>
      <c r="R79" s="2">
        <v>193694.42</v>
      </c>
      <c r="S79" s="2">
        <v>229327.48</v>
      </c>
      <c r="T79" s="2">
        <v>320456.38</v>
      </c>
      <c r="U79" s="2">
        <v>459420.24</v>
      </c>
    </row>
    <row r="80" spans="1:21" x14ac:dyDescent="0.25">
      <c r="A80" t="s">
        <v>276</v>
      </c>
      <c r="B80" s="2">
        <v>1920.73</v>
      </c>
      <c r="C80" s="2">
        <v>2554.38</v>
      </c>
      <c r="D80" s="2">
        <v>2946.55</v>
      </c>
      <c r="E80" s="2">
        <v>3134.09</v>
      </c>
      <c r="F80" s="2">
        <v>3686.27</v>
      </c>
      <c r="G80" s="2">
        <v>4420.4799999999996</v>
      </c>
      <c r="H80" s="2">
        <v>5452.74</v>
      </c>
      <c r="I80" s="2">
        <v>5798.01</v>
      </c>
      <c r="J80" s="2">
        <v>6541.85</v>
      </c>
      <c r="K80" s="2">
        <v>8818.44</v>
      </c>
      <c r="L80" s="2">
        <v>7196.87</v>
      </c>
      <c r="M80" s="2">
        <v>8360.83</v>
      </c>
      <c r="N80" s="2">
        <v>11484.47</v>
      </c>
      <c r="O80" s="2">
        <v>24292.31</v>
      </c>
      <c r="P80" s="2">
        <v>34104.39</v>
      </c>
      <c r="Q80" s="2">
        <v>37270.71</v>
      </c>
      <c r="R80" s="2">
        <v>46843.88</v>
      </c>
      <c r="S80" s="2">
        <v>48065.69</v>
      </c>
    </row>
    <row r="81" spans="1:21" x14ac:dyDescent="0.25">
      <c r="A81" t="s">
        <v>61</v>
      </c>
      <c r="B81">
        <v>13.56</v>
      </c>
      <c r="C81">
        <v>14.92</v>
      </c>
      <c r="D81">
        <v>15.67</v>
      </c>
      <c r="E81">
        <v>18.22</v>
      </c>
      <c r="F81">
        <v>12.24</v>
      </c>
      <c r="G81">
        <v>10.93</v>
      </c>
      <c r="H81">
        <v>20.2</v>
      </c>
      <c r="I81">
        <v>18.18</v>
      </c>
      <c r="J81">
        <v>15.21</v>
      </c>
      <c r="K81">
        <v>19.760000000000002</v>
      </c>
      <c r="L81">
        <v>21.96</v>
      </c>
      <c r="M81">
        <v>12.63</v>
      </c>
      <c r="N81">
        <v>11.82</v>
      </c>
      <c r="O81">
        <v>7.27</v>
      </c>
      <c r="P81">
        <v>6.37</v>
      </c>
      <c r="Q81">
        <v>6.23</v>
      </c>
      <c r="R81">
        <v>7.3</v>
      </c>
      <c r="S81">
        <v>7.43</v>
      </c>
      <c r="T81">
        <v>7.16</v>
      </c>
      <c r="U81">
        <v>7.18</v>
      </c>
    </row>
    <row r="82" spans="1:21" x14ac:dyDescent="0.25">
      <c r="A82" t="s">
        <v>683</v>
      </c>
      <c r="B82">
        <v>968.8</v>
      </c>
      <c r="C82" s="2">
        <v>1409.53</v>
      </c>
      <c r="D82" s="2">
        <v>1620.32</v>
      </c>
      <c r="E82" s="2">
        <v>1744.71</v>
      </c>
      <c r="F82" s="2">
        <v>1975.39</v>
      </c>
      <c r="G82" s="2">
        <v>2284</v>
      </c>
      <c r="H82" s="2">
        <v>2855.64</v>
      </c>
      <c r="I82" s="2">
        <v>3111.3</v>
      </c>
      <c r="J82" s="2">
        <v>3551.2</v>
      </c>
      <c r="K82" s="2">
        <v>4474.55</v>
      </c>
      <c r="L82" s="2">
        <v>3750.71</v>
      </c>
      <c r="M82" s="2">
        <v>4436.34</v>
      </c>
      <c r="N82" s="2">
        <v>6465.64</v>
      </c>
      <c r="O82" s="2">
        <v>12231.56</v>
      </c>
      <c r="P82" s="2">
        <v>16297.63</v>
      </c>
      <c r="Q82" s="2">
        <v>19493.78</v>
      </c>
      <c r="R82" s="2">
        <v>22302.04</v>
      </c>
      <c r="S82" s="2">
        <v>19449.759999999998</v>
      </c>
      <c r="T82" s="2">
        <v>33327.589999999997</v>
      </c>
      <c r="U82" s="2">
        <v>48912.52</v>
      </c>
    </row>
    <row r="83" spans="1:21" x14ac:dyDescent="0.25">
      <c r="A83" t="s">
        <v>1414</v>
      </c>
      <c r="B83">
        <v>8.08</v>
      </c>
      <c r="C83">
        <v>8.31</v>
      </c>
      <c r="D83">
        <v>9.34</v>
      </c>
      <c r="E83">
        <v>10.87</v>
      </c>
      <c r="F83">
        <v>8.26</v>
      </c>
      <c r="G83">
        <v>7.16</v>
      </c>
      <c r="H83">
        <v>11.81</v>
      </c>
      <c r="I83">
        <v>10.57</v>
      </c>
      <c r="J83">
        <v>9.41</v>
      </c>
      <c r="K83">
        <v>10.99</v>
      </c>
      <c r="L83">
        <v>12.78</v>
      </c>
      <c r="M83">
        <v>7.48</v>
      </c>
      <c r="N83">
        <v>6.93</v>
      </c>
      <c r="O83">
        <v>3.46</v>
      </c>
      <c r="P83">
        <v>3.17</v>
      </c>
      <c r="Q83">
        <v>3.33</v>
      </c>
      <c r="R83">
        <v>3.4</v>
      </c>
      <c r="S83">
        <v>2.78</v>
      </c>
      <c r="T83">
        <v>1.57</v>
      </c>
      <c r="U83">
        <v>1.57</v>
      </c>
    </row>
    <row r="84" spans="1:21" x14ac:dyDescent="0.25">
      <c r="A84" t="s">
        <v>1415</v>
      </c>
      <c r="B84">
        <v>155.31</v>
      </c>
      <c r="C84">
        <v>169.84</v>
      </c>
      <c r="D84">
        <v>239.23</v>
      </c>
      <c r="E84">
        <v>282.39</v>
      </c>
      <c r="F84">
        <v>348.52</v>
      </c>
      <c r="G84">
        <v>442.39</v>
      </c>
      <c r="H84">
        <v>687.37</v>
      </c>
      <c r="I84">
        <v>719.65</v>
      </c>
      <c r="J84">
        <v>526.17999999999995</v>
      </c>
      <c r="K84">
        <v>414.55</v>
      </c>
      <c r="L84">
        <v>282.69</v>
      </c>
      <c r="M84">
        <v>256.85000000000002</v>
      </c>
      <c r="N84">
        <v>483.52</v>
      </c>
      <c r="O84">
        <v>363.14</v>
      </c>
      <c r="P84">
        <v>423.84</v>
      </c>
      <c r="Q84">
        <v>410.48</v>
      </c>
      <c r="R84">
        <v>224.06</v>
      </c>
      <c r="S84">
        <v>178.35</v>
      </c>
      <c r="T84">
        <v>141.97</v>
      </c>
      <c r="U84">
        <v>113.01</v>
      </c>
    </row>
    <row r="85" spans="1:21" x14ac:dyDescent="0.25">
      <c r="A85" t="s">
        <v>17</v>
      </c>
    </row>
    <row r="86" spans="1:21" x14ac:dyDescent="0.25">
      <c r="A86" t="s">
        <v>91</v>
      </c>
      <c r="B86" s="2">
        <v>3379.79</v>
      </c>
      <c r="C86" s="2">
        <v>5109.47</v>
      </c>
      <c r="D86" s="2">
        <v>5336.1</v>
      </c>
      <c r="E86" s="2">
        <v>3276.75</v>
      </c>
      <c r="F86" s="2">
        <v>13721.33</v>
      </c>
      <c r="G86" s="2">
        <v>20843.75</v>
      </c>
      <c r="H86" s="2">
        <v>2712.72</v>
      </c>
      <c r="I86" s="2">
        <v>5012.6000000000004</v>
      </c>
      <c r="J86" s="2">
        <v>12410.34</v>
      </c>
      <c r="K86" s="2">
        <v>6809.42</v>
      </c>
      <c r="L86" s="2">
        <v>-7730.31</v>
      </c>
      <c r="M86" s="2">
        <v>23467.32</v>
      </c>
      <c r="N86" s="2">
        <v>47206.32</v>
      </c>
      <c r="O86" s="2">
        <v>267632.53000000003</v>
      </c>
      <c r="P86" s="2">
        <v>423439.4</v>
      </c>
      <c r="Q86" s="2">
        <v>473625.34</v>
      </c>
      <c r="R86" s="2">
        <v>502300.83</v>
      </c>
      <c r="S86" s="2">
        <v>494646.76</v>
      </c>
      <c r="T86" s="2">
        <v>1073620.71</v>
      </c>
      <c r="U86" s="2">
        <v>2248174.14</v>
      </c>
    </row>
    <row r="87" spans="1:21" x14ac:dyDescent="0.25">
      <c r="A87" t="s">
        <v>92</v>
      </c>
      <c r="B87">
        <v>23.86</v>
      </c>
      <c r="C87">
        <v>29.84</v>
      </c>
      <c r="D87">
        <v>28.39</v>
      </c>
      <c r="E87">
        <v>19.05</v>
      </c>
      <c r="F87">
        <v>45.57</v>
      </c>
      <c r="G87">
        <v>51.54</v>
      </c>
      <c r="H87">
        <v>10.07</v>
      </c>
      <c r="I87">
        <v>15.71</v>
      </c>
      <c r="J87">
        <v>28.86</v>
      </c>
      <c r="K87">
        <v>15.26</v>
      </c>
      <c r="L87">
        <v>-23.59</v>
      </c>
      <c r="M87">
        <v>35.450000000000003</v>
      </c>
      <c r="N87">
        <v>48.59</v>
      </c>
      <c r="O87">
        <v>76.8</v>
      </c>
      <c r="P87">
        <v>78.44</v>
      </c>
      <c r="Q87">
        <v>74.349999999999994</v>
      </c>
      <c r="R87">
        <v>63.71</v>
      </c>
      <c r="S87">
        <v>50.22</v>
      </c>
      <c r="T87">
        <v>72.08</v>
      </c>
      <c r="U87">
        <v>72.08</v>
      </c>
    </row>
    <row r="88" spans="1:21" x14ac:dyDescent="0.25">
      <c r="A88" t="s">
        <v>17</v>
      </c>
    </row>
    <row r="89" spans="1:21" x14ac:dyDescent="0.25">
      <c r="A89" t="s">
        <v>93</v>
      </c>
      <c r="B89" s="2">
        <v>3078.52</v>
      </c>
      <c r="C89" s="2">
        <v>3443.98</v>
      </c>
      <c r="D89" s="2">
        <v>3953.24</v>
      </c>
      <c r="E89" s="2">
        <v>4456.3500000000004</v>
      </c>
      <c r="F89" s="2">
        <v>5026.13</v>
      </c>
      <c r="G89" s="2">
        <v>6428.25</v>
      </c>
      <c r="H89" s="2">
        <v>8620.3799999999992</v>
      </c>
      <c r="I89" s="2">
        <v>9771.9</v>
      </c>
      <c r="J89" s="2">
        <v>10656.73</v>
      </c>
      <c r="K89" s="2">
        <v>14151.47</v>
      </c>
      <c r="L89" s="2">
        <v>13673.66</v>
      </c>
      <c r="M89" s="2">
        <v>12581.52</v>
      </c>
      <c r="N89" s="2">
        <v>13930.13</v>
      </c>
      <c r="O89" s="2">
        <v>16420.57</v>
      </c>
      <c r="P89" s="2">
        <v>21503.84</v>
      </c>
      <c r="Q89" s="2">
        <v>27284.07</v>
      </c>
      <c r="R89" s="2">
        <v>42572.65</v>
      </c>
      <c r="S89" s="2">
        <v>49054.77</v>
      </c>
      <c r="T89" s="2">
        <v>40406.31</v>
      </c>
      <c r="U89" s="2">
        <v>40810.370000000003</v>
      </c>
    </row>
    <row r="90" spans="1:21" x14ac:dyDescent="0.25">
      <c r="A90" t="s">
        <v>94</v>
      </c>
      <c r="B90" s="2">
        <v>2922.25</v>
      </c>
      <c r="C90" s="2">
        <v>3269.71</v>
      </c>
      <c r="D90" s="2">
        <v>3887.9</v>
      </c>
      <c r="E90" s="2">
        <v>4133.78</v>
      </c>
      <c r="F90" s="2">
        <v>4618.78</v>
      </c>
      <c r="G90" s="2">
        <v>5904.16</v>
      </c>
      <c r="H90" s="2">
        <v>7825.21</v>
      </c>
      <c r="I90" s="2">
        <v>8811.35</v>
      </c>
      <c r="J90" s="2">
        <v>9860.7900000000009</v>
      </c>
      <c r="K90" s="2">
        <v>13371.86</v>
      </c>
      <c r="L90" s="2">
        <v>13121.12</v>
      </c>
      <c r="M90" s="2">
        <v>11985.32</v>
      </c>
      <c r="N90" s="2">
        <v>13099.31</v>
      </c>
      <c r="O90" s="2">
        <v>16472.740000000002</v>
      </c>
      <c r="P90" s="2">
        <v>22082.55</v>
      </c>
      <c r="Q90" s="2">
        <v>29187.67</v>
      </c>
      <c r="R90" s="2">
        <v>45769.75</v>
      </c>
      <c r="S90" s="2">
        <v>46147.87</v>
      </c>
      <c r="T90" s="2">
        <v>20457.650000000001</v>
      </c>
      <c r="U90" s="2">
        <v>16468.189999999999</v>
      </c>
    </row>
    <row r="91" spans="1:21" x14ac:dyDescent="0.25">
      <c r="A91" t="s">
        <v>127</v>
      </c>
      <c r="B91">
        <v>156.28</v>
      </c>
      <c r="C91">
        <v>174.28</v>
      </c>
      <c r="D91">
        <v>258.08</v>
      </c>
      <c r="E91">
        <v>322.57</v>
      </c>
      <c r="F91">
        <v>407.35</v>
      </c>
      <c r="G91">
        <v>524.1</v>
      </c>
      <c r="H91">
        <v>795.17</v>
      </c>
      <c r="I91">
        <v>960.55</v>
      </c>
      <c r="J91">
        <v>795.93</v>
      </c>
      <c r="K91">
        <v>779.61</v>
      </c>
      <c r="L91">
        <v>552.54</v>
      </c>
      <c r="M91">
        <v>596.20000000000005</v>
      </c>
      <c r="N91">
        <v>830.82</v>
      </c>
      <c r="O91">
        <v>920</v>
      </c>
      <c r="P91" s="2">
        <v>1169.07</v>
      </c>
      <c r="Q91" s="2">
        <v>1338.13</v>
      </c>
      <c r="R91">
        <v>847.2</v>
      </c>
      <c r="S91">
        <v>809.67</v>
      </c>
      <c r="T91">
        <v>243.94</v>
      </c>
      <c r="U91">
        <v>194.18</v>
      </c>
    </row>
    <row r="92" spans="1:21" x14ac:dyDescent="0.25">
      <c r="A92" t="s">
        <v>277</v>
      </c>
      <c r="B92" s="2">
        <v>6336</v>
      </c>
      <c r="C92" s="2">
        <v>8548</v>
      </c>
      <c r="D92" s="2">
        <v>9282</v>
      </c>
      <c r="E92" s="2">
        <v>7727</v>
      </c>
      <c r="F92" s="2">
        <v>18743</v>
      </c>
      <c r="G92" s="2">
        <v>27262</v>
      </c>
      <c r="H92" s="2">
        <v>11251</v>
      </c>
      <c r="I92" s="2">
        <v>14784.5</v>
      </c>
      <c r="J92" s="2">
        <v>23057</v>
      </c>
      <c r="K92" s="2">
        <v>20960.900000000001</v>
      </c>
      <c r="L92" s="2">
        <v>5889</v>
      </c>
      <c r="M92" s="2">
        <v>36012.089999999997</v>
      </c>
      <c r="N92" s="2">
        <v>61128.29</v>
      </c>
      <c r="O92" s="2">
        <v>282182.67</v>
      </c>
      <c r="P92" s="2">
        <v>439451.97</v>
      </c>
      <c r="Q92" s="2">
        <v>499937.36</v>
      </c>
      <c r="R92" s="2">
        <v>532464.06999999995</v>
      </c>
      <c r="S92" s="2">
        <v>610039.6</v>
      </c>
      <c r="T92" s="2">
        <v>1552543.01</v>
      </c>
      <c r="U92" s="2">
        <v>2264836.5099999998</v>
      </c>
    </row>
    <row r="93" spans="1:21" x14ac:dyDescent="0.25">
      <c r="A93" t="s">
        <v>481</v>
      </c>
      <c r="B93">
        <v>45.59</v>
      </c>
      <c r="C93">
        <v>49.95</v>
      </c>
      <c r="D93">
        <v>49.42</v>
      </c>
      <c r="E93">
        <v>44.97</v>
      </c>
      <c r="F93">
        <v>62.26</v>
      </c>
      <c r="G93">
        <v>67.430000000000007</v>
      </c>
      <c r="H93">
        <v>42.01</v>
      </c>
      <c r="I93">
        <v>46.35</v>
      </c>
      <c r="J93">
        <v>53.65</v>
      </c>
      <c r="K93">
        <v>46.97</v>
      </c>
      <c r="L93">
        <v>18.14</v>
      </c>
      <c r="M93">
        <v>54.46</v>
      </c>
      <c r="N93">
        <v>62.93</v>
      </c>
      <c r="O93">
        <v>81.3</v>
      </c>
      <c r="P93">
        <v>81.25</v>
      </c>
      <c r="Q93">
        <v>79.400000000000006</v>
      </c>
      <c r="R93">
        <v>68.83</v>
      </c>
      <c r="S93">
        <v>61.17</v>
      </c>
      <c r="T93">
        <v>73.06</v>
      </c>
      <c r="U93">
        <v>72.62</v>
      </c>
    </row>
    <row r="94" spans="1:21" x14ac:dyDescent="0.25">
      <c r="A94" t="s">
        <v>17</v>
      </c>
    </row>
    <row r="95" spans="1:21" x14ac:dyDescent="0.25">
      <c r="A95" t="s">
        <v>95</v>
      </c>
      <c r="B95">
        <v>304.86</v>
      </c>
      <c r="C95">
        <v>61.8</v>
      </c>
      <c r="D95">
        <v>66.98</v>
      </c>
      <c r="E95">
        <v>60.29</v>
      </c>
      <c r="F95">
        <v>281.76</v>
      </c>
      <c r="G95">
        <v>-497.28</v>
      </c>
      <c r="H95">
        <v>286.54000000000002</v>
      </c>
      <c r="I95" s="2">
        <v>-1224.4100000000001</v>
      </c>
      <c r="J95" s="2">
        <v>-1005.65</v>
      </c>
      <c r="K95" s="2">
        <v>2806.64</v>
      </c>
      <c r="L95" s="2">
        <v>3927.5</v>
      </c>
      <c r="M95">
        <v>-418.03</v>
      </c>
      <c r="N95" s="2">
        <v>-3259.23</v>
      </c>
      <c r="O95" s="2">
        <v>-64647.09</v>
      </c>
      <c r="P95" s="2">
        <v>-1664.65</v>
      </c>
      <c r="Q95" s="2">
        <v>-2579.61</v>
      </c>
      <c r="R95" s="2">
        <v>-7800.31</v>
      </c>
      <c r="S95" s="2">
        <v>-6902.96</v>
      </c>
    </row>
    <row r="96" spans="1:21" x14ac:dyDescent="0.25">
      <c r="A96" t="s">
        <v>392</v>
      </c>
      <c r="B96">
        <v>190.21</v>
      </c>
      <c r="C96">
        <v>118.24</v>
      </c>
      <c r="D96">
        <v>77.790000000000006</v>
      </c>
      <c r="E96">
        <v>85.95</v>
      </c>
      <c r="F96">
        <v>69.64</v>
      </c>
      <c r="G96">
        <v>32.159999999999997</v>
      </c>
      <c r="H96">
        <v>215.38</v>
      </c>
      <c r="I96">
        <v>225.6</v>
      </c>
      <c r="J96">
        <v>237.54</v>
      </c>
      <c r="K96">
        <v>443.55</v>
      </c>
      <c r="L96" s="2">
        <v>1251.8399999999999</v>
      </c>
      <c r="M96" s="2">
        <v>1000.43</v>
      </c>
      <c r="N96">
        <v>429.38</v>
      </c>
      <c r="O96">
        <v>-874.2</v>
      </c>
      <c r="P96" s="2">
        <v>-3302.77</v>
      </c>
      <c r="Q96" s="2">
        <v>-5538.01</v>
      </c>
      <c r="R96" s="2">
        <v>-6033.04</v>
      </c>
      <c r="S96" s="2">
        <v>-4947.96</v>
      </c>
      <c r="T96" s="2">
        <v>-4036.46</v>
      </c>
      <c r="U96" s="2">
        <v>-6178.06</v>
      </c>
    </row>
    <row r="97" spans="1:21" x14ac:dyDescent="0.25">
      <c r="A97" t="s">
        <v>398</v>
      </c>
      <c r="B97">
        <v>66.41</v>
      </c>
      <c r="C97">
        <v>52.12</v>
      </c>
      <c r="D97">
        <v>40.72</v>
      </c>
      <c r="E97">
        <v>34.17</v>
      </c>
      <c r="F97">
        <v>54.28</v>
      </c>
      <c r="G97">
        <v>62.48</v>
      </c>
      <c r="H97">
        <v>30.06</v>
      </c>
      <c r="I97">
        <v>27.87</v>
      </c>
      <c r="J97">
        <v>22.42</v>
      </c>
      <c r="K97">
        <v>89.56</v>
      </c>
      <c r="L97">
        <v>216.43</v>
      </c>
      <c r="M97">
        <v>344.81</v>
      </c>
      <c r="N97">
        <v>494.33</v>
      </c>
      <c r="O97" s="2">
        <v>1833.98</v>
      </c>
      <c r="P97" s="2">
        <v>4784.68</v>
      </c>
      <c r="Q97" s="2">
        <v>7670.06</v>
      </c>
      <c r="R97" s="2">
        <v>4319.76</v>
      </c>
      <c r="S97" s="2">
        <v>2225.5700000000002</v>
      </c>
      <c r="T97" s="2">
        <v>3106.39</v>
      </c>
      <c r="U97" s="2">
        <v>4397.75</v>
      </c>
    </row>
    <row r="98" spans="1:21" x14ac:dyDescent="0.25">
      <c r="A98" t="s">
        <v>484</v>
      </c>
      <c r="B98">
        <v>256.62</v>
      </c>
      <c r="C98">
        <v>170.36</v>
      </c>
      <c r="D98">
        <v>118.51</v>
      </c>
      <c r="E98">
        <v>120.12</v>
      </c>
      <c r="F98">
        <v>123.92</v>
      </c>
      <c r="G98">
        <v>94.64</v>
      </c>
      <c r="H98">
        <v>245.44</v>
      </c>
      <c r="I98">
        <v>253.47</v>
      </c>
      <c r="J98">
        <v>259.95999999999998</v>
      </c>
      <c r="K98">
        <v>533.11</v>
      </c>
      <c r="L98" s="2">
        <v>1468.27</v>
      </c>
      <c r="M98" s="2">
        <v>1345.24</v>
      </c>
      <c r="N98">
        <v>923.7</v>
      </c>
      <c r="O98" s="2">
        <v>1342.63</v>
      </c>
      <c r="P98" s="2">
        <v>1724.51</v>
      </c>
      <c r="Q98" s="2">
        <v>1988.94</v>
      </c>
      <c r="R98">
        <v>411.25</v>
      </c>
      <c r="S98">
        <v>579.26</v>
      </c>
      <c r="T98" s="2">
        <v>1580.51</v>
      </c>
      <c r="U98" s="2">
        <v>2015.67</v>
      </c>
    </row>
    <row r="99" spans="1:21" x14ac:dyDescent="0.25">
      <c r="A99" t="s">
        <v>1416</v>
      </c>
      <c r="B99">
        <v>-2.38</v>
      </c>
      <c r="C99">
        <v>-1.23</v>
      </c>
      <c r="D99">
        <v>-1.27</v>
      </c>
      <c r="E99">
        <v>-0.02</v>
      </c>
      <c r="F99">
        <v>-0.01</v>
      </c>
      <c r="G99">
        <v>-2.14</v>
      </c>
      <c r="H99">
        <v>-0.43</v>
      </c>
      <c r="I99">
        <v>-1.33</v>
      </c>
      <c r="J99">
        <v>-10.16</v>
      </c>
      <c r="K99">
        <v>-2.4300000000000002</v>
      </c>
      <c r="L99">
        <v>-13.39</v>
      </c>
      <c r="M99">
        <v>-29.31</v>
      </c>
      <c r="N99">
        <v>-940.74</v>
      </c>
      <c r="O99" s="2">
        <v>-2966.76</v>
      </c>
      <c r="P99" s="2">
        <v>-4791.05</v>
      </c>
      <c r="Q99" s="2">
        <v>-5249.96</v>
      </c>
      <c r="R99">
        <v>-567.05999999999995</v>
      </c>
      <c r="S99">
        <v>-567.05999999999995</v>
      </c>
      <c r="T99">
        <v>-567.05999999999995</v>
      </c>
      <c r="U99">
        <v>-567.05999999999995</v>
      </c>
    </row>
    <row r="100" spans="1:21" x14ac:dyDescent="0.25">
      <c r="A100" t="s">
        <v>1417</v>
      </c>
      <c r="B100">
        <v>19.260000000000002</v>
      </c>
      <c r="C100">
        <v>23.15</v>
      </c>
      <c r="D100">
        <v>24.64</v>
      </c>
      <c r="E100">
        <v>22.75</v>
      </c>
      <c r="F100">
        <v>12.37</v>
      </c>
      <c r="G100">
        <v>13.01</v>
      </c>
      <c r="H100">
        <v>22.63</v>
      </c>
      <c r="I100">
        <v>-36.28</v>
      </c>
      <c r="J100">
        <v>162.28</v>
      </c>
      <c r="K100">
        <v>131.19</v>
      </c>
      <c r="L100">
        <v>15.06</v>
      </c>
      <c r="M100">
        <v>-38.25</v>
      </c>
      <c r="N100">
        <v>-93.55</v>
      </c>
      <c r="O100" s="2">
        <v>3996.79</v>
      </c>
      <c r="P100">
        <v>-267.69</v>
      </c>
      <c r="Q100">
        <v>-294.97000000000003</v>
      </c>
      <c r="R100">
        <v>-53.56</v>
      </c>
      <c r="S100">
        <v>-53.56</v>
      </c>
    </row>
    <row r="101" spans="1:21" x14ac:dyDescent="0.25">
      <c r="A101" t="s">
        <v>1418</v>
      </c>
    </row>
    <row r="102" spans="1:21" x14ac:dyDescent="0.25">
      <c r="A102" t="s">
        <v>194</v>
      </c>
      <c r="B102">
        <v>186.76</v>
      </c>
      <c r="C102">
        <v>121.2</v>
      </c>
      <c r="D102">
        <v>-16.84</v>
      </c>
      <c r="E102">
        <v>31.44</v>
      </c>
      <c r="F102">
        <v>253.15</v>
      </c>
      <c r="G102">
        <v>-549.82000000000005</v>
      </c>
      <c r="H102">
        <v>283.77999999999997</v>
      </c>
      <c r="I102" s="2">
        <v>-1347.49</v>
      </c>
      <c r="J102">
        <v>-907.66</v>
      </c>
      <c r="K102" s="2">
        <v>1377.28</v>
      </c>
      <c r="L102" s="2">
        <v>3831.37</v>
      </c>
      <c r="M102">
        <v>852.92</v>
      </c>
      <c r="N102" s="2">
        <v>-3868.48</v>
      </c>
      <c r="O102" s="2">
        <v>-29592.1</v>
      </c>
      <c r="P102" s="2">
        <v>-6988.47</v>
      </c>
      <c r="Q102" s="2">
        <v>-10913.2</v>
      </c>
      <c r="R102" s="2">
        <v>-10457.36</v>
      </c>
      <c r="S102" s="2">
        <v>-13836.84</v>
      </c>
    </row>
    <row r="103" spans="1:21" x14ac:dyDescent="0.25">
      <c r="A103" t="s">
        <v>1419</v>
      </c>
      <c r="B103">
        <v>-560.57000000000005</v>
      </c>
      <c r="C103">
        <v>-678.57</v>
      </c>
      <c r="D103">
        <v>-846.75</v>
      </c>
      <c r="E103">
        <v>-814.89</v>
      </c>
      <c r="F103">
        <v>-996.47</v>
      </c>
      <c r="G103" s="2">
        <v>-1691.96</v>
      </c>
      <c r="H103" s="2">
        <v>-1247.6400000000001</v>
      </c>
      <c r="I103" s="2">
        <v>-3327.91</v>
      </c>
      <c r="J103" s="2">
        <v>-2377.52</v>
      </c>
      <c r="K103" s="2">
        <v>-3714.28</v>
      </c>
      <c r="L103" s="2">
        <v>-2261.8000000000002</v>
      </c>
      <c r="M103" s="2">
        <v>-4855.08</v>
      </c>
      <c r="N103" s="2">
        <v>-16373.48</v>
      </c>
      <c r="O103" s="2">
        <v>-31429.599999999999</v>
      </c>
      <c r="P103" s="2">
        <v>-14086.22</v>
      </c>
      <c r="Q103" s="2">
        <v>-18469.57</v>
      </c>
      <c r="R103" s="2">
        <v>-8625.39</v>
      </c>
      <c r="S103" s="2">
        <v>-4428.3</v>
      </c>
      <c r="T103" s="2">
        <v>-6184.03</v>
      </c>
      <c r="U103" s="2">
        <v>-8760.7900000000009</v>
      </c>
    </row>
    <row r="104" spans="1:21" x14ac:dyDescent="0.25">
      <c r="A104" t="s">
        <v>1420</v>
      </c>
      <c r="B104">
        <v>747.33</v>
      </c>
      <c r="C104">
        <v>799.77</v>
      </c>
      <c r="D104">
        <v>829.91</v>
      </c>
      <c r="E104">
        <v>846.33</v>
      </c>
      <c r="F104" s="2">
        <v>1249.6199999999999</v>
      </c>
      <c r="G104" s="2">
        <v>1142.1300000000001</v>
      </c>
      <c r="H104" s="2">
        <v>1531.42</v>
      </c>
      <c r="I104" s="2">
        <v>1980.41</v>
      </c>
      <c r="J104" s="2">
        <v>1469.86</v>
      </c>
      <c r="K104" s="2">
        <v>5091.55</v>
      </c>
      <c r="L104" s="2">
        <v>6093.17</v>
      </c>
      <c r="M104" s="2">
        <v>5708</v>
      </c>
      <c r="N104" s="2">
        <v>12505</v>
      </c>
      <c r="O104" s="2">
        <v>10638.52</v>
      </c>
      <c r="P104" s="2">
        <v>9467.7999999999993</v>
      </c>
      <c r="Q104" s="2">
        <v>11014.44</v>
      </c>
      <c r="R104" s="2">
        <v>1081.98</v>
      </c>
      <c r="S104" s="2">
        <v>1284.01</v>
      </c>
      <c r="T104" s="2">
        <v>1580.51</v>
      </c>
      <c r="U104" s="2">
        <v>2015.67</v>
      </c>
    </row>
    <row r="105" spans="1:21" x14ac:dyDescent="0.25">
      <c r="A105" t="s">
        <v>1421</v>
      </c>
      <c r="B105">
        <v>-94.34</v>
      </c>
      <c r="C105">
        <v>-128.52000000000001</v>
      </c>
      <c r="D105">
        <v>-57.63</v>
      </c>
      <c r="E105">
        <v>-38.07</v>
      </c>
      <c r="F105">
        <v>231.58</v>
      </c>
      <c r="G105">
        <v>-340.07</v>
      </c>
      <c r="H105">
        <v>-99.38</v>
      </c>
      <c r="I105">
        <v>190.41</v>
      </c>
      <c r="J105">
        <v>-488.62</v>
      </c>
      <c r="K105">
        <v>405.23</v>
      </c>
      <c r="L105">
        <v>318.83</v>
      </c>
      <c r="M105">
        <v>-268.83</v>
      </c>
      <c r="N105">
        <v>448.43</v>
      </c>
      <c r="O105" s="2">
        <v>-1732.07</v>
      </c>
      <c r="P105">
        <v>391.42</v>
      </c>
      <c r="Q105">
        <v>340.97</v>
      </c>
    </row>
    <row r="106" spans="1:21" x14ac:dyDescent="0.25">
      <c r="A106" t="s">
        <v>100</v>
      </c>
      <c r="B106" s="2">
        <v>3074.93</v>
      </c>
      <c r="C106" s="2">
        <v>5047.67</v>
      </c>
      <c r="D106" s="2">
        <v>5269.12</v>
      </c>
      <c r="E106" s="2">
        <v>3216.45</v>
      </c>
      <c r="F106" s="2">
        <v>13439.57</v>
      </c>
      <c r="G106" s="2">
        <v>21341.03</v>
      </c>
      <c r="H106" s="2">
        <v>2442.73</v>
      </c>
      <c r="I106" s="2">
        <v>6237.04</v>
      </c>
      <c r="J106" s="2">
        <v>13415.99</v>
      </c>
      <c r="K106" s="2">
        <v>4002.78</v>
      </c>
      <c r="L106" s="2">
        <v>-11657.82</v>
      </c>
      <c r="M106" s="2">
        <v>23885.35</v>
      </c>
      <c r="N106" s="2">
        <v>50465.55</v>
      </c>
      <c r="O106" s="2">
        <v>325722.43</v>
      </c>
      <c r="P106" s="2">
        <v>431736.42</v>
      </c>
      <c r="Q106" s="2">
        <v>484644.63</v>
      </c>
      <c r="R106" s="2">
        <v>512344.2</v>
      </c>
      <c r="S106" s="2">
        <v>570623.61</v>
      </c>
      <c r="T106" s="2">
        <v>1536444.94</v>
      </c>
      <c r="U106" s="2">
        <v>2254919.2599999998</v>
      </c>
    </row>
    <row r="107" spans="1:21" x14ac:dyDescent="0.25">
      <c r="A107" t="s">
        <v>83</v>
      </c>
      <c r="B107">
        <v>21.71</v>
      </c>
      <c r="C107">
        <v>29.47</v>
      </c>
      <c r="D107">
        <v>28.03</v>
      </c>
      <c r="E107">
        <v>18.7</v>
      </c>
      <c r="F107">
        <v>44.64</v>
      </c>
      <c r="G107">
        <v>52.77</v>
      </c>
      <c r="H107">
        <v>9.01</v>
      </c>
      <c r="I107">
        <v>19.55</v>
      </c>
      <c r="J107">
        <v>31.2</v>
      </c>
      <c r="K107">
        <v>8.9700000000000006</v>
      </c>
      <c r="L107">
        <v>-35.58</v>
      </c>
      <c r="M107">
        <v>36.08</v>
      </c>
      <c r="N107">
        <v>51.95</v>
      </c>
      <c r="O107">
        <v>94.11</v>
      </c>
      <c r="P107">
        <v>78.25</v>
      </c>
      <c r="Q107">
        <v>73.459999999999994</v>
      </c>
      <c r="R107">
        <v>73.06</v>
      </c>
      <c r="S107">
        <v>72.739999999999995</v>
      </c>
      <c r="T107">
        <v>72.3</v>
      </c>
      <c r="U107">
        <v>72.3</v>
      </c>
    </row>
    <row r="108" spans="1:21" x14ac:dyDescent="0.25">
      <c r="A108" t="s">
        <v>17</v>
      </c>
    </row>
    <row r="109" spans="1:21" x14ac:dyDescent="0.25">
      <c r="A109" t="s">
        <v>101</v>
      </c>
      <c r="B109">
        <v>202.07</v>
      </c>
      <c r="C109">
        <v>852.5</v>
      </c>
      <c r="D109">
        <v>945.53</v>
      </c>
      <c r="E109">
        <v>255.97</v>
      </c>
      <c r="F109" s="2">
        <v>2797.35</v>
      </c>
      <c r="G109" s="2">
        <v>5801.05</v>
      </c>
      <c r="H109">
        <v>423.56</v>
      </c>
      <c r="I109" s="2">
        <v>1478.12</v>
      </c>
      <c r="J109" s="2">
        <v>3799.8</v>
      </c>
      <c r="K109" s="2">
        <v>1761.11</v>
      </c>
      <c r="L109" s="2">
        <v>-2520.27</v>
      </c>
      <c r="M109" s="2">
        <v>4088.45</v>
      </c>
      <c r="N109" s="2">
        <v>7517.65</v>
      </c>
      <c r="O109" s="2">
        <v>69749.53</v>
      </c>
      <c r="P109" s="2">
        <v>86498.1</v>
      </c>
      <c r="Q109" s="2">
        <v>95990.68</v>
      </c>
      <c r="R109" s="2">
        <v>86772.85</v>
      </c>
      <c r="S109" s="2">
        <v>88739.64</v>
      </c>
      <c r="T109" s="2">
        <v>338017.89</v>
      </c>
      <c r="U109" s="2">
        <v>496082.24</v>
      </c>
    </row>
    <row r="110" spans="1:21" x14ac:dyDescent="0.25">
      <c r="A110" t="s">
        <v>102</v>
      </c>
      <c r="B110">
        <v>6.57</v>
      </c>
      <c r="C110">
        <v>16.89</v>
      </c>
      <c r="D110">
        <v>17.940000000000001</v>
      </c>
      <c r="E110">
        <v>7.96</v>
      </c>
      <c r="F110">
        <v>20.81</v>
      </c>
      <c r="G110">
        <v>27.18</v>
      </c>
      <c r="H110">
        <v>17.41</v>
      </c>
      <c r="I110">
        <v>23.7</v>
      </c>
      <c r="J110">
        <v>28.32</v>
      </c>
      <c r="K110">
        <v>44</v>
      </c>
      <c r="M110">
        <v>17.12</v>
      </c>
      <c r="N110">
        <v>14.9</v>
      </c>
      <c r="O110">
        <v>21.43</v>
      </c>
      <c r="P110">
        <v>20.149999999999999</v>
      </c>
      <c r="Q110">
        <v>20.49</v>
      </c>
      <c r="R110">
        <v>20.23</v>
      </c>
      <c r="S110">
        <v>19.59</v>
      </c>
      <c r="T110">
        <v>22</v>
      </c>
      <c r="U110">
        <v>22</v>
      </c>
    </row>
    <row r="111" spans="1:21" x14ac:dyDescent="0.25">
      <c r="A111" t="s">
        <v>17</v>
      </c>
    </row>
    <row r="112" spans="1:21" x14ac:dyDescent="0.25">
      <c r="A112" t="s">
        <v>1422</v>
      </c>
      <c r="B112" s="2">
        <v>2872.86</v>
      </c>
      <c r="C112" s="2">
        <v>4195.17</v>
      </c>
      <c r="D112" s="2">
        <v>4323.6000000000004</v>
      </c>
      <c r="E112" s="2">
        <v>2960.48</v>
      </c>
      <c r="F112" s="2">
        <v>10642.22</v>
      </c>
      <c r="G112" s="2">
        <v>15539.98</v>
      </c>
      <c r="H112" s="2">
        <v>2009.08</v>
      </c>
      <c r="I112" s="2">
        <v>4758.91</v>
      </c>
      <c r="J112" s="2">
        <v>9616.19</v>
      </c>
      <c r="K112" s="2">
        <v>2241.67</v>
      </c>
      <c r="L112" s="2">
        <v>-9137.5499999999993</v>
      </c>
      <c r="M112" s="2">
        <v>19796.900000000001</v>
      </c>
      <c r="N112" s="2">
        <v>42947.9</v>
      </c>
      <c r="O112" s="2">
        <v>254334.23</v>
      </c>
      <c r="P112" s="2">
        <v>345514.22</v>
      </c>
      <c r="Q112" s="2">
        <v>383270.06</v>
      </c>
      <c r="R112" s="2">
        <v>443530.16</v>
      </c>
      <c r="S112" s="2">
        <v>458588.1</v>
      </c>
      <c r="T112" s="2">
        <v>1198427.05</v>
      </c>
      <c r="U112" s="2">
        <v>1758837.02</v>
      </c>
    </row>
    <row r="113" spans="1:21" x14ac:dyDescent="0.25">
      <c r="A113" t="s">
        <v>105</v>
      </c>
      <c r="B113">
        <v>0.39</v>
      </c>
      <c r="C113">
        <v>-0.28999999999999998</v>
      </c>
      <c r="D113">
        <v>1.24</v>
      </c>
      <c r="E113">
        <v>6.71</v>
      </c>
      <c r="F113">
        <v>0.71</v>
      </c>
      <c r="G113">
        <v>-0.13</v>
      </c>
      <c r="H113">
        <v>3.1</v>
      </c>
      <c r="I113">
        <v>3.81</v>
      </c>
      <c r="J113">
        <v>13.87</v>
      </c>
      <c r="K113">
        <v>12.11</v>
      </c>
      <c r="L113">
        <v>-25.12</v>
      </c>
      <c r="M113">
        <v>8.2200000000000006</v>
      </c>
      <c r="N113">
        <v>28.62</v>
      </c>
      <c r="O113">
        <v>114.53</v>
      </c>
      <c r="P113">
        <v>118.59</v>
      </c>
      <c r="Q113">
        <v>125.15</v>
      </c>
      <c r="R113">
        <v>315.63</v>
      </c>
      <c r="S113">
        <v>374.44</v>
      </c>
      <c r="T113">
        <v>798.48</v>
      </c>
      <c r="U113" s="2">
        <v>1171.8599999999999</v>
      </c>
    </row>
    <row r="114" spans="1:21" x14ac:dyDescent="0.25">
      <c r="A114" t="s">
        <v>106</v>
      </c>
      <c r="B114" s="2">
        <v>2872.47</v>
      </c>
      <c r="C114" s="2">
        <v>4195.46</v>
      </c>
      <c r="D114" s="2">
        <v>4322.3599999999997</v>
      </c>
      <c r="E114" s="2">
        <v>2953.77</v>
      </c>
      <c r="F114" s="2">
        <v>10641.51</v>
      </c>
      <c r="G114" s="2">
        <v>15540.11</v>
      </c>
      <c r="H114" s="2">
        <v>2013.29</v>
      </c>
      <c r="I114" s="2">
        <v>4755.1000000000004</v>
      </c>
      <c r="J114" s="2">
        <v>9602.32</v>
      </c>
      <c r="K114" s="2">
        <v>2229.56</v>
      </c>
      <c r="L114" s="2">
        <v>-9112.43</v>
      </c>
      <c r="M114" s="2">
        <v>19788.68</v>
      </c>
      <c r="N114" s="2">
        <v>42919.29</v>
      </c>
      <c r="O114" s="2">
        <v>251374.36</v>
      </c>
      <c r="P114" s="2">
        <v>339146</v>
      </c>
      <c r="Q114" s="2">
        <v>381317.88</v>
      </c>
      <c r="R114" s="2">
        <v>299074.44</v>
      </c>
      <c r="S114" s="2">
        <v>394861.7</v>
      </c>
      <c r="T114" s="2">
        <v>1197628.57</v>
      </c>
      <c r="U114" s="2">
        <v>1757665.16</v>
      </c>
    </row>
    <row r="115" spans="1:21" x14ac:dyDescent="0.25">
      <c r="A115" t="s">
        <v>280</v>
      </c>
      <c r="B115">
        <v>20.28</v>
      </c>
      <c r="C115">
        <v>24.5</v>
      </c>
      <c r="D115">
        <v>22.99</v>
      </c>
      <c r="E115">
        <v>17.18</v>
      </c>
      <c r="F115">
        <v>35.340000000000003</v>
      </c>
      <c r="G115">
        <v>38.42</v>
      </c>
      <c r="H115">
        <v>7.43</v>
      </c>
      <c r="I115">
        <v>14.91</v>
      </c>
      <c r="J115">
        <v>22.33</v>
      </c>
      <c r="K115">
        <v>5</v>
      </c>
      <c r="L115">
        <v>-27.81</v>
      </c>
      <c r="M115">
        <v>29.9</v>
      </c>
      <c r="N115">
        <v>44.18</v>
      </c>
      <c r="O115">
        <v>74.31</v>
      </c>
      <c r="P115">
        <v>64.989999999999995</v>
      </c>
      <c r="Q115">
        <v>62.67</v>
      </c>
      <c r="R115">
        <v>57.34</v>
      </c>
      <c r="S115">
        <v>51.23</v>
      </c>
      <c r="T115">
        <v>56.39</v>
      </c>
      <c r="U115">
        <v>56.39</v>
      </c>
    </row>
    <row r="116" spans="1:21" x14ac:dyDescent="0.25">
      <c r="A116" t="s">
        <v>17</v>
      </c>
    </row>
    <row r="117" spans="1:21" x14ac:dyDescent="0.25">
      <c r="A117" t="s">
        <v>108</v>
      </c>
      <c r="B117">
        <v>710.2</v>
      </c>
      <c r="C117">
        <v>718.2</v>
      </c>
      <c r="D117">
        <v>720.14</v>
      </c>
      <c r="E117">
        <v>706</v>
      </c>
      <c r="F117">
        <v>706</v>
      </c>
      <c r="G117">
        <v>698.28</v>
      </c>
      <c r="H117">
        <v>684</v>
      </c>
      <c r="I117">
        <v>684</v>
      </c>
      <c r="J117">
        <v>686.41</v>
      </c>
      <c r="K117">
        <v>687.65</v>
      </c>
      <c r="L117">
        <v>688.05</v>
      </c>
      <c r="M117">
        <v>688.73</v>
      </c>
      <c r="N117">
        <v>691.76</v>
      </c>
      <c r="O117">
        <v>708.72</v>
      </c>
      <c r="P117">
        <v>694.88</v>
      </c>
      <c r="Q117">
        <v>667.72</v>
      </c>
      <c r="R117">
        <v>671.97</v>
      </c>
      <c r="S117">
        <v>605.66</v>
      </c>
    </row>
    <row r="118" spans="1:21" x14ac:dyDescent="0.25">
      <c r="A118" t="s">
        <v>888</v>
      </c>
      <c r="B118" s="2">
        <v>4102.95</v>
      </c>
      <c r="C118" s="2">
        <v>5850.04</v>
      </c>
      <c r="D118" s="2">
        <v>6002</v>
      </c>
      <c r="E118" s="2">
        <v>4057.37</v>
      </c>
      <c r="F118" s="2">
        <v>15073</v>
      </c>
      <c r="G118" s="2">
        <v>21346.240000000002</v>
      </c>
      <c r="H118" s="2">
        <v>2765.5</v>
      </c>
      <c r="I118" s="2">
        <v>6952</v>
      </c>
      <c r="J118" s="2">
        <v>13989</v>
      </c>
      <c r="K118" s="2">
        <v>3242</v>
      </c>
      <c r="L118" s="2">
        <v>-13244</v>
      </c>
      <c r="M118" s="2">
        <v>27182.17</v>
      </c>
      <c r="N118" s="2">
        <v>62160.85</v>
      </c>
      <c r="O118" s="2">
        <v>347005.75</v>
      </c>
      <c r="P118" s="2">
        <v>465289.98</v>
      </c>
      <c r="Q118" s="2">
        <v>531896.31999999995</v>
      </c>
      <c r="R118" s="2">
        <v>509256.14</v>
      </c>
      <c r="S118" s="2">
        <v>599560.55000000005</v>
      </c>
      <c r="T118" s="2">
        <v>1639481.3</v>
      </c>
      <c r="U118" s="2">
        <v>2406137.61</v>
      </c>
    </row>
    <row r="119" spans="1:21" x14ac:dyDescent="0.25">
      <c r="A119" t="s">
        <v>17</v>
      </c>
    </row>
    <row r="120" spans="1:21" x14ac:dyDescent="0.25">
      <c r="A120" t="s">
        <v>1423</v>
      </c>
      <c r="B120">
        <v>710.2</v>
      </c>
      <c r="C120">
        <v>718.2</v>
      </c>
      <c r="D120">
        <v>720.14</v>
      </c>
      <c r="E120">
        <v>706</v>
      </c>
      <c r="F120">
        <v>706.04</v>
      </c>
      <c r="G120">
        <v>698.36</v>
      </c>
      <c r="H120">
        <v>684.09</v>
      </c>
      <c r="I120">
        <v>684.14</v>
      </c>
      <c r="J120">
        <v>686.66</v>
      </c>
      <c r="K120">
        <v>687.8</v>
      </c>
      <c r="L120">
        <v>688.05</v>
      </c>
      <c r="M120">
        <v>709.83</v>
      </c>
      <c r="N120">
        <v>711.27</v>
      </c>
      <c r="O120">
        <v>717.28</v>
      </c>
      <c r="P120">
        <v>709.48</v>
      </c>
      <c r="Q120">
        <v>698.15</v>
      </c>
      <c r="R120">
        <v>676.46</v>
      </c>
      <c r="S120">
        <v>594.94000000000005</v>
      </c>
    </row>
    <row r="121" spans="1:21" x14ac:dyDescent="0.25">
      <c r="A121" t="s">
        <v>110</v>
      </c>
      <c r="B121" s="2">
        <v>4102.95</v>
      </c>
      <c r="C121" s="2">
        <v>5850.04</v>
      </c>
      <c r="D121" s="2">
        <v>6002</v>
      </c>
      <c r="E121" s="2">
        <v>4057.37</v>
      </c>
      <c r="F121" s="2">
        <v>15073</v>
      </c>
      <c r="G121" s="2">
        <v>21346.240000000002</v>
      </c>
      <c r="H121" s="2">
        <v>2765.5</v>
      </c>
      <c r="I121" s="2">
        <v>6952</v>
      </c>
      <c r="J121" s="2">
        <v>13989</v>
      </c>
      <c r="K121" s="2">
        <v>3242</v>
      </c>
      <c r="L121" s="2">
        <v>-13244</v>
      </c>
      <c r="M121" s="2">
        <v>27182.17</v>
      </c>
      <c r="N121" s="2">
        <v>62160.85</v>
      </c>
      <c r="O121" s="2">
        <v>347914.84</v>
      </c>
      <c r="P121" s="2">
        <v>478550.25</v>
      </c>
      <c r="Q121" s="2">
        <v>542655.29</v>
      </c>
      <c r="R121" s="2">
        <v>615206.16</v>
      </c>
      <c r="S121" s="2">
        <v>689787.71</v>
      </c>
    </row>
    <row r="122" spans="1:21" x14ac:dyDescent="0.25">
      <c r="A122" t="s">
        <v>17</v>
      </c>
    </row>
    <row r="123" spans="1:21" x14ac:dyDescent="0.25">
      <c r="A123" t="s">
        <v>1424</v>
      </c>
      <c r="B123">
        <v>0</v>
      </c>
      <c r="C123">
        <v>218.4</v>
      </c>
      <c r="D123">
        <v>353</v>
      </c>
      <c r="E123">
        <v>423.6</v>
      </c>
      <c r="F123">
        <v>706</v>
      </c>
      <c r="G123" s="2">
        <v>1026</v>
      </c>
      <c r="H123">
        <v>684</v>
      </c>
      <c r="I123">
        <v>800.28</v>
      </c>
      <c r="J123" s="2">
        <v>1058.94</v>
      </c>
      <c r="K123">
        <v>825.18</v>
      </c>
      <c r="L123">
        <v>825.72</v>
      </c>
      <c r="M123" s="2">
        <v>1520.09</v>
      </c>
      <c r="N123" s="2">
        <v>2108.6</v>
      </c>
      <c r="O123" s="2">
        <v>18804.73</v>
      </c>
      <c r="P123" s="2">
        <v>32225.96</v>
      </c>
      <c r="Q123" s="2">
        <v>37162.720000000001</v>
      </c>
      <c r="R123" s="2">
        <v>102470.8</v>
      </c>
      <c r="S123" s="2">
        <v>102470.8</v>
      </c>
      <c r="T123" s="2">
        <v>102470.8</v>
      </c>
      <c r="U123" s="2">
        <v>102470.8</v>
      </c>
    </row>
    <row r="124" spans="1:21" x14ac:dyDescent="0.25">
      <c r="A124" t="s">
        <v>487</v>
      </c>
      <c r="B124">
        <v>0</v>
      </c>
      <c r="C124">
        <v>300</v>
      </c>
      <c r="D124">
        <v>500</v>
      </c>
      <c r="E124">
        <v>600</v>
      </c>
      <c r="F124" s="2">
        <v>1000</v>
      </c>
      <c r="G124" s="2">
        <v>1500</v>
      </c>
      <c r="H124" s="2">
        <v>1000</v>
      </c>
      <c r="I124" s="2">
        <v>1170</v>
      </c>
      <c r="J124" s="2">
        <v>1540</v>
      </c>
      <c r="K124" s="2">
        <v>1200</v>
      </c>
      <c r="L124" s="2">
        <v>1200</v>
      </c>
      <c r="M124" s="2">
        <v>2204</v>
      </c>
      <c r="N124" s="2">
        <v>3000</v>
      </c>
      <c r="O124" s="2">
        <v>14697.68</v>
      </c>
      <c r="P124" s="2">
        <v>30793.13</v>
      </c>
      <c r="Q124" s="2">
        <v>39861.699999999997</v>
      </c>
      <c r="R124" s="2">
        <v>106836.33</v>
      </c>
      <c r="S124" s="2">
        <v>111728.67</v>
      </c>
      <c r="T124" s="2">
        <v>52929</v>
      </c>
    </row>
    <row r="125" spans="1:21" x14ac:dyDescent="0.25">
      <c r="A125" t="s">
        <v>1425</v>
      </c>
      <c r="B125">
        <v>0</v>
      </c>
      <c r="C125">
        <v>5.21</v>
      </c>
      <c r="D125">
        <v>8.17</v>
      </c>
      <c r="E125">
        <v>14.34</v>
      </c>
      <c r="F125">
        <v>6.63</v>
      </c>
      <c r="G125">
        <v>6.6</v>
      </c>
      <c r="H125">
        <v>34.090000000000003</v>
      </c>
      <c r="I125">
        <v>16.829999999999998</v>
      </c>
      <c r="J125">
        <v>11.03</v>
      </c>
      <c r="K125">
        <v>37.01</v>
      </c>
      <c r="M125">
        <v>7.68</v>
      </c>
      <c r="N125">
        <v>4.91</v>
      </c>
      <c r="O125">
        <v>6.85</v>
      </c>
      <c r="P125">
        <v>8.92</v>
      </c>
      <c r="Q125">
        <v>7.75</v>
      </c>
      <c r="R125">
        <v>1.89</v>
      </c>
      <c r="S125">
        <v>2.9</v>
      </c>
    </row>
    <row r="126" spans="1:21" x14ac:dyDescent="0.25">
      <c r="A126" t="s">
        <v>1426</v>
      </c>
      <c r="B126" s="2">
        <v>2894.65</v>
      </c>
      <c r="C126" s="2">
        <v>4142.57</v>
      </c>
      <c r="D126" s="2">
        <v>4340.7</v>
      </c>
      <c r="E126" s="2">
        <v>2982.7</v>
      </c>
      <c r="F126" s="2">
        <v>10221.11</v>
      </c>
      <c r="G126" s="2">
        <v>15471.79</v>
      </c>
      <c r="H126" s="2">
        <v>2099.65</v>
      </c>
      <c r="I126" s="2">
        <v>4649.8500000000004</v>
      </c>
      <c r="J126" s="2">
        <v>10669.35</v>
      </c>
      <c r="K126" s="2">
        <v>2802.42</v>
      </c>
      <c r="L126" s="2">
        <v>-9015</v>
      </c>
      <c r="M126" s="2">
        <v>21033.119999999999</v>
      </c>
      <c r="N126" s="2">
        <v>42984.41</v>
      </c>
      <c r="O126" s="2">
        <v>210377.74</v>
      </c>
      <c r="P126" s="2">
        <v>353843.95</v>
      </c>
      <c r="Q126" s="2">
        <v>384075.22</v>
      </c>
      <c r="R126" s="2">
        <v>560606.81000000006</v>
      </c>
      <c r="S126" s="2">
        <v>816579.76</v>
      </c>
      <c r="T126" s="2">
        <v>1198427.05</v>
      </c>
      <c r="U126" s="2">
        <v>1758837.02</v>
      </c>
    </row>
    <row r="127" spans="1:21" x14ac:dyDescent="0.25">
      <c r="A127" t="s">
        <v>17</v>
      </c>
    </row>
    <row r="128" spans="1:21" x14ac:dyDescent="0.25">
      <c r="A128" t="s">
        <v>111</v>
      </c>
    </row>
    <row r="129" spans="1:21" x14ac:dyDescent="0.25">
      <c r="A129" t="s">
        <v>117</v>
      </c>
      <c r="B129" s="2">
        <v>6458.31</v>
      </c>
      <c r="C129" s="2">
        <v>8553.4500000000007</v>
      </c>
      <c r="D129" s="2">
        <v>9289.34</v>
      </c>
      <c r="E129" s="2">
        <v>7733.1</v>
      </c>
      <c r="F129" s="2">
        <v>18747.46</v>
      </c>
      <c r="G129" s="2">
        <v>27272</v>
      </c>
      <c r="H129" s="2">
        <v>11339.56</v>
      </c>
      <c r="I129" s="2">
        <v>14784.53</v>
      </c>
      <c r="J129" s="2">
        <v>23067.07</v>
      </c>
      <c r="K129" s="2">
        <v>20960.89</v>
      </c>
      <c r="L129" s="2">
        <v>5943.35</v>
      </c>
      <c r="M129" s="2">
        <v>36048.839999999997</v>
      </c>
      <c r="N129" s="2">
        <v>61136.45</v>
      </c>
      <c r="O129" s="2">
        <v>248101.96</v>
      </c>
      <c r="P129" s="2">
        <v>397100.38</v>
      </c>
      <c r="Q129" s="2">
        <v>443816.2</v>
      </c>
      <c r="R129" s="2">
        <v>47465.69</v>
      </c>
      <c r="S129" s="2">
        <v>46847.86</v>
      </c>
    </row>
    <row r="130" spans="1:21" x14ac:dyDescent="0.25">
      <c r="A130" t="s">
        <v>121</v>
      </c>
      <c r="B130" s="2">
        <v>2872.47</v>
      </c>
      <c r="C130" s="2">
        <v>4195.46</v>
      </c>
      <c r="D130" s="2">
        <v>4322.3599999999997</v>
      </c>
      <c r="E130" s="2">
        <v>2953.77</v>
      </c>
      <c r="F130" s="2">
        <v>10641.51</v>
      </c>
      <c r="G130" s="2">
        <v>15540.11</v>
      </c>
      <c r="H130" s="2">
        <v>2013.29</v>
      </c>
      <c r="I130" s="2">
        <v>4755.1000000000004</v>
      </c>
      <c r="J130" s="2">
        <v>9602.32</v>
      </c>
      <c r="K130" s="2">
        <v>2229.56</v>
      </c>
      <c r="L130" s="2">
        <v>-9112.43</v>
      </c>
      <c r="M130" s="2">
        <v>19788.68</v>
      </c>
      <c r="N130" s="2">
        <v>42919.29</v>
      </c>
      <c r="O130" s="2">
        <v>254865.94</v>
      </c>
      <c r="P130" s="2">
        <v>340095.51</v>
      </c>
      <c r="Q130" s="2">
        <v>382320.91</v>
      </c>
      <c r="R130" s="2">
        <v>341634.97</v>
      </c>
      <c r="S130" s="2">
        <v>362713.73</v>
      </c>
      <c r="T130" s="2">
        <v>1197628.57</v>
      </c>
      <c r="U130" s="2">
        <v>1757665.16</v>
      </c>
    </row>
    <row r="131" spans="1:21" x14ac:dyDescent="0.25">
      <c r="A131" t="s">
        <v>1427</v>
      </c>
      <c r="B131">
        <v>-108.81</v>
      </c>
      <c r="C131">
        <v>-41.82</v>
      </c>
      <c r="D131">
        <v>-1.6</v>
      </c>
      <c r="E131">
        <v>-79.099999999999994</v>
      </c>
      <c r="F131">
        <v>-501.45</v>
      </c>
      <c r="G131">
        <v>-480.84</v>
      </c>
      <c r="H131">
        <v>-295.22000000000003</v>
      </c>
      <c r="I131">
        <v>-400.15</v>
      </c>
      <c r="J131">
        <v>682.83</v>
      </c>
      <c r="K131">
        <v>887.66</v>
      </c>
      <c r="L131" s="2">
        <v>1017.35</v>
      </c>
      <c r="M131" s="2">
        <v>2561.84</v>
      </c>
      <c r="N131" s="2">
        <v>2828.22</v>
      </c>
      <c r="O131" s="2">
        <v>3992.49</v>
      </c>
      <c r="P131" s="2">
        <v>5102.97</v>
      </c>
      <c r="Q131" s="2">
        <v>5358.01</v>
      </c>
      <c r="R131" s="2">
        <v>7339.39</v>
      </c>
      <c r="S131" s="2">
        <v>7339.39</v>
      </c>
      <c r="T131" s="2">
        <v>2676.86</v>
      </c>
      <c r="U131" s="2">
        <v>2676.86</v>
      </c>
    </row>
    <row r="132" spans="1:21" x14ac:dyDescent="0.25">
      <c r="A132" t="s">
        <v>17</v>
      </c>
    </row>
    <row r="133" spans="1:21" x14ac:dyDescent="0.25">
      <c r="A133" t="s">
        <v>176</v>
      </c>
    </row>
    <row r="134" spans="1:21" x14ac:dyDescent="0.25">
      <c r="A134" t="s">
        <v>1428</v>
      </c>
      <c r="B134">
        <v>13.17</v>
      </c>
      <c r="C134">
        <v>29.99</v>
      </c>
      <c r="D134">
        <v>45.03</v>
      </c>
      <c r="E134">
        <v>27.28</v>
      </c>
      <c r="F134">
        <v>110.73</v>
      </c>
      <c r="G134">
        <v>220.25</v>
      </c>
      <c r="H134">
        <v>11.08</v>
      </c>
      <c r="I134">
        <v>19.78</v>
      </c>
      <c r="J134">
        <v>47.74</v>
      </c>
      <c r="K134">
        <v>12.77</v>
      </c>
      <c r="L134">
        <v>-5.26</v>
      </c>
      <c r="M134">
        <v>17.440000000000001</v>
      </c>
      <c r="N134">
        <v>51.11</v>
      </c>
      <c r="O134">
        <v>310.55</v>
      </c>
      <c r="P134">
        <v>620.72</v>
      </c>
      <c r="Q134" s="2">
        <v>1046.01</v>
      </c>
      <c r="R134" s="2">
        <v>11767.15</v>
      </c>
      <c r="S134" s="2">
        <v>-1942.56</v>
      </c>
      <c r="T134">
        <v>969.21</v>
      </c>
      <c r="U134" s="2">
        <v>1115.3499999999999</v>
      </c>
    </row>
    <row r="135" spans="1:21" x14ac:dyDescent="0.25">
      <c r="A135" t="s">
        <v>1429</v>
      </c>
      <c r="B135" s="2">
        <v>3185.08</v>
      </c>
      <c r="C135" s="2">
        <v>4280.5600000000004</v>
      </c>
      <c r="D135" s="2">
        <v>4399.25</v>
      </c>
      <c r="E135" s="2">
        <v>3036.92</v>
      </c>
      <c r="F135" s="2">
        <v>10877.33</v>
      </c>
      <c r="G135" s="2">
        <v>15177.69</v>
      </c>
      <c r="H135" s="2">
        <v>2245.86</v>
      </c>
      <c r="I135" s="2">
        <v>3826.13</v>
      </c>
      <c r="J135" s="2">
        <v>8891.18</v>
      </c>
      <c r="K135" s="2">
        <v>3794.63</v>
      </c>
      <c r="L135" s="2">
        <v>-5641.34</v>
      </c>
      <c r="M135" s="2">
        <v>19374.7</v>
      </c>
      <c r="N135" s="2">
        <v>40113.29</v>
      </c>
      <c r="O135" s="2">
        <v>209934.85</v>
      </c>
      <c r="P135" s="2">
        <v>349411.68</v>
      </c>
      <c r="Q135" s="2">
        <v>379518.22</v>
      </c>
      <c r="R135" s="2">
        <v>475463.62</v>
      </c>
      <c r="S135" s="2">
        <v>568193.93999999994</v>
      </c>
      <c r="T135" s="2">
        <v>1194836.31</v>
      </c>
      <c r="U135" s="2">
        <v>1753575.83</v>
      </c>
    </row>
    <row r="136" spans="1:21" x14ac:dyDescent="0.25">
      <c r="A136" t="s">
        <v>17</v>
      </c>
    </row>
    <row r="137" spans="1:21" x14ac:dyDescent="0.25">
      <c r="A137" t="s">
        <v>134</v>
      </c>
    </row>
    <row r="138" spans="1:21" x14ac:dyDescent="0.25">
      <c r="A138" t="s">
        <v>135</v>
      </c>
    </row>
    <row r="139" spans="1:21" x14ac:dyDescent="0.25">
      <c r="A139" t="s">
        <v>136</v>
      </c>
      <c r="B139" s="2">
        <v>6653.12</v>
      </c>
      <c r="C139" s="2">
        <v>10363.51</v>
      </c>
      <c r="D139" s="2">
        <v>9760.0300000000007</v>
      </c>
      <c r="E139" s="2">
        <v>9838.98</v>
      </c>
      <c r="F139" s="2">
        <v>17310.439999999999</v>
      </c>
      <c r="G139" s="2">
        <v>19894.150000000001</v>
      </c>
      <c r="H139" s="2">
        <v>14457.6</v>
      </c>
      <c r="I139" s="2">
        <v>16570.95</v>
      </c>
      <c r="J139" s="2">
        <v>26907.08</v>
      </c>
      <c r="K139" s="2">
        <v>28733.33</v>
      </c>
      <c r="L139" s="2">
        <v>30468.1</v>
      </c>
      <c r="M139" s="2">
        <v>42278.89</v>
      </c>
      <c r="N139" s="2">
        <v>69458.070000000007</v>
      </c>
      <c r="O139" s="2">
        <v>278604.21999999997</v>
      </c>
      <c r="P139" s="2">
        <v>555839.5</v>
      </c>
      <c r="Q139" s="2">
        <v>827465.29</v>
      </c>
      <c r="R139" s="2">
        <v>875618.99</v>
      </c>
      <c r="S139" s="2">
        <v>1002210.28</v>
      </c>
      <c r="T139" s="2">
        <v>714617.21</v>
      </c>
      <c r="U139" s="2">
        <v>939451.28</v>
      </c>
    </row>
    <row r="140" spans="1:21" x14ac:dyDescent="0.25">
      <c r="A140" t="s">
        <v>536</v>
      </c>
      <c r="B140">
        <v>631.87</v>
      </c>
      <c r="C140">
        <v>436.76</v>
      </c>
      <c r="D140" s="2">
        <v>1175.72</v>
      </c>
      <c r="E140">
        <v>613.79</v>
      </c>
      <c r="F140" s="2">
        <v>2949.99</v>
      </c>
      <c r="G140" s="2">
        <v>2349.3200000000002</v>
      </c>
      <c r="H140" s="2">
        <v>2306.0700000000002</v>
      </c>
      <c r="I140" s="2">
        <v>2975.99</v>
      </c>
      <c r="J140" s="2">
        <v>5057.9799999999996</v>
      </c>
      <c r="K140" s="2">
        <v>4977.01</v>
      </c>
      <c r="L140" s="2">
        <v>7587.33</v>
      </c>
      <c r="M140" s="2">
        <v>11205.12</v>
      </c>
      <c r="N140" s="2">
        <v>14923.77</v>
      </c>
      <c r="O140" s="2">
        <v>142896.4</v>
      </c>
      <c r="P140" s="2">
        <v>367049.84</v>
      </c>
      <c r="Q140" s="2">
        <v>603525.93000000005</v>
      </c>
      <c r="R140" s="2">
        <v>803299.81</v>
      </c>
      <c r="S140" s="2">
        <v>1058443.93</v>
      </c>
      <c r="T140" s="2">
        <v>1366529.28</v>
      </c>
      <c r="U140" s="2">
        <v>2013420.14</v>
      </c>
    </row>
    <row r="141" spans="1:21" x14ac:dyDescent="0.25">
      <c r="A141" t="s">
        <v>1430</v>
      </c>
      <c r="B141" s="2">
        <v>2154.5300000000002</v>
      </c>
      <c r="C141" s="2">
        <v>3618.01</v>
      </c>
      <c r="D141" s="2">
        <v>3615.55</v>
      </c>
      <c r="E141" s="2">
        <v>3521.89</v>
      </c>
      <c r="F141" s="2">
        <v>5604.66</v>
      </c>
      <c r="G141">
        <v>523.58000000000004</v>
      </c>
      <c r="H141">
        <v>298.35000000000002</v>
      </c>
      <c r="I141">
        <v>436.71</v>
      </c>
      <c r="J141">
        <v>474.64</v>
      </c>
      <c r="K141">
        <v>415.63</v>
      </c>
      <c r="L141">
        <v>472.62</v>
      </c>
      <c r="M141" s="2">
        <v>2382.0100000000002</v>
      </c>
      <c r="N141" s="2">
        <v>14679.72</v>
      </c>
      <c r="O141" s="2">
        <v>17518.48</v>
      </c>
      <c r="P141" s="2">
        <v>17711.150000000001</v>
      </c>
      <c r="Q141" s="2">
        <v>17670.689999999999</v>
      </c>
      <c r="R141" s="2">
        <v>18220.080000000002</v>
      </c>
      <c r="S141" s="2">
        <v>18220.080000000002</v>
      </c>
    </row>
    <row r="142" spans="1:21" x14ac:dyDescent="0.25">
      <c r="A142" t="s">
        <v>1431</v>
      </c>
      <c r="G142" s="2">
        <v>5496.45</v>
      </c>
      <c r="H142" s="2">
        <v>1390.29</v>
      </c>
      <c r="I142" s="2">
        <v>1535.52</v>
      </c>
      <c r="J142" s="2">
        <v>3139.92</v>
      </c>
      <c r="K142" s="2">
        <v>1016.36</v>
      </c>
      <c r="L142">
        <v>860.97</v>
      </c>
      <c r="M142">
        <v>569.24</v>
      </c>
      <c r="N142" s="2">
        <v>5338.77</v>
      </c>
      <c r="O142" s="2">
        <v>12541.78</v>
      </c>
      <c r="P142" s="2">
        <v>14917.92</v>
      </c>
      <c r="Q142" s="2">
        <v>14917.92</v>
      </c>
      <c r="R142" s="2">
        <v>14909.63</v>
      </c>
      <c r="S142" s="2">
        <v>14909.63</v>
      </c>
      <c r="T142" s="2">
        <v>5338.77</v>
      </c>
      <c r="U142" s="2">
        <v>5338.77</v>
      </c>
    </row>
    <row r="143" spans="1:21" x14ac:dyDescent="0.25">
      <c r="A143" t="s">
        <v>141</v>
      </c>
      <c r="B143" s="2">
        <v>1941.68</v>
      </c>
      <c r="C143" s="2">
        <v>3732.93</v>
      </c>
      <c r="D143" s="2">
        <v>2628.45</v>
      </c>
      <c r="E143" s="2">
        <v>3251.65</v>
      </c>
      <c r="F143" s="2">
        <v>5552.8</v>
      </c>
      <c r="G143" s="2">
        <v>6319.99</v>
      </c>
      <c r="H143" s="2">
        <v>4261.67</v>
      </c>
      <c r="I143" s="2">
        <v>4931.32</v>
      </c>
      <c r="J143" s="2">
        <v>8267.11</v>
      </c>
      <c r="K143" s="2">
        <v>5186.05</v>
      </c>
      <c r="L143" s="2">
        <v>6600.27</v>
      </c>
      <c r="M143" s="2">
        <v>13019.01</v>
      </c>
      <c r="N143" s="2">
        <v>18199.080000000002</v>
      </c>
      <c r="O143" s="2">
        <v>64215.06</v>
      </c>
      <c r="P143" s="2">
        <v>87925.26</v>
      </c>
      <c r="Q143" s="2">
        <v>103027.11</v>
      </c>
      <c r="R143" s="2">
        <v>93309.06</v>
      </c>
      <c r="S143" s="2">
        <v>94879.12</v>
      </c>
      <c r="T143" s="2">
        <v>294190.67</v>
      </c>
      <c r="U143" s="2">
        <v>431762.62</v>
      </c>
    </row>
    <row r="144" spans="1:21" x14ac:dyDescent="0.25">
      <c r="A144" t="s">
        <v>340</v>
      </c>
      <c r="B144" s="2">
        <v>1178.3</v>
      </c>
      <c r="C144" s="2">
        <v>1497.56</v>
      </c>
      <c r="D144" s="2">
        <v>1923.38</v>
      </c>
      <c r="E144" s="2">
        <v>2026.2</v>
      </c>
      <c r="F144" s="2">
        <v>2640.44</v>
      </c>
      <c r="G144" s="2">
        <v>4422.7299999999996</v>
      </c>
      <c r="H144" s="2">
        <v>5295.84</v>
      </c>
      <c r="I144" s="2">
        <v>6136.32</v>
      </c>
      <c r="J144" s="2">
        <v>8950.09</v>
      </c>
      <c r="K144" s="2">
        <v>15664.71</v>
      </c>
      <c r="L144" s="2">
        <v>13480.66</v>
      </c>
      <c r="M144" s="2">
        <v>13313.94</v>
      </c>
      <c r="N144" s="2">
        <v>14289.39</v>
      </c>
      <c r="O144" s="2">
        <v>30873.23</v>
      </c>
      <c r="P144" s="2">
        <v>44423.6</v>
      </c>
      <c r="Q144" s="2">
        <v>53527.95</v>
      </c>
      <c r="R144" s="2">
        <v>64966.07</v>
      </c>
      <c r="S144" s="2">
        <v>81630.080000000002</v>
      </c>
      <c r="T144" s="2">
        <v>301921.96999999997</v>
      </c>
      <c r="U144" s="2">
        <v>443109.29</v>
      </c>
    </row>
    <row r="145" spans="1:21" x14ac:dyDescent="0.25">
      <c r="A145" t="s">
        <v>145</v>
      </c>
      <c r="B145">
        <v>141.38</v>
      </c>
      <c r="C145">
        <v>167.08</v>
      </c>
      <c r="D145">
        <v>353.93</v>
      </c>
      <c r="E145">
        <v>399.35</v>
      </c>
      <c r="F145">
        <v>523.64</v>
      </c>
      <c r="G145">
        <v>741.43</v>
      </c>
      <c r="H145">
        <v>682.04</v>
      </c>
      <c r="I145">
        <v>485.67</v>
      </c>
      <c r="J145">
        <v>841.73</v>
      </c>
      <c r="K145" s="2">
        <v>1186.54</v>
      </c>
      <c r="L145">
        <v>925.5</v>
      </c>
      <c r="M145" s="2">
        <v>1393.74</v>
      </c>
      <c r="N145" s="2">
        <v>1378.04</v>
      </c>
      <c r="O145" s="2">
        <v>4576.3900000000003</v>
      </c>
      <c r="P145" s="2">
        <v>7390.21</v>
      </c>
      <c r="Q145" s="2">
        <v>8296.8700000000008</v>
      </c>
      <c r="R145" s="2">
        <v>16503.71</v>
      </c>
      <c r="S145" s="2">
        <v>24221.32</v>
      </c>
      <c r="T145" s="2">
        <v>35547.9</v>
      </c>
      <c r="U145" s="2">
        <v>52171.11</v>
      </c>
    </row>
    <row r="146" spans="1:21" x14ac:dyDescent="0.25">
      <c r="A146" t="s">
        <v>146</v>
      </c>
      <c r="B146" s="2">
        <v>14144.17</v>
      </c>
      <c r="C146" s="2">
        <v>16519.759999999998</v>
      </c>
      <c r="D146" s="2">
        <v>19917.88</v>
      </c>
      <c r="E146" s="2">
        <v>22377.040000000001</v>
      </c>
      <c r="F146" s="2">
        <v>28108.02</v>
      </c>
      <c r="G146" s="2">
        <v>43764.19</v>
      </c>
      <c r="H146" s="2">
        <v>50790.75</v>
      </c>
      <c r="I146" s="2">
        <v>54602.9</v>
      </c>
      <c r="J146" s="2">
        <v>69439.45</v>
      </c>
      <c r="K146" s="2">
        <v>75138.179999999993</v>
      </c>
      <c r="L146" s="2">
        <v>69862.070000000007</v>
      </c>
      <c r="M146" s="2">
        <v>77576.320000000007</v>
      </c>
      <c r="N146" s="2">
        <v>106649.59</v>
      </c>
      <c r="O146" s="2">
        <v>174588.88</v>
      </c>
      <c r="P146" s="2">
        <v>217961.42</v>
      </c>
      <c r="Q146" s="2">
        <v>269862.43</v>
      </c>
      <c r="R146" s="2">
        <v>289899.76</v>
      </c>
      <c r="S146" s="2">
        <v>312731.61</v>
      </c>
      <c r="T146" s="2">
        <v>189525.87</v>
      </c>
      <c r="U146" s="2">
        <v>199712.98</v>
      </c>
    </row>
    <row r="147" spans="1:21" x14ac:dyDescent="0.25">
      <c r="A147" t="s">
        <v>409</v>
      </c>
      <c r="B147" s="2">
        <v>12129.8</v>
      </c>
      <c r="C147" s="2">
        <v>14090.33</v>
      </c>
      <c r="D147" s="2">
        <v>16966.25</v>
      </c>
      <c r="E147" s="2">
        <v>18777.400000000001</v>
      </c>
      <c r="F147" s="2">
        <v>24062.6</v>
      </c>
      <c r="G147" s="2">
        <v>34952.620000000003</v>
      </c>
      <c r="H147" s="2">
        <v>39949.94</v>
      </c>
      <c r="I147" s="2">
        <v>41230.559999999998</v>
      </c>
      <c r="J147" s="2">
        <v>53225.67</v>
      </c>
      <c r="K147" s="2">
        <v>60228.53</v>
      </c>
      <c r="L147" s="2">
        <v>52704.85</v>
      </c>
      <c r="M147" s="2">
        <v>60157.47</v>
      </c>
      <c r="N147" s="2">
        <v>77502.7</v>
      </c>
      <c r="O147" s="2">
        <v>102486.31</v>
      </c>
      <c r="P147" s="2">
        <v>136047.85</v>
      </c>
      <c r="Q147" s="2">
        <v>170306.96</v>
      </c>
      <c r="R147" s="2">
        <v>211178.53</v>
      </c>
      <c r="S147" s="2">
        <v>232970.83</v>
      </c>
      <c r="T147" s="2">
        <v>107877.4</v>
      </c>
      <c r="U147" s="2">
        <v>91409.21</v>
      </c>
    </row>
    <row r="148" spans="1:21" x14ac:dyDescent="0.25">
      <c r="A148" t="s">
        <v>750</v>
      </c>
      <c r="H148" s="2">
        <v>1706.66</v>
      </c>
      <c r="I148" s="2">
        <v>1707.65</v>
      </c>
      <c r="J148" s="2">
        <v>1597.34</v>
      </c>
      <c r="K148" s="2">
        <v>1779.99</v>
      </c>
      <c r="L148" s="2">
        <v>2694.84</v>
      </c>
      <c r="M148" s="2">
        <v>2486.87</v>
      </c>
      <c r="N148" s="2">
        <v>2336.46</v>
      </c>
      <c r="O148" s="2">
        <v>2467.2199999999998</v>
      </c>
      <c r="P148" s="2">
        <v>2724.74</v>
      </c>
      <c r="Q148" s="2">
        <v>2921.63</v>
      </c>
      <c r="R148" s="2">
        <v>4494.08</v>
      </c>
      <c r="S148" s="2">
        <v>4709.41</v>
      </c>
    </row>
    <row r="149" spans="1:21" x14ac:dyDescent="0.25">
      <c r="A149" t="s">
        <v>312</v>
      </c>
      <c r="B149" s="2">
        <v>1110.4000000000001</v>
      </c>
      <c r="C149" s="2">
        <v>1336.68</v>
      </c>
      <c r="D149" s="2">
        <v>1704.9</v>
      </c>
      <c r="E149" s="2">
        <v>1915.59</v>
      </c>
      <c r="F149" s="2">
        <v>2247.29</v>
      </c>
      <c r="G149" s="2">
        <v>2678.77</v>
      </c>
      <c r="H149" s="2">
        <v>2571.0500000000002</v>
      </c>
      <c r="I149" s="2">
        <v>3400.28</v>
      </c>
      <c r="J149" s="2">
        <v>4797.16</v>
      </c>
      <c r="K149" s="2">
        <v>3512.11</v>
      </c>
      <c r="L149" s="2">
        <v>3834.57</v>
      </c>
      <c r="M149" s="2">
        <v>4018.85</v>
      </c>
      <c r="N149" s="2">
        <v>4049.4</v>
      </c>
      <c r="O149" s="2">
        <v>4650.87</v>
      </c>
      <c r="P149" s="2">
        <v>5115.04</v>
      </c>
      <c r="Q149" s="2">
        <v>6945.83</v>
      </c>
      <c r="R149" s="2">
        <v>4020.61</v>
      </c>
      <c r="S149" s="2">
        <v>4037</v>
      </c>
      <c r="T149" s="2">
        <v>2721.75</v>
      </c>
      <c r="U149" s="2">
        <v>2657.03</v>
      </c>
    </row>
    <row r="150" spans="1:21" x14ac:dyDescent="0.25">
      <c r="A150" t="s">
        <v>754</v>
      </c>
      <c r="B150">
        <v>107.1</v>
      </c>
      <c r="C150">
        <v>97.09</v>
      </c>
      <c r="D150">
        <v>122.61</v>
      </c>
      <c r="E150">
        <v>131.02000000000001</v>
      </c>
      <c r="F150">
        <v>359.86</v>
      </c>
      <c r="G150">
        <v>562.19000000000005</v>
      </c>
      <c r="H150">
        <v>768.77</v>
      </c>
      <c r="I150" s="2">
        <v>1166.24</v>
      </c>
      <c r="J150" s="2">
        <v>1410.43</v>
      </c>
      <c r="K150" s="2">
        <v>1352.85</v>
      </c>
      <c r="L150" s="2">
        <v>1367.35</v>
      </c>
      <c r="M150" s="2">
        <v>1940.66</v>
      </c>
      <c r="N150" s="2">
        <v>1320.93</v>
      </c>
      <c r="O150" s="2">
        <v>11079.5</v>
      </c>
      <c r="P150" s="2">
        <v>11659.36</v>
      </c>
      <c r="Q150" s="2">
        <v>13247.85</v>
      </c>
      <c r="R150" s="2">
        <v>5376.08</v>
      </c>
      <c r="S150" s="2">
        <v>7467.25</v>
      </c>
      <c r="T150" s="2">
        <v>28896.29</v>
      </c>
      <c r="U150" s="2">
        <v>42409.02</v>
      </c>
    </row>
    <row r="151" spans="1:21" x14ac:dyDescent="0.25">
      <c r="A151" t="s">
        <v>311</v>
      </c>
      <c r="B151">
        <v>198.57</v>
      </c>
      <c r="C151">
        <v>272.10000000000002</v>
      </c>
      <c r="D151">
        <v>361.2</v>
      </c>
      <c r="E151">
        <v>792.37</v>
      </c>
      <c r="F151">
        <v>599.78</v>
      </c>
      <c r="G151">
        <v>544.02</v>
      </c>
      <c r="H151">
        <v>673.64</v>
      </c>
      <c r="I151">
        <v>556.19000000000005</v>
      </c>
      <c r="J151">
        <v>590.24</v>
      </c>
      <c r="K151">
        <v>657.12</v>
      </c>
      <c r="L151" s="2">
        <v>2989.47</v>
      </c>
      <c r="M151" s="2">
        <v>2811.56</v>
      </c>
      <c r="N151" s="2">
        <v>3660.49</v>
      </c>
      <c r="O151" s="2">
        <v>2850.63</v>
      </c>
      <c r="P151" s="2">
        <v>2947.01</v>
      </c>
      <c r="Q151" s="2">
        <v>3052.22</v>
      </c>
      <c r="R151" s="2">
        <v>2075.4299999999998</v>
      </c>
      <c r="S151" s="2">
        <v>2136.1799999999998</v>
      </c>
      <c r="T151" s="2">
        <v>2439.9299999999998</v>
      </c>
      <c r="U151" s="2">
        <v>2439.9299999999998</v>
      </c>
    </row>
    <row r="152" spans="1:21" x14ac:dyDescent="0.25">
      <c r="A152" t="s">
        <v>155</v>
      </c>
      <c r="B152" s="2">
        <v>20797.3</v>
      </c>
      <c r="C152" s="2">
        <v>26883.279999999999</v>
      </c>
      <c r="D152" s="2">
        <v>29677.91</v>
      </c>
      <c r="E152" s="2">
        <v>32216.03</v>
      </c>
      <c r="F152" s="2">
        <v>45418.46</v>
      </c>
      <c r="G152" s="2">
        <v>63658.34</v>
      </c>
      <c r="H152" s="2">
        <v>65248.35</v>
      </c>
      <c r="I152" s="2">
        <v>71173.850000000006</v>
      </c>
      <c r="J152" s="2">
        <v>96346.53</v>
      </c>
      <c r="K152" s="2">
        <v>103871.51</v>
      </c>
      <c r="L152" s="2">
        <v>100330.17</v>
      </c>
      <c r="M152" s="2">
        <v>119855.21</v>
      </c>
      <c r="N152" s="2">
        <v>176107.66</v>
      </c>
      <c r="O152" s="2">
        <v>458210.73</v>
      </c>
      <c r="P152" s="2">
        <v>780696.3</v>
      </c>
      <c r="Q152" s="2">
        <v>1110672.55</v>
      </c>
      <c r="R152" s="2">
        <v>1254161.02</v>
      </c>
      <c r="S152" s="2">
        <v>1358690.92</v>
      </c>
      <c r="T152" s="2">
        <v>668384.91</v>
      </c>
      <c r="U152" s="2">
        <v>821393.88</v>
      </c>
    </row>
    <row r="153" spans="1:21" x14ac:dyDescent="0.25">
      <c r="A153" t="s">
        <v>17</v>
      </c>
    </row>
    <row r="154" spans="1:21" x14ac:dyDescent="0.25">
      <c r="A154" t="s">
        <v>156</v>
      </c>
    </row>
    <row r="155" spans="1:21" x14ac:dyDescent="0.25">
      <c r="A155" t="s">
        <v>157</v>
      </c>
      <c r="B155" s="2">
        <v>3078.24</v>
      </c>
      <c r="C155" s="2">
        <v>5765.3</v>
      </c>
      <c r="D155" s="2">
        <v>4840.7</v>
      </c>
      <c r="E155" s="2">
        <v>4160.8500000000004</v>
      </c>
      <c r="F155" s="2">
        <v>8116.13</v>
      </c>
      <c r="G155" s="2">
        <v>13031.85</v>
      </c>
      <c r="H155" s="2">
        <v>7961.97</v>
      </c>
      <c r="I155" s="2">
        <v>9072.36</v>
      </c>
      <c r="J155" s="2">
        <v>14735.4</v>
      </c>
      <c r="K155" s="2">
        <v>19843.7</v>
      </c>
      <c r="L155" s="2">
        <v>21007.81</v>
      </c>
      <c r="M155" s="2">
        <v>24965.439999999999</v>
      </c>
      <c r="N155" s="2">
        <v>37379</v>
      </c>
      <c r="O155" s="2">
        <v>60768.99</v>
      </c>
      <c r="P155" s="2">
        <v>74834.559999999998</v>
      </c>
      <c r="Q155" s="2">
        <v>80383.09</v>
      </c>
      <c r="R155" s="2">
        <v>50308.91</v>
      </c>
      <c r="S155" s="2">
        <v>52737.83</v>
      </c>
      <c r="T155" s="2">
        <v>74797.320000000007</v>
      </c>
      <c r="U155" s="2">
        <v>107947.03</v>
      </c>
    </row>
    <row r="156" spans="1:21" x14ac:dyDescent="0.25">
      <c r="A156" t="s">
        <v>1432</v>
      </c>
      <c r="B156">
        <v>648.79</v>
      </c>
      <c r="C156">
        <v>787.82</v>
      </c>
      <c r="D156">
        <v>791.37</v>
      </c>
      <c r="E156">
        <v>696.14</v>
      </c>
      <c r="F156">
        <v>758.58</v>
      </c>
      <c r="G156" s="2">
        <v>1096.3800000000001</v>
      </c>
      <c r="H156" s="2">
        <v>1042.54</v>
      </c>
      <c r="I156" s="2">
        <v>1046.1600000000001</v>
      </c>
      <c r="J156" s="2">
        <v>1359.25</v>
      </c>
      <c r="K156" s="2">
        <v>2186.23</v>
      </c>
      <c r="L156" s="2">
        <v>1845.54</v>
      </c>
      <c r="M156" s="2">
        <v>2277.35</v>
      </c>
      <c r="N156" s="2">
        <v>2848.46</v>
      </c>
      <c r="O156" s="2">
        <v>4422.5</v>
      </c>
      <c r="P156" s="2">
        <v>6124.03</v>
      </c>
      <c r="Q156" s="2">
        <v>7634.53</v>
      </c>
      <c r="R156" s="2">
        <v>11278.38</v>
      </c>
      <c r="S156" s="2">
        <v>15955.75</v>
      </c>
      <c r="T156" s="2">
        <v>44361.96</v>
      </c>
      <c r="U156" s="2">
        <v>65106.87</v>
      </c>
    </row>
    <row r="157" spans="1:21" x14ac:dyDescent="0.25">
      <c r="A157" t="s">
        <v>1433</v>
      </c>
      <c r="B157">
        <v>870.32</v>
      </c>
      <c r="C157" s="2">
        <v>1755.02</v>
      </c>
      <c r="D157" s="2">
        <v>1013.37</v>
      </c>
      <c r="E157">
        <v>704.86</v>
      </c>
      <c r="F157">
        <v>773.78</v>
      </c>
      <c r="G157" s="2">
        <v>1614.3</v>
      </c>
      <c r="H157" s="2">
        <v>3030.94</v>
      </c>
      <c r="I157" s="2">
        <v>3461.71</v>
      </c>
      <c r="J157" s="2">
        <v>3182.82</v>
      </c>
      <c r="K157" s="2">
        <v>7704.12</v>
      </c>
      <c r="L157" s="2">
        <v>10488.69</v>
      </c>
      <c r="M157" s="2">
        <v>5840.59</v>
      </c>
      <c r="N157" s="2">
        <v>8709.0499999999993</v>
      </c>
      <c r="O157" s="2">
        <v>8389.93</v>
      </c>
      <c r="P157" s="2">
        <v>8787.7099999999991</v>
      </c>
      <c r="Q157" s="2">
        <v>9532.9599999999991</v>
      </c>
      <c r="R157" s="2">
        <v>1388.17</v>
      </c>
      <c r="S157" s="2">
        <v>1266.3</v>
      </c>
    </row>
    <row r="158" spans="1:21" x14ac:dyDescent="0.25">
      <c r="A158" t="s">
        <v>1434</v>
      </c>
      <c r="B158">
        <v>872.51</v>
      </c>
      <c r="C158" s="2">
        <v>1755.05</v>
      </c>
      <c r="D158" s="2">
        <v>1013.37</v>
      </c>
      <c r="E158">
        <v>705.15</v>
      </c>
      <c r="F158">
        <v>773.78</v>
      </c>
      <c r="G158" s="2">
        <v>1614.3</v>
      </c>
      <c r="H158" s="2">
        <v>2737.77</v>
      </c>
      <c r="I158" s="2">
        <v>3114.25</v>
      </c>
      <c r="J158" s="2">
        <v>2880.76</v>
      </c>
      <c r="K158" s="2">
        <v>7423.25</v>
      </c>
      <c r="L158" s="2">
        <v>11336.17</v>
      </c>
      <c r="M158" s="2">
        <v>5252.24</v>
      </c>
      <c r="N158" s="2">
        <v>8161.76</v>
      </c>
      <c r="O158" s="2">
        <v>5825.31</v>
      </c>
      <c r="P158" s="2">
        <v>5601.66</v>
      </c>
      <c r="Q158" s="2">
        <v>5370.76</v>
      </c>
      <c r="R158" s="2">
        <v>4080.51</v>
      </c>
      <c r="S158" s="2">
        <v>4080.51</v>
      </c>
      <c r="T158" s="2">
        <v>5858.87</v>
      </c>
      <c r="U158" s="2">
        <v>5858.87</v>
      </c>
    </row>
    <row r="159" spans="1:21" x14ac:dyDescent="0.25">
      <c r="A159" t="s">
        <v>1435</v>
      </c>
      <c r="B159">
        <v>137.97999999999999</v>
      </c>
      <c r="C159">
        <v>734.17</v>
      </c>
      <c r="D159">
        <v>147.94999999999999</v>
      </c>
      <c r="E159">
        <v>0</v>
      </c>
      <c r="F159">
        <v>192.69</v>
      </c>
      <c r="G159">
        <v>585.79</v>
      </c>
      <c r="H159" s="2">
        <v>1168.3499999999999</v>
      </c>
      <c r="I159">
        <v>179.58</v>
      </c>
      <c r="J159">
        <v>233.2</v>
      </c>
      <c r="K159" s="2">
        <v>3833.26</v>
      </c>
      <c r="L159" s="2">
        <v>4145.6499999999996</v>
      </c>
      <c r="M159" s="2">
        <v>1283.49</v>
      </c>
      <c r="N159" s="2">
        <v>2395.8000000000002</v>
      </c>
      <c r="O159" s="2">
        <v>2240.25</v>
      </c>
      <c r="P159" s="2">
        <v>1927.99</v>
      </c>
      <c r="Q159" s="2">
        <v>1584.51</v>
      </c>
      <c r="R159" s="2">
        <v>1957.8</v>
      </c>
      <c r="S159" s="2">
        <v>1957.8</v>
      </c>
      <c r="T159" s="2">
        <v>1957.8</v>
      </c>
      <c r="U159" s="2">
        <v>1957.8</v>
      </c>
    </row>
    <row r="160" spans="1:21" x14ac:dyDescent="0.25">
      <c r="A160" t="s">
        <v>1436</v>
      </c>
      <c r="B160">
        <v>732.34</v>
      </c>
      <c r="C160" s="2">
        <v>1020.86</v>
      </c>
      <c r="D160">
        <v>865.42</v>
      </c>
      <c r="E160">
        <v>704.86</v>
      </c>
      <c r="F160">
        <v>581.09</v>
      </c>
      <c r="G160" s="2">
        <v>1028.52</v>
      </c>
      <c r="H160" s="2">
        <v>1569.42</v>
      </c>
      <c r="I160" s="2">
        <v>2934.67</v>
      </c>
      <c r="J160" s="2">
        <v>2647.56</v>
      </c>
      <c r="K160" s="2">
        <v>3589.98</v>
      </c>
      <c r="L160" s="2">
        <v>5711.54</v>
      </c>
      <c r="M160" s="2">
        <v>3968.75</v>
      </c>
      <c r="N160" s="2">
        <v>5765.96</v>
      </c>
      <c r="O160" s="2">
        <v>6274.25</v>
      </c>
      <c r="P160" s="2">
        <v>6641.48</v>
      </c>
      <c r="Q160" s="2">
        <v>7133.48</v>
      </c>
    </row>
    <row r="161" spans="1:21" x14ac:dyDescent="0.25">
      <c r="A161" t="s">
        <v>164</v>
      </c>
      <c r="B161" s="2">
        <v>4652.2</v>
      </c>
      <c r="C161" s="2">
        <v>3081.67</v>
      </c>
      <c r="D161" s="2">
        <v>3449.51</v>
      </c>
      <c r="E161" s="2">
        <v>4031.65</v>
      </c>
      <c r="F161" s="2">
        <v>3481.41</v>
      </c>
      <c r="G161" s="2">
        <v>3774.15</v>
      </c>
      <c r="H161" s="2">
        <v>9350.5</v>
      </c>
      <c r="I161" s="2">
        <v>10192.4</v>
      </c>
      <c r="J161" s="2">
        <v>19420.07</v>
      </c>
      <c r="K161" s="2">
        <v>20737.27</v>
      </c>
      <c r="L161" s="2">
        <v>25818.6</v>
      </c>
      <c r="M161" s="2">
        <v>20974.06</v>
      </c>
      <c r="N161" s="2">
        <v>18061.91</v>
      </c>
      <c r="O161" s="2">
        <v>24267.59</v>
      </c>
      <c r="P161" s="2">
        <v>24985.23</v>
      </c>
      <c r="Q161" s="2">
        <v>27030.45</v>
      </c>
      <c r="R161" s="2">
        <v>23944.97</v>
      </c>
      <c r="S161" s="2">
        <v>25256.31</v>
      </c>
      <c r="T161" s="2">
        <v>38281.1</v>
      </c>
      <c r="U161" s="2">
        <v>47015.54</v>
      </c>
    </row>
    <row r="162" spans="1:21" x14ac:dyDescent="0.25">
      <c r="A162" t="s">
        <v>1285</v>
      </c>
      <c r="B162" s="2">
        <v>3679.9</v>
      </c>
      <c r="C162" s="2">
        <v>2419.7399999999998</v>
      </c>
      <c r="D162" s="2">
        <v>2805.22</v>
      </c>
      <c r="E162" s="2">
        <v>3631.12</v>
      </c>
      <c r="F162" s="2">
        <v>3397.49</v>
      </c>
      <c r="G162" s="2">
        <v>3667.63</v>
      </c>
      <c r="H162" s="2">
        <v>9159.56</v>
      </c>
      <c r="I162" s="2">
        <v>9433.65</v>
      </c>
      <c r="J162" s="2">
        <v>15966.75</v>
      </c>
      <c r="K162" s="2">
        <v>17087.57</v>
      </c>
      <c r="L162" s="2">
        <v>22009.82</v>
      </c>
      <c r="M162" s="2">
        <v>19611.52</v>
      </c>
      <c r="N162" s="2">
        <v>16048.8</v>
      </c>
      <c r="O162" s="2">
        <v>15144.05</v>
      </c>
      <c r="P162" s="2">
        <v>14602.87</v>
      </c>
      <c r="Q162" s="2">
        <v>13406.77</v>
      </c>
      <c r="R162" s="2">
        <v>9923.01</v>
      </c>
      <c r="S162" s="2">
        <v>5447.37</v>
      </c>
      <c r="T162" s="2">
        <v>18051.28</v>
      </c>
      <c r="U162" s="2">
        <v>18051.28</v>
      </c>
    </row>
    <row r="163" spans="1:21" x14ac:dyDescent="0.25">
      <c r="A163" t="s">
        <v>1437</v>
      </c>
      <c r="B163" s="2">
        <v>3679.9</v>
      </c>
      <c r="C163" s="2">
        <v>2419.7399999999998</v>
      </c>
      <c r="D163" s="2">
        <v>2805.22</v>
      </c>
      <c r="E163" s="2">
        <v>3631.12</v>
      </c>
      <c r="F163" s="2">
        <v>3397.49</v>
      </c>
      <c r="G163" s="2">
        <v>3667.63</v>
      </c>
      <c r="H163" s="2">
        <v>7785.74</v>
      </c>
      <c r="I163" s="2">
        <v>8137.4</v>
      </c>
      <c r="J163" s="2">
        <v>14743.05</v>
      </c>
      <c r="K163" s="2">
        <v>15571.36</v>
      </c>
      <c r="L163" s="2">
        <v>19611.439999999999</v>
      </c>
      <c r="M163" s="2">
        <v>17431.5</v>
      </c>
      <c r="N163" s="2">
        <v>14086.15</v>
      </c>
      <c r="O163" s="2">
        <v>12840.89</v>
      </c>
      <c r="P163" s="2">
        <v>12655.77</v>
      </c>
      <c r="Q163" s="2">
        <v>12366.51</v>
      </c>
      <c r="R163" s="2">
        <v>8887.2900000000009</v>
      </c>
      <c r="S163" s="2">
        <v>8887.2900000000009</v>
      </c>
      <c r="T163" s="2">
        <v>12727.76</v>
      </c>
      <c r="U163" s="2">
        <v>12727.76</v>
      </c>
    </row>
    <row r="164" spans="1:21" x14ac:dyDescent="0.25">
      <c r="A164" t="s">
        <v>1438</v>
      </c>
      <c r="B164" s="2">
        <v>1730.18</v>
      </c>
      <c r="C164" s="2">
        <v>1262.77</v>
      </c>
      <c r="D164" s="2">
        <v>1512</v>
      </c>
      <c r="E164" s="2">
        <v>2095.7399999999998</v>
      </c>
      <c r="F164" s="2">
        <v>2080.33</v>
      </c>
      <c r="G164" s="2">
        <v>2161.5700000000002</v>
      </c>
      <c r="H164" s="2">
        <v>5040.37</v>
      </c>
      <c r="I164" s="2">
        <v>4526.97</v>
      </c>
      <c r="J164" s="2">
        <v>7529.06</v>
      </c>
      <c r="K164" s="2">
        <v>9073.57</v>
      </c>
      <c r="L164" s="2">
        <v>10121.030000000001</v>
      </c>
      <c r="M164" s="2">
        <v>5022.07</v>
      </c>
      <c r="N164" s="2">
        <v>2879.75</v>
      </c>
      <c r="O164" s="2">
        <v>2350.36</v>
      </c>
      <c r="P164" s="2">
        <v>2466.67</v>
      </c>
      <c r="Q164" s="2">
        <v>2178.15</v>
      </c>
      <c r="R164" s="2">
        <v>4879.75</v>
      </c>
      <c r="S164" s="2">
        <v>4879.75</v>
      </c>
      <c r="T164" s="2">
        <v>4879.75</v>
      </c>
      <c r="U164" s="2">
        <v>4879.75</v>
      </c>
    </row>
    <row r="165" spans="1:21" x14ac:dyDescent="0.25">
      <c r="A165" t="s">
        <v>1439</v>
      </c>
      <c r="B165" s="2">
        <v>1949.71</v>
      </c>
      <c r="C165" s="2">
        <v>1156.97</v>
      </c>
      <c r="D165" s="2">
        <v>1293.22</v>
      </c>
      <c r="E165" s="2">
        <v>1535.38</v>
      </c>
      <c r="F165" s="2">
        <v>1317.16</v>
      </c>
      <c r="G165" s="2">
        <v>1506.07</v>
      </c>
      <c r="H165" s="2">
        <v>2745.37</v>
      </c>
      <c r="I165" s="2">
        <v>3610.43</v>
      </c>
      <c r="J165" s="2">
        <v>7213.98</v>
      </c>
      <c r="K165" s="2">
        <v>6497.79</v>
      </c>
      <c r="L165" s="2">
        <v>9490.41</v>
      </c>
      <c r="M165" s="2">
        <v>12409.43</v>
      </c>
      <c r="N165" s="2">
        <v>11206.4</v>
      </c>
      <c r="O165" s="2">
        <v>9264.7099999999991</v>
      </c>
      <c r="P165" s="2">
        <v>6761.46</v>
      </c>
      <c r="Q165" s="2">
        <v>4881.97</v>
      </c>
      <c r="R165" s="2">
        <v>11206.4</v>
      </c>
      <c r="S165" s="2">
        <v>11206.4</v>
      </c>
      <c r="T165" s="2">
        <v>11206.4</v>
      </c>
      <c r="U165" s="2">
        <v>11206.4</v>
      </c>
    </row>
    <row r="166" spans="1:21" x14ac:dyDescent="0.25">
      <c r="A166" t="s">
        <v>1440</v>
      </c>
      <c r="B166">
        <v>972.31</v>
      </c>
      <c r="C166">
        <v>661.93</v>
      </c>
      <c r="D166">
        <v>644.28</v>
      </c>
      <c r="E166">
        <v>400.53</v>
      </c>
      <c r="F166">
        <v>83.92</v>
      </c>
      <c r="G166">
        <v>106.52</v>
      </c>
      <c r="H166">
        <v>190.94</v>
      </c>
      <c r="I166">
        <v>758.75</v>
      </c>
      <c r="J166" s="2">
        <v>3453.32</v>
      </c>
      <c r="K166" s="2">
        <v>3649.71</v>
      </c>
      <c r="L166" s="2">
        <v>3808.78</v>
      </c>
      <c r="M166" s="2">
        <v>1362.55</v>
      </c>
      <c r="N166" s="2">
        <v>2013.11</v>
      </c>
      <c r="O166" s="2">
        <v>6687.54</v>
      </c>
      <c r="P166" s="2">
        <v>5072.8</v>
      </c>
      <c r="Q166" s="2">
        <v>9201.76</v>
      </c>
      <c r="R166" s="2">
        <v>7885.61</v>
      </c>
      <c r="S166" s="2">
        <v>8469.14</v>
      </c>
      <c r="T166" s="2">
        <v>1559.19</v>
      </c>
      <c r="U166" s="2">
        <v>1569.49</v>
      </c>
    </row>
    <row r="167" spans="1:21" x14ac:dyDescent="0.25">
      <c r="A167" t="s">
        <v>167</v>
      </c>
      <c r="B167" s="2">
        <v>7730.44</v>
      </c>
      <c r="C167" s="2">
        <v>8846.98</v>
      </c>
      <c r="D167" s="2">
        <v>8290.2000000000007</v>
      </c>
      <c r="E167" s="2">
        <v>8192.5</v>
      </c>
      <c r="F167" s="2">
        <v>11597.55</v>
      </c>
      <c r="G167" s="2">
        <v>16806</v>
      </c>
      <c r="H167" s="2">
        <v>17312.47</v>
      </c>
      <c r="I167" s="2">
        <v>19264.759999999998</v>
      </c>
      <c r="J167" s="2">
        <v>34155.47</v>
      </c>
      <c r="K167" s="2">
        <v>40580.97</v>
      </c>
      <c r="L167" s="2">
        <v>46826.41</v>
      </c>
      <c r="M167" s="2">
        <v>45939.51</v>
      </c>
      <c r="N167" s="2">
        <v>55440.91</v>
      </c>
      <c r="O167" s="2">
        <v>83590.12</v>
      </c>
      <c r="P167" s="2">
        <v>97661.440000000002</v>
      </c>
      <c r="Q167" s="2">
        <v>104176.35</v>
      </c>
      <c r="R167" s="2">
        <v>71695.070000000007</v>
      </c>
      <c r="S167" s="2">
        <v>75360.22</v>
      </c>
      <c r="T167" s="2">
        <v>115446.08</v>
      </c>
      <c r="U167" s="2">
        <v>157325.07999999999</v>
      </c>
    </row>
    <row r="168" spans="1:21" x14ac:dyDescent="0.25">
      <c r="A168" t="s">
        <v>1441</v>
      </c>
      <c r="B168" s="2">
        <v>13067.24</v>
      </c>
      <c r="C168" s="2">
        <v>18036.45</v>
      </c>
      <c r="D168" s="2">
        <v>21386.86</v>
      </c>
      <c r="E168" s="2">
        <v>24016.959999999999</v>
      </c>
      <c r="F168" s="2">
        <v>33815.279999999999</v>
      </c>
      <c r="G168" s="2">
        <v>46845.72</v>
      </c>
      <c r="H168" s="2">
        <v>47921.1</v>
      </c>
      <c r="I168" s="2">
        <v>51888.54</v>
      </c>
      <c r="J168" s="2">
        <v>62157.07</v>
      </c>
      <c r="K168" s="2">
        <v>63266.36</v>
      </c>
      <c r="L168" s="2">
        <v>53504.29</v>
      </c>
      <c r="M168" s="2">
        <v>73903.39</v>
      </c>
      <c r="N168" s="2">
        <v>120516.18</v>
      </c>
      <c r="O168" s="2">
        <v>379842.47</v>
      </c>
      <c r="P168" s="2">
        <v>688216.86</v>
      </c>
      <c r="Q168" s="2">
        <v>1026899.31</v>
      </c>
      <c r="R168" s="2">
        <v>1352084.49</v>
      </c>
      <c r="S168" s="2">
        <v>1684858.08</v>
      </c>
      <c r="T168" s="2">
        <v>3266924.85</v>
      </c>
      <c r="U168" s="2">
        <v>4922119.21</v>
      </c>
    </row>
    <row r="169" spans="1:21" x14ac:dyDescent="0.25">
      <c r="A169" t="s">
        <v>171</v>
      </c>
      <c r="B169" s="2">
        <v>3568.65</v>
      </c>
      <c r="C169" s="2">
        <v>3657.65</v>
      </c>
      <c r="D169" s="2">
        <v>3657.65</v>
      </c>
      <c r="E169" s="2">
        <v>3657.65</v>
      </c>
      <c r="F169" s="2">
        <v>3657.65</v>
      </c>
      <c r="G169" s="2">
        <v>3657.65</v>
      </c>
      <c r="H169" s="2">
        <v>3657.65</v>
      </c>
      <c r="I169" s="2">
        <v>3657.65</v>
      </c>
      <c r="J169" s="2">
        <v>3657.65</v>
      </c>
      <c r="K169" s="2">
        <v>3657.65</v>
      </c>
      <c r="L169" s="2">
        <v>3657.65</v>
      </c>
      <c r="M169" s="2">
        <v>3657.65</v>
      </c>
      <c r="N169" s="2">
        <v>3657.65</v>
      </c>
      <c r="O169" s="2">
        <v>3669.07</v>
      </c>
      <c r="P169" s="2">
        <v>3656.26</v>
      </c>
      <c r="Q169" s="2">
        <v>3637.62</v>
      </c>
      <c r="R169" s="2">
        <v>3657.77</v>
      </c>
      <c r="S169" s="2">
        <v>3657.77</v>
      </c>
      <c r="T169" s="2">
        <v>3657.65</v>
      </c>
      <c r="U169" s="2">
        <v>3657.65</v>
      </c>
    </row>
    <row r="170" spans="1:21" x14ac:dyDescent="0.25">
      <c r="A170" t="s">
        <v>172</v>
      </c>
      <c r="B170" s="2">
        <v>2888.14</v>
      </c>
      <c r="C170" s="2">
        <v>3625.8</v>
      </c>
      <c r="D170" s="2">
        <v>3625.8</v>
      </c>
      <c r="E170" s="2">
        <v>3625.8</v>
      </c>
      <c r="F170" s="2">
        <v>3625.8</v>
      </c>
      <c r="G170" s="2">
        <v>3625.8</v>
      </c>
      <c r="H170" s="2">
        <v>3625.8</v>
      </c>
      <c r="I170" s="2">
        <v>3625.8</v>
      </c>
      <c r="J170" s="2">
        <v>3625.8</v>
      </c>
      <c r="K170" s="2">
        <v>3625.8</v>
      </c>
      <c r="L170" s="2">
        <v>3625.8</v>
      </c>
      <c r="M170" s="2">
        <v>3625.8</v>
      </c>
      <c r="N170" s="2">
        <v>3625.8</v>
      </c>
      <c r="O170" s="2">
        <v>3639.56</v>
      </c>
      <c r="P170" s="2">
        <v>3639.56</v>
      </c>
      <c r="Q170" s="2">
        <v>3639.56</v>
      </c>
      <c r="R170" s="2">
        <v>3641.72</v>
      </c>
      <c r="S170" s="2">
        <v>3641.72</v>
      </c>
      <c r="T170" s="2">
        <v>3625.8</v>
      </c>
      <c r="U170" s="2">
        <v>3625.8</v>
      </c>
    </row>
    <row r="171" spans="1:21" x14ac:dyDescent="0.25">
      <c r="A171" t="s">
        <v>503</v>
      </c>
      <c r="F171" s="2">
        <v>4143.74</v>
      </c>
      <c r="G171" s="2">
        <v>4143.74</v>
      </c>
      <c r="H171" s="2">
        <v>4143.74</v>
      </c>
      <c r="I171" s="2">
        <v>4143.74</v>
      </c>
      <c r="J171" s="2">
        <v>4334.6400000000003</v>
      </c>
      <c r="K171" s="2">
        <v>4336.17</v>
      </c>
      <c r="L171" s="2">
        <v>4372.5600000000004</v>
      </c>
      <c r="M171" s="2">
        <v>4487.12</v>
      </c>
      <c r="N171" s="2">
        <v>8953.7099999999991</v>
      </c>
      <c r="O171" s="2">
        <v>16527.490000000002</v>
      </c>
      <c r="P171" s="2">
        <v>16367.68</v>
      </c>
      <c r="Q171" s="2">
        <v>17297.09</v>
      </c>
      <c r="R171" s="2">
        <v>9780</v>
      </c>
      <c r="S171" s="2">
        <v>9780</v>
      </c>
      <c r="T171" s="2">
        <v>8953.7099999999991</v>
      </c>
      <c r="U171" s="2">
        <v>8953.7099999999991</v>
      </c>
    </row>
    <row r="172" spans="1:21" x14ac:dyDescent="0.25">
      <c r="A172" t="s">
        <v>173</v>
      </c>
      <c r="B172" s="2">
        <v>6201.32</v>
      </c>
      <c r="C172" s="2">
        <v>10276.9</v>
      </c>
      <c r="D172" s="2">
        <v>14358.99</v>
      </c>
      <c r="E172" s="2">
        <v>17066.580000000002</v>
      </c>
      <c r="F172" s="2">
        <v>27287.26</v>
      </c>
      <c r="G172" s="2">
        <v>42033.599999999999</v>
      </c>
      <c r="H172" s="2">
        <v>42923.360000000001</v>
      </c>
      <c r="I172" s="2">
        <v>46995.73</v>
      </c>
      <c r="J172" s="2">
        <v>55784.07</v>
      </c>
      <c r="K172" s="2">
        <v>56685.26</v>
      </c>
      <c r="L172" s="2">
        <v>46729.31</v>
      </c>
      <c r="M172" s="2">
        <v>65418.06</v>
      </c>
      <c r="N172" s="2">
        <v>106576.55</v>
      </c>
      <c r="O172" s="2">
        <v>351769.57</v>
      </c>
      <c r="P172" s="2">
        <v>662792.97</v>
      </c>
      <c r="Q172" s="2">
        <v>997494.25</v>
      </c>
      <c r="R172" s="2">
        <v>1315934.6499999999</v>
      </c>
      <c r="S172" s="2">
        <v>1705216.9</v>
      </c>
      <c r="T172" s="2">
        <v>3252985.22</v>
      </c>
      <c r="U172" s="2">
        <v>4908179.58</v>
      </c>
    </row>
    <row r="173" spans="1:21" x14ac:dyDescent="0.25">
      <c r="A173" t="s">
        <v>325</v>
      </c>
      <c r="C173">
        <v>0.02</v>
      </c>
      <c r="D173">
        <v>771.91</v>
      </c>
      <c r="E173">
        <v>771.91</v>
      </c>
      <c r="F173">
        <v>771.91</v>
      </c>
      <c r="G173" s="2">
        <v>2508.4299999999998</v>
      </c>
      <c r="H173" s="2">
        <v>2508.4299999999998</v>
      </c>
      <c r="I173" s="2">
        <v>2508.4299999999998</v>
      </c>
      <c r="J173" s="2">
        <v>2302.12</v>
      </c>
      <c r="K173" s="2">
        <v>2300.39</v>
      </c>
      <c r="L173" s="2">
        <v>2272.59</v>
      </c>
      <c r="M173" s="2">
        <v>2221.2800000000002</v>
      </c>
      <c r="N173" s="2">
        <v>1499.95</v>
      </c>
      <c r="O173" s="2">
        <v>1000.4</v>
      </c>
      <c r="P173" s="2">
        <v>1000.4</v>
      </c>
      <c r="Q173" s="2">
        <v>1187.75</v>
      </c>
      <c r="R173">
        <v>875.55</v>
      </c>
      <c r="S173">
        <v>875.55</v>
      </c>
      <c r="T173" s="2">
        <v>1860.62</v>
      </c>
      <c r="U173" s="2">
        <v>1860.62</v>
      </c>
    </row>
    <row r="174" spans="1:21" x14ac:dyDescent="0.25">
      <c r="A174" t="s">
        <v>169</v>
      </c>
      <c r="B174">
        <v>-0.38</v>
      </c>
      <c r="C174">
        <v>-0.15</v>
      </c>
      <c r="D174">
        <v>0.84</v>
      </c>
      <c r="E174">
        <v>6.58</v>
      </c>
      <c r="F174">
        <v>5.64</v>
      </c>
      <c r="G174">
        <v>6.61</v>
      </c>
      <c r="H174">
        <v>14.78</v>
      </c>
      <c r="I174">
        <v>20.56</v>
      </c>
      <c r="J174">
        <v>33.99</v>
      </c>
      <c r="K174">
        <v>24.19</v>
      </c>
      <c r="L174">
        <v>-0.53</v>
      </c>
      <c r="M174">
        <v>12.31</v>
      </c>
      <c r="N174">
        <v>150.57</v>
      </c>
      <c r="O174">
        <v>209.38</v>
      </c>
      <c r="P174">
        <v>274.63</v>
      </c>
      <c r="Q174">
        <v>387.83</v>
      </c>
      <c r="R174">
        <v>346.56</v>
      </c>
      <c r="S174">
        <v>446.16</v>
      </c>
      <c r="T174" s="2">
        <v>1422.94</v>
      </c>
      <c r="U174" s="2">
        <v>2008.87</v>
      </c>
    </row>
    <row r="175" spans="1:21" x14ac:dyDescent="0.25">
      <c r="A175" t="s">
        <v>170</v>
      </c>
      <c r="B175" s="2">
        <v>13066.86</v>
      </c>
      <c r="C175" s="2">
        <v>18036.3</v>
      </c>
      <c r="D175" s="2">
        <v>21387.7</v>
      </c>
      <c r="E175" s="2">
        <v>24023.53</v>
      </c>
      <c r="F175" s="2">
        <v>33820.92</v>
      </c>
      <c r="G175" s="2">
        <v>46852.33</v>
      </c>
      <c r="H175" s="2">
        <v>47935.88</v>
      </c>
      <c r="I175" s="2">
        <v>51909.1</v>
      </c>
      <c r="J175" s="2">
        <v>62191.06</v>
      </c>
      <c r="K175" s="2">
        <v>63290.54</v>
      </c>
      <c r="L175" s="2">
        <v>53503.75</v>
      </c>
      <c r="M175" s="2">
        <v>73915.7</v>
      </c>
      <c r="N175" s="2">
        <v>120666.75</v>
      </c>
      <c r="O175" s="2">
        <v>376525.4</v>
      </c>
      <c r="P175" s="2">
        <v>685772.38</v>
      </c>
      <c r="Q175" s="2">
        <v>1011565.37</v>
      </c>
      <c r="R175" s="2">
        <v>1311792.26</v>
      </c>
      <c r="S175" s="2">
        <v>1527125.17</v>
      </c>
      <c r="T175" s="2">
        <v>2002777.71</v>
      </c>
      <c r="U175" s="2">
        <v>2830960.82</v>
      </c>
    </row>
    <row r="176" spans="1:21" x14ac:dyDescent="0.25">
      <c r="A176" t="s">
        <v>326</v>
      </c>
      <c r="B176" s="2">
        <v>20797.3</v>
      </c>
      <c r="C176" s="2">
        <v>26883.279999999999</v>
      </c>
      <c r="D176" s="2">
        <v>29677.91</v>
      </c>
      <c r="E176" s="2">
        <v>32216.03</v>
      </c>
      <c r="F176" s="2">
        <v>45418.46</v>
      </c>
      <c r="G176" s="2">
        <v>63658.34</v>
      </c>
      <c r="H176" s="2">
        <v>65248.35</v>
      </c>
      <c r="I176" s="2">
        <v>71173.850000000006</v>
      </c>
      <c r="J176" s="2">
        <v>96346.53</v>
      </c>
      <c r="K176" s="2">
        <v>103871.51</v>
      </c>
      <c r="L176" s="2">
        <v>100330.17</v>
      </c>
      <c r="M176" s="2">
        <v>119855.21</v>
      </c>
      <c r="N176" s="2">
        <v>176107.66</v>
      </c>
      <c r="O176" s="2">
        <v>458210.73</v>
      </c>
      <c r="P176" s="2">
        <v>780696.3</v>
      </c>
      <c r="Q176" s="2">
        <v>1110672.55</v>
      </c>
      <c r="R176" s="2">
        <v>1254161.02</v>
      </c>
      <c r="S176" s="2">
        <v>1358690.92</v>
      </c>
      <c r="T176" s="2">
        <v>668384.91</v>
      </c>
      <c r="U176" s="2">
        <v>821393.88</v>
      </c>
    </row>
    <row r="177" spans="1:21" x14ac:dyDescent="0.25">
      <c r="A177" t="s">
        <v>17</v>
      </c>
    </row>
    <row r="178" spans="1:21" x14ac:dyDescent="0.25">
      <c r="A178" t="s">
        <v>176</v>
      </c>
    </row>
    <row r="179" spans="1:21" x14ac:dyDescent="0.25">
      <c r="A179" t="s">
        <v>179</v>
      </c>
      <c r="B179">
        <v>14.56</v>
      </c>
      <c r="C179">
        <v>17.600000000000001</v>
      </c>
      <c r="D179">
        <v>15.28</v>
      </c>
      <c r="E179">
        <v>9.5399999999999991</v>
      </c>
      <c r="F179">
        <v>27.41</v>
      </c>
      <c r="G179">
        <v>28.49</v>
      </c>
      <c r="H179">
        <v>3.11</v>
      </c>
      <c r="I179">
        <v>6.97</v>
      </c>
      <c r="J179">
        <v>11.46</v>
      </c>
      <c r="K179">
        <v>2.23</v>
      </c>
      <c r="L179">
        <v>-8.92</v>
      </c>
      <c r="M179">
        <v>17.97</v>
      </c>
      <c r="N179">
        <v>29</v>
      </c>
      <c r="O179">
        <v>77.290000000000006</v>
      </c>
      <c r="P179">
        <v>53.81</v>
      </c>
      <c r="Q179">
        <v>39.22</v>
      </c>
      <c r="R179">
        <v>41.53</v>
      </c>
      <c r="S179">
        <v>68.02</v>
      </c>
      <c r="T179">
        <v>119.31</v>
      </c>
      <c r="U179">
        <v>126.86</v>
      </c>
    </row>
    <row r="180" spans="1:21" x14ac:dyDescent="0.25">
      <c r="A180" t="s">
        <v>180</v>
      </c>
      <c r="B180">
        <v>25.19</v>
      </c>
      <c r="C180">
        <v>26.98</v>
      </c>
      <c r="D180">
        <v>21.93</v>
      </c>
      <c r="E180">
        <v>13.01</v>
      </c>
      <c r="F180">
        <v>36.799999999999997</v>
      </c>
      <c r="G180">
        <v>38.53</v>
      </c>
      <c r="H180">
        <v>4.2300000000000004</v>
      </c>
      <c r="I180">
        <v>9.5299999999999994</v>
      </c>
      <c r="J180">
        <v>16.84</v>
      </c>
      <c r="K180">
        <v>3.55</v>
      </c>
      <c r="L180">
        <v>-15.61</v>
      </c>
      <c r="M180">
        <v>31.06</v>
      </c>
      <c r="N180">
        <v>44.15</v>
      </c>
      <c r="O180">
        <v>101.51</v>
      </c>
      <c r="P180">
        <v>63.37</v>
      </c>
      <c r="Q180">
        <v>44.31</v>
      </c>
      <c r="R180">
        <v>31</v>
      </c>
      <c r="S180">
        <v>24.17</v>
      </c>
      <c r="T180">
        <v>15.61</v>
      </c>
      <c r="U180">
        <v>11.02</v>
      </c>
    </row>
    <row r="181" spans="1:21" x14ac:dyDescent="0.25">
      <c r="A181" t="s">
        <v>914</v>
      </c>
      <c r="B181">
        <v>50.03</v>
      </c>
      <c r="C181">
        <v>79.56</v>
      </c>
      <c r="D181">
        <v>51.04</v>
      </c>
      <c r="E181">
        <v>69.2</v>
      </c>
      <c r="F181">
        <v>67.31</v>
      </c>
      <c r="G181">
        <v>57.04</v>
      </c>
      <c r="H181">
        <v>57.63</v>
      </c>
      <c r="I181">
        <v>56.58</v>
      </c>
      <c r="J181">
        <v>70.180000000000007</v>
      </c>
      <c r="K181">
        <v>42.42</v>
      </c>
      <c r="L181">
        <v>73.53</v>
      </c>
      <c r="M181">
        <v>71.989999999999995</v>
      </c>
      <c r="N181">
        <v>68.38</v>
      </c>
      <c r="O181">
        <v>72.650000000000006</v>
      </c>
      <c r="P181">
        <v>62.01</v>
      </c>
      <c r="Q181">
        <v>58.02</v>
      </c>
      <c r="R181">
        <v>55.97</v>
      </c>
      <c r="S181">
        <v>58.45</v>
      </c>
    </row>
    <row r="182" spans="1:21" x14ac:dyDescent="0.25">
      <c r="A182" t="s">
        <v>611</v>
      </c>
      <c r="B182">
        <v>47.17</v>
      </c>
      <c r="C182">
        <v>60.47</v>
      </c>
      <c r="D182">
        <v>61.76</v>
      </c>
      <c r="E182">
        <v>62.57</v>
      </c>
      <c r="F182">
        <v>53.37</v>
      </c>
      <c r="G182">
        <v>53.57</v>
      </c>
      <c r="H182">
        <v>71.55</v>
      </c>
      <c r="I182">
        <v>52.74</v>
      </c>
      <c r="J182">
        <v>56.02</v>
      </c>
      <c r="K182">
        <v>55.02</v>
      </c>
      <c r="L182">
        <v>65.650000000000006</v>
      </c>
      <c r="M182">
        <v>54.24</v>
      </c>
      <c r="N182">
        <v>58.65</v>
      </c>
      <c r="O182">
        <v>39.36</v>
      </c>
      <c r="P182">
        <v>46.09</v>
      </c>
      <c r="Q182">
        <v>49.69</v>
      </c>
      <c r="R182">
        <v>42.48</v>
      </c>
      <c r="S182">
        <v>42.48</v>
      </c>
      <c r="T182">
        <v>42.48</v>
      </c>
      <c r="U182">
        <v>42.48</v>
      </c>
    </row>
    <row r="183" spans="1:21" x14ac:dyDescent="0.25">
      <c r="A183" t="s">
        <v>506</v>
      </c>
      <c r="B183">
        <v>48.52</v>
      </c>
      <c r="C183">
        <v>57.77</v>
      </c>
      <c r="D183">
        <v>66.760000000000005</v>
      </c>
      <c r="E183">
        <v>68.75</v>
      </c>
      <c r="F183">
        <v>75.88</v>
      </c>
      <c r="G183">
        <v>106.34</v>
      </c>
      <c r="H183">
        <v>102.72</v>
      </c>
      <c r="I183">
        <v>106.49</v>
      </c>
      <c r="J183">
        <v>135.86000000000001</v>
      </c>
      <c r="K183">
        <v>197.2</v>
      </c>
      <c r="L183">
        <v>147.76</v>
      </c>
      <c r="M183">
        <v>141.80000000000001</v>
      </c>
      <c r="N183">
        <v>135.63</v>
      </c>
      <c r="O183">
        <v>203.03</v>
      </c>
      <c r="P183">
        <v>219.84</v>
      </c>
      <c r="Q183">
        <v>305.26</v>
      </c>
      <c r="R183">
        <v>468.82</v>
      </c>
      <c r="S183">
        <v>104.5</v>
      </c>
      <c r="T183">
        <v>343.89</v>
      </c>
      <c r="U183">
        <v>353.01</v>
      </c>
    </row>
    <row r="184" spans="1:21" x14ac:dyDescent="0.25">
      <c r="A184" t="s">
        <v>622</v>
      </c>
      <c r="B184">
        <v>55.33</v>
      </c>
      <c r="C184">
        <v>51.61</v>
      </c>
      <c r="D184">
        <v>59.37</v>
      </c>
      <c r="E184">
        <v>67</v>
      </c>
      <c r="F184">
        <v>67.05</v>
      </c>
      <c r="G184">
        <v>84.91</v>
      </c>
      <c r="H184">
        <v>94.25</v>
      </c>
      <c r="I184">
        <v>99.2</v>
      </c>
      <c r="J184">
        <v>114.5</v>
      </c>
      <c r="K184">
        <v>154.94</v>
      </c>
      <c r="L184">
        <v>159.72999999999999</v>
      </c>
      <c r="M184">
        <v>142.69</v>
      </c>
      <c r="N184">
        <v>131</v>
      </c>
      <c r="O184">
        <v>121.83</v>
      </c>
      <c r="P184">
        <v>116.12</v>
      </c>
      <c r="Q184">
        <v>112.63</v>
      </c>
      <c r="R184">
        <v>156.15</v>
      </c>
      <c r="S184">
        <v>156.15</v>
      </c>
      <c r="T184">
        <v>156.15</v>
      </c>
      <c r="U184">
        <v>156.15</v>
      </c>
    </row>
    <row r="185" spans="1:21" x14ac:dyDescent="0.25">
      <c r="A185" t="s">
        <v>812</v>
      </c>
      <c r="B185">
        <v>7.74</v>
      </c>
      <c r="C185">
        <v>6.04</v>
      </c>
      <c r="D185">
        <v>5.91</v>
      </c>
      <c r="E185">
        <v>5.85</v>
      </c>
      <c r="F185">
        <v>6.84</v>
      </c>
      <c r="G185">
        <v>6.81</v>
      </c>
      <c r="H185">
        <v>5.0999999999999996</v>
      </c>
      <c r="I185">
        <v>6.94</v>
      </c>
      <c r="J185">
        <v>6.52</v>
      </c>
      <c r="K185">
        <v>6.63</v>
      </c>
      <c r="L185">
        <v>5.56</v>
      </c>
      <c r="M185">
        <v>6.75</v>
      </c>
      <c r="N185">
        <v>6.22</v>
      </c>
      <c r="O185">
        <v>9.5500000000000007</v>
      </c>
      <c r="P185">
        <v>9.2899999999999991</v>
      </c>
      <c r="Q185">
        <v>8.57</v>
      </c>
      <c r="R185">
        <v>11.61</v>
      </c>
      <c r="S185">
        <v>11.61</v>
      </c>
      <c r="T185">
        <v>7.22</v>
      </c>
      <c r="U185">
        <v>7.22</v>
      </c>
    </row>
    <row r="186" spans="1:21" x14ac:dyDescent="0.25">
      <c r="A186" t="s">
        <v>1442</v>
      </c>
      <c r="B186">
        <v>7.3</v>
      </c>
      <c r="C186">
        <v>4.59</v>
      </c>
      <c r="D186">
        <v>7.15</v>
      </c>
      <c r="E186">
        <v>5.29</v>
      </c>
      <c r="F186">
        <v>5.42</v>
      </c>
      <c r="G186">
        <v>6.4</v>
      </c>
      <c r="H186">
        <v>6.33</v>
      </c>
      <c r="I186">
        <v>6.47</v>
      </c>
      <c r="J186">
        <v>5.2</v>
      </c>
      <c r="K186">
        <v>8.6</v>
      </c>
      <c r="L186">
        <v>4.96</v>
      </c>
      <c r="M186">
        <v>5.08</v>
      </c>
      <c r="N186">
        <v>5.34</v>
      </c>
      <c r="O186">
        <v>5.13</v>
      </c>
      <c r="P186">
        <v>5.75</v>
      </c>
      <c r="Q186">
        <v>5.98</v>
      </c>
      <c r="R186">
        <v>6.64</v>
      </c>
      <c r="S186">
        <v>6.64</v>
      </c>
    </row>
    <row r="187" spans="1:21" x14ac:dyDescent="0.25">
      <c r="A187" t="s">
        <v>1443</v>
      </c>
      <c r="B187" s="2">
        <v>19723</v>
      </c>
      <c r="C187" s="2">
        <v>23840.29</v>
      </c>
      <c r="D187" s="2">
        <v>28280.59</v>
      </c>
      <c r="E187" s="2">
        <v>30946.97</v>
      </c>
      <c r="F187" s="2">
        <v>38817.25</v>
      </c>
      <c r="G187" s="2">
        <v>54538.400000000001</v>
      </c>
      <c r="H187" s="2">
        <v>64453.34</v>
      </c>
      <c r="I187" s="2">
        <v>68211.100000000006</v>
      </c>
      <c r="J187" s="2">
        <v>83760.19</v>
      </c>
      <c r="K187" s="2">
        <v>100109.02</v>
      </c>
      <c r="L187" s="2">
        <v>102100.84</v>
      </c>
      <c r="M187" s="2">
        <v>110092.69</v>
      </c>
      <c r="N187" s="2">
        <v>147981.43</v>
      </c>
      <c r="O187" s="2">
        <v>317804.73</v>
      </c>
      <c r="P187" s="2">
        <v>592982.52</v>
      </c>
      <c r="Q187" s="2">
        <v>878274.62</v>
      </c>
      <c r="R187" s="2">
        <v>678565.39</v>
      </c>
      <c r="S187" s="2">
        <v>768180.73</v>
      </c>
      <c r="T187" s="2">
        <v>768180.73</v>
      </c>
      <c r="U187" s="2">
        <v>768180.73</v>
      </c>
    </row>
    <row r="188" spans="1:21" x14ac:dyDescent="0.25">
      <c r="A188" t="s">
        <v>177</v>
      </c>
      <c r="B188" s="2">
        <v>1763.82</v>
      </c>
      <c r="C188">
        <v>119.98</v>
      </c>
      <c r="D188">
        <v>-972.68</v>
      </c>
      <c r="E188">
        <v>200.3</v>
      </c>
      <c r="F188" s="2">
        <v>-4383.38</v>
      </c>
      <c r="G188" s="2">
        <v>-3087.41</v>
      </c>
      <c r="H188" s="2">
        <v>8195.7900000000009</v>
      </c>
      <c r="I188" s="2">
        <v>7947.15</v>
      </c>
      <c r="J188" s="2">
        <v>10477.030000000001</v>
      </c>
      <c r="K188" s="2">
        <v>18382.689999999999</v>
      </c>
      <c r="L188" s="2">
        <v>23577.59</v>
      </c>
      <c r="M188" s="2">
        <v>11295.75</v>
      </c>
      <c r="N188" s="2">
        <v>-10184.41</v>
      </c>
      <c r="O188" s="2">
        <v>-73962.710000000006</v>
      </c>
      <c r="P188" s="2">
        <v>-160606.98000000001</v>
      </c>
      <c r="Q188" s="2">
        <v>-396791.65</v>
      </c>
    </row>
    <row r="189" spans="1:21" x14ac:dyDescent="0.25">
      <c r="A189" t="s">
        <v>1444</v>
      </c>
      <c r="B189" s="2">
        <v>5000</v>
      </c>
      <c r="C189" s="2">
        <v>5000</v>
      </c>
      <c r="D189" s="2">
        <v>5000</v>
      </c>
      <c r="E189" s="2">
        <v>5000</v>
      </c>
      <c r="F189" s="2">
        <v>5000</v>
      </c>
      <c r="G189" s="2">
        <v>5000</v>
      </c>
      <c r="H189" s="2">
        <v>5000</v>
      </c>
      <c r="I189" s="2">
        <v>5000</v>
      </c>
      <c r="J189" s="2">
        <v>5000</v>
      </c>
      <c r="K189" s="2">
        <v>5000</v>
      </c>
      <c r="L189" s="2">
        <v>5000</v>
      </c>
      <c r="M189" s="2">
        <v>5000</v>
      </c>
      <c r="N189" s="2">
        <v>5000</v>
      </c>
      <c r="O189" s="2">
        <v>5000</v>
      </c>
      <c r="P189" s="2">
        <v>5000</v>
      </c>
      <c r="Q189" s="2">
        <v>5000</v>
      </c>
      <c r="R189" s="2">
        <v>5000</v>
      </c>
      <c r="S189" s="2">
        <v>5000</v>
      </c>
      <c r="T189" s="2">
        <v>5000</v>
      </c>
      <c r="U189" s="2">
        <v>5000</v>
      </c>
    </row>
    <row r="190" spans="1:21" x14ac:dyDescent="0.25">
      <c r="A190" t="s">
        <v>424</v>
      </c>
      <c r="B190" s="2">
        <v>18308.41</v>
      </c>
      <c r="C190" s="2">
        <v>24775.29</v>
      </c>
      <c r="D190" s="2">
        <v>30142.34</v>
      </c>
      <c r="E190" s="2">
        <v>33849.15</v>
      </c>
      <c r="F190" s="2">
        <v>47896.88</v>
      </c>
      <c r="G190" s="2">
        <v>68136.350000000006</v>
      </c>
      <c r="H190" s="2">
        <v>69700.479999999996</v>
      </c>
      <c r="I190" s="2">
        <v>75471.06</v>
      </c>
      <c r="J190" s="2">
        <v>90394.42</v>
      </c>
      <c r="K190" s="2">
        <v>92003.58</v>
      </c>
      <c r="L190" s="2">
        <v>77752.19</v>
      </c>
      <c r="M190" s="2">
        <v>107255.79</v>
      </c>
      <c r="N190" s="2">
        <v>171750.94</v>
      </c>
      <c r="O190" s="2">
        <v>525597</v>
      </c>
      <c r="P190" s="2">
        <v>934576.43</v>
      </c>
      <c r="Q190" s="2">
        <v>1432933.65</v>
      </c>
      <c r="R190" s="2">
        <v>2110283.98</v>
      </c>
      <c r="S190" s="2">
        <v>2892163.7</v>
      </c>
      <c r="T190" s="2">
        <v>4499279.5</v>
      </c>
      <c r="U190" s="2">
        <v>6778848.9299999997</v>
      </c>
    </row>
    <row r="191" spans="1:21" x14ac:dyDescent="0.25">
      <c r="A191" t="s">
        <v>1445</v>
      </c>
      <c r="B191" s="2">
        <v>17719.060000000001</v>
      </c>
      <c r="C191" s="2">
        <v>21117.97</v>
      </c>
      <c r="D191" s="2">
        <v>24837.21</v>
      </c>
      <c r="E191" s="2">
        <v>28055.18</v>
      </c>
      <c r="F191" s="2">
        <v>37302.33</v>
      </c>
      <c r="G191" s="2">
        <v>50626.48</v>
      </c>
      <c r="H191" s="2">
        <v>57286.38</v>
      </c>
      <c r="I191" s="2">
        <v>62101.49</v>
      </c>
      <c r="J191" s="2">
        <v>81611.13</v>
      </c>
      <c r="K191" s="2">
        <v>84027.82</v>
      </c>
      <c r="L191" s="2">
        <v>79322.36</v>
      </c>
      <c r="M191" s="2">
        <v>94889.77</v>
      </c>
      <c r="N191" s="2">
        <v>138728.66</v>
      </c>
      <c r="O191" s="2">
        <v>411705.87</v>
      </c>
      <c r="P191" s="2">
        <v>730211.26</v>
      </c>
      <c r="Q191" s="2">
        <v>1095025.33</v>
      </c>
      <c r="R191" s="2">
        <v>1203852.1200000001</v>
      </c>
      <c r="S191" s="2">
        <v>1305953.08</v>
      </c>
      <c r="T191" s="2">
        <v>593587.59</v>
      </c>
      <c r="U191" s="2">
        <v>713446.86</v>
      </c>
    </row>
    <row r="192" spans="1:21" x14ac:dyDescent="0.25">
      <c r="A192" t="s">
        <v>327</v>
      </c>
      <c r="B192">
        <v>0.72</v>
      </c>
      <c r="C192">
        <v>0.72</v>
      </c>
      <c r="D192">
        <v>0.66</v>
      </c>
      <c r="E192">
        <v>0.56000000000000005</v>
      </c>
      <c r="F192">
        <v>0.78</v>
      </c>
      <c r="G192">
        <v>0.74</v>
      </c>
      <c r="H192">
        <v>0.42</v>
      </c>
      <c r="I192">
        <v>0.47</v>
      </c>
      <c r="J192">
        <v>0.51</v>
      </c>
      <c r="K192">
        <v>0.45</v>
      </c>
      <c r="L192">
        <v>0.32</v>
      </c>
      <c r="M192">
        <v>0.6</v>
      </c>
      <c r="N192">
        <v>0.66</v>
      </c>
      <c r="O192">
        <v>1.01</v>
      </c>
      <c r="P192">
        <v>0.85</v>
      </c>
      <c r="Q192">
        <v>0.7</v>
      </c>
      <c r="R192">
        <v>0.84</v>
      </c>
      <c r="S192">
        <v>1.22</v>
      </c>
      <c r="T192">
        <v>2.12</v>
      </c>
      <c r="U192">
        <v>2.25</v>
      </c>
    </row>
    <row r="193" spans="1:21" x14ac:dyDescent="0.25">
      <c r="A193" t="s">
        <v>1446</v>
      </c>
      <c r="B193">
        <v>1.73</v>
      </c>
      <c r="C193">
        <v>1.53</v>
      </c>
      <c r="D193">
        <v>1.43</v>
      </c>
      <c r="E193">
        <v>1.36</v>
      </c>
      <c r="F193">
        <v>1.34</v>
      </c>
      <c r="G193">
        <v>1.35</v>
      </c>
      <c r="H193">
        <v>1.36</v>
      </c>
      <c r="I193">
        <v>1.37</v>
      </c>
      <c r="J193">
        <v>1.47</v>
      </c>
      <c r="K193">
        <v>1.6</v>
      </c>
      <c r="L193">
        <v>1.75</v>
      </c>
      <c r="M193">
        <v>1.73</v>
      </c>
      <c r="N193">
        <v>1.52</v>
      </c>
      <c r="O193">
        <v>2.76</v>
      </c>
      <c r="P193">
        <v>1.64</v>
      </c>
      <c r="Q193">
        <v>1.18</v>
      </c>
      <c r="R193">
        <v>1</v>
      </c>
      <c r="S193">
        <v>0.75</v>
      </c>
      <c r="T193">
        <v>0.28000000000000003</v>
      </c>
      <c r="U193">
        <v>0.21</v>
      </c>
    </row>
    <row r="194" spans="1:21" x14ac:dyDescent="0.25">
      <c r="A194" t="s">
        <v>186</v>
      </c>
      <c r="B194">
        <v>2.16</v>
      </c>
      <c r="C194">
        <v>1.8</v>
      </c>
      <c r="D194">
        <v>2.02</v>
      </c>
      <c r="E194">
        <v>2.36</v>
      </c>
      <c r="F194">
        <v>2.13</v>
      </c>
      <c r="G194">
        <v>1.53</v>
      </c>
      <c r="H194">
        <v>1.82</v>
      </c>
      <c r="I194">
        <v>1.83</v>
      </c>
      <c r="J194">
        <v>1.83</v>
      </c>
      <c r="K194">
        <v>1.45</v>
      </c>
      <c r="L194">
        <v>1.45</v>
      </c>
      <c r="M194">
        <v>1.69</v>
      </c>
      <c r="N194">
        <v>1.86</v>
      </c>
      <c r="O194">
        <v>5.35</v>
      </c>
      <c r="P194">
        <v>9.58</v>
      </c>
      <c r="Q194">
        <v>14.22</v>
      </c>
      <c r="R194">
        <v>47.43</v>
      </c>
      <c r="S194">
        <v>78.91</v>
      </c>
      <c r="T194">
        <v>78.91</v>
      </c>
      <c r="U194">
        <v>78.91</v>
      </c>
    </row>
    <row r="195" spans="1:21" x14ac:dyDescent="0.25">
      <c r="A195" t="s">
        <v>1447</v>
      </c>
      <c r="B195">
        <v>713.73</v>
      </c>
      <c r="C195">
        <v>728</v>
      </c>
      <c r="D195">
        <v>731.53</v>
      </c>
      <c r="E195">
        <v>731.53</v>
      </c>
      <c r="F195">
        <v>728</v>
      </c>
      <c r="G195">
        <v>731.53</v>
      </c>
      <c r="H195">
        <v>731.53</v>
      </c>
      <c r="I195">
        <v>731.53</v>
      </c>
      <c r="J195">
        <v>728</v>
      </c>
      <c r="K195">
        <v>728</v>
      </c>
      <c r="L195">
        <v>728</v>
      </c>
      <c r="M195">
        <v>728</v>
      </c>
      <c r="N195">
        <v>728</v>
      </c>
      <c r="O195">
        <v>722.7</v>
      </c>
      <c r="P195">
        <v>712.49</v>
      </c>
      <c r="Q195">
        <v>683.5</v>
      </c>
      <c r="R195">
        <v>598.62</v>
      </c>
      <c r="S195">
        <v>679.38</v>
      </c>
      <c r="T195">
        <v>729.25</v>
      </c>
      <c r="U195">
        <v>729.25</v>
      </c>
    </row>
    <row r="196" spans="1:21" x14ac:dyDescent="0.25">
      <c r="A196" t="s">
        <v>17</v>
      </c>
    </row>
    <row r="197" spans="1:21" x14ac:dyDescent="0.25">
      <c r="A197" t="s">
        <v>188</v>
      </c>
    </row>
    <row r="198" spans="1:21" x14ac:dyDescent="0.25">
      <c r="A198" t="s">
        <v>189</v>
      </c>
    </row>
    <row r="199" spans="1:21" x14ac:dyDescent="0.25">
      <c r="A199" t="s">
        <v>121</v>
      </c>
      <c r="B199" s="2">
        <v>2872.47</v>
      </c>
      <c r="C199" s="2">
        <v>4195.46</v>
      </c>
      <c r="D199" s="2">
        <v>4322.3599999999997</v>
      </c>
      <c r="E199" s="2">
        <v>2953.77</v>
      </c>
      <c r="F199" s="2">
        <v>10641.51</v>
      </c>
      <c r="G199" s="2">
        <v>15540.11</v>
      </c>
      <c r="H199" s="2">
        <v>2013.29</v>
      </c>
      <c r="I199" s="2">
        <v>4755.1000000000004</v>
      </c>
      <c r="J199" s="2">
        <v>9602.32</v>
      </c>
      <c r="K199" s="2">
        <v>2229.56</v>
      </c>
      <c r="L199" s="2">
        <v>-9112.43</v>
      </c>
      <c r="M199" s="2">
        <v>19788.68</v>
      </c>
      <c r="N199" s="2">
        <v>42919.29</v>
      </c>
      <c r="O199" s="2">
        <v>251374.36</v>
      </c>
      <c r="P199" s="2">
        <v>339146</v>
      </c>
      <c r="Q199" s="2">
        <v>381317.88</v>
      </c>
      <c r="R199" s="2">
        <v>299074.44</v>
      </c>
      <c r="S199" s="2">
        <v>394861.7</v>
      </c>
      <c r="T199" s="2">
        <v>1197628.57</v>
      </c>
      <c r="U199" s="2">
        <v>1757665.16</v>
      </c>
    </row>
    <row r="200" spans="1:21" x14ac:dyDescent="0.25">
      <c r="A200" t="s">
        <v>190</v>
      </c>
      <c r="B200" s="2">
        <v>3078.52</v>
      </c>
      <c r="C200" s="2">
        <v>3443.98</v>
      </c>
      <c r="D200" s="2">
        <v>3953.24</v>
      </c>
      <c r="E200" s="2">
        <v>4456.3500000000004</v>
      </c>
      <c r="F200" s="2">
        <v>5026.13</v>
      </c>
      <c r="G200" s="2">
        <v>6428.25</v>
      </c>
      <c r="H200" s="2">
        <v>8620.3799999999992</v>
      </c>
      <c r="I200" s="2">
        <v>9771.9</v>
      </c>
      <c r="J200" s="2">
        <v>10656.73</v>
      </c>
      <c r="K200" s="2">
        <v>14151.47</v>
      </c>
      <c r="L200" s="2">
        <v>13673.66</v>
      </c>
      <c r="M200" s="2">
        <v>12581.52</v>
      </c>
      <c r="N200" s="2">
        <v>13930.13</v>
      </c>
      <c r="O200" s="2">
        <v>16420.57</v>
      </c>
      <c r="P200" s="2">
        <v>21503.84</v>
      </c>
      <c r="Q200" s="2">
        <v>27284.07</v>
      </c>
      <c r="R200" s="2">
        <v>42572.65</v>
      </c>
      <c r="S200" s="2">
        <v>49054.77</v>
      </c>
      <c r="T200" s="2">
        <v>40406.31</v>
      </c>
      <c r="U200" s="2">
        <v>40810.370000000003</v>
      </c>
    </row>
    <row r="201" spans="1:21" x14ac:dyDescent="0.25">
      <c r="A201" t="s">
        <v>191</v>
      </c>
      <c r="B201" s="2">
        <v>2922.25</v>
      </c>
      <c r="C201" s="2">
        <v>3269.71</v>
      </c>
      <c r="D201" s="2">
        <v>3887.9</v>
      </c>
      <c r="E201" s="2">
        <v>4133.78</v>
      </c>
      <c r="F201" s="2">
        <v>4618.78</v>
      </c>
      <c r="G201" s="2">
        <v>5904.16</v>
      </c>
      <c r="H201" s="2">
        <v>7825.21</v>
      </c>
      <c r="I201" s="2">
        <v>8811.35</v>
      </c>
      <c r="J201" s="2">
        <v>9860.7900000000009</v>
      </c>
      <c r="K201" s="2">
        <v>13371.86</v>
      </c>
      <c r="L201" s="2">
        <v>13121.12</v>
      </c>
      <c r="M201" s="2">
        <v>11985.32</v>
      </c>
      <c r="N201" s="2">
        <v>13099.31</v>
      </c>
      <c r="O201" s="2">
        <v>16472.740000000002</v>
      </c>
      <c r="P201" s="2">
        <v>22082.55</v>
      </c>
      <c r="Q201" s="2">
        <v>29187.67</v>
      </c>
      <c r="R201" s="2">
        <v>45769.75</v>
      </c>
      <c r="S201" s="2">
        <v>46147.87</v>
      </c>
      <c r="T201" s="2">
        <v>20457.650000000001</v>
      </c>
      <c r="U201" s="2">
        <v>16468.189999999999</v>
      </c>
    </row>
    <row r="202" spans="1:21" x14ac:dyDescent="0.25">
      <c r="A202" t="s">
        <v>192</v>
      </c>
      <c r="B202">
        <v>156.28</v>
      </c>
      <c r="C202">
        <v>174.28</v>
      </c>
      <c r="D202">
        <v>258.08</v>
      </c>
      <c r="E202">
        <v>322.57</v>
      </c>
      <c r="F202">
        <v>407.35</v>
      </c>
      <c r="G202">
        <v>524.1</v>
      </c>
      <c r="H202">
        <v>795.17</v>
      </c>
      <c r="I202">
        <v>960.55</v>
      </c>
      <c r="J202">
        <v>795.93</v>
      </c>
      <c r="K202">
        <v>779.61</v>
      </c>
      <c r="L202">
        <v>552.54</v>
      </c>
      <c r="M202">
        <v>596.20000000000005</v>
      </c>
      <c r="N202">
        <v>830.82</v>
      </c>
      <c r="O202">
        <v>920</v>
      </c>
      <c r="P202" s="2">
        <v>1169.07</v>
      </c>
      <c r="Q202" s="2">
        <v>1338.13</v>
      </c>
      <c r="R202">
        <v>847.2</v>
      </c>
      <c r="S202">
        <v>809.67</v>
      </c>
      <c r="T202">
        <v>243.94</v>
      </c>
      <c r="U202">
        <v>194.18</v>
      </c>
    </row>
    <row r="203" spans="1:21" x14ac:dyDescent="0.25">
      <c r="A203" t="s">
        <v>551</v>
      </c>
    </row>
    <row r="204" spans="1:21" x14ac:dyDescent="0.25">
      <c r="A204" t="s">
        <v>141</v>
      </c>
      <c r="B204">
        <v>-278.14</v>
      </c>
      <c r="C204" s="2">
        <v>-1628.67</v>
      </c>
      <c r="D204" s="2">
        <v>1260.17</v>
      </c>
      <c r="E204">
        <v>-470.79</v>
      </c>
      <c r="F204" s="2">
        <v>-2964.27</v>
      </c>
      <c r="G204">
        <v>-547.26</v>
      </c>
      <c r="H204" s="2">
        <v>2214.7800000000002</v>
      </c>
      <c r="I204">
        <v>-935.35</v>
      </c>
      <c r="J204" s="2">
        <v>-2525.7199999999998</v>
      </c>
      <c r="K204" s="2">
        <v>3341.99</v>
      </c>
      <c r="L204" s="2">
        <v>-1406.19</v>
      </c>
      <c r="M204" s="2">
        <v>-5098.01</v>
      </c>
      <c r="N204" s="2">
        <v>-5584.23</v>
      </c>
      <c r="O204" s="2">
        <v>-33951.589999999997</v>
      </c>
      <c r="P204" s="2">
        <v>-29559.88</v>
      </c>
      <c r="Q204" s="2">
        <v>-23984.58</v>
      </c>
      <c r="R204" s="2">
        <v>-22004.959999999999</v>
      </c>
      <c r="S204" s="2">
        <v>-33520.82</v>
      </c>
      <c r="T204" s="2">
        <v>-93737.58</v>
      </c>
      <c r="U204" s="2">
        <v>-137571.95000000001</v>
      </c>
    </row>
    <row r="205" spans="1:21" x14ac:dyDescent="0.25">
      <c r="A205" t="s">
        <v>340</v>
      </c>
      <c r="B205">
        <v>333.18</v>
      </c>
      <c r="C205">
        <v>-314.55</v>
      </c>
      <c r="D205">
        <v>-414.83</v>
      </c>
      <c r="E205">
        <v>-110.77</v>
      </c>
      <c r="F205">
        <v>-634.62</v>
      </c>
      <c r="G205" s="2">
        <v>-1782.38</v>
      </c>
      <c r="H205">
        <v>-851.74</v>
      </c>
      <c r="I205">
        <v>-843.84</v>
      </c>
      <c r="J205">
        <v>-696.56</v>
      </c>
      <c r="K205" s="2">
        <v>-6572.07</v>
      </c>
      <c r="L205" s="2">
        <v>2288.02</v>
      </c>
      <c r="M205">
        <v>166.72</v>
      </c>
      <c r="N205" s="2">
        <v>-1059.48</v>
      </c>
      <c r="O205" s="2">
        <v>-17246.97</v>
      </c>
      <c r="P205" s="2">
        <v>-14148.03</v>
      </c>
      <c r="Q205" s="2">
        <v>-10853.78</v>
      </c>
      <c r="R205" s="2">
        <v>-21318.75</v>
      </c>
      <c r="S205" s="2">
        <v>-34071.74</v>
      </c>
      <c r="T205" s="2">
        <v>-96200.99</v>
      </c>
      <c r="U205" s="2">
        <v>-141187.32</v>
      </c>
    </row>
    <row r="206" spans="1:21" x14ac:dyDescent="0.25">
      <c r="A206" t="s">
        <v>204</v>
      </c>
      <c r="B206" s="2">
        <v>6372.06</v>
      </c>
      <c r="C206" s="2">
        <v>5866.69</v>
      </c>
      <c r="D206" s="2">
        <v>9319.52</v>
      </c>
      <c r="E206" s="2">
        <v>5548.92</v>
      </c>
      <c r="F206" s="2">
        <v>14690.61</v>
      </c>
      <c r="G206" s="2">
        <v>22227.200000000001</v>
      </c>
      <c r="H206" s="2">
        <v>6549.74</v>
      </c>
      <c r="I206" s="2">
        <v>12314.57</v>
      </c>
      <c r="J206" s="2">
        <v>19797.650000000001</v>
      </c>
      <c r="K206" s="2">
        <v>14780.52</v>
      </c>
      <c r="L206" s="2">
        <v>4278.1899999999996</v>
      </c>
      <c r="M206" s="2">
        <v>29795.89</v>
      </c>
      <c r="N206" s="2">
        <v>53373.13</v>
      </c>
      <c r="O206" s="2">
        <v>199103.91</v>
      </c>
      <c r="P206" s="2">
        <v>323874.67</v>
      </c>
      <c r="Q206" s="2">
        <v>371075.47</v>
      </c>
      <c r="R206" s="2">
        <v>372561.39</v>
      </c>
      <c r="S206" s="2">
        <v>480446.15</v>
      </c>
      <c r="T206" s="2">
        <v>1063451.92</v>
      </c>
      <c r="U206" s="2">
        <v>1547023.8</v>
      </c>
    </row>
    <row r="207" spans="1:21" x14ac:dyDescent="0.25">
      <c r="A207" t="s">
        <v>17</v>
      </c>
    </row>
    <row r="208" spans="1:21" x14ac:dyDescent="0.25">
      <c r="A208" t="s">
        <v>205</v>
      </c>
    </row>
    <row r="209" spans="1:21" x14ac:dyDescent="0.25">
      <c r="A209" t="s">
        <v>1448</v>
      </c>
      <c r="B209" s="2">
        <v>-3190.29</v>
      </c>
      <c r="C209" s="2">
        <v>-4601.76</v>
      </c>
      <c r="D209" s="2">
        <v>-6554.53</v>
      </c>
      <c r="E209" s="2">
        <v>-5794.23</v>
      </c>
      <c r="F209" s="2">
        <v>-8883.41</v>
      </c>
      <c r="G209" s="2">
        <v>-15904.39</v>
      </c>
      <c r="H209" s="2">
        <v>-13866.4</v>
      </c>
      <c r="I209" s="2">
        <v>-10009.57</v>
      </c>
      <c r="J209" s="2">
        <v>-12406.7</v>
      </c>
      <c r="K209" s="2">
        <v>-18686.54</v>
      </c>
      <c r="L209" s="2">
        <v>-6785.31</v>
      </c>
      <c r="M209" s="2">
        <v>-15898.41</v>
      </c>
      <c r="N209" s="2">
        <v>-27374.1</v>
      </c>
      <c r="O209" s="2">
        <v>-44769.25</v>
      </c>
      <c r="P209" s="2">
        <v>-61677.39</v>
      </c>
      <c r="Q209" s="2">
        <v>-78382.509999999995</v>
      </c>
      <c r="R209" s="2">
        <v>-111735.77</v>
      </c>
      <c r="S209" s="2">
        <v>-97530.5</v>
      </c>
    </row>
    <row r="210" spans="1:21" x14ac:dyDescent="0.25">
      <c r="A210" t="s">
        <v>1393</v>
      </c>
      <c r="B210">
        <v>15.51</v>
      </c>
      <c r="C210">
        <v>198.96</v>
      </c>
      <c r="D210">
        <v>220.1</v>
      </c>
      <c r="E210">
        <v>162.12</v>
      </c>
      <c r="F210">
        <v>244.9</v>
      </c>
      <c r="G210">
        <v>131.75</v>
      </c>
      <c r="H210">
        <v>53.84</v>
      </c>
      <c r="I210">
        <v>59.09</v>
      </c>
      <c r="J210">
        <v>79.94</v>
      </c>
      <c r="K210">
        <v>323.72000000000003</v>
      </c>
      <c r="L210" s="2">
        <v>1539.83</v>
      </c>
      <c r="M210">
        <v>47.13</v>
      </c>
      <c r="N210">
        <v>144.83000000000001</v>
      </c>
      <c r="O210">
        <v>80.48</v>
      </c>
      <c r="P210">
        <v>185.22</v>
      </c>
      <c r="Q210">
        <v>203.92</v>
      </c>
    </row>
    <row r="211" spans="1:21" x14ac:dyDescent="0.25">
      <c r="A211" t="s">
        <v>206</v>
      </c>
      <c r="B211" s="2">
        <v>-3205.8</v>
      </c>
      <c r="C211" s="2">
        <v>-4800.72</v>
      </c>
      <c r="D211" s="2">
        <v>-6774.63</v>
      </c>
      <c r="E211" s="2">
        <v>-5956.35</v>
      </c>
      <c r="F211" s="2">
        <v>-9128.2999999999993</v>
      </c>
      <c r="G211" s="2">
        <v>-16036.15</v>
      </c>
      <c r="H211" s="2">
        <v>-13920.24</v>
      </c>
      <c r="I211" s="2">
        <v>-10068.66</v>
      </c>
      <c r="J211" s="2">
        <v>-12486.64</v>
      </c>
      <c r="K211" s="2">
        <v>-19010.259999999998</v>
      </c>
      <c r="L211" s="2">
        <v>-8325.14</v>
      </c>
      <c r="M211" s="2">
        <v>-15945.53</v>
      </c>
      <c r="N211" s="2">
        <v>-27518.92</v>
      </c>
      <c r="O211" s="2">
        <v>-45802.29</v>
      </c>
      <c r="P211" s="2">
        <v>-61702.23</v>
      </c>
      <c r="Q211" s="2">
        <v>-71501.03</v>
      </c>
      <c r="R211" s="2">
        <v>-89091.06</v>
      </c>
      <c r="S211" s="2">
        <v>-80982.070000000007</v>
      </c>
      <c r="T211" s="2">
        <v>-76911.97</v>
      </c>
      <c r="U211" s="2">
        <v>-77681.09</v>
      </c>
    </row>
    <row r="212" spans="1:21" x14ac:dyDescent="0.25">
      <c r="A212" t="s">
        <v>1449</v>
      </c>
      <c r="B212">
        <v>-301.5</v>
      </c>
      <c r="C212">
        <v>-336.29</v>
      </c>
      <c r="D212">
        <v>-623.74</v>
      </c>
      <c r="E212">
        <v>-530.38</v>
      </c>
      <c r="F212">
        <v>-784.91</v>
      </c>
      <c r="G212">
        <v>-933.14</v>
      </c>
      <c r="H212">
        <v>-673.36</v>
      </c>
      <c r="I212">
        <v>-800.73</v>
      </c>
      <c r="J212">
        <v>-973.89</v>
      </c>
      <c r="K212">
        <v>-738.62</v>
      </c>
      <c r="L212">
        <v>-454.71</v>
      </c>
      <c r="M212">
        <v>-717.11</v>
      </c>
      <c r="N212" s="2">
        <v>-1060.42</v>
      </c>
      <c r="O212" s="2">
        <v>-1977.06</v>
      </c>
      <c r="P212" s="2">
        <v>-2816.76</v>
      </c>
      <c r="Q212" s="2">
        <v>-5580.35</v>
      </c>
      <c r="R212" s="2">
        <v>-1155.47</v>
      </c>
      <c r="S212" s="2">
        <v>-1310.5</v>
      </c>
    </row>
    <row r="213" spans="1:21" x14ac:dyDescent="0.25">
      <c r="A213" t="s">
        <v>762</v>
      </c>
      <c r="B213" s="2">
        <v>-1028.6199999999999</v>
      </c>
      <c r="C213" s="2">
        <v>-1407.75</v>
      </c>
      <c r="D213">
        <v>39.53</v>
      </c>
      <c r="E213">
        <v>109.8</v>
      </c>
      <c r="F213" s="2">
        <v>-2119</v>
      </c>
      <c r="G213">
        <v>-344.73</v>
      </c>
      <c r="H213" s="2">
        <v>4390.24</v>
      </c>
      <c r="I213">
        <v>-255.93</v>
      </c>
      <c r="J213" s="2">
        <v>-1576.48</v>
      </c>
      <c r="K213" s="2">
        <v>2250.8000000000002</v>
      </c>
      <c r="L213">
        <v>139.69999999999999</v>
      </c>
      <c r="M213" s="2">
        <v>-1414.67</v>
      </c>
      <c r="N213" s="2">
        <v>-16843.16</v>
      </c>
      <c r="O213" s="2">
        <v>-15788.74</v>
      </c>
      <c r="P213" s="2">
        <v>-2989.29</v>
      </c>
      <c r="Q213" s="2">
        <v>-1447.03</v>
      </c>
      <c r="R213" s="2">
        <v>-3888.26</v>
      </c>
      <c r="S213" s="2">
        <v>-4175.99</v>
      </c>
    </row>
    <row r="214" spans="1:21" x14ac:dyDescent="0.25">
      <c r="A214" t="s">
        <v>213</v>
      </c>
      <c r="B214" s="2">
        <v>-4892.13</v>
      </c>
      <c r="C214" s="2">
        <v>-6087.83</v>
      </c>
      <c r="D214" s="2">
        <v>-7125.53</v>
      </c>
      <c r="E214" s="2">
        <v>-6230.45</v>
      </c>
      <c r="F214" s="2">
        <v>-11919.16</v>
      </c>
      <c r="G214" s="2">
        <v>-21428.75</v>
      </c>
      <c r="H214" s="2">
        <v>-10450.94</v>
      </c>
      <c r="I214" s="2">
        <v>-11840.39</v>
      </c>
      <c r="J214" s="2">
        <v>-22392.28</v>
      </c>
      <c r="K214" s="2">
        <v>-17883.75</v>
      </c>
      <c r="L214" s="2">
        <v>-7334.73</v>
      </c>
      <c r="M214" s="2">
        <v>-18004.64</v>
      </c>
      <c r="N214" s="2">
        <v>-48054.25</v>
      </c>
      <c r="O214" s="2">
        <v>-66086.64</v>
      </c>
      <c r="P214" s="2">
        <v>-72377.23</v>
      </c>
      <c r="Q214" s="2">
        <v>-90683.199999999997</v>
      </c>
      <c r="R214" s="2">
        <v>-122279.6</v>
      </c>
      <c r="S214" s="2">
        <v>-84840.67</v>
      </c>
      <c r="T214" s="2">
        <v>-113589.18</v>
      </c>
      <c r="U214" s="2">
        <v>-166706.72</v>
      </c>
    </row>
    <row r="215" spans="1:21" x14ac:dyDescent="0.25">
      <c r="A215" t="s">
        <v>17</v>
      </c>
    </row>
    <row r="216" spans="1:21" x14ac:dyDescent="0.25">
      <c r="A216" t="s">
        <v>214</v>
      </c>
    </row>
    <row r="217" spans="1:21" x14ac:dyDescent="0.25">
      <c r="A217" t="s">
        <v>347</v>
      </c>
      <c r="B217">
        <v>0</v>
      </c>
      <c r="C217">
        <v>0</v>
      </c>
      <c r="D217">
        <v>-218.4</v>
      </c>
      <c r="E217">
        <v>-353</v>
      </c>
      <c r="F217">
        <v>-423.6</v>
      </c>
      <c r="G217">
        <v>-706</v>
      </c>
      <c r="H217" s="2">
        <v>-1026</v>
      </c>
      <c r="I217">
        <v>-684</v>
      </c>
      <c r="J217">
        <v>-805.02</v>
      </c>
      <c r="K217" s="2">
        <v>-1680.91</v>
      </c>
      <c r="L217">
        <v>-825.58</v>
      </c>
      <c r="M217">
        <v>-826.32</v>
      </c>
      <c r="N217" s="2">
        <v>-1681.17</v>
      </c>
      <c r="O217" s="2">
        <v>-2117.52</v>
      </c>
      <c r="P217" s="2">
        <v>-10072.89</v>
      </c>
      <c r="Q217" s="2">
        <v>-11625.34</v>
      </c>
      <c r="R217" s="2">
        <v>-49923.839999999997</v>
      </c>
      <c r="S217" s="2">
        <v>-49705.38</v>
      </c>
      <c r="T217" s="2">
        <v>-102470.8</v>
      </c>
      <c r="U217" s="2">
        <v>-102470.8</v>
      </c>
    </row>
    <row r="218" spans="1:21" x14ac:dyDescent="0.25">
      <c r="A218" t="s">
        <v>822</v>
      </c>
      <c r="B218" s="2">
        <v>-1499.99</v>
      </c>
      <c r="C218">
        <v>28.37</v>
      </c>
      <c r="D218">
        <v>-471.97</v>
      </c>
      <c r="E218">
        <v>469.88</v>
      </c>
      <c r="F218">
        <v>71.7</v>
      </c>
      <c r="G218" s="2">
        <v>1047.2</v>
      </c>
      <c r="H218" s="2">
        <v>4857.96</v>
      </c>
      <c r="I218">
        <v>931.97</v>
      </c>
      <c r="J218" s="2">
        <v>5288.85</v>
      </c>
      <c r="K218" s="2">
        <v>4491.03</v>
      </c>
      <c r="L218" s="2">
        <v>6507.07</v>
      </c>
      <c r="M218" s="2">
        <v>-7977.48</v>
      </c>
      <c r="N218">
        <v>171.14</v>
      </c>
      <c r="O218" s="2">
        <v>-4471.25</v>
      </c>
      <c r="P218" s="2">
        <v>-4025.7</v>
      </c>
      <c r="Q218" s="2">
        <v>-3401.13</v>
      </c>
      <c r="R218" s="2">
        <v>-5164.79</v>
      </c>
      <c r="S218" s="2">
        <v>-3874.31</v>
      </c>
    </row>
    <row r="219" spans="1:21" x14ac:dyDescent="0.25">
      <c r="A219" t="s">
        <v>218</v>
      </c>
      <c r="B219" s="2">
        <v>-1499.99</v>
      </c>
      <c r="C219">
        <v>28.34</v>
      </c>
      <c r="D219" s="2">
        <v>-1462.26</v>
      </c>
      <c r="E219">
        <v>116.88</v>
      </c>
      <c r="F219">
        <v>-351.91</v>
      </c>
      <c r="G219" s="2">
        <v>-1395.32</v>
      </c>
      <c r="H219" s="2">
        <v>3836.67</v>
      </c>
      <c r="I219">
        <v>252.05</v>
      </c>
      <c r="J219" s="2">
        <v>4492.3100000000004</v>
      </c>
      <c r="K219" s="2">
        <v>2821.8</v>
      </c>
      <c r="L219" s="2">
        <v>5696.85</v>
      </c>
      <c r="M219" s="2">
        <v>-8703.94</v>
      </c>
      <c r="N219" s="2">
        <v>-1444.99</v>
      </c>
      <c r="O219" s="2">
        <v>-2180.87</v>
      </c>
      <c r="P219" s="2">
        <v>-35230.400000000001</v>
      </c>
      <c r="Q219" s="2">
        <v>-51926.94</v>
      </c>
      <c r="R219" s="2">
        <v>-77729.41</v>
      </c>
      <c r="S219" s="2">
        <v>-76675.33</v>
      </c>
      <c r="T219" s="2">
        <v>-91612.85</v>
      </c>
      <c r="U219" s="2">
        <v>-86535.360000000001</v>
      </c>
    </row>
    <row r="220" spans="1:21" x14ac:dyDescent="0.25">
      <c r="A220" t="s">
        <v>17</v>
      </c>
    </row>
    <row r="221" spans="1:21" x14ac:dyDescent="0.25">
      <c r="A221" t="s">
        <v>176</v>
      </c>
    </row>
    <row r="222" spans="1:21" x14ac:dyDescent="0.25">
      <c r="A222" t="s">
        <v>219</v>
      </c>
      <c r="B222">
        <v>-6.46</v>
      </c>
      <c r="C222">
        <v>-2.31</v>
      </c>
      <c r="D222">
        <v>7.23</v>
      </c>
      <c r="E222">
        <v>2.72</v>
      </c>
      <c r="F222">
        <v>-83.34</v>
      </c>
      <c r="G222">
        <v>-3.81</v>
      </c>
      <c r="H222">
        <v>21.28</v>
      </c>
      <c r="I222">
        <v>-56.31</v>
      </c>
      <c r="J222">
        <v>184.31</v>
      </c>
      <c r="K222">
        <v>200.46</v>
      </c>
      <c r="L222">
        <v>-29.99</v>
      </c>
      <c r="M222">
        <v>530.48</v>
      </c>
      <c r="N222">
        <v>-155.22999999999999</v>
      </c>
      <c r="O222" s="2">
        <v>1068.1400000000001</v>
      </c>
      <c r="P222">
        <v>-414.42</v>
      </c>
      <c r="Q222">
        <v>-95.3</v>
      </c>
    </row>
    <row r="223" spans="1:21" x14ac:dyDescent="0.25">
      <c r="A223" t="s">
        <v>220</v>
      </c>
      <c r="B223">
        <v>-26.52</v>
      </c>
      <c r="C223">
        <v>-195.11</v>
      </c>
      <c r="D223">
        <v>738.96</v>
      </c>
      <c r="E223">
        <v>-561.92999999999995</v>
      </c>
      <c r="F223" s="2">
        <v>2336.21</v>
      </c>
      <c r="G223">
        <v>-600.66999999999996</v>
      </c>
      <c r="H223">
        <v>-43.25</v>
      </c>
      <c r="I223">
        <v>669.92</v>
      </c>
      <c r="J223" s="2">
        <v>2081.9899999999998</v>
      </c>
      <c r="K223">
        <v>-80.98</v>
      </c>
      <c r="L223" s="2">
        <v>2610.3200000000002</v>
      </c>
      <c r="M223" s="2">
        <v>3617.79</v>
      </c>
      <c r="N223" s="2">
        <v>3718.65</v>
      </c>
      <c r="O223" s="2">
        <v>129524.89</v>
      </c>
      <c r="P223" s="2">
        <v>205932.14</v>
      </c>
      <c r="Q223" s="2">
        <v>229401.9</v>
      </c>
      <c r="R223" s="2">
        <v>210119.42</v>
      </c>
      <c r="S223" s="2">
        <v>318930.15999999997</v>
      </c>
      <c r="T223" s="2">
        <v>858249.89</v>
      </c>
      <c r="U223" s="2">
        <v>1293781.72</v>
      </c>
    </row>
    <row r="224" spans="1:21" x14ac:dyDescent="0.25">
      <c r="A224" t="s">
        <v>221</v>
      </c>
      <c r="B224">
        <v>658.39</v>
      </c>
      <c r="C224">
        <v>631.87</v>
      </c>
      <c r="D224">
        <v>436.76</v>
      </c>
      <c r="E224" s="2">
        <v>1175.72</v>
      </c>
      <c r="F224">
        <v>613.79</v>
      </c>
      <c r="G224" s="2">
        <v>2949.99</v>
      </c>
      <c r="H224" s="2">
        <v>2349.3200000000002</v>
      </c>
      <c r="I224" s="2">
        <v>2306.0700000000002</v>
      </c>
      <c r="J224" s="2">
        <v>2975.99</v>
      </c>
      <c r="K224" s="2">
        <v>5057.9799999999996</v>
      </c>
      <c r="L224" s="2">
        <v>4977.01</v>
      </c>
      <c r="M224" s="2">
        <v>7587.33</v>
      </c>
      <c r="N224" s="2">
        <v>11205.12</v>
      </c>
      <c r="O224" s="2">
        <v>16220.84</v>
      </c>
      <c r="P224" s="2">
        <v>142380.07</v>
      </c>
      <c r="Q224" s="2">
        <v>359672.24</v>
      </c>
      <c r="R224" s="2">
        <v>574526.89</v>
      </c>
      <c r="S224" s="2">
        <v>803299.81</v>
      </c>
      <c r="T224" s="2">
        <v>937404.33</v>
      </c>
      <c r="U224" s="2">
        <v>1366529.28</v>
      </c>
    </row>
    <row r="225" spans="1:21" x14ac:dyDescent="0.25">
      <c r="A225" t="s">
        <v>222</v>
      </c>
      <c r="B225">
        <v>631.87</v>
      </c>
      <c r="C225">
        <v>436.76</v>
      </c>
      <c r="D225" s="2">
        <v>1175.72</v>
      </c>
      <c r="E225">
        <v>613.79</v>
      </c>
      <c r="F225" s="2">
        <v>2949.99</v>
      </c>
      <c r="G225" s="2">
        <v>2349.3200000000002</v>
      </c>
      <c r="H225" s="2">
        <v>2306.0700000000002</v>
      </c>
      <c r="I225" s="2">
        <v>2975.99</v>
      </c>
      <c r="J225" s="2">
        <v>5057.9799999999996</v>
      </c>
      <c r="K225" s="2">
        <v>4977.01</v>
      </c>
      <c r="L225" s="2">
        <v>7587.33</v>
      </c>
      <c r="M225" s="2">
        <v>11205.12</v>
      </c>
      <c r="N225" s="2">
        <v>14923.77</v>
      </c>
      <c r="O225" s="2">
        <v>142896.4</v>
      </c>
      <c r="P225" s="2">
        <v>367049.84</v>
      </c>
      <c r="Q225" s="2">
        <v>603525.93000000005</v>
      </c>
      <c r="R225" s="2">
        <v>803299.81</v>
      </c>
      <c r="S225" s="2">
        <v>1058443.93</v>
      </c>
      <c r="T225" s="2">
        <v>1366529.28</v>
      </c>
      <c r="U225" s="2">
        <v>2013420.14</v>
      </c>
    </row>
    <row r="226" spans="1:21" x14ac:dyDescent="0.25">
      <c r="A226" t="s">
        <v>178</v>
      </c>
    </row>
    <row r="227" spans="1:21" x14ac:dyDescent="0.25">
      <c r="A227" t="s">
        <v>1052</v>
      </c>
      <c r="B227">
        <v>26.25</v>
      </c>
      <c r="C227">
        <v>339.78</v>
      </c>
      <c r="D227">
        <v>982.1</v>
      </c>
      <c r="E227">
        <v>875.68</v>
      </c>
      <c r="F227">
        <v>618.84</v>
      </c>
      <c r="G227" s="2">
        <v>3568.37</v>
      </c>
      <c r="H227" s="2">
        <v>5153.22</v>
      </c>
      <c r="I227">
        <v>370.64</v>
      </c>
      <c r="J227" s="2">
        <v>1014.91</v>
      </c>
      <c r="K227" s="2">
        <v>3979.36</v>
      </c>
      <c r="L227" s="2">
        <v>1383.94</v>
      </c>
      <c r="M227">
        <v>552.09</v>
      </c>
      <c r="N227" s="2">
        <v>5891.16</v>
      </c>
      <c r="O227" s="2">
        <v>63382.45</v>
      </c>
      <c r="P227" s="2">
        <v>87011.4</v>
      </c>
      <c r="Q227" s="2">
        <v>97091.96</v>
      </c>
      <c r="R227" s="2">
        <v>144334.13</v>
      </c>
      <c r="S227" s="2">
        <v>149019.63</v>
      </c>
      <c r="T227" s="2">
        <v>338017.89</v>
      </c>
      <c r="U227" s="2">
        <v>496082.24</v>
      </c>
    </row>
    <row r="228" spans="1:21" x14ac:dyDescent="0.25">
      <c r="A228" t="s">
        <v>1450</v>
      </c>
      <c r="H228">
        <v>390.5</v>
      </c>
      <c r="I228">
        <v>319.74</v>
      </c>
      <c r="J228">
        <v>323.98</v>
      </c>
      <c r="K228">
        <v>301.86</v>
      </c>
      <c r="L228">
        <v>461.47</v>
      </c>
      <c r="M228">
        <v>601.82000000000005</v>
      </c>
      <c r="N228">
        <v>596.47</v>
      </c>
      <c r="O228">
        <v>493.86</v>
      </c>
      <c r="P228" s="2">
        <v>1246.73</v>
      </c>
      <c r="Q228" s="2">
        <v>1856.12</v>
      </c>
      <c r="R228" s="2">
        <v>2348.4699999999998</v>
      </c>
      <c r="S228" s="2">
        <v>2653.79</v>
      </c>
    </row>
    <row r="229" spans="1:21" x14ac:dyDescent="0.25">
      <c r="A229" t="s">
        <v>225</v>
      </c>
      <c r="B229" s="2">
        <v>3166.26</v>
      </c>
      <c r="C229" s="2">
        <v>1065.97</v>
      </c>
      <c r="D229" s="2">
        <v>2544.9</v>
      </c>
      <c r="E229">
        <v>-407.43</v>
      </c>
      <c r="F229" s="2">
        <v>5562.31</v>
      </c>
      <c r="G229" s="2">
        <v>6191.05</v>
      </c>
      <c r="H229" s="2">
        <v>-7370.51</v>
      </c>
      <c r="I229" s="2">
        <v>2245.91</v>
      </c>
      <c r="J229" s="2">
        <v>7311.01</v>
      </c>
      <c r="K229" s="2">
        <v>-4229.74</v>
      </c>
      <c r="L229" s="2">
        <v>-4046.95</v>
      </c>
      <c r="M229" s="2">
        <v>13850.35</v>
      </c>
      <c r="N229" s="2">
        <v>25854.2</v>
      </c>
      <c r="O229" s="2">
        <v>159926.35</v>
      </c>
      <c r="P229" s="2">
        <v>281674.63</v>
      </c>
      <c r="Q229" s="2">
        <v>297050.14</v>
      </c>
      <c r="R229" s="2">
        <v>285019.03999999998</v>
      </c>
      <c r="S229" s="2">
        <v>399909.15</v>
      </c>
      <c r="T229" s="2">
        <v>1063451.92</v>
      </c>
      <c r="U229" s="2">
        <v>1547023.8</v>
      </c>
    </row>
    <row r="230" spans="1:21" x14ac:dyDescent="0.25">
      <c r="A230" t="s">
        <v>767</v>
      </c>
      <c r="B230" s="2">
        <v>8972.19</v>
      </c>
      <c r="C230" s="2">
        <v>8168.63</v>
      </c>
      <c r="D230" s="2">
        <v>12941.2</v>
      </c>
      <c r="E230" s="2">
        <v>7859.64</v>
      </c>
      <c r="F230" s="2">
        <v>20808.18</v>
      </c>
      <c r="G230" s="2">
        <v>31831.439999999999</v>
      </c>
      <c r="H230" s="2">
        <v>9575.61</v>
      </c>
      <c r="I230" s="2">
        <v>18003.71</v>
      </c>
      <c r="J230" s="2">
        <v>28842.26</v>
      </c>
      <c r="K230" s="2">
        <v>21494.37</v>
      </c>
      <c r="L230" s="2">
        <v>6217.84</v>
      </c>
      <c r="M230" s="2">
        <v>43262.03</v>
      </c>
      <c r="N230" s="2">
        <v>77156.09</v>
      </c>
      <c r="O230" s="2">
        <v>355592.21</v>
      </c>
      <c r="P230" s="2">
        <v>554309.61</v>
      </c>
      <c r="Q230" s="2">
        <v>632910.9</v>
      </c>
      <c r="R230" s="2">
        <v>598406.93000000005</v>
      </c>
      <c r="S230" s="2">
        <v>1138842.1599999999</v>
      </c>
      <c r="T230" s="2">
        <v>2124798.87</v>
      </c>
      <c r="U230" s="2">
        <v>3099885.72</v>
      </c>
    </row>
    <row r="231" spans="1:21" x14ac:dyDescent="0.25">
      <c r="A231" t="s">
        <v>230</v>
      </c>
      <c r="B231">
        <v>22.63</v>
      </c>
      <c r="C231">
        <v>28.03</v>
      </c>
      <c r="D231">
        <v>36.04</v>
      </c>
      <c r="E231">
        <v>34.630000000000003</v>
      </c>
      <c r="F231">
        <v>30.32</v>
      </c>
      <c r="G231">
        <v>39.65</v>
      </c>
      <c r="H231">
        <v>51.57</v>
      </c>
      <c r="I231">
        <v>31.56</v>
      </c>
      <c r="J231">
        <v>29.04</v>
      </c>
      <c r="K231">
        <v>42.6</v>
      </c>
      <c r="L231">
        <v>25.41</v>
      </c>
      <c r="M231">
        <v>24.09</v>
      </c>
      <c r="N231">
        <v>28.33</v>
      </c>
      <c r="O231">
        <v>14.02</v>
      </c>
      <c r="P231">
        <v>12.05</v>
      </c>
      <c r="Q231">
        <v>12.72</v>
      </c>
      <c r="R231">
        <v>12.67</v>
      </c>
      <c r="S231">
        <v>14</v>
      </c>
    </row>
    <row r="232" spans="1:21" x14ac:dyDescent="0.25">
      <c r="A232" t="s">
        <v>17</v>
      </c>
    </row>
    <row r="233" spans="1:21" x14ac:dyDescent="0.25">
      <c r="A233" t="s">
        <v>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F58F-CD43-499E-925D-9C491B423485}">
  <dimension ref="A1:U233"/>
  <sheetViews>
    <sheetView workbookViewId="0">
      <selection sqref="A1:U233"/>
    </sheetView>
  </sheetViews>
  <sheetFormatPr defaultRowHeight="15" x14ac:dyDescent="0.25"/>
  <sheetData>
    <row r="1" spans="1:21" x14ac:dyDescent="0.25">
      <c r="A1" t="s">
        <v>1402</v>
      </c>
    </row>
    <row r="2" spans="1:21" x14ac:dyDescent="0.25">
      <c r="A2" t="s">
        <v>1451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1405</v>
      </c>
      <c r="B6">
        <v>3.75</v>
      </c>
      <c r="C6">
        <v>5.56</v>
      </c>
      <c r="D6">
        <v>5.31</v>
      </c>
      <c r="E6">
        <v>3.5</v>
      </c>
      <c r="F6">
        <v>13.34</v>
      </c>
      <c r="G6">
        <v>19.41</v>
      </c>
      <c r="H6">
        <v>2.37</v>
      </c>
      <c r="I6">
        <v>5.9</v>
      </c>
      <c r="J6">
        <v>12.22</v>
      </c>
      <c r="K6">
        <v>2.52</v>
      </c>
      <c r="L6">
        <v>-10.14</v>
      </c>
      <c r="M6">
        <v>19.940000000000001</v>
      </c>
      <c r="N6">
        <v>43.75</v>
      </c>
      <c r="O6">
        <v>256.02</v>
      </c>
      <c r="P6">
        <v>343.29</v>
      </c>
      <c r="Q6">
        <v>392.43</v>
      </c>
      <c r="R6">
        <v>374.97</v>
      </c>
      <c r="S6">
        <v>424.73</v>
      </c>
      <c r="T6" s="2">
        <v>1146</v>
      </c>
      <c r="U6" s="2">
        <v>1681.89</v>
      </c>
    </row>
    <row r="7" spans="1:21" x14ac:dyDescent="0.25">
      <c r="A7" t="s">
        <v>16</v>
      </c>
      <c r="B7" s="2">
        <v>12946.97</v>
      </c>
      <c r="C7" s="2">
        <v>16271.14</v>
      </c>
      <c r="D7" s="2">
        <v>16619.95</v>
      </c>
      <c r="E7" s="2">
        <v>14830.31</v>
      </c>
      <c r="F7" s="2">
        <v>26642.21</v>
      </c>
      <c r="G7" s="2">
        <v>36771.599999999999</v>
      </c>
      <c r="H7" s="2">
        <v>23168.86</v>
      </c>
      <c r="I7" s="2">
        <v>27085.26</v>
      </c>
      <c r="J7" s="2">
        <v>37570.379999999997</v>
      </c>
      <c r="K7" s="2">
        <v>34635.33</v>
      </c>
      <c r="L7" s="2">
        <v>25090.06</v>
      </c>
      <c r="M7" s="2">
        <v>48545.11</v>
      </c>
      <c r="N7" s="2">
        <v>68370.820000000007</v>
      </c>
      <c r="O7" s="2">
        <v>255443.89</v>
      </c>
      <c r="P7" s="2">
        <v>396538.68</v>
      </c>
      <c r="Q7" s="2">
        <v>459097.26</v>
      </c>
      <c r="R7" s="2">
        <v>458698.41</v>
      </c>
      <c r="S7" s="2">
        <v>419998.48</v>
      </c>
      <c r="T7" s="2">
        <v>544995.30000000005</v>
      </c>
      <c r="U7" s="2">
        <v>474614.89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237</v>
      </c>
      <c r="B10" s="2">
        <v>9333.81</v>
      </c>
      <c r="C10" s="2">
        <v>12647.49</v>
      </c>
      <c r="D10" s="2">
        <v>12417.96</v>
      </c>
      <c r="E10" s="2">
        <v>10641.8</v>
      </c>
      <c r="F10" s="2">
        <v>20251.689999999999</v>
      </c>
      <c r="G10" s="2">
        <v>29430.81</v>
      </c>
      <c r="H10" s="2">
        <v>17419.25</v>
      </c>
      <c r="I10" s="2">
        <v>19134.68</v>
      </c>
      <c r="J10" s="2">
        <v>26737.25</v>
      </c>
      <c r="K10" s="2">
        <v>21864.67</v>
      </c>
      <c r="L10" s="2">
        <v>15903.42</v>
      </c>
      <c r="M10" s="2">
        <v>32805.660000000003</v>
      </c>
      <c r="N10" s="2">
        <v>52716.75</v>
      </c>
      <c r="O10" s="2">
        <v>190010.42</v>
      </c>
      <c r="P10" s="2">
        <v>296061.73</v>
      </c>
      <c r="Q10" s="2">
        <v>345785.34</v>
      </c>
      <c r="R10" s="2">
        <v>342111.54</v>
      </c>
      <c r="S10" s="2">
        <v>270743.21999999997</v>
      </c>
    </row>
    <row r="11" spans="1:21" x14ac:dyDescent="0.25">
      <c r="A11" t="s">
        <v>1406</v>
      </c>
      <c r="B11" s="2">
        <v>3099.9</v>
      </c>
      <c r="C11" s="2">
        <v>3154.99</v>
      </c>
      <c r="D11" s="2">
        <v>3667.67</v>
      </c>
      <c r="E11" s="2">
        <v>3749</v>
      </c>
      <c r="F11" s="2">
        <v>5883.12</v>
      </c>
      <c r="G11" s="2">
        <v>6746.85</v>
      </c>
      <c r="H11" s="2">
        <v>4411.8</v>
      </c>
      <c r="I11" s="2">
        <v>6343.51</v>
      </c>
      <c r="J11" s="2">
        <v>9200.36</v>
      </c>
      <c r="K11" s="2">
        <v>11009.58</v>
      </c>
      <c r="L11" s="2">
        <v>7391.75</v>
      </c>
      <c r="M11" s="2">
        <v>14135.4</v>
      </c>
      <c r="N11" s="2">
        <v>14561.47</v>
      </c>
      <c r="O11" s="2">
        <v>62085.27</v>
      </c>
      <c r="P11" s="2">
        <v>92541.86</v>
      </c>
      <c r="Q11" s="2">
        <v>101524.22</v>
      </c>
      <c r="R11" s="2">
        <v>95957.03</v>
      </c>
      <c r="S11" s="2">
        <v>75357.460000000006</v>
      </c>
    </row>
    <row r="12" spans="1:21" x14ac:dyDescent="0.25">
      <c r="A12" t="s">
        <v>17</v>
      </c>
    </row>
    <row r="13" spans="1:21" x14ac:dyDescent="0.25">
      <c r="A13" t="s">
        <v>1072</v>
      </c>
      <c r="B13">
        <v>37.4</v>
      </c>
      <c r="C13">
        <v>44.8</v>
      </c>
      <c r="D13">
        <v>44.1</v>
      </c>
      <c r="E13">
        <v>37.28</v>
      </c>
      <c r="F13">
        <v>57.81</v>
      </c>
      <c r="G13">
        <v>62.46</v>
      </c>
      <c r="H13">
        <v>30.25</v>
      </c>
      <c r="I13">
        <v>33.89</v>
      </c>
      <c r="J13">
        <v>44.08</v>
      </c>
      <c r="K13">
        <v>35.020000000000003</v>
      </c>
      <c r="L13">
        <v>-1.63</v>
      </c>
      <c r="M13">
        <v>48.08</v>
      </c>
      <c r="N13">
        <v>60.41</v>
      </c>
      <c r="O13">
        <v>84.07</v>
      </c>
      <c r="P13">
        <v>84.35</v>
      </c>
      <c r="Q13">
        <v>81.290000000000006</v>
      </c>
      <c r="R13">
        <v>76.540000000000006</v>
      </c>
      <c r="S13">
        <v>69.91</v>
      </c>
      <c r="T13">
        <v>72.08</v>
      </c>
      <c r="U13">
        <v>72.08</v>
      </c>
    </row>
    <row r="14" spans="1:21" x14ac:dyDescent="0.25">
      <c r="A14" t="s">
        <v>1299</v>
      </c>
      <c r="B14">
        <v>885.49</v>
      </c>
      <c r="C14" s="2">
        <v>1339.21</v>
      </c>
      <c r="D14" s="2">
        <v>1432.58</v>
      </c>
      <c r="E14" s="2">
        <v>1504.51</v>
      </c>
      <c r="F14" s="2">
        <v>1747.91</v>
      </c>
      <c r="G14" s="2">
        <v>2076.5500000000002</v>
      </c>
      <c r="H14" s="2">
        <v>2451.29</v>
      </c>
      <c r="I14" s="2">
        <v>2641.67</v>
      </c>
      <c r="J14" s="2">
        <v>3102.95</v>
      </c>
      <c r="K14" s="2">
        <v>3473.15</v>
      </c>
      <c r="L14" s="2">
        <v>2872.07</v>
      </c>
      <c r="M14" s="2">
        <v>3253.56</v>
      </c>
      <c r="N14" s="2">
        <v>4550.45</v>
      </c>
      <c r="O14" s="2">
        <v>9006.09</v>
      </c>
      <c r="P14" s="2">
        <v>11999.94</v>
      </c>
      <c r="Q14" s="2">
        <v>14353.27</v>
      </c>
      <c r="R14" s="2">
        <v>16421</v>
      </c>
      <c r="S14" s="2">
        <v>13778.21</v>
      </c>
      <c r="T14" s="2">
        <v>23295.98</v>
      </c>
      <c r="U14" s="2">
        <v>34189.85</v>
      </c>
    </row>
    <row r="15" spans="1:21" x14ac:dyDescent="0.25">
      <c r="A15" t="s">
        <v>776</v>
      </c>
      <c r="B15">
        <v>8.08</v>
      </c>
      <c r="C15">
        <v>8.31</v>
      </c>
      <c r="D15">
        <v>9.34</v>
      </c>
      <c r="E15">
        <v>10.87</v>
      </c>
      <c r="F15">
        <v>8.26</v>
      </c>
      <c r="G15">
        <v>7.16</v>
      </c>
      <c r="H15">
        <v>11.81</v>
      </c>
      <c r="I15">
        <v>10.57</v>
      </c>
      <c r="J15">
        <v>9.41</v>
      </c>
      <c r="K15">
        <v>10.99</v>
      </c>
      <c r="L15">
        <v>12.78</v>
      </c>
      <c r="M15">
        <v>7.48</v>
      </c>
      <c r="N15">
        <v>6.93</v>
      </c>
      <c r="O15">
        <v>3.46</v>
      </c>
      <c r="P15">
        <v>3.17</v>
      </c>
      <c r="Q15">
        <v>3.33</v>
      </c>
      <c r="R15">
        <v>3.4</v>
      </c>
      <c r="S15">
        <v>2.78</v>
      </c>
      <c r="T15">
        <v>1.57</v>
      </c>
      <c r="U15">
        <v>1.57</v>
      </c>
    </row>
    <row r="16" spans="1:21" x14ac:dyDescent="0.25">
      <c r="A16" t="s">
        <v>91</v>
      </c>
      <c r="B16" s="2">
        <v>3089.14</v>
      </c>
      <c r="C16" s="2">
        <v>4854.55</v>
      </c>
      <c r="D16" s="2">
        <v>4717.83</v>
      </c>
      <c r="E16" s="2">
        <v>2825.63</v>
      </c>
      <c r="F16" s="2">
        <v>12141.26</v>
      </c>
      <c r="G16" s="2">
        <v>18950.59</v>
      </c>
      <c r="H16" s="2">
        <v>2328.6</v>
      </c>
      <c r="I16" s="2">
        <v>4255.9799999999996</v>
      </c>
      <c r="J16" s="2">
        <v>10843.84</v>
      </c>
      <c r="K16" s="2">
        <v>5285.48</v>
      </c>
      <c r="L16" s="2">
        <v>-5919.42</v>
      </c>
      <c r="M16" s="2">
        <v>17210.650000000001</v>
      </c>
      <c r="N16" s="2">
        <v>33223.32</v>
      </c>
      <c r="O16" s="2">
        <v>197459.28</v>
      </c>
      <c r="P16" s="2">
        <v>312413.59000000003</v>
      </c>
      <c r="Q16" s="2">
        <v>349440.78</v>
      </c>
      <c r="R16" s="2">
        <v>369844.1</v>
      </c>
      <c r="S16" s="2">
        <v>361636.25</v>
      </c>
      <c r="T16" s="2">
        <v>784924.1</v>
      </c>
      <c r="U16" s="2">
        <v>1571473.72</v>
      </c>
    </row>
    <row r="17" spans="1:21" x14ac:dyDescent="0.25">
      <c r="A17" t="s">
        <v>1353</v>
      </c>
      <c r="B17">
        <v>23.86</v>
      </c>
      <c r="C17">
        <v>29.84</v>
      </c>
      <c r="D17">
        <v>28.39</v>
      </c>
      <c r="E17">
        <v>19.05</v>
      </c>
      <c r="F17">
        <v>45.57</v>
      </c>
      <c r="G17">
        <v>51.54</v>
      </c>
      <c r="H17">
        <v>10.07</v>
      </c>
      <c r="I17">
        <v>15.71</v>
      </c>
      <c r="J17">
        <v>28.86</v>
      </c>
      <c r="K17">
        <v>15.26</v>
      </c>
      <c r="L17">
        <v>-23.59</v>
      </c>
      <c r="M17">
        <v>35.450000000000003</v>
      </c>
      <c r="N17">
        <v>48.59</v>
      </c>
      <c r="O17">
        <v>76.8</v>
      </c>
      <c r="P17">
        <v>78.44</v>
      </c>
      <c r="Q17">
        <v>74.349999999999994</v>
      </c>
      <c r="R17">
        <v>63.71</v>
      </c>
      <c r="S17">
        <v>50.22</v>
      </c>
      <c r="T17">
        <v>72.08</v>
      </c>
      <c r="U17">
        <v>72.08</v>
      </c>
    </row>
    <row r="18" spans="1:21" x14ac:dyDescent="0.25">
      <c r="A18" t="s">
        <v>100</v>
      </c>
      <c r="B18" s="2">
        <v>2810.5</v>
      </c>
      <c r="C18" s="2">
        <v>4795.83</v>
      </c>
      <c r="D18" s="2">
        <v>4658.6099999999997</v>
      </c>
      <c r="E18" s="2">
        <v>2773.64</v>
      </c>
      <c r="F18" s="2">
        <v>11891.94</v>
      </c>
      <c r="G18" s="2">
        <v>19402.71</v>
      </c>
      <c r="H18" s="2">
        <v>2096.84</v>
      </c>
      <c r="I18" s="2">
        <v>5295.6</v>
      </c>
      <c r="J18" s="2">
        <v>11722.55</v>
      </c>
      <c r="K18" s="2">
        <v>3106.96</v>
      </c>
      <c r="L18" s="2">
        <v>-8926.8700000000008</v>
      </c>
      <c r="M18" s="2">
        <v>17517.22</v>
      </c>
      <c r="N18" s="2">
        <v>35517.129999999997</v>
      </c>
      <c r="O18" s="2">
        <v>240318.01</v>
      </c>
      <c r="P18" s="2">
        <v>318535.13</v>
      </c>
      <c r="Q18" s="2">
        <v>357570.81</v>
      </c>
      <c r="R18" s="2">
        <v>377239.03999999998</v>
      </c>
      <c r="S18" s="2">
        <v>404229.77</v>
      </c>
      <c r="T18" s="2">
        <v>1073975.01</v>
      </c>
      <c r="U18" s="2">
        <v>1576188.56</v>
      </c>
    </row>
    <row r="19" spans="1:21" x14ac:dyDescent="0.25">
      <c r="A19" t="s">
        <v>528</v>
      </c>
      <c r="B19" s="2">
        <v>2625.45</v>
      </c>
      <c r="C19" s="2">
        <v>3986.14</v>
      </c>
      <c r="D19" s="2">
        <v>3821.54</v>
      </c>
      <c r="E19" s="2">
        <v>2547.12</v>
      </c>
      <c r="F19" s="2">
        <v>9416.1</v>
      </c>
      <c r="G19" s="2">
        <v>14128.66</v>
      </c>
      <c r="H19" s="2">
        <v>1728.21</v>
      </c>
      <c r="I19" s="2">
        <v>4037.35</v>
      </c>
      <c r="J19" s="2">
        <v>8390.26</v>
      </c>
      <c r="K19" s="2">
        <v>1730.59</v>
      </c>
      <c r="L19" s="2">
        <v>-6977.76</v>
      </c>
      <c r="M19" s="2">
        <v>14512.78</v>
      </c>
      <c r="N19" s="2">
        <v>30206.15</v>
      </c>
      <c r="O19" s="2">
        <v>185464.01</v>
      </c>
      <c r="P19" s="2">
        <v>250221.92</v>
      </c>
      <c r="Q19" s="2">
        <v>281336.33</v>
      </c>
      <c r="R19" s="2">
        <v>220208.51</v>
      </c>
      <c r="S19" s="2">
        <v>279720.03000000003</v>
      </c>
      <c r="T19" s="2">
        <v>837142.37</v>
      </c>
      <c r="U19" s="2">
        <v>1228607.94</v>
      </c>
    </row>
    <row r="20" spans="1:21" x14ac:dyDescent="0.25">
      <c r="A20" t="s">
        <v>17</v>
      </c>
    </row>
    <row r="21" spans="1:21" x14ac:dyDescent="0.25">
      <c r="A21" t="s">
        <v>242</v>
      </c>
      <c r="B21" s="2">
        <v>-2930.11</v>
      </c>
      <c r="C21" s="2">
        <v>-4561.21</v>
      </c>
      <c r="D21" s="2">
        <v>-5989.68</v>
      </c>
      <c r="E21" s="2">
        <v>-5136.34</v>
      </c>
      <c r="F21" s="2">
        <v>-8077.14</v>
      </c>
      <c r="G21" s="2">
        <v>-14579.65</v>
      </c>
      <c r="H21" s="2">
        <v>-11949.14</v>
      </c>
      <c r="I21" s="2">
        <v>-8548.86</v>
      </c>
      <c r="J21" s="2">
        <v>-10910.51</v>
      </c>
      <c r="K21" s="2">
        <v>-14755.79</v>
      </c>
      <c r="L21" s="2">
        <v>-6374.9</v>
      </c>
      <c r="M21" s="2">
        <v>-11694.26</v>
      </c>
      <c r="N21" s="2">
        <v>-19367.53</v>
      </c>
      <c r="O21" s="2">
        <v>-33792.93</v>
      </c>
      <c r="P21" s="2">
        <v>-45523.91</v>
      </c>
      <c r="Q21" s="2">
        <v>-52753.46</v>
      </c>
      <c r="R21" s="2">
        <v>-65597.75</v>
      </c>
      <c r="S21" s="2">
        <v>-57367.7</v>
      </c>
      <c r="T21" s="2">
        <v>-53761.47</v>
      </c>
      <c r="U21" s="2">
        <v>-54299.08</v>
      </c>
    </row>
    <row r="22" spans="1:21" x14ac:dyDescent="0.25">
      <c r="A22" t="s">
        <v>1407</v>
      </c>
      <c r="B22">
        <v>22.63</v>
      </c>
      <c r="C22">
        <v>28.03</v>
      </c>
      <c r="D22">
        <v>36.04</v>
      </c>
      <c r="E22">
        <v>34.630000000000003</v>
      </c>
      <c r="F22">
        <v>30.32</v>
      </c>
      <c r="G22">
        <v>39.65</v>
      </c>
      <c r="H22">
        <v>51.57</v>
      </c>
      <c r="I22">
        <v>31.56</v>
      </c>
      <c r="J22">
        <v>29.04</v>
      </c>
      <c r="K22">
        <v>42.6</v>
      </c>
      <c r="L22">
        <v>25.41</v>
      </c>
      <c r="M22">
        <v>24.09</v>
      </c>
      <c r="N22">
        <v>28.33</v>
      </c>
      <c r="O22">
        <v>14.02</v>
      </c>
      <c r="P22">
        <v>12.05</v>
      </c>
      <c r="Q22">
        <v>12.72</v>
      </c>
      <c r="R22">
        <v>12.67</v>
      </c>
      <c r="S22">
        <v>14</v>
      </c>
    </row>
    <row r="23" spans="1:21" x14ac:dyDescent="0.25">
      <c r="A23" t="s">
        <v>17</v>
      </c>
    </row>
    <row r="24" spans="1:21" x14ac:dyDescent="0.25">
      <c r="A24" t="s">
        <v>37</v>
      </c>
    </row>
    <row r="25" spans="1:21" x14ac:dyDescent="0.25">
      <c r="A25" t="s">
        <v>17</v>
      </c>
    </row>
    <row r="26" spans="1:21" x14ac:dyDescent="0.25">
      <c r="A26" t="s">
        <v>38</v>
      </c>
    </row>
    <row r="27" spans="1:21" x14ac:dyDescent="0.25">
      <c r="A27" t="s">
        <v>244</v>
      </c>
    </row>
    <row r="28" spans="1:21" x14ac:dyDescent="0.25">
      <c r="A28" t="s">
        <v>1408</v>
      </c>
      <c r="O28">
        <v>1.69</v>
      </c>
      <c r="P28">
        <v>2.2599999999999998</v>
      </c>
      <c r="Q28">
        <v>2.17</v>
      </c>
    </row>
    <row r="29" spans="1:21" x14ac:dyDescent="0.25">
      <c r="A29" t="s">
        <v>1409</v>
      </c>
      <c r="O29">
        <v>175.33</v>
      </c>
      <c r="P29">
        <v>32.450000000000003</v>
      </c>
      <c r="Q29">
        <v>-0.83</v>
      </c>
    </row>
    <row r="30" spans="1:21" x14ac:dyDescent="0.25">
      <c r="A30" t="s">
        <v>1410</v>
      </c>
      <c r="O30" s="2">
        <v>113999.58</v>
      </c>
      <c r="P30" s="2">
        <v>138003.29</v>
      </c>
      <c r="Q30" s="2">
        <v>166398.48000000001</v>
      </c>
    </row>
    <row r="31" spans="1:21" x14ac:dyDescent="0.25">
      <c r="A31" t="s">
        <v>1409</v>
      </c>
      <c r="O31">
        <v>26.31</v>
      </c>
      <c r="P31">
        <v>23.11</v>
      </c>
      <c r="Q31">
        <v>16.72</v>
      </c>
      <c r="R31">
        <v>19.3</v>
      </c>
      <c r="S31">
        <v>6.9</v>
      </c>
    </row>
    <row r="32" spans="1:21" x14ac:dyDescent="0.25">
      <c r="A32" t="s">
        <v>17</v>
      </c>
    </row>
    <row r="33" spans="1:19" x14ac:dyDescent="0.25">
      <c r="A33" t="s">
        <v>249</v>
      </c>
    </row>
    <row r="34" spans="1:19" x14ac:dyDescent="0.25">
      <c r="A34" t="s">
        <v>1411</v>
      </c>
      <c r="O34">
        <v>0.31</v>
      </c>
      <c r="P34">
        <v>0.41</v>
      </c>
      <c r="Q34">
        <v>0.35</v>
      </c>
    </row>
    <row r="35" spans="1:19" x14ac:dyDescent="0.25">
      <c r="A35" t="s">
        <v>1409</v>
      </c>
      <c r="O35">
        <v>246.23</v>
      </c>
      <c r="P35">
        <v>27.19</v>
      </c>
      <c r="Q35">
        <v>-16.03</v>
      </c>
    </row>
    <row r="36" spans="1:19" x14ac:dyDescent="0.25">
      <c r="A36" t="s">
        <v>1410</v>
      </c>
      <c r="O36" s="2">
        <v>221078</v>
      </c>
      <c r="P36" s="2">
        <v>270252.84999999998</v>
      </c>
      <c r="Q36" s="2">
        <v>354314.32</v>
      </c>
    </row>
    <row r="37" spans="1:19" x14ac:dyDescent="0.25">
      <c r="A37" t="s">
        <v>1409</v>
      </c>
      <c r="O37">
        <v>18.13</v>
      </c>
      <c r="P37">
        <v>18.149999999999999</v>
      </c>
      <c r="Q37">
        <v>18.45</v>
      </c>
    </row>
    <row r="38" spans="1:19" x14ac:dyDescent="0.25">
      <c r="A38" t="s">
        <v>17</v>
      </c>
    </row>
    <row r="39" spans="1:19" x14ac:dyDescent="0.25">
      <c r="A39" t="s">
        <v>250</v>
      </c>
    </row>
    <row r="40" spans="1:19" x14ac:dyDescent="0.25">
      <c r="A40" t="s">
        <v>1408</v>
      </c>
      <c r="O40">
        <v>1.62</v>
      </c>
      <c r="P40">
        <v>2.5</v>
      </c>
      <c r="Q40">
        <v>3.37</v>
      </c>
    </row>
    <row r="41" spans="1:19" x14ac:dyDescent="0.25">
      <c r="A41" t="s">
        <v>1409</v>
      </c>
      <c r="O41">
        <v>-7.23</v>
      </c>
      <c r="P41">
        <v>64.48</v>
      </c>
      <c r="Q41">
        <v>12.18</v>
      </c>
    </row>
    <row r="42" spans="1:19" x14ac:dyDescent="0.25">
      <c r="A42" t="s">
        <v>1410</v>
      </c>
      <c r="O42" s="2">
        <v>24112.35</v>
      </c>
      <c r="P42" s="2">
        <v>33371.910000000003</v>
      </c>
      <c r="Q42" s="2">
        <v>33103.410000000003</v>
      </c>
    </row>
    <row r="43" spans="1:19" x14ac:dyDescent="0.25">
      <c r="A43" t="s">
        <v>1409</v>
      </c>
      <c r="O43">
        <v>94.51</v>
      </c>
      <c r="P43">
        <v>39.33</v>
      </c>
      <c r="Q43">
        <v>43.32</v>
      </c>
    </row>
    <row r="44" spans="1:19" x14ac:dyDescent="0.25">
      <c r="A44" t="s">
        <v>17</v>
      </c>
    </row>
    <row r="45" spans="1:19" x14ac:dyDescent="0.25">
      <c r="A45" t="s">
        <v>258</v>
      </c>
    </row>
    <row r="46" spans="1:19" x14ac:dyDescent="0.25">
      <c r="A46" t="s">
        <v>244</v>
      </c>
    </row>
    <row r="47" spans="1:19" x14ac:dyDescent="0.25">
      <c r="A47" t="s">
        <v>60</v>
      </c>
      <c r="B47" s="2">
        <v>9333.81</v>
      </c>
      <c r="C47" s="2">
        <v>12647.49</v>
      </c>
      <c r="D47" s="2">
        <v>12417.96</v>
      </c>
      <c r="E47" s="2">
        <v>10641.8</v>
      </c>
      <c r="F47" s="2">
        <v>20251.689999999999</v>
      </c>
      <c r="G47" s="2">
        <v>29430.81</v>
      </c>
      <c r="H47" s="2">
        <v>17419.25</v>
      </c>
      <c r="I47" s="2">
        <v>19134.68</v>
      </c>
      <c r="J47" s="2">
        <v>26737.25</v>
      </c>
      <c r="K47" s="2">
        <v>21864.67</v>
      </c>
      <c r="L47" s="2">
        <v>15903.42</v>
      </c>
      <c r="M47" s="2">
        <v>32805.660000000003</v>
      </c>
      <c r="N47" s="2">
        <v>52716.75</v>
      </c>
      <c r="O47" s="2">
        <v>190010.42</v>
      </c>
      <c r="P47" s="2">
        <v>296061.73</v>
      </c>
      <c r="Q47" s="2">
        <v>345785.34</v>
      </c>
      <c r="R47" s="2">
        <v>342111.54</v>
      </c>
      <c r="S47" s="2">
        <v>270743.21999999997</v>
      </c>
    </row>
    <row r="48" spans="1:19" x14ac:dyDescent="0.25">
      <c r="A48" t="s">
        <v>61</v>
      </c>
      <c r="O48">
        <v>75.92</v>
      </c>
      <c r="P48">
        <v>77.41</v>
      </c>
      <c r="Q48">
        <v>77.739999999999995</v>
      </c>
      <c r="R48">
        <v>76.86</v>
      </c>
    </row>
    <row r="49" spans="1:21" x14ac:dyDescent="0.25">
      <c r="A49" t="s">
        <v>62</v>
      </c>
    </row>
    <row r="50" spans="1:21" x14ac:dyDescent="0.25">
      <c r="A50" t="s">
        <v>63</v>
      </c>
      <c r="O50" s="2">
        <v>156387.24</v>
      </c>
      <c r="P50" s="2">
        <v>260494.66</v>
      </c>
      <c r="Q50" s="2">
        <v>186288.73</v>
      </c>
    </row>
    <row r="51" spans="1:21" x14ac:dyDescent="0.25">
      <c r="A51" t="s">
        <v>116</v>
      </c>
      <c r="O51" s="2">
        <v>149101.20000000001</v>
      </c>
      <c r="P51" s="2">
        <v>229316.62</v>
      </c>
      <c r="Q51" s="2">
        <v>230906.1</v>
      </c>
      <c r="R51" s="2">
        <v>10890.74</v>
      </c>
      <c r="S51" s="2">
        <v>17831.68</v>
      </c>
    </row>
    <row r="52" spans="1:21" x14ac:dyDescent="0.25">
      <c r="A52" t="s">
        <v>269</v>
      </c>
      <c r="O52">
        <v>80.569999999999993</v>
      </c>
      <c r="P52">
        <v>81.75</v>
      </c>
      <c r="Q52">
        <v>80.040000000000006</v>
      </c>
    </row>
    <row r="53" spans="1:21" x14ac:dyDescent="0.25">
      <c r="A53" t="s">
        <v>17</v>
      </c>
    </row>
    <row r="54" spans="1:21" x14ac:dyDescent="0.25">
      <c r="A54" t="s">
        <v>1412</v>
      </c>
    </row>
    <row r="55" spans="1:21" x14ac:dyDescent="0.25">
      <c r="A55" t="s">
        <v>60</v>
      </c>
      <c r="B55" s="2">
        <v>3099.9</v>
      </c>
      <c r="C55" s="2">
        <v>3154.99</v>
      </c>
      <c r="D55" s="2">
        <v>3667.67</v>
      </c>
      <c r="E55" s="2">
        <v>3749</v>
      </c>
      <c r="F55" s="2">
        <v>5883.12</v>
      </c>
      <c r="G55" s="2">
        <v>6746.85</v>
      </c>
      <c r="H55" s="2">
        <v>4411.8</v>
      </c>
      <c r="I55" s="2">
        <v>6343.51</v>
      </c>
      <c r="J55" s="2">
        <v>9200.36</v>
      </c>
      <c r="K55" s="2">
        <v>11009.58</v>
      </c>
      <c r="L55" s="2">
        <v>7391.75</v>
      </c>
      <c r="M55" s="2">
        <v>14135.4</v>
      </c>
      <c r="N55" s="2">
        <v>14561.47</v>
      </c>
      <c r="O55" s="2">
        <v>62085.27</v>
      </c>
      <c r="P55" s="2">
        <v>92541.86</v>
      </c>
      <c r="Q55" s="2">
        <v>101524.22</v>
      </c>
      <c r="R55" s="2">
        <v>95957.03</v>
      </c>
      <c r="S55" s="2">
        <v>75357.460000000006</v>
      </c>
    </row>
    <row r="56" spans="1:21" x14ac:dyDescent="0.25">
      <c r="A56" t="s">
        <v>61</v>
      </c>
      <c r="O56">
        <v>24.26</v>
      </c>
      <c r="P56">
        <v>23.1</v>
      </c>
      <c r="Q56">
        <v>22.1</v>
      </c>
      <c r="R56">
        <v>20.54</v>
      </c>
      <c r="S56">
        <v>14.53</v>
      </c>
    </row>
    <row r="57" spans="1:21" x14ac:dyDescent="0.25">
      <c r="A57" t="s">
        <v>62</v>
      </c>
    </row>
    <row r="58" spans="1:21" x14ac:dyDescent="0.25">
      <c r="A58" t="s">
        <v>63</v>
      </c>
      <c r="O58" s="2">
        <v>44344.76</v>
      </c>
      <c r="P58" s="2">
        <v>80450.36</v>
      </c>
      <c r="Q58" s="2">
        <v>40032.1</v>
      </c>
    </row>
    <row r="59" spans="1:21" x14ac:dyDescent="0.25">
      <c r="A59" t="s">
        <v>116</v>
      </c>
      <c r="O59" s="2">
        <v>40500.31</v>
      </c>
      <c r="P59" s="2">
        <v>62672.29</v>
      </c>
      <c r="Q59" s="2">
        <v>60354.59</v>
      </c>
    </row>
    <row r="60" spans="1:21" x14ac:dyDescent="0.25">
      <c r="A60" t="s">
        <v>269</v>
      </c>
      <c r="O60">
        <v>68.66</v>
      </c>
      <c r="P60">
        <v>71.81</v>
      </c>
      <c r="Q60">
        <v>66.36</v>
      </c>
    </row>
    <row r="61" spans="1:21" x14ac:dyDescent="0.25">
      <c r="A61" t="s">
        <v>17</v>
      </c>
    </row>
    <row r="62" spans="1:21" x14ac:dyDescent="0.25">
      <c r="A62" t="s">
        <v>260</v>
      </c>
    </row>
    <row r="63" spans="1:21" x14ac:dyDescent="0.25">
      <c r="A63" t="s">
        <v>60</v>
      </c>
      <c r="B63">
        <v>513.26</v>
      </c>
      <c r="C63">
        <v>468.67</v>
      </c>
      <c r="D63">
        <v>534.32000000000005</v>
      </c>
      <c r="E63">
        <v>439.51</v>
      </c>
      <c r="F63">
        <v>507.39</v>
      </c>
      <c r="G63">
        <v>593.94000000000005</v>
      </c>
      <c r="H63" s="2">
        <v>1337.8</v>
      </c>
      <c r="I63" s="2">
        <v>1607.07</v>
      </c>
      <c r="J63" s="2">
        <v>1632.77</v>
      </c>
      <c r="K63" s="2">
        <v>1761.08</v>
      </c>
      <c r="L63" s="2">
        <v>1794.89</v>
      </c>
      <c r="M63" s="2">
        <v>1604.05</v>
      </c>
      <c r="N63" s="2">
        <v>1092.5999999999999</v>
      </c>
      <c r="O63">
        <v>984.94</v>
      </c>
      <c r="P63" s="2">
        <v>1070.81</v>
      </c>
      <c r="Q63" s="2">
        <v>1056.55</v>
      </c>
      <c r="R63" s="2">
        <v>1075.48</v>
      </c>
      <c r="S63" s="2">
        <v>1027.51</v>
      </c>
      <c r="T63" s="2">
        <v>1048.47</v>
      </c>
      <c r="U63" s="2">
        <v>1048.47</v>
      </c>
    </row>
    <row r="64" spans="1:21" x14ac:dyDescent="0.25">
      <c r="A64" t="s">
        <v>17</v>
      </c>
    </row>
    <row r="65" spans="1:21" x14ac:dyDescent="0.25">
      <c r="A65" t="s">
        <v>250</v>
      </c>
    </row>
    <row r="66" spans="1:21" x14ac:dyDescent="0.25">
      <c r="A66" t="s">
        <v>60</v>
      </c>
      <c r="O66" s="2">
        <v>32751.41</v>
      </c>
      <c r="P66" s="2">
        <v>73566.710000000006</v>
      </c>
      <c r="Q66" s="2">
        <v>116581.51</v>
      </c>
      <c r="R66" s="2">
        <v>146493.42000000001</v>
      </c>
      <c r="S66" s="2">
        <v>126057.06</v>
      </c>
    </row>
    <row r="67" spans="1:21" x14ac:dyDescent="0.25">
      <c r="A67" t="s">
        <v>1413</v>
      </c>
      <c r="O67">
        <v>21.77</v>
      </c>
      <c r="P67">
        <v>28.08</v>
      </c>
      <c r="Q67">
        <v>36.799999999999997</v>
      </c>
      <c r="R67">
        <v>69.209999999999994</v>
      </c>
      <c r="S67">
        <v>84.06</v>
      </c>
    </row>
    <row r="68" spans="1:21" x14ac:dyDescent="0.25">
      <c r="A68" t="s">
        <v>116</v>
      </c>
      <c r="O68" s="2">
        <v>15163.51</v>
      </c>
      <c r="P68" s="2">
        <v>42754.8</v>
      </c>
      <c r="Q68" s="2">
        <v>70049.86</v>
      </c>
    </row>
    <row r="69" spans="1:21" x14ac:dyDescent="0.25">
      <c r="A69" t="s">
        <v>269</v>
      </c>
      <c r="O69">
        <v>59.34</v>
      </c>
      <c r="P69">
        <v>69.459999999999994</v>
      </c>
      <c r="Q69">
        <v>71.41</v>
      </c>
    </row>
    <row r="70" spans="1:21" x14ac:dyDescent="0.25">
      <c r="A70" t="s">
        <v>17</v>
      </c>
    </row>
    <row r="71" spans="1:21" x14ac:dyDescent="0.25">
      <c r="A71" t="s">
        <v>274</v>
      </c>
    </row>
    <row r="72" spans="1:21" x14ac:dyDescent="0.25">
      <c r="A72" t="s">
        <v>80</v>
      </c>
      <c r="B72" s="2">
        <v>12946.97</v>
      </c>
      <c r="C72" s="2">
        <v>16271.14</v>
      </c>
      <c r="D72" s="2">
        <v>16619.95</v>
      </c>
      <c r="E72" s="2">
        <v>14830.31</v>
      </c>
      <c r="F72" s="2">
        <v>26642.21</v>
      </c>
      <c r="G72" s="2">
        <v>36771.599999999999</v>
      </c>
      <c r="H72" s="2">
        <v>23168.86</v>
      </c>
      <c r="I72" s="2">
        <v>27085.26</v>
      </c>
      <c r="J72" s="2">
        <v>37570.379999999997</v>
      </c>
      <c r="K72" s="2">
        <v>34635.33</v>
      </c>
      <c r="L72" s="2">
        <v>25090.06</v>
      </c>
      <c r="M72" s="2">
        <v>48545.11</v>
      </c>
      <c r="N72" s="2">
        <v>68370.820000000007</v>
      </c>
      <c r="O72" s="2">
        <v>255443.89</v>
      </c>
      <c r="P72" s="2">
        <v>396538.68</v>
      </c>
      <c r="Q72" s="2">
        <v>459097.26</v>
      </c>
      <c r="R72" s="2">
        <v>458698.41</v>
      </c>
      <c r="S72" s="2">
        <v>419998.48</v>
      </c>
      <c r="T72" s="2">
        <v>544995.30000000005</v>
      </c>
      <c r="U72" s="2">
        <v>474614.89</v>
      </c>
    </row>
    <row r="73" spans="1:21" x14ac:dyDescent="0.25">
      <c r="A73" t="s">
        <v>17</v>
      </c>
    </row>
    <row r="74" spans="1:21" x14ac:dyDescent="0.25">
      <c r="A74" t="s">
        <v>82</v>
      </c>
      <c r="B74" s="2">
        <v>8102.28</v>
      </c>
      <c r="C74" s="2">
        <v>8989.66</v>
      </c>
      <c r="D74" s="2">
        <v>9296.98</v>
      </c>
      <c r="E74" s="2">
        <v>9302.06</v>
      </c>
      <c r="F74" s="2">
        <v>11239.17</v>
      </c>
      <c r="G74" s="2">
        <v>13802.02</v>
      </c>
      <c r="H74" s="2">
        <v>16154.08</v>
      </c>
      <c r="I74" s="2">
        <v>17906.419999999998</v>
      </c>
      <c r="J74" s="2">
        <v>21010.44</v>
      </c>
      <c r="K74" s="2">
        <v>22504.959999999999</v>
      </c>
      <c r="L74" s="2">
        <v>25498.54</v>
      </c>
      <c r="M74" s="2">
        <v>25202.73</v>
      </c>
      <c r="N74" s="2">
        <v>27064.85</v>
      </c>
      <c r="O74" s="2">
        <v>40928.25</v>
      </c>
      <c r="P74" s="2">
        <v>61746.44</v>
      </c>
      <c r="Q74" s="2">
        <v>79641.03</v>
      </c>
      <c r="R74" s="2">
        <v>108126.05</v>
      </c>
      <c r="S74" s="2">
        <v>128405.86</v>
      </c>
      <c r="T74" s="2">
        <v>223999.01</v>
      </c>
      <c r="U74" s="2">
        <v>321134.74</v>
      </c>
    </row>
    <row r="75" spans="1:21" x14ac:dyDescent="0.25">
      <c r="A75" t="s">
        <v>83</v>
      </c>
      <c r="B75">
        <v>62.58</v>
      </c>
      <c r="C75">
        <v>55.25</v>
      </c>
      <c r="D75">
        <v>55.94</v>
      </c>
      <c r="E75">
        <v>62.72</v>
      </c>
      <c r="F75">
        <v>42.19</v>
      </c>
      <c r="G75">
        <v>37.53</v>
      </c>
      <c r="H75">
        <v>69.72</v>
      </c>
      <c r="I75">
        <v>66.11</v>
      </c>
      <c r="J75">
        <v>55.92</v>
      </c>
      <c r="K75">
        <v>64.98</v>
      </c>
      <c r="L75">
        <v>101.63</v>
      </c>
      <c r="M75">
        <v>51.92</v>
      </c>
      <c r="N75">
        <v>39.590000000000003</v>
      </c>
      <c r="O75">
        <v>20.5</v>
      </c>
      <c r="P75">
        <v>21.63</v>
      </c>
      <c r="Q75">
        <v>24.08</v>
      </c>
      <c r="R75">
        <v>39.590000000000003</v>
      </c>
      <c r="S75">
        <v>39.590000000000003</v>
      </c>
      <c r="T75">
        <v>39.590000000000003</v>
      </c>
      <c r="U75">
        <v>39.590000000000003</v>
      </c>
    </row>
    <row r="76" spans="1:21" x14ac:dyDescent="0.25">
      <c r="A76" t="s">
        <v>84</v>
      </c>
      <c r="B76" s="2">
        <v>4844.7</v>
      </c>
      <c r="C76" s="2">
        <v>7281.48</v>
      </c>
      <c r="D76" s="2">
        <v>7322.97</v>
      </c>
      <c r="E76" s="2">
        <v>5528.25</v>
      </c>
      <c r="F76" s="2">
        <v>15403.03</v>
      </c>
      <c r="G76" s="2">
        <v>22969.58</v>
      </c>
      <c r="H76" s="2">
        <v>7014.78</v>
      </c>
      <c r="I76" s="2">
        <v>9178.83</v>
      </c>
      <c r="J76" s="2">
        <v>16559.95</v>
      </c>
      <c r="K76" s="2">
        <v>12130.37</v>
      </c>
      <c r="L76">
        <v>-408.48</v>
      </c>
      <c r="M76" s="2">
        <v>23342.37</v>
      </c>
      <c r="N76" s="2">
        <v>41305.97</v>
      </c>
      <c r="O76" s="2">
        <v>215719.87</v>
      </c>
      <c r="P76" s="2">
        <v>339967.47</v>
      </c>
      <c r="Q76" s="2">
        <v>370067.3</v>
      </c>
      <c r="R76" s="2">
        <v>363642.17</v>
      </c>
      <c r="S76" s="2">
        <v>360305.36</v>
      </c>
      <c r="T76" s="2">
        <v>1070757.1499999999</v>
      </c>
      <c r="U76" s="2">
        <v>1571473.72</v>
      </c>
    </row>
    <row r="77" spans="1:21" x14ac:dyDescent="0.25">
      <c r="A77" t="s">
        <v>85</v>
      </c>
      <c r="B77">
        <v>37.4</v>
      </c>
      <c r="C77">
        <v>44.8</v>
      </c>
      <c r="D77">
        <v>44.1</v>
      </c>
      <c r="E77">
        <v>37.28</v>
      </c>
      <c r="F77">
        <v>57.81</v>
      </c>
      <c r="G77">
        <v>62.46</v>
      </c>
      <c r="H77">
        <v>30.25</v>
      </c>
      <c r="I77">
        <v>33.89</v>
      </c>
      <c r="J77">
        <v>44.08</v>
      </c>
      <c r="K77">
        <v>35.020000000000003</v>
      </c>
      <c r="L77">
        <v>-1.63</v>
      </c>
      <c r="M77">
        <v>48.08</v>
      </c>
      <c r="N77">
        <v>60.41</v>
      </c>
      <c r="O77">
        <v>84.07</v>
      </c>
      <c r="P77">
        <v>84.35</v>
      </c>
      <c r="Q77">
        <v>81.290000000000006</v>
      </c>
      <c r="R77">
        <v>76.540000000000006</v>
      </c>
      <c r="S77">
        <v>69.91</v>
      </c>
      <c r="T77">
        <v>72.08</v>
      </c>
      <c r="U77">
        <v>72.08</v>
      </c>
    </row>
    <row r="78" spans="1:21" x14ac:dyDescent="0.25">
      <c r="A78" t="s">
        <v>17</v>
      </c>
    </row>
    <row r="79" spans="1:21" x14ac:dyDescent="0.25">
      <c r="A79" t="s">
        <v>275</v>
      </c>
      <c r="B79" s="2">
        <v>9857.83</v>
      </c>
      <c r="C79" s="2">
        <v>11416.6</v>
      </c>
      <c r="D79" s="2">
        <v>11902.12</v>
      </c>
      <c r="E79" s="2">
        <v>12004.68</v>
      </c>
      <c r="F79" s="2">
        <v>14500.95</v>
      </c>
      <c r="G79" s="2">
        <v>17821.009999999998</v>
      </c>
      <c r="H79" s="2">
        <v>20834.71</v>
      </c>
      <c r="I79" s="2">
        <v>22829.26</v>
      </c>
      <c r="J79" s="2">
        <v>26726.54</v>
      </c>
      <c r="K79" s="2">
        <v>29349.85</v>
      </c>
      <c r="L79" s="2">
        <v>31009.48</v>
      </c>
      <c r="M79" s="2">
        <v>31334.46</v>
      </c>
      <c r="N79" s="2">
        <v>35147.51</v>
      </c>
      <c r="O79" s="2">
        <v>58566.12</v>
      </c>
      <c r="P79" s="2">
        <v>79639.73</v>
      </c>
      <c r="Q79" s="2">
        <v>107324.21</v>
      </c>
      <c r="R79" s="2">
        <v>142617.20000000001</v>
      </c>
      <c r="S79" s="2">
        <v>162455.59</v>
      </c>
      <c r="T79" s="2">
        <v>223999.01</v>
      </c>
      <c r="U79" s="2">
        <v>321134.74</v>
      </c>
    </row>
    <row r="80" spans="1:21" x14ac:dyDescent="0.25">
      <c r="A80" t="s">
        <v>276</v>
      </c>
      <c r="B80" s="2">
        <v>1755.56</v>
      </c>
      <c r="C80" s="2">
        <v>2426.9299999999998</v>
      </c>
      <c r="D80" s="2">
        <v>2605.14</v>
      </c>
      <c r="E80" s="2">
        <v>2702.62</v>
      </c>
      <c r="F80" s="2">
        <v>3261.78</v>
      </c>
      <c r="G80" s="2">
        <v>4018.98</v>
      </c>
      <c r="H80" s="2">
        <v>4680.63</v>
      </c>
      <c r="I80" s="2">
        <v>4922.83</v>
      </c>
      <c r="J80" s="2">
        <v>5716.1</v>
      </c>
      <c r="K80" s="2">
        <v>6844.89</v>
      </c>
      <c r="L80" s="2">
        <v>5510.94</v>
      </c>
      <c r="M80" s="2">
        <v>6131.73</v>
      </c>
      <c r="N80" s="2">
        <v>8082.65</v>
      </c>
      <c r="O80" s="2">
        <v>17922.87</v>
      </c>
      <c r="P80" s="2">
        <v>25162.22</v>
      </c>
      <c r="Q80" s="2">
        <v>27498.33</v>
      </c>
      <c r="R80" s="2">
        <v>34491.15</v>
      </c>
      <c r="S80" s="2">
        <v>34049.730000000003</v>
      </c>
    </row>
    <row r="81" spans="1:21" x14ac:dyDescent="0.25">
      <c r="A81" t="s">
        <v>61</v>
      </c>
      <c r="B81">
        <v>13.56</v>
      </c>
      <c r="C81">
        <v>14.92</v>
      </c>
      <c r="D81">
        <v>15.67</v>
      </c>
      <c r="E81">
        <v>18.22</v>
      </c>
      <c r="F81">
        <v>12.24</v>
      </c>
      <c r="G81">
        <v>10.93</v>
      </c>
      <c r="H81">
        <v>20.2</v>
      </c>
      <c r="I81">
        <v>18.18</v>
      </c>
      <c r="J81">
        <v>15.21</v>
      </c>
      <c r="K81">
        <v>19.760000000000002</v>
      </c>
      <c r="L81">
        <v>21.96</v>
      </c>
      <c r="M81">
        <v>12.63</v>
      </c>
      <c r="N81">
        <v>11.82</v>
      </c>
      <c r="O81">
        <v>7.27</v>
      </c>
      <c r="P81">
        <v>6.37</v>
      </c>
      <c r="Q81">
        <v>6.23</v>
      </c>
      <c r="R81">
        <v>7.3</v>
      </c>
      <c r="S81">
        <v>7.43</v>
      </c>
      <c r="T81">
        <v>7.16</v>
      </c>
      <c r="U81">
        <v>7.18</v>
      </c>
    </row>
    <row r="82" spans="1:21" x14ac:dyDescent="0.25">
      <c r="A82" t="s">
        <v>683</v>
      </c>
      <c r="B82">
        <v>885.49</v>
      </c>
      <c r="C82" s="2">
        <v>1339.21</v>
      </c>
      <c r="D82" s="2">
        <v>1432.58</v>
      </c>
      <c r="E82" s="2">
        <v>1504.51</v>
      </c>
      <c r="F82" s="2">
        <v>1747.91</v>
      </c>
      <c r="G82" s="2">
        <v>2076.5500000000002</v>
      </c>
      <c r="H82" s="2">
        <v>2451.29</v>
      </c>
      <c r="I82" s="2">
        <v>2641.67</v>
      </c>
      <c r="J82" s="2">
        <v>3102.95</v>
      </c>
      <c r="K82" s="2">
        <v>3473.15</v>
      </c>
      <c r="L82" s="2">
        <v>2872.07</v>
      </c>
      <c r="M82" s="2">
        <v>3253.56</v>
      </c>
      <c r="N82" s="2">
        <v>4550.45</v>
      </c>
      <c r="O82" s="2">
        <v>9006.09</v>
      </c>
      <c r="P82" s="2">
        <v>11999.94</v>
      </c>
      <c r="Q82" s="2">
        <v>14353.27</v>
      </c>
      <c r="R82" s="2">
        <v>16421</v>
      </c>
      <c r="S82" s="2">
        <v>13778.21</v>
      </c>
      <c r="T82" s="2">
        <v>23295.98</v>
      </c>
      <c r="U82" s="2">
        <v>34189.85</v>
      </c>
    </row>
    <row r="83" spans="1:21" x14ac:dyDescent="0.25">
      <c r="A83" t="s">
        <v>1414</v>
      </c>
      <c r="B83">
        <v>8.08</v>
      </c>
      <c r="C83">
        <v>8.31</v>
      </c>
      <c r="D83">
        <v>9.34</v>
      </c>
      <c r="E83">
        <v>10.87</v>
      </c>
      <c r="F83">
        <v>8.26</v>
      </c>
      <c r="G83">
        <v>7.16</v>
      </c>
      <c r="H83">
        <v>11.81</v>
      </c>
      <c r="I83">
        <v>10.57</v>
      </c>
      <c r="J83">
        <v>9.41</v>
      </c>
      <c r="K83">
        <v>10.99</v>
      </c>
      <c r="L83">
        <v>12.78</v>
      </c>
      <c r="M83">
        <v>7.48</v>
      </c>
      <c r="N83">
        <v>6.93</v>
      </c>
      <c r="O83">
        <v>3.46</v>
      </c>
      <c r="P83">
        <v>3.17</v>
      </c>
      <c r="Q83">
        <v>3.33</v>
      </c>
      <c r="R83">
        <v>3.4</v>
      </c>
      <c r="S83">
        <v>2.78</v>
      </c>
      <c r="T83">
        <v>1.57</v>
      </c>
      <c r="U83">
        <v>1.57</v>
      </c>
    </row>
    <row r="84" spans="1:21" x14ac:dyDescent="0.25">
      <c r="A84" t="s">
        <v>1415</v>
      </c>
      <c r="B84">
        <v>141.96</v>
      </c>
      <c r="C84">
        <v>161.37</v>
      </c>
      <c r="D84">
        <v>211.51</v>
      </c>
      <c r="E84">
        <v>243.51</v>
      </c>
      <c r="F84">
        <v>308.39</v>
      </c>
      <c r="G84">
        <v>402.21</v>
      </c>
      <c r="H84">
        <v>590.03</v>
      </c>
      <c r="I84">
        <v>611.03</v>
      </c>
      <c r="J84">
        <v>459.76</v>
      </c>
      <c r="K84">
        <v>321.77999999999997</v>
      </c>
      <c r="L84">
        <v>216.46</v>
      </c>
      <c r="M84">
        <v>188.37</v>
      </c>
      <c r="N84">
        <v>340.29</v>
      </c>
      <c r="O84">
        <v>270.97000000000003</v>
      </c>
      <c r="P84">
        <v>316.27</v>
      </c>
      <c r="Q84">
        <v>306.3</v>
      </c>
      <c r="R84">
        <v>156.62</v>
      </c>
      <c r="S84">
        <v>124.67</v>
      </c>
      <c r="T84">
        <v>99.24</v>
      </c>
      <c r="U84">
        <v>78.989999999999995</v>
      </c>
    </row>
    <row r="85" spans="1:21" x14ac:dyDescent="0.25">
      <c r="A85" t="s">
        <v>17</v>
      </c>
    </row>
    <row r="86" spans="1:21" x14ac:dyDescent="0.25">
      <c r="A86" t="s">
        <v>91</v>
      </c>
      <c r="B86" s="2">
        <v>3089.14</v>
      </c>
      <c r="C86" s="2">
        <v>4854.55</v>
      </c>
      <c r="D86" s="2">
        <v>4717.83</v>
      </c>
      <c r="E86" s="2">
        <v>2825.63</v>
      </c>
      <c r="F86" s="2">
        <v>12141.26</v>
      </c>
      <c r="G86" s="2">
        <v>18950.59</v>
      </c>
      <c r="H86" s="2">
        <v>2328.6</v>
      </c>
      <c r="I86" s="2">
        <v>4255.9799999999996</v>
      </c>
      <c r="J86" s="2">
        <v>10843.84</v>
      </c>
      <c r="K86" s="2">
        <v>5285.48</v>
      </c>
      <c r="L86" s="2">
        <v>-5919.42</v>
      </c>
      <c r="M86" s="2">
        <v>17210.650000000001</v>
      </c>
      <c r="N86" s="2">
        <v>33223.32</v>
      </c>
      <c r="O86" s="2">
        <v>197459.28</v>
      </c>
      <c r="P86" s="2">
        <v>312413.59000000003</v>
      </c>
      <c r="Q86" s="2">
        <v>349440.78</v>
      </c>
      <c r="R86" s="2">
        <v>369844.1</v>
      </c>
      <c r="S86" s="2">
        <v>361636.25</v>
      </c>
      <c r="T86" s="2">
        <v>784924.1</v>
      </c>
      <c r="U86" s="2">
        <v>1571473.72</v>
      </c>
    </row>
    <row r="87" spans="1:21" x14ac:dyDescent="0.25">
      <c r="A87" t="s">
        <v>92</v>
      </c>
      <c r="B87">
        <v>23.86</v>
      </c>
      <c r="C87">
        <v>29.84</v>
      </c>
      <c r="D87">
        <v>28.39</v>
      </c>
      <c r="E87">
        <v>19.05</v>
      </c>
      <c r="F87">
        <v>45.57</v>
      </c>
      <c r="G87">
        <v>51.54</v>
      </c>
      <c r="H87">
        <v>10.07</v>
      </c>
      <c r="I87">
        <v>15.71</v>
      </c>
      <c r="J87">
        <v>28.86</v>
      </c>
      <c r="K87">
        <v>15.26</v>
      </c>
      <c r="L87">
        <v>-23.59</v>
      </c>
      <c r="M87">
        <v>35.450000000000003</v>
      </c>
      <c r="N87">
        <v>48.59</v>
      </c>
      <c r="O87">
        <v>76.8</v>
      </c>
      <c r="P87">
        <v>78.44</v>
      </c>
      <c r="Q87">
        <v>74.349999999999994</v>
      </c>
      <c r="R87">
        <v>63.71</v>
      </c>
      <c r="S87">
        <v>50.22</v>
      </c>
      <c r="T87">
        <v>72.08</v>
      </c>
      <c r="U87">
        <v>72.08</v>
      </c>
    </row>
    <row r="88" spans="1:21" x14ac:dyDescent="0.25">
      <c r="A88" t="s">
        <v>17</v>
      </c>
    </row>
    <row r="89" spans="1:21" x14ac:dyDescent="0.25">
      <c r="A89" t="s">
        <v>93</v>
      </c>
      <c r="B89" s="2">
        <v>2813.78</v>
      </c>
      <c r="C89" s="2">
        <v>3272.15</v>
      </c>
      <c r="D89" s="2">
        <v>3495.19</v>
      </c>
      <c r="E89" s="2">
        <v>3842.84</v>
      </c>
      <c r="F89" s="2">
        <v>4447.3500000000004</v>
      </c>
      <c r="G89" s="2">
        <v>5844.4</v>
      </c>
      <c r="H89" s="2">
        <v>7399.74</v>
      </c>
      <c r="I89" s="2">
        <v>8296.9</v>
      </c>
      <c r="J89" s="2">
        <v>9311.58</v>
      </c>
      <c r="K89" s="2">
        <v>10984.39</v>
      </c>
      <c r="L89" s="2">
        <v>10470.49</v>
      </c>
      <c r="M89" s="2">
        <v>9227.14</v>
      </c>
      <c r="N89" s="2">
        <v>9803.8799999999992</v>
      </c>
      <c r="O89" s="2">
        <v>12093.75</v>
      </c>
      <c r="P89" s="2">
        <v>15837.58</v>
      </c>
      <c r="Q89" s="2">
        <v>20094.71</v>
      </c>
      <c r="R89" s="2">
        <v>30158.47</v>
      </c>
      <c r="S89" s="2">
        <v>34750.400000000001</v>
      </c>
      <c r="T89" s="2">
        <v>28244.01</v>
      </c>
      <c r="U89" s="2">
        <v>28526.45</v>
      </c>
    </row>
    <row r="90" spans="1:21" x14ac:dyDescent="0.25">
      <c r="A90" t="s">
        <v>94</v>
      </c>
      <c r="B90" s="2">
        <v>2670.95</v>
      </c>
      <c r="C90" s="2">
        <v>3106.57</v>
      </c>
      <c r="D90" s="2">
        <v>3437.42</v>
      </c>
      <c r="E90" s="2">
        <v>3564.68</v>
      </c>
      <c r="F90" s="2">
        <v>4086.9</v>
      </c>
      <c r="G90" s="2">
        <v>5367.9</v>
      </c>
      <c r="H90" s="2">
        <v>6717.16</v>
      </c>
      <c r="I90" s="2">
        <v>7481.34</v>
      </c>
      <c r="J90" s="2">
        <v>8616.11</v>
      </c>
      <c r="K90" s="2">
        <v>10379.26</v>
      </c>
      <c r="L90" s="2">
        <v>10047.379999999999</v>
      </c>
      <c r="M90" s="2">
        <v>8789.89</v>
      </c>
      <c r="N90" s="2">
        <v>9219.16</v>
      </c>
      <c r="O90" s="2">
        <v>12153.59</v>
      </c>
      <c r="P90" s="2">
        <v>16292.51</v>
      </c>
      <c r="Q90" s="2">
        <v>21534.67</v>
      </c>
      <c r="R90" s="2">
        <v>33700.269999999997</v>
      </c>
      <c r="S90" s="2">
        <v>32691.15</v>
      </c>
      <c r="T90" s="2">
        <v>14299.9</v>
      </c>
      <c r="U90" s="2">
        <v>11511.27</v>
      </c>
    </row>
    <row r="91" spans="1:21" x14ac:dyDescent="0.25">
      <c r="A91" t="s">
        <v>127</v>
      </c>
      <c r="B91">
        <v>142.84</v>
      </c>
      <c r="C91">
        <v>165.58</v>
      </c>
      <c r="D91">
        <v>228.18</v>
      </c>
      <c r="E91">
        <v>278.16000000000003</v>
      </c>
      <c r="F91">
        <v>360.45</v>
      </c>
      <c r="G91">
        <v>476.49</v>
      </c>
      <c r="H91">
        <v>682.57</v>
      </c>
      <c r="I91">
        <v>815.56</v>
      </c>
      <c r="J91">
        <v>695.47</v>
      </c>
      <c r="K91">
        <v>605.13</v>
      </c>
      <c r="L91">
        <v>423.1</v>
      </c>
      <c r="M91">
        <v>437.25</v>
      </c>
      <c r="N91">
        <v>584.72</v>
      </c>
      <c r="O91">
        <v>678.78</v>
      </c>
      <c r="P91">
        <v>862.54</v>
      </c>
      <c r="Q91">
        <v>987.27</v>
      </c>
      <c r="R91">
        <v>623.79</v>
      </c>
      <c r="S91">
        <v>573.57000000000005</v>
      </c>
      <c r="T91">
        <v>170.52</v>
      </c>
      <c r="U91">
        <v>135.72999999999999</v>
      </c>
    </row>
    <row r="92" spans="1:21" x14ac:dyDescent="0.25">
      <c r="A92" t="s">
        <v>277</v>
      </c>
      <c r="B92" s="2">
        <v>5791.14</v>
      </c>
      <c r="C92" s="2">
        <v>8121.53</v>
      </c>
      <c r="D92" s="2">
        <v>8206.5300000000007</v>
      </c>
      <c r="E92" s="2">
        <v>6663.21</v>
      </c>
      <c r="F92" s="2">
        <v>16584.66</v>
      </c>
      <c r="G92" s="2">
        <v>24785.9</v>
      </c>
      <c r="H92" s="2">
        <v>9657.86</v>
      </c>
      <c r="I92" s="2">
        <v>12552.88</v>
      </c>
      <c r="J92" s="2">
        <v>20146.62</v>
      </c>
      <c r="K92" s="2">
        <v>16269.88</v>
      </c>
      <c r="L92" s="2">
        <v>4509.45</v>
      </c>
      <c r="M92" s="2">
        <v>26410.82</v>
      </c>
      <c r="N92" s="2">
        <v>43021.45</v>
      </c>
      <c r="O92" s="2">
        <v>208194.37</v>
      </c>
      <c r="P92" s="2">
        <v>324227.67</v>
      </c>
      <c r="Q92" s="2">
        <v>368853.78</v>
      </c>
      <c r="R92" s="2">
        <v>392053.3</v>
      </c>
      <c r="S92" s="2">
        <v>432152.06</v>
      </c>
      <c r="T92" s="2">
        <v>1085227.56</v>
      </c>
      <c r="U92" s="2">
        <v>1583120.72</v>
      </c>
    </row>
    <row r="93" spans="1:21" x14ac:dyDescent="0.25">
      <c r="A93" t="s">
        <v>481</v>
      </c>
      <c r="B93">
        <v>45.59</v>
      </c>
      <c r="C93">
        <v>49.95</v>
      </c>
      <c r="D93">
        <v>49.42</v>
      </c>
      <c r="E93">
        <v>44.97</v>
      </c>
      <c r="F93">
        <v>62.26</v>
      </c>
      <c r="G93">
        <v>67.430000000000007</v>
      </c>
      <c r="H93">
        <v>42.01</v>
      </c>
      <c r="I93">
        <v>46.35</v>
      </c>
      <c r="J93">
        <v>53.65</v>
      </c>
      <c r="K93">
        <v>46.97</v>
      </c>
      <c r="L93">
        <v>18.14</v>
      </c>
      <c r="M93">
        <v>54.46</v>
      </c>
      <c r="N93">
        <v>62.93</v>
      </c>
      <c r="O93">
        <v>81.3</v>
      </c>
      <c r="P93">
        <v>81.25</v>
      </c>
      <c r="Q93">
        <v>79.400000000000006</v>
      </c>
      <c r="R93">
        <v>68.83</v>
      </c>
      <c r="S93">
        <v>61.17</v>
      </c>
      <c r="T93">
        <v>73.06</v>
      </c>
      <c r="U93">
        <v>72.62</v>
      </c>
    </row>
    <row r="94" spans="1:21" x14ac:dyDescent="0.25">
      <c r="A94" t="s">
        <v>17</v>
      </c>
    </row>
    <row r="95" spans="1:21" x14ac:dyDescent="0.25">
      <c r="A95" t="s">
        <v>95</v>
      </c>
      <c r="B95">
        <v>278.64</v>
      </c>
      <c r="C95">
        <v>58.71</v>
      </c>
      <c r="D95">
        <v>59.22</v>
      </c>
      <c r="E95">
        <v>51.99</v>
      </c>
      <c r="F95">
        <v>249.31</v>
      </c>
      <c r="G95">
        <v>-452.11</v>
      </c>
      <c r="H95">
        <v>245.97</v>
      </c>
      <c r="I95" s="2">
        <v>-1039.5999999999999</v>
      </c>
      <c r="J95">
        <v>-878.71</v>
      </c>
      <c r="K95" s="2">
        <v>2178.52</v>
      </c>
      <c r="L95" s="2">
        <v>3007.45</v>
      </c>
      <c r="M95">
        <v>-306.58</v>
      </c>
      <c r="N95" s="2">
        <v>-2293.81</v>
      </c>
      <c r="O95" s="2">
        <v>-47696.62</v>
      </c>
      <c r="P95" s="2">
        <v>-1228.18</v>
      </c>
      <c r="Q95" s="2">
        <v>-1903.24</v>
      </c>
      <c r="R95" s="2">
        <v>-5452.41</v>
      </c>
      <c r="S95" s="2">
        <v>-4825.17</v>
      </c>
    </row>
    <row r="96" spans="1:21" x14ac:dyDescent="0.25">
      <c r="A96" t="s">
        <v>392</v>
      </c>
      <c r="B96">
        <v>173.86</v>
      </c>
      <c r="C96">
        <v>112.34</v>
      </c>
      <c r="D96">
        <v>68.78</v>
      </c>
      <c r="E96">
        <v>74.12</v>
      </c>
      <c r="F96">
        <v>61.62</v>
      </c>
      <c r="G96">
        <v>29.24</v>
      </c>
      <c r="H96">
        <v>184.88</v>
      </c>
      <c r="I96">
        <v>191.54</v>
      </c>
      <c r="J96">
        <v>207.56</v>
      </c>
      <c r="K96">
        <v>344.29</v>
      </c>
      <c r="L96">
        <v>958.59</v>
      </c>
      <c r="M96">
        <v>733.7</v>
      </c>
      <c r="N96">
        <v>302.19</v>
      </c>
      <c r="O96">
        <v>-643.85</v>
      </c>
      <c r="P96" s="2">
        <v>-2432.4899999999998</v>
      </c>
      <c r="Q96" s="2">
        <v>-4078.75</v>
      </c>
      <c r="R96" s="2">
        <v>-4273.8</v>
      </c>
      <c r="S96" s="2">
        <v>-3505.13</v>
      </c>
      <c r="T96" s="2">
        <v>-2821.49</v>
      </c>
      <c r="U96" s="2">
        <v>-4318.47</v>
      </c>
    </row>
    <row r="97" spans="1:21" x14ac:dyDescent="0.25">
      <c r="A97" t="s">
        <v>398</v>
      </c>
      <c r="B97">
        <v>60.7</v>
      </c>
      <c r="C97">
        <v>49.52</v>
      </c>
      <c r="D97">
        <v>36</v>
      </c>
      <c r="E97">
        <v>29.47</v>
      </c>
      <c r="F97">
        <v>48.03</v>
      </c>
      <c r="G97">
        <v>56.8</v>
      </c>
      <c r="H97">
        <v>25.81</v>
      </c>
      <c r="I97">
        <v>23.66</v>
      </c>
      <c r="J97">
        <v>19.59</v>
      </c>
      <c r="K97">
        <v>69.52</v>
      </c>
      <c r="L97">
        <v>165.73</v>
      </c>
      <c r="M97">
        <v>252.88</v>
      </c>
      <c r="N97">
        <v>347.9</v>
      </c>
      <c r="O97" s="2">
        <v>1362.64</v>
      </c>
      <c r="P97" s="2">
        <v>3555.02</v>
      </c>
      <c r="Q97" s="2">
        <v>5698.85</v>
      </c>
      <c r="R97" s="2">
        <v>3019.51</v>
      </c>
      <c r="S97" s="2">
        <v>1555.68</v>
      </c>
      <c r="T97" s="2">
        <v>2171.37</v>
      </c>
      <c r="U97" s="2">
        <v>3074.03</v>
      </c>
    </row>
    <row r="98" spans="1:21" x14ac:dyDescent="0.25">
      <c r="A98" t="s">
        <v>484</v>
      </c>
      <c r="B98">
        <v>234.55</v>
      </c>
      <c r="C98">
        <v>161.86000000000001</v>
      </c>
      <c r="D98">
        <v>104.77</v>
      </c>
      <c r="E98">
        <v>103.58</v>
      </c>
      <c r="F98">
        <v>109.65</v>
      </c>
      <c r="G98">
        <v>86.04</v>
      </c>
      <c r="H98">
        <v>210.69</v>
      </c>
      <c r="I98">
        <v>215.21</v>
      </c>
      <c r="J98">
        <v>227.15</v>
      </c>
      <c r="K98">
        <v>413.8</v>
      </c>
      <c r="L98" s="2">
        <v>1124.32</v>
      </c>
      <c r="M98">
        <v>986.58</v>
      </c>
      <c r="N98">
        <v>650.09</v>
      </c>
      <c r="O98">
        <v>988.58</v>
      </c>
      <c r="P98" s="2">
        <v>1269.75</v>
      </c>
      <c r="Q98" s="2">
        <v>1464.46</v>
      </c>
      <c r="R98">
        <v>302.8</v>
      </c>
      <c r="S98">
        <v>404.9</v>
      </c>
      <c r="T98" s="2">
        <v>1104.78</v>
      </c>
      <c r="U98" s="2">
        <v>1408.95</v>
      </c>
    </row>
    <row r="99" spans="1:21" x14ac:dyDescent="0.25">
      <c r="A99" t="s">
        <v>1416</v>
      </c>
      <c r="B99">
        <v>-2.1800000000000002</v>
      </c>
      <c r="C99">
        <v>-1.17</v>
      </c>
      <c r="D99">
        <v>-1.1200000000000001</v>
      </c>
      <c r="E99">
        <v>-0.02</v>
      </c>
      <c r="F99">
        <v>-0.01</v>
      </c>
      <c r="G99">
        <v>-1.94</v>
      </c>
      <c r="H99">
        <v>-0.37</v>
      </c>
      <c r="I99">
        <v>-1.1200000000000001</v>
      </c>
      <c r="J99">
        <v>-8.8800000000000008</v>
      </c>
      <c r="K99">
        <v>-1.88</v>
      </c>
      <c r="L99">
        <v>-10.25</v>
      </c>
      <c r="M99">
        <v>-21.5</v>
      </c>
      <c r="N99">
        <v>-662.08</v>
      </c>
      <c r="O99" s="2">
        <v>-2204.9</v>
      </c>
      <c r="P99" s="2">
        <v>-3560.71</v>
      </c>
      <c r="Q99" s="2">
        <v>-3901.77</v>
      </c>
      <c r="R99">
        <v>-396.37</v>
      </c>
      <c r="S99">
        <v>-396.37</v>
      </c>
      <c r="T99">
        <v>-396.37</v>
      </c>
      <c r="U99">
        <v>-396.37</v>
      </c>
    </row>
    <row r="100" spans="1:21" x14ac:dyDescent="0.25">
      <c r="A100" t="s">
        <v>1417</v>
      </c>
      <c r="B100">
        <v>17.600000000000001</v>
      </c>
      <c r="C100">
        <v>21.99</v>
      </c>
      <c r="D100">
        <v>21.79</v>
      </c>
      <c r="E100">
        <v>19.62</v>
      </c>
      <c r="F100">
        <v>10.94</v>
      </c>
      <c r="G100">
        <v>11.83</v>
      </c>
      <c r="H100">
        <v>19.43</v>
      </c>
      <c r="I100">
        <v>-30.8</v>
      </c>
      <c r="J100">
        <v>141.80000000000001</v>
      </c>
      <c r="K100">
        <v>101.83</v>
      </c>
      <c r="L100">
        <v>11.53</v>
      </c>
      <c r="M100">
        <v>-28.05</v>
      </c>
      <c r="N100">
        <v>-65.84</v>
      </c>
      <c r="O100" s="2">
        <v>2948.83</v>
      </c>
      <c r="P100">
        <v>-197.5</v>
      </c>
      <c r="Q100">
        <v>-217.63</v>
      </c>
      <c r="R100">
        <v>-36.950000000000003</v>
      </c>
      <c r="S100">
        <v>-36.950000000000003</v>
      </c>
    </row>
    <row r="101" spans="1:21" x14ac:dyDescent="0.25">
      <c r="A101" t="s">
        <v>1418</v>
      </c>
    </row>
    <row r="102" spans="1:21" x14ac:dyDescent="0.25">
      <c r="A102" t="s">
        <v>194</v>
      </c>
      <c r="B102">
        <v>170.7</v>
      </c>
      <c r="C102">
        <v>115.15</v>
      </c>
      <c r="D102">
        <v>-14.89</v>
      </c>
      <c r="E102">
        <v>27.11</v>
      </c>
      <c r="F102">
        <v>224</v>
      </c>
      <c r="G102">
        <v>-499.88</v>
      </c>
      <c r="H102">
        <v>243.59</v>
      </c>
      <c r="I102" s="2">
        <v>-1144.0999999999999</v>
      </c>
      <c r="J102">
        <v>-793.09</v>
      </c>
      <c r="K102" s="2">
        <v>1069.04</v>
      </c>
      <c r="L102" s="2">
        <v>2933.83</v>
      </c>
      <c r="M102">
        <v>625.52</v>
      </c>
      <c r="N102" s="2">
        <v>-2722.6</v>
      </c>
      <c r="O102" s="2">
        <v>-21833.05</v>
      </c>
      <c r="P102" s="2">
        <v>-5156.09</v>
      </c>
      <c r="Q102" s="2">
        <v>-8051.76</v>
      </c>
      <c r="R102" s="2">
        <v>-7407.99</v>
      </c>
      <c r="S102" s="2">
        <v>-9802.02</v>
      </c>
    </row>
    <row r="103" spans="1:21" x14ac:dyDescent="0.25">
      <c r="A103" t="s">
        <v>1419</v>
      </c>
      <c r="B103">
        <v>-512.36</v>
      </c>
      <c r="C103">
        <v>-644.72</v>
      </c>
      <c r="D103">
        <v>-748.64</v>
      </c>
      <c r="E103">
        <v>-702.7</v>
      </c>
      <c r="F103">
        <v>-881.72</v>
      </c>
      <c r="G103" s="2">
        <v>-1538.28</v>
      </c>
      <c r="H103" s="2">
        <v>-1070.97</v>
      </c>
      <c r="I103" s="2">
        <v>-2825.58</v>
      </c>
      <c r="J103" s="2">
        <v>-2077.41</v>
      </c>
      <c r="K103" s="2">
        <v>-2883.03</v>
      </c>
      <c r="L103" s="2">
        <v>-1731.95</v>
      </c>
      <c r="M103" s="2">
        <v>-3560.66</v>
      </c>
      <c r="N103" s="2">
        <v>-11523.49</v>
      </c>
      <c r="O103" s="2">
        <v>-23358.48</v>
      </c>
      <c r="P103" s="2">
        <v>-10468.879999999999</v>
      </c>
      <c r="Q103" s="2">
        <v>-13726.59</v>
      </c>
      <c r="R103" s="2">
        <v>-6029.15</v>
      </c>
      <c r="S103" s="2">
        <v>-3095.38</v>
      </c>
      <c r="T103" s="2">
        <v>-4322.6400000000003</v>
      </c>
      <c r="U103" s="2">
        <v>-6123.79</v>
      </c>
    </row>
    <row r="104" spans="1:21" x14ac:dyDescent="0.25">
      <c r="A104" t="s">
        <v>1420</v>
      </c>
      <c r="B104">
        <v>683.06</v>
      </c>
      <c r="C104">
        <v>759.87</v>
      </c>
      <c r="D104">
        <v>733.75</v>
      </c>
      <c r="E104">
        <v>729.81</v>
      </c>
      <c r="F104" s="2">
        <v>1105.72</v>
      </c>
      <c r="G104" s="2">
        <v>1038.4000000000001</v>
      </c>
      <c r="H104" s="2">
        <v>1314.57</v>
      </c>
      <c r="I104" s="2">
        <v>1681.48</v>
      </c>
      <c r="J104" s="2">
        <v>1284.33</v>
      </c>
      <c r="K104" s="2">
        <v>3952.07</v>
      </c>
      <c r="L104" s="2">
        <v>4665.79</v>
      </c>
      <c r="M104" s="2">
        <v>4186.18</v>
      </c>
      <c r="N104" s="2">
        <v>8800.89</v>
      </c>
      <c r="O104" s="2">
        <v>7906.55</v>
      </c>
      <c r="P104" s="2">
        <v>7036.47</v>
      </c>
      <c r="Q104" s="2">
        <v>8185.93</v>
      </c>
      <c r="R104">
        <v>756.3</v>
      </c>
      <c r="S104">
        <v>897.52</v>
      </c>
      <c r="T104" s="2">
        <v>1104.78</v>
      </c>
      <c r="U104" s="2">
        <v>1408.95</v>
      </c>
    </row>
    <row r="105" spans="1:21" x14ac:dyDescent="0.25">
      <c r="A105" t="s">
        <v>1421</v>
      </c>
      <c r="B105">
        <v>-86.23</v>
      </c>
      <c r="C105">
        <v>-122.11</v>
      </c>
      <c r="D105">
        <v>-50.95</v>
      </c>
      <c r="E105">
        <v>-32.83</v>
      </c>
      <c r="F105">
        <v>204.91</v>
      </c>
      <c r="G105">
        <v>-309.18</v>
      </c>
      <c r="H105">
        <v>-85.31</v>
      </c>
      <c r="I105">
        <v>161.66999999999999</v>
      </c>
      <c r="J105">
        <v>-426.94</v>
      </c>
      <c r="K105">
        <v>314.54000000000002</v>
      </c>
      <c r="L105">
        <v>244.14</v>
      </c>
      <c r="M105">
        <v>-197.15</v>
      </c>
      <c r="N105">
        <v>315.60000000000002</v>
      </c>
      <c r="O105" s="2">
        <v>-1286.93</v>
      </c>
      <c r="P105">
        <v>290.82</v>
      </c>
      <c r="Q105">
        <v>253.34</v>
      </c>
    </row>
    <row r="106" spans="1:21" x14ac:dyDescent="0.25">
      <c r="A106" t="s">
        <v>100</v>
      </c>
      <c r="B106" s="2">
        <v>2810.5</v>
      </c>
      <c r="C106" s="2">
        <v>4795.83</v>
      </c>
      <c r="D106" s="2">
        <v>4658.6099999999997</v>
      </c>
      <c r="E106" s="2">
        <v>2773.64</v>
      </c>
      <c r="F106" s="2">
        <v>11891.94</v>
      </c>
      <c r="G106" s="2">
        <v>19402.71</v>
      </c>
      <c r="H106" s="2">
        <v>2096.84</v>
      </c>
      <c r="I106" s="2">
        <v>5295.6</v>
      </c>
      <c r="J106" s="2">
        <v>11722.55</v>
      </c>
      <c r="K106" s="2">
        <v>3106.96</v>
      </c>
      <c r="L106" s="2">
        <v>-8926.8700000000008</v>
      </c>
      <c r="M106" s="2">
        <v>17517.22</v>
      </c>
      <c r="N106" s="2">
        <v>35517.129999999997</v>
      </c>
      <c r="O106" s="2">
        <v>240318.01</v>
      </c>
      <c r="P106" s="2">
        <v>318535.13</v>
      </c>
      <c r="Q106" s="2">
        <v>357570.81</v>
      </c>
      <c r="R106" s="2">
        <v>377239.03999999998</v>
      </c>
      <c r="S106" s="2">
        <v>404229.77</v>
      </c>
      <c r="T106" s="2">
        <v>1073975.01</v>
      </c>
      <c r="U106" s="2">
        <v>1576188.56</v>
      </c>
    </row>
    <row r="107" spans="1:21" x14ac:dyDescent="0.25">
      <c r="A107" t="s">
        <v>83</v>
      </c>
      <c r="B107">
        <v>21.71</v>
      </c>
      <c r="C107">
        <v>29.47</v>
      </c>
      <c r="D107">
        <v>28.03</v>
      </c>
      <c r="E107">
        <v>18.7</v>
      </c>
      <c r="F107">
        <v>44.64</v>
      </c>
      <c r="G107">
        <v>52.77</v>
      </c>
      <c r="H107">
        <v>9.01</v>
      </c>
      <c r="I107">
        <v>19.55</v>
      </c>
      <c r="J107">
        <v>31.2</v>
      </c>
      <c r="K107">
        <v>8.9700000000000006</v>
      </c>
      <c r="L107">
        <v>-35.58</v>
      </c>
      <c r="M107">
        <v>36.08</v>
      </c>
      <c r="N107">
        <v>51.95</v>
      </c>
      <c r="O107">
        <v>94.11</v>
      </c>
      <c r="P107">
        <v>78.25</v>
      </c>
      <c r="Q107">
        <v>73.459999999999994</v>
      </c>
      <c r="R107">
        <v>73.06</v>
      </c>
      <c r="S107">
        <v>72.739999999999995</v>
      </c>
      <c r="T107">
        <v>72.3</v>
      </c>
      <c r="U107">
        <v>72.3</v>
      </c>
    </row>
    <row r="108" spans="1:21" x14ac:dyDescent="0.25">
      <c r="A108" t="s">
        <v>17</v>
      </c>
    </row>
    <row r="109" spans="1:21" x14ac:dyDescent="0.25">
      <c r="A109" t="s">
        <v>101</v>
      </c>
      <c r="B109">
        <v>184.69</v>
      </c>
      <c r="C109">
        <v>809.97</v>
      </c>
      <c r="D109">
        <v>835.97</v>
      </c>
      <c r="E109">
        <v>220.73</v>
      </c>
      <c r="F109" s="2">
        <v>2475.2199999999998</v>
      </c>
      <c r="G109" s="2">
        <v>5274.16</v>
      </c>
      <c r="H109">
        <v>363.58</v>
      </c>
      <c r="I109" s="2">
        <v>1255.01</v>
      </c>
      <c r="J109" s="2">
        <v>3320.17</v>
      </c>
      <c r="K109" s="2">
        <v>1366.98</v>
      </c>
      <c r="L109" s="2">
        <v>-1929.87</v>
      </c>
      <c r="M109" s="2">
        <v>2998.42</v>
      </c>
      <c r="N109" s="2">
        <v>5290.84</v>
      </c>
      <c r="O109" s="2">
        <v>51461.2</v>
      </c>
      <c r="P109" s="2">
        <v>63818.3</v>
      </c>
      <c r="Q109" s="2">
        <v>70821.929999999993</v>
      </c>
      <c r="R109" s="2">
        <v>63890.85</v>
      </c>
      <c r="S109" s="2">
        <v>62863.16</v>
      </c>
      <c r="T109" s="2">
        <v>236274.5</v>
      </c>
      <c r="U109" s="2">
        <v>346761.48</v>
      </c>
    </row>
    <row r="110" spans="1:21" x14ac:dyDescent="0.25">
      <c r="A110" t="s">
        <v>102</v>
      </c>
      <c r="B110">
        <v>6.57</v>
      </c>
      <c r="C110">
        <v>16.89</v>
      </c>
      <c r="D110">
        <v>17.940000000000001</v>
      </c>
      <c r="E110">
        <v>7.96</v>
      </c>
      <c r="F110">
        <v>20.81</v>
      </c>
      <c r="G110">
        <v>27.18</v>
      </c>
      <c r="H110">
        <v>17.41</v>
      </c>
      <c r="I110">
        <v>23.7</v>
      </c>
      <c r="J110">
        <v>28.32</v>
      </c>
      <c r="K110">
        <v>44</v>
      </c>
      <c r="M110">
        <v>17.12</v>
      </c>
      <c r="N110">
        <v>14.9</v>
      </c>
      <c r="O110">
        <v>21.43</v>
      </c>
      <c r="P110">
        <v>20.149999999999999</v>
      </c>
      <c r="Q110">
        <v>20.49</v>
      </c>
      <c r="R110">
        <v>20.23</v>
      </c>
      <c r="S110">
        <v>19.59</v>
      </c>
      <c r="T110">
        <v>22</v>
      </c>
      <c r="U110">
        <v>22</v>
      </c>
    </row>
    <row r="111" spans="1:21" x14ac:dyDescent="0.25">
      <c r="A111" t="s">
        <v>17</v>
      </c>
    </row>
    <row r="112" spans="1:21" x14ac:dyDescent="0.25">
      <c r="A112" t="s">
        <v>1422</v>
      </c>
      <c r="B112" s="2">
        <v>2625.81</v>
      </c>
      <c r="C112" s="2">
        <v>3985.87</v>
      </c>
      <c r="D112" s="2">
        <v>3822.64</v>
      </c>
      <c r="E112" s="2">
        <v>2552.91</v>
      </c>
      <c r="F112" s="2">
        <v>9416.7199999999993</v>
      </c>
      <c r="G112" s="2">
        <v>14128.55</v>
      </c>
      <c r="H112" s="2">
        <v>1724.59</v>
      </c>
      <c r="I112" s="2">
        <v>4040.59</v>
      </c>
      <c r="J112" s="2">
        <v>8402.3799999999992</v>
      </c>
      <c r="K112" s="2">
        <v>1739.99</v>
      </c>
      <c r="L112" s="2">
        <v>-6997</v>
      </c>
      <c r="M112" s="2">
        <v>14518.81</v>
      </c>
      <c r="N112" s="2">
        <v>30226.29</v>
      </c>
      <c r="O112" s="2">
        <v>187164.56</v>
      </c>
      <c r="P112" s="2">
        <v>254263.92</v>
      </c>
      <c r="Q112" s="2">
        <v>282048.44</v>
      </c>
      <c r="R112" s="2">
        <v>326571.26</v>
      </c>
      <c r="S112" s="2">
        <v>324863.81</v>
      </c>
      <c r="T112" s="2">
        <v>837700.51</v>
      </c>
      <c r="U112" s="2">
        <v>1229427.08</v>
      </c>
    </row>
    <row r="113" spans="1:21" x14ac:dyDescent="0.25">
      <c r="A113" t="s">
        <v>105</v>
      </c>
      <c r="B113">
        <v>0.35</v>
      </c>
      <c r="C113">
        <v>-0.27</v>
      </c>
      <c r="D113">
        <v>1.1000000000000001</v>
      </c>
      <c r="E113">
        <v>5.79</v>
      </c>
      <c r="F113">
        <v>0.63</v>
      </c>
      <c r="G113">
        <v>-0.12</v>
      </c>
      <c r="H113">
        <v>2.66</v>
      </c>
      <c r="I113">
        <v>3.24</v>
      </c>
      <c r="J113">
        <v>12.12</v>
      </c>
      <c r="K113">
        <v>9.4</v>
      </c>
      <c r="L113">
        <v>-19.23</v>
      </c>
      <c r="M113">
        <v>6.03</v>
      </c>
      <c r="N113">
        <v>20.14</v>
      </c>
      <c r="O113">
        <v>84.5</v>
      </c>
      <c r="P113">
        <v>87.49</v>
      </c>
      <c r="Q113">
        <v>92.34</v>
      </c>
      <c r="R113">
        <v>223.59</v>
      </c>
      <c r="S113">
        <v>265.26</v>
      </c>
      <c r="T113">
        <v>558.14</v>
      </c>
      <c r="U113">
        <v>819.13</v>
      </c>
    </row>
    <row r="114" spans="1:21" x14ac:dyDescent="0.25">
      <c r="A114" t="s">
        <v>106</v>
      </c>
      <c r="B114" s="2">
        <v>2625.45</v>
      </c>
      <c r="C114" s="2">
        <v>3986.14</v>
      </c>
      <c r="D114" s="2">
        <v>3821.54</v>
      </c>
      <c r="E114" s="2">
        <v>2547.12</v>
      </c>
      <c r="F114" s="2">
        <v>9416.1</v>
      </c>
      <c r="G114" s="2">
        <v>14128.66</v>
      </c>
      <c r="H114" s="2">
        <v>1728.21</v>
      </c>
      <c r="I114" s="2">
        <v>4037.35</v>
      </c>
      <c r="J114" s="2">
        <v>8390.26</v>
      </c>
      <c r="K114" s="2">
        <v>1730.59</v>
      </c>
      <c r="L114" s="2">
        <v>-6977.76</v>
      </c>
      <c r="M114" s="2">
        <v>14512.78</v>
      </c>
      <c r="N114" s="2">
        <v>30206.15</v>
      </c>
      <c r="O114" s="2">
        <v>185464.01</v>
      </c>
      <c r="P114" s="2">
        <v>250221.92</v>
      </c>
      <c r="Q114" s="2">
        <v>281336.33</v>
      </c>
      <c r="R114" s="2">
        <v>220208.51</v>
      </c>
      <c r="S114" s="2">
        <v>279720.03000000003</v>
      </c>
      <c r="T114" s="2">
        <v>837142.37</v>
      </c>
      <c r="U114" s="2">
        <v>1228607.94</v>
      </c>
    </row>
    <row r="115" spans="1:21" x14ac:dyDescent="0.25">
      <c r="A115" t="s">
        <v>280</v>
      </c>
      <c r="B115">
        <v>20.28</v>
      </c>
      <c r="C115">
        <v>24.5</v>
      </c>
      <c r="D115">
        <v>22.99</v>
      </c>
      <c r="E115">
        <v>17.18</v>
      </c>
      <c r="F115">
        <v>35.340000000000003</v>
      </c>
      <c r="G115">
        <v>38.42</v>
      </c>
      <c r="H115">
        <v>7.43</v>
      </c>
      <c r="I115">
        <v>14.91</v>
      </c>
      <c r="J115">
        <v>22.33</v>
      </c>
      <c r="K115">
        <v>5</v>
      </c>
      <c r="L115">
        <v>-27.81</v>
      </c>
      <c r="M115">
        <v>29.9</v>
      </c>
      <c r="N115">
        <v>44.18</v>
      </c>
      <c r="O115">
        <v>74.31</v>
      </c>
      <c r="P115">
        <v>64.989999999999995</v>
      </c>
      <c r="Q115">
        <v>62.67</v>
      </c>
      <c r="R115">
        <v>57.34</v>
      </c>
      <c r="S115">
        <v>51.23</v>
      </c>
      <c r="T115">
        <v>56.39</v>
      </c>
      <c r="U115">
        <v>56.39</v>
      </c>
    </row>
    <row r="116" spans="1:21" x14ac:dyDescent="0.25">
      <c r="A116" t="s">
        <v>17</v>
      </c>
    </row>
    <row r="117" spans="1:21" x14ac:dyDescent="0.25">
      <c r="A117" t="s">
        <v>108</v>
      </c>
      <c r="B117">
        <v>710.2</v>
      </c>
      <c r="C117">
        <v>718.2</v>
      </c>
      <c r="D117">
        <v>720.14</v>
      </c>
      <c r="E117">
        <v>706</v>
      </c>
      <c r="F117">
        <v>706</v>
      </c>
      <c r="G117">
        <v>698.28</v>
      </c>
      <c r="H117">
        <v>684</v>
      </c>
      <c r="I117">
        <v>684</v>
      </c>
      <c r="J117">
        <v>686.41</v>
      </c>
      <c r="K117">
        <v>687.65</v>
      </c>
      <c r="L117">
        <v>688.05</v>
      </c>
      <c r="M117">
        <v>688.73</v>
      </c>
      <c r="N117">
        <v>691.76</v>
      </c>
      <c r="O117">
        <v>708.72</v>
      </c>
      <c r="P117">
        <v>694.88</v>
      </c>
      <c r="Q117">
        <v>667.72</v>
      </c>
      <c r="R117">
        <v>671.97</v>
      </c>
      <c r="S117">
        <v>605.66</v>
      </c>
    </row>
    <row r="118" spans="1:21" x14ac:dyDescent="0.25">
      <c r="A118" t="s">
        <v>888</v>
      </c>
      <c r="B118">
        <v>3.75</v>
      </c>
      <c r="C118">
        <v>5.56</v>
      </c>
      <c r="D118">
        <v>5.31</v>
      </c>
      <c r="E118">
        <v>3.5</v>
      </c>
      <c r="F118">
        <v>13.34</v>
      </c>
      <c r="G118">
        <v>19.41</v>
      </c>
      <c r="H118">
        <v>2.37</v>
      </c>
      <c r="I118">
        <v>5.9</v>
      </c>
      <c r="J118">
        <v>12.22</v>
      </c>
      <c r="K118">
        <v>2.52</v>
      </c>
      <c r="L118">
        <v>-10.14</v>
      </c>
      <c r="M118">
        <v>19.940000000000001</v>
      </c>
      <c r="N118">
        <v>43.75</v>
      </c>
      <c r="O118">
        <v>256.02</v>
      </c>
      <c r="P118">
        <v>343.29</v>
      </c>
      <c r="Q118">
        <v>392.43</v>
      </c>
      <c r="R118">
        <v>374.97</v>
      </c>
      <c r="S118">
        <v>424.73</v>
      </c>
      <c r="T118" s="2">
        <v>1146</v>
      </c>
      <c r="U118" s="2">
        <v>1681.89</v>
      </c>
    </row>
    <row r="119" spans="1:21" x14ac:dyDescent="0.25">
      <c r="A119" t="s">
        <v>17</v>
      </c>
    </row>
    <row r="120" spans="1:21" x14ac:dyDescent="0.25">
      <c r="A120" t="s">
        <v>1423</v>
      </c>
      <c r="B120">
        <v>710.2</v>
      </c>
      <c r="C120">
        <v>718.2</v>
      </c>
      <c r="D120">
        <v>720.14</v>
      </c>
      <c r="E120">
        <v>706</v>
      </c>
      <c r="F120">
        <v>706.04</v>
      </c>
      <c r="G120">
        <v>698.36</v>
      </c>
      <c r="H120">
        <v>684.09</v>
      </c>
      <c r="I120">
        <v>684.14</v>
      </c>
      <c r="J120">
        <v>686.66</v>
      </c>
      <c r="K120">
        <v>687.8</v>
      </c>
      <c r="L120">
        <v>688.05</v>
      </c>
      <c r="M120">
        <v>709.83</v>
      </c>
      <c r="N120">
        <v>711.27</v>
      </c>
      <c r="O120">
        <v>717.28</v>
      </c>
      <c r="P120">
        <v>709.48</v>
      </c>
      <c r="Q120">
        <v>698.15</v>
      </c>
      <c r="R120">
        <v>676.46</v>
      </c>
      <c r="S120">
        <v>594.94000000000005</v>
      </c>
    </row>
    <row r="121" spans="1:21" x14ac:dyDescent="0.25">
      <c r="A121" t="s">
        <v>110</v>
      </c>
      <c r="B121">
        <v>3.75</v>
      </c>
      <c r="C121">
        <v>5.56</v>
      </c>
      <c r="D121">
        <v>5.31</v>
      </c>
      <c r="E121">
        <v>3.5</v>
      </c>
      <c r="F121">
        <v>13.34</v>
      </c>
      <c r="G121">
        <v>19.41</v>
      </c>
      <c r="H121">
        <v>2.37</v>
      </c>
      <c r="I121">
        <v>5.9</v>
      </c>
      <c r="J121">
        <v>12.22</v>
      </c>
      <c r="K121">
        <v>2.52</v>
      </c>
      <c r="L121">
        <v>-10.14</v>
      </c>
      <c r="M121">
        <v>19.940000000000001</v>
      </c>
      <c r="N121">
        <v>43.75</v>
      </c>
      <c r="O121">
        <v>256.69</v>
      </c>
      <c r="P121">
        <v>353.07</v>
      </c>
      <c r="Q121">
        <v>400.37</v>
      </c>
      <c r="R121">
        <v>452.98</v>
      </c>
      <c r="S121">
        <v>488.65</v>
      </c>
    </row>
    <row r="122" spans="1:21" x14ac:dyDescent="0.25">
      <c r="A122" t="s">
        <v>17</v>
      </c>
    </row>
    <row r="123" spans="1:21" x14ac:dyDescent="0.25">
      <c r="A123" t="s">
        <v>1424</v>
      </c>
      <c r="B123">
        <v>0</v>
      </c>
      <c r="C123">
        <v>207.5</v>
      </c>
      <c r="D123">
        <v>312.10000000000002</v>
      </c>
      <c r="E123">
        <v>365.28</v>
      </c>
      <c r="F123">
        <v>624.70000000000005</v>
      </c>
      <c r="G123">
        <v>932.82</v>
      </c>
      <c r="H123">
        <v>587.15</v>
      </c>
      <c r="I123">
        <v>679.48</v>
      </c>
      <c r="J123">
        <v>925.27</v>
      </c>
      <c r="K123">
        <v>640.51</v>
      </c>
      <c r="L123">
        <v>632.29</v>
      </c>
      <c r="M123" s="2">
        <v>1114.82</v>
      </c>
      <c r="N123" s="2">
        <v>1484.01</v>
      </c>
      <c r="O123" s="2">
        <v>13971.91</v>
      </c>
      <c r="P123" s="2">
        <v>23943.89</v>
      </c>
      <c r="Q123" s="2">
        <v>27611.9</v>
      </c>
      <c r="R123" s="2">
        <v>71627.09</v>
      </c>
      <c r="S123" s="2">
        <v>71627.09</v>
      </c>
      <c r="T123" s="2">
        <v>71627.09</v>
      </c>
      <c r="U123" s="2">
        <v>71627.09</v>
      </c>
    </row>
    <row r="124" spans="1:21" x14ac:dyDescent="0.25">
      <c r="A124" t="s">
        <v>487</v>
      </c>
      <c r="B124">
        <v>0</v>
      </c>
      <c r="C124">
        <v>0.28999999999999998</v>
      </c>
      <c r="D124">
        <v>0.44</v>
      </c>
      <c r="E124">
        <v>0.52</v>
      </c>
      <c r="F124">
        <v>0.88</v>
      </c>
      <c r="G124">
        <v>1.36</v>
      </c>
      <c r="H124">
        <v>0.86</v>
      </c>
      <c r="I124">
        <v>0.99</v>
      </c>
      <c r="J124">
        <v>1.35</v>
      </c>
      <c r="K124">
        <v>0.93</v>
      </c>
      <c r="L124">
        <v>0.92</v>
      </c>
      <c r="M124">
        <v>1.62</v>
      </c>
      <c r="N124">
        <v>2.11</v>
      </c>
      <c r="O124">
        <v>10.84</v>
      </c>
      <c r="P124">
        <v>22.72</v>
      </c>
      <c r="Q124">
        <v>29.41</v>
      </c>
      <c r="R124">
        <v>78.11</v>
      </c>
      <c r="S124">
        <v>81.680000000000007</v>
      </c>
      <c r="T124">
        <v>38.700000000000003</v>
      </c>
    </row>
    <row r="125" spans="1:21" x14ac:dyDescent="0.25">
      <c r="A125" t="s">
        <v>1425</v>
      </c>
      <c r="B125">
        <v>0</v>
      </c>
      <c r="C125">
        <v>5.21</v>
      </c>
      <c r="D125">
        <v>8.17</v>
      </c>
      <c r="E125">
        <v>14.34</v>
      </c>
      <c r="F125">
        <v>6.63</v>
      </c>
      <c r="G125">
        <v>6.6</v>
      </c>
      <c r="H125">
        <v>34.090000000000003</v>
      </c>
      <c r="I125">
        <v>16.829999999999998</v>
      </c>
      <c r="J125">
        <v>11.03</v>
      </c>
      <c r="K125">
        <v>37.01</v>
      </c>
      <c r="M125">
        <v>7.68</v>
      </c>
      <c r="N125">
        <v>4.91</v>
      </c>
      <c r="O125">
        <v>6.85</v>
      </c>
      <c r="P125">
        <v>8.92</v>
      </c>
      <c r="Q125">
        <v>7.75</v>
      </c>
      <c r="R125">
        <v>1.89</v>
      </c>
      <c r="S125">
        <v>2.9</v>
      </c>
    </row>
    <row r="126" spans="1:21" x14ac:dyDescent="0.25">
      <c r="A126" t="s">
        <v>1426</v>
      </c>
      <c r="B126" s="2">
        <v>2645.73</v>
      </c>
      <c r="C126" s="2">
        <v>3935.89</v>
      </c>
      <c r="D126" s="2">
        <v>3837.76</v>
      </c>
      <c r="E126" s="2">
        <v>2572.0700000000002</v>
      </c>
      <c r="F126" s="2">
        <v>9044.11</v>
      </c>
      <c r="G126" s="2">
        <v>14066.55</v>
      </c>
      <c r="H126" s="2">
        <v>1802.34</v>
      </c>
      <c r="I126" s="2">
        <v>3947.99</v>
      </c>
      <c r="J126" s="2">
        <v>9322.6</v>
      </c>
      <c r="K126" s="2">
        <v>2175.25</v>
      </c>
      <c r="L126" s="2">
        <v>-6903.16</v>
      </c>
      <c r="M126" s="2">
        <v>15425.44</v>
      </c>
      <c r="N126" s="2">
        <v>30251.98</v>
      </c>
      <c r="O126" s="2">
        <v>155216.69</v>
      </c>
      <c r="P126" s="2">
        <v>261066.06</v>
      </c>
      <c r="Q126" s="2">
        <v>283370.7</v>
      </c>
      <c r="R126" s="2">
        <v>391864.16</v>
      </c>
      <c r="S126" s="2">
        <v>570789.25</v>
      </c>
      <c r="T126" s="2">
        <v>837700.51</v>
      </c>
      <c r="U126" s="2">
        <v>1229427.08</v>
      </c>
    </row>
    <row r="127" spans="1:21" x14ac:dyDescent="0.25">
      <c r="A127" t="s">
        <v>17</v>
      </c>
    </row>
    <row r="128" spans="1:21" x14ac:dyDescent="0.25">
      <c r="A128" t="s">
        <v>111</v>
      </c>
    </row>
    <row r="129" spans="1:21" x14ac:dyDescent="0.25">
      <c r="A129" t="s">
        <v>117</v>
      </c>
      <c r="B129" s="2">
        <v>5902.92</v>
      </c>
      <c r="C129" s="2">
        <v>8126.7</v>
      </c>
      <c r="D129" s="2">
        <v>8213.02</v>
      </c>
      <c r="E129" s="2">
        <v>6668.47</v>
      </c>
      <c r="F129" s="2">
        <v>16588.61</v>
      </c>
      <c r="G129" s="2">
        <v>24794.99</v>
      </c>
      <c r="H129" s="2">
        <v>9733.8799999999992</v>
      </c>
      <c r="I129" s="2">
        <v>12552.9</v>
      </c>
      <c r="J129" s="2">
        <v>20155.419999999998</v>
      </c>
      <c r="K129" s="2">
        <v>16269.87</v>
      </c>
      <c r="L129" s="2">
        <v>4551.07</v>
      </c>
      <c r="M129" s="2">
        <v>26437.78</v>
      </c>
      <c r="N129" s="2">
        <v>43027.199999999997</v>
      </c>
      <c r="O129" s="2">
        <v>178980.76</v>
      </c>
      <c r="P129" s="2">
        <v>286468.21999999997</v>
      </c>
      <c r="Q129" s="2">
        <v>320169.01</v>
      </c>
      <c r="R129" s="2">
        <v>31597.91</v>
      </c>
      <c r="S129" s="2">
        <v>31186.62</v>
      </c>
    </row>
    <row r="130" spans="1:21" x14ac:dyDescent="0.25">
      <c r="A130" t="s">
        <v>121</v>
      </c>
      <c r="B130" s="2">
        <v>2625.45</v>
      </c>
      <c r="C130" s="2">
        <v>3986.14</v>
      </c>
      <c r="D130" s="2">
        <v>3821.54</v>
      </c>
      <c r="E130" s="2">
        <v>2547.12</v>
      </c>
      <c r="F130" s="2">
        <v>9416.1</v>
      </c>
      <c r="G130" s="2">
        <v>14128.66</v>
      </c>
      <c r="H130" s="2">
        <v>1728.21</v>
      </c>
      <c r="I130" s="2">
        <v>4037.35</v>
      </c>
      <c r="J130" s="2">
        <v>8390.26</v>
      </c>
      <c r="K130" s="2">
        <v>1730.59</v>
      </c>
      <c r="L130" s="2">
        <v>-6977.76</v>
      </c>
      <c r="M130" s="2">
        <v>14512.78</v>
      </c>
      <c r="N130" s="2">
        <v>30206.15</v>
      </c>
      <c r="O130" s="2">
        <v>188040.09</v>
      </c>
      <c r="P130" s="2">
        <v>250922.46</v>
      </c>
      <c r="Q130" s="2">
        <v>282076.37</v>
      </c>
      <c r="R130" s="2">
        <v>251545.83</v>
      </c>
      <c r="S130" s="2">
        <v>256946.4</v>
      </c>
      <c r="T130" s="2">
        <v>837142.37</v>
      </c>
      <c r="U130" s="2">
        <v>1228607.94</v>
      </c>
    </row>
    <row r="131" spans="1:21" x14ac:dyDescent="0.25">
      <c r="A131" t="s">
        <v>1427</v>
      </c>
      <c r="B131">
        <v>-103.34</v>
      </c>
      <c r="C131">
        <v>-38.25</v>
      </c>
      <c r="D131">
        <v>-1.36</v>
      </c>
      <c r="E131">
        <v>-65.48</v>
      </c>
      <c r="F131">
        <v>-469.81</v>
      </c>
      <c r="G131">
        <v>-431.85</v>
      </c>
      <c r="H131">
        <v>-255.6</v>
      </c>
      <c r="I131">
        <v>-367.5</v>
      </c>
      <c r="J131">
        <v>573.78</v>
      </c>
      <c r="K131">
        <v>706.58</v>
      </c>
      <c r="L131">
        <v>784.99</v>
      </c>
      <c r="M131" s="2">
        <v>1732.57</v>
      </c>
      <c r="N131" s="2">
        <v>1957.98</v>
      </c>
      <c r="O131" s="2">
        <v>2945.66</v>
      </c>
      <c r="P131" s="2">
        <v>3764.97</v>
      </c>
      <c r="Q131" s="2">
        <v>3953.14</v>
      </c>
      <c r="R131" s="2">
        <v>5199.2299999999996</v>
      </c>
      <c r="S131" s="2">
        <v>5199.2299999999996</v>
      </c>
      <c r="T131" s="2">
        <v>1871.13</v>
      </c>
      <c r="U131" s="2">
        <v>1871.13</v>
      </c>
    </row>
    <row r="132" spans="1:21" x14ac:dyDescent="0.25">
      <c r="A132" t="s">
        <v>17</v>
      </c>
    </row>
    <row r="133" spans="1:21" x14ac:dyDescent="0.25">
      <c r="A133" t="s">
        <v>176</v>
      </c>
    </row>
    <row r="134" spans="1:21" x14ac:dyDescent="0.25">
      <c r="A134" t="s">
        <v>1428</v>
      </c>
      <c r="B134">
        <v>13.17</v>
      </c>
      <c r="C134">
        <v>29.99</v>
      </c>
      <c r="D134">
        <v>45.03</v>
      </c>
      <c r="E134">
        <v>27.28</v>
      </c>
      <c r="F134">
        <v>110.73</v>
      </c>
      <c r="G134">
        <v>220.25</v>
      </c>
      <c r="H134">
        <v>11.08</v>
      </c>
      <c r="I134">
        <v>19.78</v>
      </c>
      <c r="J134">
        <v>47.74</v>
      </c>
      <c r="K134">
        <v>12.77</v>
      </c>
      <c r="L134">
        <v>-5.26</v>
      </c>
      <c r="M134">
        <v>17.440000000000001</v>
      </c>
      <c r="N134">
        <v>51.11</v>
      </c>
      <c r="O134">
        <v>310.55</v>
      </c>
      <c r="P134">
        <v>620.72</v>
      </c>
      <c r="Q134" s="2">
        <v>1046.01</v>
      </c>
      <c r="R134" s="2">
        <v>11767.15</v>
      </c>
      <c r="S134" s="2">
        <v>-1942.56</v>
      </c>
      <c r="T134">
        <v>969.21</v>
      </c>
      <c r="U134" s="2">
        <v>1115.3499999999999</v>
      </c>
    </row>
    <row r="135" spans="1:21" x14ac:dyDescent="0.25">
      <c r="A135" t="s">
        <v>1429</v>
      </c>
      <c r="B135" s="2">
        <v>2911.18</v>
      </c>
      <c r="C135" s="2">
        <v>4066.99</v>
      </c>
      <c r="D135" s="2">
        <v>3889.53</v>
      </c>
      <c r="E135" s="2">
        <v>2618.8200000000002</v>
      </c>
      <c r="F135" s="2">
        <v>9624.76</v>
      </c>
      <c r="G135" s="2">
        <v>13799.16</v>
      </c>
      <c r="H135" s="2">
        <v>1927.84</v>
      </c>
      <c r="I135" s="2">
        <v>3248.6</v>
      </c>
      <c r="J135" s="2">
        <v>7768.89</v>
      </c>
      <c r="K135" s="2">
        <v>2945.4</v>
      </c>
      <c r="L135" s="2">
        <v>-4319.8</v>
      </c>
      <c r="M135" s="2">
        <v>14209.17</v>
      </c>
      <c r="N135" s="2">
        <v>28231.32</v>
      </c>
      <c r="O135" s="2">
        <v>155981.59</v>
      </c>
      <c r="P135" s="2">
        <v>259612.88</v>
      </c>
      <c r="Q135" s="2">
        <v>281982.03999999998</v>
      </c>
      <c r="R135" s="2">
        <v>336818.43</v>
      </c>
      <c r="S135" s="2">
        <v>402508.58</v>
      </c>
      <c r="T135" s="2">
        <v>835190.58</v>
      </c>
      <c r="U135" s="2">
        <v>1225749.5</v>
      </c>
    </row>
    <row r="136" spans="1:21" x14ac:dyDescent="0.25">
      <c r="A136" t="s">
        <v>17</v>
      </c>
    </row>
    <row r="137" spans="1:21" x14ac:dyDescent="0.25">
      <c r="A137" t="s">
        <v>134</v>
      </c>
    </row>
    <row r="138" spans="1:21" x14ac:dyDescent="0.25">
      <c r="A138" t="s">
        <v>135</v>
      </c>
    </row>
    <row r="139" spans="1:21" x14ac:dyDescent="0.25">
      <c r="A139" t="s">
        <v>136</v>
      </c>
      <c r="B139" s="2">
        <v>6319.14</v>
      </c>
      <c r="C139" s="2">
        <v>9480.5400000000009</v>
      </c>
      <c r="D139" s="2">
        <v>8299.93</v>
      </c>
      <c r="E139" s="2">
        <v>8144.71</v>
      </c>
      <c r="F139" s="2">
        <v>16218.15</v>
      </c>
      <c r="G139" s="2">
        <v>17866.93</v>
      </c>
      <c r="H139" s="2">
        <v>12517.39</v>
      </c>
      <c r="I139" s="2">
        <v>15218.76</v>
      </c>
      <c r="J139" s="2">
        <v>22610.02</v>
      </c>
      <c r="K139" s="2">
        <v>22871.73</v>
      </c>
      <c r="L139" s="2">
        <v>23509.19</v>
      </c>
      <c r="M139" s="2">
        <v>28593.21</v>
      </c>
      <c r="N139" s="2">
        <v>48085.82</v>
      </c>
      <c r="O139" s="2">
        <v>205554.2</v>
      </c>
      <c r="P139" s="2">
        <v>410098.38</v>
      </c>
      <c r="Q139" s="2">
        <v>610503.89</v>
      </c>
      <c r="R139" s="2">
        <v>644718.27</v>
      </c>
      <c r="S139" s="2">
        <v>723495.6</v>
      </c>
      <c r="T139" s="2">
        <v>515882.17</v>
      </c>
      <c r="U139" s="2">
        <v>678189.88</v>
      </c>
    </row>
    <row r="140" spans="1:21" x14ac:dyDescent="0.25">
      <c r="A140" t="s">
        <v>536</v>
      </c>
      <c r="B140">
        <v>600.15</v>
      </c>
      <c r="C140">
        <v>399.55</v>
      </c>
      <c r="D140">
        <v>999.83</v>
      </c>
      <c r="E140">
        <v>508.09</v>
      </c>
      <c r="F140" s="2">
        <v>2763.85</v>
      </c>
      <c r="G140" s="2">
        <v>2109.92</v>
      </c>
      <c r="H140" s="2">
        <v>1996.6</v>
      </c>
      <c r="I140" s="2">
        <v>2733.15</v>
      </c>
      <c r="J140" s="2">
        <v>4250.22</v>
      </c>
      <c r="K140" s="2">
        <v>3961.7</v>
      </c>
      <c r="L140" s="2">
        <v>5854.38</v>
      </c>
      <c r="M140" s="2">
        <v>7578.02</v>
      </c>
      <c r="N140" s="2">
        <v>10331.719999999999</v>
      </c>
      <c r="O140" s="2">
        <v>105428.96</v>
      </c>
      <c r="P140" s="2">
        <v>270809.37</v>
      </c>
      <c r="Q140" s="2">
        <v>445281.43</v>
      </c>
      <c r="R140" s="2">
        <v>579902.13</v>
      </c>
      <c r="S140" s="2">
        <v>764090.67</v>
      </c>
      <c r="T140" s="2">
        <v>986497.49</v>
      </c>
      <c r="U140" s="2">
        <v>1453488</v>
      </c>
    </row>
    <row r="141" spans="1:21" x14ac:dyDescent="0.25">
      <c r="A141" t="s">
        <v>1430</v>
      </c>
      <c r="B141" s="2">
        <v>2046.37</v>
      </c>
      <c r="C141" s="2">
        <v>3309.76</v>
      </c>
      <c r="D141" s="2">
        <v>3074.67</v>
      </c>
      <c r="E141" s="2">
        <v>2915.42</v>
      </c>
      <c r="F141" s="2">
        <v>5251.01</v>
      </c>
      <c r="G141">
        <v>470.23</v>
      </c>
      <c r="H141">
        <v>258.31</v>
      </c>
      <c r="I141">
        <v>401.07</v>
      </c>
      <c r="J141">
        <v>398.84</v>
      </c>
      <c r="K141">
        <v>330.84</v>
      </c>
      <c r="L141">
        <v>364.67</v>
      </c>
      <c r="M141" s="2">
        <v>1610.95</v>
      </c>
      <c r="N141" s="2">
        <v>10162.77</v>
      </c>
      <c r="O141" s="2">
        <v>12637.83</v>
      </c>
      <c r="P141" s="2">
        <v>12776.83</v>
      </c>
      <c r="Q141" s="2">
        <v>12747.64</v>
      </c>
      <c r="R141" s="2">
        <v>12907.1</v>
      </c>
      <c r="S141" s="2">
        <v>12907.1</v>
      </c>
    </row>
    <row r="142" spans="1:21" x14ac:dyDescent="0.25">
      <c r="A142" t="s">
        <v>1431</v>
      </c>
      <c r="G142" s="2">
        <v>4936.3599999999997</v>
      </c>
      <c r="H142" s="2">
        <v>1203.72</v>
      </c>
      <c r="I142" s="2">
        <v>1410.22</v>
      </c>
      <c r="J142" s="2">
        <v>2638.48</v>
      </c>
      <c r="K142">
        <v>809.02</v>
      </c>
      <c r="L142">
        <v>664.33</v>
      </c>
      <c r="M142">
        <v>384.97</v>
      </c>
      <c r="N142" s="2">
        <v>3696.03</v>
      </c>
      <c r="O142" s="2">
        <v>8884.6</v>
      </c>
      <c r="P142" s="2">
        <v>10567.85</v>
      </c>
      <c r="Q142" s="2">
        <v>10567.85</v>
      </c>
      <c r="R142" s="2">
        <v>10561.98</v>
      </c>
      <c r="S142" s="2">
        <v>10561.98</v>
      </c>
      <c r="T142" s="2">
        <v>3731.8</v>
      </c>
      <c r="U142" s="2">
        <v>3731.8</v>
      </c>
    </row>
    <row r="143" spans="1:21" x14ac:dyDescent="0.25">
      <c r="A143" t="s">
        <v>141</v>
      </c>
      <c r="B143" s="2">
        <v>1844.2</v>
      </c>
      <c r="C143" s="2">
        <v>3414.88</v>
      </c>
      <c r="D143" s="2">
        <v>2235.23</v>
      </c>
      <c r="E143" s="2">
        <v>2691.72</v>
      </c>
      <c r="F143" s="2">
        <v>5202.41</v>
      </c>
      <c r="G143" s="2">
        <v>5675.99</v>
      </c>
      <c r="H143" s="2">
        <v>3689.76</v>
      </c>
      <c r="I143" s="2">
        <v>4528.93</v>
      </c>
      <c r="J143" s="2">
        <v>6946.85</v>
      </c>
      <c r="K143" s="2">
        <v>4128.1000000000004</v>
      </c>
      <c r="L143" s="2">
        <v>5092.7700000000004</v>
      </c>
      <c r="M143" s="2">
        <v>8804.75</v>
      </c>
      <c r="N143" s="2">
        <v>12599.22</v>
      </c>
      <c r="O143" s="2">
        <v>47377.87</v>
      </c>
      <c r="P143" s="2">
        <v>64871.26</v>
      </c>
      <c r="Q143" s="2">
        <v>76013.399999999994</v>
      </c>
      <c r="R143" s="2">
        <v>66100.14</v>
      </c>
      <c r="S143" s="2">
        <v>67212.37</v>
      </c>
      <c r="T143" s="2">
        <v>205639.28</v>
      </c>
      <c r="U143" s="2">
        <v>301802.07</v>
      </c>
    </row>
    <row r="144" spans="1:21" x14ac:dyDescent="0.25">
      <c r="A144" t="s">
        <v>340</v>
      </c>
      <c r="B144" s="2">
        <v>1119.1500000000001</v>
      </c>
      <c r="C144" s="2">
        <v>1369.97</v>
      </c>
      <c r="D144" s="2">
        <v>1635.64</v>
      </c>
      <c r="E144" s="2">
        <v>1677.29</v>
      </c>
      <c r="F144" s="2">
        <v>2473.83</v>
      </c>
      <c r="G144" s="2">
        <v>3972.06</v>
      </c>
      <c r="H144" s="2">
        <v>4585.13</v>
      </c>
      <c r="I144" s="2">
        <v>5635.59</v>
      </c>
      <c r="J144" s="2">
        <v>7520.76</v>
      </c>
      <c r="K144" s="2">
        <v>12469.11</v>
      </c>
      <c r="L144" s="2">
        <v>10401.68</v>
      </c>
      <c r="M144" s="2">
        <v>9004.2199999999993</v>
      </c>
      <c r="N144" s="2">
        <v>9892.5400000000009</v>
      </c>
      <c r="O144" s="2">
        <v>22778.27</v>
      </c>
      <c r="P144" s="2">
        <v>32775.730000000003</v>
      </c>
      <c r="Q144" s="2">
        <v>39492.92</v>
      </c>
      <c r="R144" s="2">
        <v>47834.52</v>
      </c>
      <c r="S144" s="2">
        <v>57826.75</v>
      </c>
      <c r="T144" s="2">
        <v>211043.46</v>
      </c>
      <c r="U144" s="2">
        <v>309733.39</v>
      </c>
    </row>
    <row r="145" spans="1:21" x14ac:dyDescent="0.25">
      <c r="A145" t="s">
        <v>145</v>
      </c>
      <c r="B145">
        <v>134.29</v>
      </c>
      <c r="C145">
        <v>152.84</v>
      </c>
      <c r="D145">
        <v>300.98</v>
      </c>
      <c r="E145">
        <v>330.58</v>
      </c>
      <c r="F145">
        <v>490.6</v>
      </c>
      <c r="G145">
        <v>665.87</v>
      </c>
      <c r="H145">
        <v>590.51</v>
      </c>
      <c r="I145">
        <v>446.04</v>
      </c>
      <c r="J145">
        <v>707.3</v>
      </c>
      <c r="K145">
        <v>944.49</v>
      </c>
      <c r="L145">
        <v>714.12</v>
      </c>
      <c r="M145">
        <v>942.59</v>
      </c>
      <c r="N145">
        <v>954.01</v>
      </c>
      <c r="O145" s="2">
        <v>3198.9</v>
      </c>
      <c r="P145" s="2">
        <v>5165.76</v>
      </c>
      <c r="Q145" s="2">
        <v>5799.51</v>
      </c>
      <c r="R145" s="2">
        <v>11536.1</v>
      </c>
      <c r="S145" s="2">
        <v>16930.7</v>
      </c>
      <c r="T145" s="2">
        <v>24847.98</v>
      </c>
      <c r="U145" s="2">
        <v>36467.61</v>
      </c>
    </row>
    <row r="146" spans="1:21" x14ac:dyDescent="0.25">
      <c r="A146" t="s">
        <v>146</v>
      </c>
      <c r="B146" s="2">
        <v>13434.14</v>
      </c>
      <c r="C146" s="2">
        <v>15112.28</v>
      </c>
      <c r="D146" s="2">
        <v>16938.16</v>
      </c>
      <c r="E146" s="2">
        <v>18523.72</v>
      </c>
      <c r="F146" s="2">
        <v>26334.400000000001</v>
      </c>
      <c r="G146" s="2">
        <v>39304.620000000003</v>
      </c>
      <c r="H146" s="2">
        <v>43974.63</v>
      </c>
      <c r="I146" s="2">
        <v>50147.3</v>
      </c>
      <c r="J146" s="2">
        <v>58349.97</v>
      </c>
      <c r="K146" s="2">
        <v>59809.99</v>
      </c>
      <c r="L146" s="2">
        <v>53905.57</v>
      </c>
      <c r="M146" s="2">
        <v>52464.87</v>
      </c>
      <c r="N146" s="2">
        <v>73833.509999999995</v>
      </c>
      <c r="O146" s="2">
        <v>128811.68</v>
      </c>
      <c r="P146" s="2">
        <v>160811.94</v>
      </c>
      <c r="Q146" s="2">
        <v>199104.5</v>
      </c>
      <c r="R146" s="2">
        <v>205364.99</v>
      </c>
      <c r="S146" s="2">
        <v>221539.07</v>
      </c>
      <c r="T146" s="2">
        <v>132478.59</v>
      </c>
      <c r="U146" s="2">
        <v>139599.37</v>
      </c>
    </row>
    <row r="147" spans="1:21" x14ac:dyDescent="0.25">
      <c r="A147" t="s">
        <v>409</v>
      </c>
      <c r="B147" s="2">
        <v>11520.88</v>
      </c>
      <c r="C147" s="2">
        <v>12889.84</v>
      </c>
      <c r="D147" s="2">
        <v>14428.1</v>
      </c>
      <c r="E147" s="2">
        <v>15543.93</v>
      </c>
      <c r="F147" s="2">
        <v>22544.25</v>
      </c>
      <c r="G147" s="2">
        <v>31390.95</v>
      </c>
      <c r="H147" s="2">
        <v>34588.660000000003</v>
      </c>
      <c r="I147" s="2">
        <v>37866.15</v>
      </c>
      <c r="J147" s="2">
        <v>44725.53</v>
      </c>
      <c r="K147" s="2">
        <v>47941.91</v>
      </c>
      <c r="L147" s="2">
        <v>40667.06</v>
      </c>
      <c r="M147" s="2">
        <v>40684.5</v>
      </c>
      <c r="N147" s="2">
        <v>53655.12</v>
      </c>
      <c r="O147" s="2">
        <v>75614.399999999994</v>
      </c>
      <c r="P147" s="2">
        <v>100376.11</v>
      </c>
      <c r="Q147" s="2">
        <v>125652.48</v>
      </c>
      <c r="R147" s="2">
        <v>149598.87</v>
      </c>
      <c r="S147" s="2">
        <v>165036.54</v>
      </c>
      <c r="T147" s="2">
        <v>75406.3</v>
      </c>
      <c r="U147" s="2">
        <v>63895.040000000001</v>
      </c>
    </row>
    <row r="148" spans="1:21" x14ac:dyDescent="0.25">
      <c r="A148" t="s">
        <v>750</v>
      </c>
      <c r="H148" s="2">
        <v>1477.62</v>
      </c>
      <c r="I148" s="2">
        <v>1568.3</v>
      </c>
      <c r="J148" s="2">
        <v>1342.25</v>
      </c>
      <c r="K148" s="2">
        <v>1416.87</v>
      </c>
      <c r="L148" s="2">
        <v>2079.34</v>
      </c>
      <c r="M148" s="2">
        <v>1681.87</v>
      </c>
      <c r="N148" s="2">
        <v>1617.53</v>
      </c>
      <c r="O148" s="2">
        <v>1768.75</v>
      </c>
      <c r="P148" s="2">
        <v>1953.36</v>
      </c>
      <c r="Q148" s="2">
        <v>2094.5100000000002</v>
      </c>
      <c r="R148" s="2">
        <v>3183.6</v>
      </c>
      <c r="S148" s="2">
        <v>3336.14</v>
      </c>
    </row>
    <row r="149" spans="1:21" x14ac:dyDescent="0.25">
      <c r="A149" t="s">
        <v>312</v>
      </c>
      <c r="B149" s="2">
        <v>1054.6600000000001</v>
      </c>
      <c r="C149" s="2">
        <v>1222.79</v>
      </c>
      <c r="D149" s="2">
        <v>1449.84</v>
      </c>
      <c r="E149" s="2">
        <v>1585.73</v>
      </c>
      <c r="F149" s="2">
        <v>2105.4899999999998</v>
      </c>
      <c r="G149" s="2">
        <v>2405.8000000000002</v>
      </c>
      <c r="H149" s="2">
        <v>2226.0100000000002</v>
      </c>
      <c r="I149" s="2">
        <v>3122.82</v>
      </c>
      <c r="J149" s="2">
        <v>4031.06</v>
      </c>
      <c r="K149" s="2">
        <v>2795.64</v>
      </c>
      <c r="L149" s="2">
        <v>2958.75</v>
      </c>
      <c r="M149" s="2">
        <v>2717.95</v>
      </c>
      <c r="N149" s="2">
        <v>2803.4</v>
      </c>
      <c r="O149" s="2">
        <v>3431.42</v>
      </c>
      <c r="P149" s="2">
        <v>3773.88</v>
      </c>
      <c r="Q149" s="2">
        <v>5124.63</v>
      </c>
      <c r="R149" s="2">
        <v>2960.38</v>
      </c>
      <c r="S149" s="2">
        <v>2914.31</v>
      </c>
      <c r="T149" s="2">
        <v>1964.83</v>
      </c>
      <c r="U149" s="2">
        <v>1918.11</v>
      </c>
    </row>
    <row r="150" spans="1:21" x14ac:dyDescent="0.25">
      <c r="A150" t="s">
        <v>754</v>
      </c>
      <c r="B150">
        <v>101.72</v>
      </c>
      <c r="C150">
        <v>88.82</v>
      </c>
      <c r="D150">
        <v>104.27</v>
      </c>
      <c r="E150">
        <v>108.46</v>
      </c>
      <c r="F150">
        <v>337.16</v>
      </c>
      <c r="G150">
        <v>504.91</v>
      </c>
      <c r="H150">
        <v>665.6</v>
      </c>
      <c r="I150" s="2">
        <v>1071.08</v>
      </c>
      <c r="J150" s="2">
        <v>1185.18</v>
      </c>
      <c r="K150" s="2">
        <v>1076.8599999999999</v>
      </c>
      <c r="L150" s="2">
        <v>1055.05</v>
      </c>
      <c r="M150" s="2">
        <v>1312.47</v>
      </c>
      <c r="N150">
        <v>914.48</v>
      </c>
      <c r="O150" s="2">
        <v>8232.07</v>
      </c>
      <c r="P150" s="2">
        <v>8662.91</v>
      </c>
      <c r="Q150" s="2">
        <v>9843.15</v>
      </c>
      <c r="R150" s="2">
        <v>3808.42</v>
      </c>
      <c r="S150" s="2">
        <v>5289.8</v>
      </c>
      <c r="T150" s="2">
        <v>20198.509999999998</v>
      </c>
      <c r="U150" s="2">
        <v>29643.91</v>
      </c>
    </row>
    <row r="151" spans="1:21" x14ac:dyDescent="0.25">
      <c r="A151" t="s">
        <v>311</v>
      </c>
      <c r="B151">
        <v>188.6</v>
      </c>
      <c r="C151">
        <v>248.92</v>
      </c>
      <c r="D151">
        <v>307.17</v>
      </c>
      <c r="E151">
        <v>655.92</v>
      </c>
      <c r="F151">
        <v>561.94000000000005</v>
      </c>
      <c r="G151">
        <v>488.58</v>
      </c>
      <c r="H151">
        <v>583.24</v>
      </c>
      <c r="I151">
        <v>510.81</v>
      </c>
      <c r="J151">
        <v>495.98</v>
      </c>
      <c r="K151">
        <v>523.05999999999995</v>
      </c>
      <c r="L151" s="2">
        <v>2306.6799999999998</v>
      </c>
      <c r="M151" s="2">
        <v>1901.46</v>
      </c>
      <c r="N151" s="2">
        <v>2534.16</v>
      </c>
      <c r="O151" s="2">
        <v>2098.92</v>
      </c>
      <c r="P151" s="2">
        <v>2169.88</v>
      </c>
      <c r="Q151" s="2">
        <v>2247.35</v>
      </c>
      <c r="R151" s="2">
        <v>1528.14</v>
      </c>
      <c r="S151" s="2">
        <v>1542.11</v>
      </c>
      <c r="T151" s="2">
        <v>1761.39</v>
      </c>
      <c r="U151" s="2">
        <v>1761.39</v>
      </c>
    </row>
    <row r="152" spans="1:21" x14ac:dyDescent="0.25">
      <c r="A152" t="s">
        <v>155</v>
      </c>
      <c r="B152" s="2">
        <v>19753.27</v>
      </c>
      <c r="C152" s="2">
        <v>24592.82</v>
      </c>
      <c r="D152" s="2">
        <v>25238.09</v>
      </c>
      <c r="E152" s="2">
        <v>26668.43</v>
      </c>
      <c r="F152" s="2">
        <v>42552.56</v>
      </c>
      <c r="G152" s="2">
        <v>57171.55</v>
      </c>
      <c r="H152" s="2">
        <v>56492.02</v>
      </c>
      <c r="I152" s="2">
        <v>65366.07</v>
      </c>
      <c r="J152" s="2">
        <v>80959.98</v>
      </c>
      <c r="K152" s="2">
        <v>82681.72</v>
      </c>
      <c r="L152" s="2">
        <v>77414.759999999995</v>
      </c>
      <c r="M152" s="2">
        <v>81058.080000000002</v>
      </c>
      <c r="N152" s="2">
        <v>121919.33</v>
      </c>
      <c r="O152" s="2">
        <v>338067.88</v>
      </c>
      <c r="P152" s="2">
        <v>575997.73</v>
      </c>
      <c r="Q152" s="2">
        <v>819454.21</v>
      </c>
      <c r="R152" s="2">
        <v>923438.76</v>
      </c>
      <c r="S152" s="2">
        <v>980838.97</v>
      </c>
      <c r="T152" s="2">
        <v>482507.07</v>
      </c>
      <c r="U152" s="2">
        <v>592964.24</v>
      </c>
    </row>
    <row r="153" spans="1:21" x14ac:dyDescent="0.25">
      <c r="A153" t="s">
        <v>17</v>
      </c>
    </row>
    <row r="154" spans="1:21" x14ac:dyDescent="0.25">
      <c r="A154" t="s">
        <v>156</v>
      </c>
    </row>
    <row r="155" spans="1:21" x14ac:dyDescent="0.25">
      <c r="A155" t="s">
        <v>157</v>
      </c>
      <c r="B155" s="2">
        <v>2923.71</v>
      </c>
      <c r="C155" s="2">
        <v>5274.1</v>
      </c>
      <c r="D155" s="2">
        <v>4116.53</v>
      </c>
      <c r="E155" s="2">
        <v>3444.35</v>
      </c>
      <c r="F155" s="2">
        <v>7604.01</v>
      </c>
      <c r="G155" s="2">
        <v>11703.91</v>
      </c>
      <c r="H155" s="2">
        <v>6893.47</v>
      </c>
      <c r="I155" s="2">
        <v>8332.06</v>
      </c>
      <c r="J155" s="2">
        <v>12382.15</v>
      </c>
      <c r="K155" s="2">
        <v>15795.58</v>
      </c>
      <c r="L155" s="2">
        <v>16209.63</v>
      </c>
      <c r="M155" s="2">
        <v>16884.13</v>
      </c>
      <c r="N155" s="2">
        <v>25877.48</v>
      </c>
      <c r="O155" s="2">
        <v>44835.360000000001</v>
      </c>
      <c r="P155" s="2">
        <v>55212.94</v>
      </c>
      <c r="Q155" s="2">
        <v>59306.64</v>
      </c>
      <c r="R155" s="2">
        <v>37042.449999999997</v>
      </c>
      <c r="S155" s="2">
        <v>38071.440000000002</v>
      </c>
      <c r="T155" s="2">
        <v>53996.18</v>
      </c>
      <c r="U155" s="2">
        <v>77926.960000000006</v>
      </c>
    </row>
    <row r="156" spans="1:21" x14ac:dyDescent="0.25">
      <c r="A156" t="s">
        <v>1432</v>
      </c>
      <c r="B156">
        <v>616.22</v>
      </c>
      <c r="C156">
        <v>720.7</v>
      </c>
      <c r="D156">
        <v>672.98</v>
      </c>
      <c r="E156">
        <v>576.27</v>
      </c>
      <c r="F156">
        <v>710.71</v>
      </c>
      <c r="G156">
        <v>984.66</v>
      </c>
      <c r="H156">
        <v>902.63</v>
      </c>
      <c r="I156">
        <v>960.79</v>
      </c>
      <c r="J156" s="2">
        <v>1142.18</v>
      </c>
      <c r="K156" s="2">
        <v>1740.24</v>
      </c>
      <c r="L156" s="2">
        <v>1424.02</v>
      </c>
      <c r="M156" s="2">
        <v>1540.17</v>
      </c>
      <c r="N156" s="2">
        <v>1971.99</v>
      </c>
      <c r="O156" s="2">
        <v>3262.92</v>
      </c>
      <c r="P156" s="2">
        <v>4518.3100000000004</v>
      </c>
      <c r="Q156" s="2">
        <v>5632.75</v>
      </c>
      <c r="R156" s="2">
        <v>8304.27</v>
      </c>
      <c r="S156" s="2">
        <v>11303.05</v>
      </c>
      <c r="T156" s="2">
        <v>31009.01</v>
      </c>
      <c r="U156" s="2">
        <v>45509.7</v>
      </c>
    </row>
    <row r="157" spans="1:21" x14ac:dyDescent="0.25">
      <c r="A157" t="s">
        <v>1433</v>
      </c>
      <c r="B157">
        <v>826.63</v>
      </c>
      <c r="C157" s="2">
        <v>1605.49</v>
      </c>
      <c r="D157">
        <v>861.77</v>
      </c>
      <c r="E157">
        <v>583.48</v>
      </c>
      <c r="F157">
        <v>724.95</v>
      </c>
      <c r="G157" s="2">
        <v>1449.81</v>
      </c>
      <c r="H157" s="2">
        <v>2624.19</v>
      </c>
      <c r="I157" s="2">
        <v>3179.24</v>
      </c>
      <c r="J157" s="2">
        <v>2674.53</v>
      </c>
      <c r="K157" s="2">
        <v>6132.48</v>
      </c>
      <c r="L157" s="2">
        <v>8093.07</v>
      </c>
      <c r="M157" s="2">
        <v>3949.99</v>
      </c>
      <c r="N157" s="2">
        <v>6029.28</v>
      </c>
      <c r="O157" s="2">
        <v>6052.5</v>
      </c>
      <c r="P157" s="2">
        <v>6339.45</v>
      </c>
      <c r="Q157" s="2">
        <v>6877.07</v>
      </c>
      <c r="R157">
        <v>916.89</v>
      </c>
      <c r="S157">
        <v>836.39</v>
      </c>
    </row>
    <row r="158" spans="1:21" x14ac:dyDescent="0.25">
      <c r="A158" t="s">
        <v>1434</v>
      </c>
      <c r="B158">
        <v>828.71</v>
      </c>
      <c r="C158" s="2">
        <v>1605.52</v>
      </c>
      <c r="D158">
        <v>861.77</v>
      </c>
      <c r="E158">
        <v>583.72</v>
      </c>
      <c r="F158">
        <v>724.95</v>
      </c>
      <c r="G158" s="2">
        <v>1449.81</v>
      </c>
      <c r="H158" s="2">
        <v>2370.36</v>
      </c>
      <c r="I158" s="2">
        <v>2860.13</v>
      </c>
      <c r="J158" s="2">
        <v>2420.71</v>
      </c>
      <c r="K158" s="2">
        <v>5908.9</v>
      </c>
      <c r="L158" s="2">
        <v>8746.99</v>
      </c>
      <c r="M158" s="2">
        <v>3552.09</v>
      </c>
      <c r="N158" s="2">
        <v>5650.38</v>
      </c>
      <c r="O158" s="2">
        <v>4328.21</v>
      </c>
      <c r="P158" s="2">
        <v>4162.03</v>
      </c>
      <c r="Q158" s="2">
        <v>3990.48</v>
      </c>
      <c r="R158" s="2">
        <v>2945.72</v>
      </c>
      <c r="S158" s="2">
        <v>2945.72</v>
      </c>
      <c r="T158" s="2">
        <v>4229.5200000000004</v>
      </c>
      <c r="U158" s="2">
        <v>4229.5200000000004</v>
      </c>
    </row>
    <row r="159" spans="1:21" x14ac:dyDescent="0.25">
      <c r="A159" t="s">
        <v>1435</v>
      </c>
      <c r="B159">
        <v>131.05000000000001</v>
      </c>
      <c r="C159">
        <v>671.61</v>
      </c>
      <c r="D159">
        <v>125.81</v>
      </c>
      <c r="E159">
        <v>0</v>
      </c>
      <c r="F159">
        <v>180.53</v>
      </c>
      <c r="G159">
        <v>526.1</v>
      </c>
      <c r="H159" s="2">
        <v>1011.56</v>
      </c>
      <c r="I159">
        <v>164.93</v>
      </c>
      <c r="J159">
        <v>195.96</v>
      </c>
      <c r="K159" s="2">
        <v>3051.28</v>
      </c>
      <c r="L159" s="2">
        <v>3198.78</v>
      </c>
      <c r="M159">
        <v>868.02</v>
      </c>
      <c r="N159" s="2">
        <v>1658.61</v>
      </c>
      <c r="O159" s="2">
        <v>1652.85</v>
      </c>
      <c r="P159" s="2">
        <v>1422.47</v>
      </c>
      <c r="Q159" s="2">
        <v>1169.05</v>
      </c>
      <c r="R159" s="2">
        <v>1368.5</v>
      </c>
      <c r="S159" s="2">
        <v>1368.5</v>
      </c>
      <c r="T159" s="2">
        <v>1368.5</v>
      </c>
      <c r="U159" s="2">
        <v>1368.5</v>
      </c>
    </row>
    <row r="160" spans="1:21" x14ac:dyDescent="0.25">
      <c r="A160" t="s">
        <v>1436</v>
      </c>
      <c r="B160">
        <v>695.58</v>
      </c>
      <c r="C160">
        <v>933.88</v>
      </c>
      <c r="D160">
        <v>735.96</v>
      </c>
      <c r="E160">
        <v>583.48</v>
      </c>
      <c r="F160">
        <v>544.42999999999995</v>
      </c>
      <c r="G160">
        <v>923.71</v>
      </c>
      <c r="H160" s="2">
        <v>1358.8</v>
      </c>
      <c r="I160" s="2">
        <v>2695.2</v>
      </c>
      <c r="J160" s="2">
        <v>2224.75</v>
      </c>
      <c r="K160" s="2">
        <v>2857.63</v>
      </c>
      <c r="L160" s="2">
        <v>4407.03</v>
      </c>
      <c r="M160" s="2">
        <v>2684.07</v>
      </c>
      <c r="N160" s="2">
        <v>3991.77</v>
      </c>
      <c r="O160" s="2">
        <v>4629.1400000000003</v>
      </c>
      <c r="P160" s="2">
        <v>4900.08</v>
      </c>
      <c r="Q160" s="2">
        <v>5263.08</v>
      </c>
    </row>
    <row r="161" spans="1:21" x14ac:dyDescent="0.25">
      <c r="A161" t="s">
        <v>164</v>
      </c>
      <c r="B161" s="2">
        <v>4418.66</v>
      </c>
      <c r="C161" s="2">
        <v>2819.11</v>
      </c>
      <c r="D161" s="2">
        <v>2933.46</v>
      </c>
      <c r="E161" s="2">
        <v>3337.4</v>
      </c>
      <c r="F161" s="2">
        <v>3261.73</v>
      </c>
      <c r="G161" s="2">
        <v>3389.57</v>
      </c>
      <c r="H161" s="2">
        <v>8095.66</v>
      </c>
      <c r="I161" s="2">
        <v>9360.7000000000007</v>
      </c>
      <c r="J161" s="2">
        <v>16318.69</v>
      </c>
      <c r="K161" s="2">
        <v>16506.87</v>
      </c>
      <c r="L161" s="2">
        <v>19921.63</v>
      </c>
      <c r="M161" s="2">
        <v>14184.76</v>
      </c>
      <c r="N161" s="2">
        <v>12504.26</v>
      </c>
      <c r="O161" s="2">
        <v>17904.63</v>
      </c>
      <c r="P161" s="2">
        <v>18434.099999999999</v>
      </c>
      <c r="Q161" s="2">
        <v>19943.07</v>
      </c>
      <c r="R161" s="2">
        <v>16962.62</v>
      </c>
      <c r="S161" s="2">
        <v>17891.57</v>
      </c>
      <c r="T161" s="2">
        <v>26758.49</v>
      </c>
      <c r="U161" s="2">
        <v>32863.870000000003</v>
      </c>
    </row>
    <row r="162" spans="1:21" x14ac:dyDescent="0.25">
      <c r="A162" t="s">
        <v>1285</v>
      </c>
      <c r="B162" s="2">
        <v>3495.16</v>
      </c>
      <c r="C162" s="2">
        <v>2213.58</v>
      </c>
      <c r="D162" s="2">
        <v>2385.56</v>
      </c>
      <c r="E162" s="2">
        <v>3005.84</v>
      </c>
      <c r="F162" s="2">
        <v>3183.11</v>
      </c>
      <c r="G162" s="2">
        <v>3293.9</v>
      </c>
      <c r="H162" s="2">
        <v>7930.35</v>
      </c>
      <c r="I162" s="2">
        <v>8663.86</v>
      </c>
      <c r="J162" s="2">
        <v>13416.86</v>
      </c>
      <c r="K162" s="2">
        <v>13601.7</v>
      </c>
      <c r="L162" s="2">
        <v>16982.78</v>
      </c>
      <c r="M162" s="2">
        <v>13263.27</v>
      </c>
      <c r="N162" s="2">
        <v>11110.58</v>
      </c>
      <c r="O162" s="2">
        <v>11150.57</v>
      </c>
      <c r="P162" s="2">
        <v>10752.09</v>
      </c>
      <c r="Q162" s="2">
        <v>9871.4</v>
      </c>
      <c r="R162" s="2">
        <v>7306.32</v>
      </c>
      <c r="S162" s="2">
        <v>3807.71</v>
      </c>
      <c r="T162" s="2">
        <v>12617.85</v>
      </c>
      <c r="U162" s="2">
        <v>12617.85</v>
      </c>
    </row>
    <row r="163" spans="1:21" x14ac:dyDescent="0.25">
      <c r="A163" t="s">
        <v>1437</v>
      </c>
      <c r="B163" s="2">
        <v>3495.16</v>
      </c>
      <c r="C163" s="2">
        <v>2213.58</v>
      </c>
      <c r="D163" s="2">
        <v>2385.56</v>
      </c>
      <c r="E163" s="2">
        <v>3005.84</v>
      </c>
      <c r="F163" s="2">
        <v>3183.11</v>
      </c>
      <c r="G163" s="2">
        <v>3293.9</v>
      </c>
      <c r="H163" s="2">
        <v>6740.89</v>
      </c>
      <c r="I163" s="2">
        <v>7473.39</v>
      </c>
      <c r="J163" s="2">
        <v>12388.58</v>
      </c>
      <c r="K163" s="2">
        <v>12394.8</v>
      </c>
      <c r="L163" s="2">
        <v>15132.19</v>
      </c>
      <c r="M163" s="2">
        <v>11788.92</v>
      </c>
      <c r="N163" s="2">
        <v>9751.84</v>
      </c>
      <c r="O163" s="2">
        <v>9540.7800000000007</v>
      </c>
      <c r="P163" s="2">
        <v>9403.24</v>
      </c>
      <c r="Q163" s="2">
        <v>9188.31</v>
      </c>
      <c r="R163" s="2">
        <v>6415.73</v>
      </c>
      <c r="S163" s="2">
        <v>6415.73</v>
      </c>
      <c r="T163" s="2">
        <v>9188.17</v>
      </c>
      <c r="U163" s="2">
        <v>9188.17</v>
      </c>
    </row>
    <row r="164" spans="1:21" x14ac:dyDescent="0.25">
      <c r="A164" t="s">
        <v>1438</v>
      </c>
      <c r="B164" s="2">
        <v>1643.33</v>
      </c>
      <c r="C164" s="2">
        <v>1155.18</v>
      </c>
      <c r="D164" s="2">
        <v>1285.81</v>
      </c>
      <c r="E164" s="2">
        <v>1734.85</v>
      </c>
      <c r="F164" s="2">
        <v>1949.06</v>
      </c>
      <c r="G164" s="2">
        <v>1941.3</v>
      </c>
      <c r="H164" s="2">
        <v>4363.95</v>
      </c>
      <c r="I164" s="2">
        <v>4157.57</v>
      </c>
      <c r="J164" s="2">
        <v>6326.67</v>
      </c>
      <c r="K164" s="2">
        <v>7222.56</v>
      </c>
      <c r="L164" s="2">
        <v>7809.39</v>
      </c>
      <c r="M164" s="2">
        <v>3396.43</v>
      </c>
      <c r="N164" s="2">
        <v>1993.65</v>
      </c>
      <c r="O164" s="2">
        <v>1753.84</v>
      </c>
      <c r="P164" s="2">
        <v>1840.63</v>
      </c>
      <c r="Q164" s="2">
        <v>1625.33</v>
      </c>
      <c r="R164" s="2">
        <v>3410.95</v>
      </c>
      <c r="S164" s="2">
        <v>3410.95</v>
      </c>
      <c r="T164" s="2">
        <v>3410.95</v>
      </c>
      <c r="U164" s="2">
        <v>3410.95</v>
      </c>
    </row>
    <row r="165" spans="1:21" x14ac:dyDescent="0.25">
      <c r="A165" t="s">
        <v>1439</v>
      </c>
      <c r="B165" s="2">
        <v>1851.84</v>
      </c>
      <c r="C165" s="2">
        <v>1058.3900000000001</v>
      </c>
      <c r="D165" s="2">
        <v>1099.75</v>
      </c>
      <c r="E165" s="2">
        <v>1270.99</v>
      </c>
      <c r="F165" s="2">
        <v>1234.04</v>
      </c>
      <c r="G165" s="2">
        <v>1352.6</v>
      </c>
      <c r="H165" s="2">
        <v>2376.94</v>
      </c>
      <c r="I165" s="2">
        <v>3315.82</v>
      </c>
      <c r="J165" s="2">
        <v>6061.91</v>
      </c>
      <c r="K165" s="2">
        <v>5172.24</v>
      </c>
      <c r="L165" s="2">
        <v>7322.8</v>
      </c>
      <c r="M165" s="2">
        <v>8392.49</v>
      </c>
      <c r="N165" s="2">
        <v>7758.19</v>
      </c>
      <c r="O165" s="2">
        <v>6835.51</v>
      </c>
      <c r="P165" s="2">
        <v>4988.6099999999997</v>
      </c>
      <c r="Q165" s="2">
        <v>3601.92</v>
      </c>
      <c r="R165" s="2">
        <v>7833.27</v>
      </c>
      <c r="S165" s="2">
        <v>7833.27</v>
      </c>
      <c r="T165" s="2">
        <v>7833.27</v>
      </c>
      <c r="U165" s="2">
        <v>7833.27</v>
      </c>
    </row>
    <row r="166" spans="1:21" x14ac:dyDescent="0.25">
      <c r="A166" t="s">
        <v>1440</v>
      </c>
      <c r="B166">
        <v>923.5</v>
      </c>
      <c r="C166">
        <v>605.54</v>
      </c>
      <c r="D166">
        <v>547.9</v>
      </c>
      <c r="E166">
        <v>331.56</v>
      </c>
      <c r="F166">
        <v>78.63</v>
      </c>
      <c r="G166">
        <v>95.66</v>
      </c>
      <c r="H166">
        <v>165.31</v>
      </c>
      <c r="I166">
        <v>696.83</v>
      </c>
      <c r="J166" s="2">
        <v>2901.83</v>
      </c>
      <c r="K166" s="2">
        <v>2905.17</v>
      </c>
      <c r="L166" s="2">
        <v>2938.86</v>
      </c>
      <c r="M166">
        <v>921.49</v>
      </c>
      <c r="N166" s="2">
        <v>1393.68</v>
      </c>
      <c r="O166" s="2">
        <v>4845.79</v>
      </c>
      <c r="P166" s="2">
        <v>3675.75</v>
      </c>
      <c r="Q166" s="2">
        <v>6667.6</v>
      </c>
      <c r="R166" s="2">
        <v>5208.4399999999996</v>
      </c>
      <c r="S166" s="2">
        <v>5593.87</v>
      </c>
      <c r="T166" s="2">
        <v>1053.08</v>
      </c>
      <c r="U166" s="2">
        <v>1060.04</v>
      </c>
    </row>
    <row r="167" spans="1:21" x14ac:dyDescent="0.25">
      <c r="A167" t="s">
        <v>167</v>
      </c>
      <c r="B167" s="2">
        <v>7342.37</v>
      </c>
      <c r="C167" s="2">
        <v>8093.21</v>
      </c>
      <c r="D167" s="2">
        <v>7049.99</v>
      </c>
      <c r="E167" s="2">
        <v>6781.75</v>
      </c>
      <c r="F167" s="2">
        <v>10865.74</v>
      </c>
      <c r="G167" s="2">
        <v>15093.47</v>
      </c>
      <c r="H167" s="2">
        <v>14989.13</v>
      </c>
      <c r="I167" s="2">
        <v>17692.75</v>
      </c>
      <c r="J167" s="2">
        <v>28700.84</v>
      </c>
      <c r="K167" s="2">
        <v>32302.45</v>
      </c>
      <c r="L167" s="2">
        <v>36131.26</v>
      </c>
      <c r="M167" s="2">
        <v>31068.89</v>
      </c>
      <c r="N167" s="2">
        <v>38381.74</v>
      </c>
      <c r="O167" s="2">
        <v>61672.79</v>
      </c>
      <c r="P167" s="2">
        <v>72054.61</v>
      </c>
      <c r="Q167" s="2">
        <v>76861.31</v>
      </c>
      <c r="R167" s="2">
        <v>52789.08</v>
      </c>
      <c r="S167" s="2">
        <v>54402.54</v>
      </c>
      <c r="T167" s="2">
        <v>83340.52</v>
      </c>
      <c r="U167" s="2">
        <v>113572.97</v>
      </c>
    </row>
    <row r="168" spans="1:21" x14ac:dyDescent="0.25">
      <c r="A168" t="s">
        <v>1441</v>
      </c>
      <c r="B168" s="2">
        <v>12411.27</v>
      </c>
      <c r="C168" s="2">
        <v>16499.75</v>
      </c>
      <c r="D168" s="2">
        <v>18187.39</v>
      </c>
      <c r="E168" s="2">
        <v>19881.240000000002</v>
      </c>
      <c r="F168" s="2">
        <v>31681.54</v>
      </c>
      <c r="G168" s="2">
        <v>42072.14</v>
      </c>
      <c r="H168" s="2">
        <v>41490.089999999997</v>
      </c>
      <c r="I168" s="2">
        <v>47654.44</v>
      </c>
      <c r="J168" s="2">
        <v>52230.59</v>
      </c>
      <c r="K168" s="2">
        <v>50360.02</v>
      </c>
      <c r="L168" s="2">
        <v>41283.910000000003</v>
      </c>
      <c r="M168" s="2">
        <v>49980.87</v>
      </c>
      <c r="N168" s="2">
        <v>83433.350000000006</v>
      </c>
      <c r="O168" s="2">
        <v>280247.77</v>
      </c>
      <c r="P168" s="2">
        <v>507766.4</v>
      </c>
      <c r="Q168" s="2">
        <v>757646.31</v>
      </c>
      <c r="R168" s="2">
        <v>957816.65</v>
      </c>
      <c r="S168" s="2">
        <v>1193553.46</v>
      </c>
      <c r="T168" s="2">
        <v>2283580.4700000002</v>
      </c>
      <c r="U168" s="2">
        <v>3440561.32</v>
      </c>
    </row>
    <row r="169" spans="1:21" x14ac:dyDescent="0.25">
      <c r="A169" t="s">
        <v>171</v>
      </c>
      <c r="B169" s="2">
        <v>3389.5</v>
      </c>
      <c r="C169" s="2">
        <v>3346.02</v>
      </c>
      <c r="D169" s="2">
        <v>3110.47</v>
      </c>
      <c r="E169" s="2">
        <v>3027.8</v>
      </c>
      <c r="F169" s="2">
        <v>3426.85</v>
      </c>
      <c r="G169" s="2">
        <v>3284.94</v>
      </c>
      <c r="H169" s="2">
        <v>3166.8</v>
      </c>
      <c r="I169" s="2">
        <v>3359.19</v>
      </c>
      <c r="J169" s="2">
        <v>3073.52</v>
      </c>
      <c r="K169" s="2">
        <v>2911.49</v>
      </c>
      <c r="L169" s="2">
        <v>2822.24</v>
      </c>
      <c r="M169" s="2">
        <v>2473.67</v>
      </c>
      <c r="N169" s="2">
        <v>2532.19</v>
      </c>
      <c r="O169" s="2">
        <v>2707.04</v>
      </c>
      <c r="P169" s="2">
        <v>2697.59</v>
      </c>
      <c r="Q169" s="2">
        <v>2683.84</v>
      </c>
      <c r="R169" s="2">
        <v>2591.16</v>
      </c>
      <c r="S169" s="2">
        <v>2591.16</v>
      </c>
      <c r="T169" s="2">
        <v>2556.6999999999998</v>
      </c>
      <c r="U169" s="2">
        <v>2556.6999999999998</v>
      </c>
    </row>
    <row r="170" spans="1:21" x14ac:dyDescent="0.25">
      <c r="A170" t="s">
        <v>172</v>
      </c>
      <c r="B170" s="2">
        <v>2743.16</v>
      </c>
      <c r="C170" s="2">
        <v>3316.88</v>
      </c>
      <c r="D170" s="2">
        <v>3083.38</v>
      </c>
      <c r="E170" s="2">
        <v>3001.43</v>
      </c>
      <c r="F170" s="2">
        <v>3397.01</v>
      </c>
      <c r="G170" s="2">
        <v>3256.33</v>
      </c>
      <c r="H170" s="2">
        <v>3139.22</v>
      </c>
      <c r="I170" s="2">
        <v>3329.93</v>
      </c>
      <c r="J170" s="2">
        <v>3046.76</v>
      </c>
      <c r="K170" s="2">
        <v>2886.13</v>
      </c>
      <c r="L170" s="2">
        <v>2797.66</v>
      </c>
      <c r="M170" s="2">
        <v>2452.13</v>
      </c>
      <c r="N170" s="2">
        <v>2510.14</v>
      </c>
      <c r="O170" s="2">
        <v>2680.17</v>
      </c>
      <c r="P170" s="2">
        <v>2680.17</v>
      </c>
      <c r="Q170" s="2">
        <v>2680.17</v>
      </c>
      <c r="R170" s="2">
        <v>2545.5700000000002</v>
      </c>
      <c r="S170" s="2">
        <v>2545.5700000000002</v>
      </c>
      <c r="T170" s="2">
        <v>2534.4299999999998</v>
      </c>
      <c r="U170" s="2">
        <v>2534.4299999999998</v>
      </c>
    </row>
    <row r="171" spans="1:21" x14ac:dyDescent="0.25">
      <c r="A171" t="s">
        <v>503</v>
      </c>
      <c r="F171" s="2">
        <v>3882.27</v>
      </c>
      <c r="G171" s="2">
        <v>3721.49</v>
      </c>
      <c r="H171" s="2">
        <v>3587.65</v>
      </c>
      <c r="I171" s="2">
        <v>3805.61</v>
      </c>
      <c r="J171" s="2">
        <v>3642.4</v>
      </c>
      <c r="K171" s="2">
        <v>3451.59</v>
      </c>
      <c r="L171" s="2">
        <v>3373.87</v>
      </c>
      <c r="M171" s="2">
        <v>3034.64</v>
      </c>
      <c r="N171" s="2">
        <v>6198.66</v>
      </c>
      <c r="O171" s="2">
        <v>12193.98</v>
      </c>
      <c r="P171" s="2">
        <v>12076.07</v>
      </c>
      <c r="Q171" s="2">
        <v>12761.79</v>
      </c>
      <c r="R171" s="2">
        <v>6836.22</v>
      </c>
      <c r="S171" s="2">
        <v>6836.22</v>
      </c>
      <c r="T171" s="2">
        <v>6258.65</v>
      </c>
      <c r="U171" s="2">
        <v>6258.65</v>
      </c>
    </row>
    <row r="172" spans="1:21" x14ac:dyDescent="0.25">
      <c r="A172" t="s">
        <v>173</v>
      </c>
      <c r="B172" s="2">
        <v>5890.02</v>
      </c>
      <c r="C172" s="2">
        <v>9401.31</v>
      </c>
      <c r="D172" s="2">
        <v>12210.88</v>
      </c>
      <c r="E172" s="2">
        <v>14127.72</v>
      </c>
      <c r="F172" s="2">
        <v>25565.43</v>
      </c>
      <c r="G172" s="2">
        <v>37750.379999999997</v>
      </c>
      <c r="H172" s="2">
        <v>37163.050000000003</v>
      </c>
      <c r="I172" s="2">
        <v>43160.88</v>
      </c>
      <c r="J172" s="2">
        <v>46875.35</v>
      </c>
      <c r="K172" s="2">
        <v>45121.47</v>
      </c>
      <c r="L172" s="2">
        <v>36056.339999999997</v>
      </c>
      <c r="M172" s="2">
        <v>44242.23</v>
      </c>
      <c r="N172" s="2">
        <v>73782.94</v>
      </c>
      <c r="O172" s="2">
        <v>259535.59</v>
      </c>
      <c r="P172" s="2">
        <v>489008.65</v>
      </c>
      <c r="Q172" s="2">
        <v>735951.26</v>
      </c>
      <c r="R172" s="2">
        <v>932208.11</v>
      </c>
      <c r="S172" s="2">
        <v>1207975.6499999999</v>
      </c>
      <c r="T172" s="2">
        <v>2273836.67</v>
      </c>
      <c r="U172" s="2">
        <v>3430817.52</v>
      </c>
    </row>
    <row r="173" spans="1:21" x14ac:dyDescent="0.25">
      <c r="A173" t="s">
        <v>325</v>
      </c>
      <c r="C173">
        <v>0.02</v>
      </c>
      <c r="D173">
        <v>656.43</v>
      </c>
      <c r="E173">
        <v>638.99</v>
      </c>
      <c r="F173">
        <v>723.21</v>
      </c>
      <c r="G173" s="2">
        <v>2252.8200000000002</v>
      </c>
      <c r="H173" s="2">
        <v>2171.8000000000002</v>
      </c>
      <c r="I173" s="2">
        <v>2303.7399999999998</v>
      </c>
      <c r="J173" s="2">
        <v>1934.47</v>
      </c>
      <c r="K173" s="2">
        <v>1831.11</v>
      </c>
      <c r="L173" s="2">
        <v>1753.53</v>
      </c>
      <c r="M173" s="2">
        <v>1502.25</v>
      </c>
      <c r="N173" s="2">
        <v>1038.42</v>
      </c>
      <c r="O173">
        <v>743.5</v>
      </c>
      <c r="P173">
        <v>743.5</v>
      </c>
      <c r="Q173">
        <v>882.74</v>
      </c>
      <c r="R173">
        <v>612.01</v>
      </c>
      <c r="S173">
        <v>612.01</v>
      </c>
      <c r="T173" s="2">
        <v>1300.57</v>
      </c>
      <c r="U173" s="2">
        <v>1300.57</v>
      </c>
    </row>
    <row r="174" spans="1:21" x14ac:dyDescent="0.25">
      <c r="A174" t="s">
        <v>169</v>
      </c>
      <c r="B174">
        <v>-0.36</v>
      </c>
      <c r="C174">
        <v>-0.14000000000000001</v>
      </c>
      <c r="D174">
        <v>0.71</v>
      </c>
      <c r="E174">
        <v>5.44</v>
      </c>
      <c r="F174">
        <v>5.28</v>
      </c>
      <c r="G174">
        <v>5.94</v>
      </c>
      <c r="H174">
        <v>12.8</v>
      </c>
      <c r="I174">
        <v>18.88</v>
      </c>
      <c r="J174">
        <v>28.56</v>
      </c>
      <c r="K174">
        <v>19.25</v>
      </c>
      <c r="L174">
        <v>-0.41</v>
      </c>
      <c r="M174">
        <v>8.33</v>
      </c>
      <c r="N174">
        <v>104.24</v>
      </c>
      <c r="O174">
        <v>154.47999999999999</v>
      </c>
      <c r="P174">
        <v>202.62</v>
      </c>
      <c r="Q174">
        <v>286.14</v>
      </c>
      <c r="R174">
        <v>250.18</v>
      </c>
      <c r="S174">
        <v>322.08</v>
      </c>
      <c r="T174" s="2">
        <v>1027.22</v>
      </c>
      <c r="U174" s="2">
        <v>1450.2</v>
      </c>
    </row>
    <row r="175" spans="1:21" x14ac:dyDescent="0.25">
      <c r="A175" t="s">
        <v>170</v>
      </c>
      <c r="B175" s="2">
        <v>12410.9</v>
      </c>
      <c r="C175" s="2">
        <v>16499.61</v>
      </c>
      <c r="D175" s="2">
        <v>18188.099999999999</v>
      </c>
      <c r="E175" s="2">
        <v>19886.68</v>
      </c>
      <c r="F175" s="2">
        <v>31686.82</v>
      </c>
      <c r="G175" s="2">
        <v>42078.080000000002</v>
      </c>
      <c r="H175" s="2">
        <v>41502.89</v>
      </c>
      <c r="I175" s="2">
        <v>47673.31</v>
      </c>
      <c r="J175" s="2">
        <v>52259.15</v>
      </c>
      <c r="K175" s="2">
        <v>50379.27</v>
      </c>
      <c r="L175" s="2">
        <v>41283.5</v>
      </c>
      <c r="M175" s="2">
        <v>49989.19</v>
      </c>
      <c r="N175" s="2">
        <v>83537.59</v>
      </c>
      <c r="O175" s="2">
        <v>277800.44</v>
      </c>
      <c r="P175" s="2">
        <v>505962.86</v>
      </c>
      <c r="Q175" s="2">
        <v>746332.93</v>
      </c>
      <c r="R175" s="2">
        <v>965872.64000000001</v>
      </c>
      <c r="S175" s="2">
        <v>1102431.6599999999</v>
      </c>
      <c r="T175" s="2">
        <v>1445805.23</v>
      </c>
      <c r="U175" s="2">
        <v>2043670.61</v>
      </c>
    </row>
    <row r="176" spans="1:21" x14ac:dyDescent="0.25">
      <c r="A176" t="s">
        <v>326</v>
      </c>
      <c r="B176" s="2">
        <v>19753.27</v>
      </c>
      <c r="C176" s="2">
        <v>24592.82</v>
      </c>
      <c r="D176" s="2">
        <v>25238.09</v>
      </c>
      <c r="E176" s="2">
        <v>26668.43</v>
      </c>
      <c r="F176" s="2">
        <v>42552.56</v>
      </c>
      <c r="G176" s="2">
        <v>57171.55</v>
      </c>
      <c r="H176" s="2">
        <v>56492.02</v>
      </c>
      <c r="I176" s="2">
        <v>65366.07</v>
      </c>
      <c r="J176" s="2">
        <v>80959.98</v>
      </c>
      <c r="K176" s="2">
        <v>82681.72</v>
      </c>
      <c r="L176" s="2">
        <v>77414.759999999995</v>
      </c>
      <c r="M176" s="2">
        <v>81058.080000000002</v>
      </c>
      <c r="N176" s="2">
        <v>121919.33</v>
      </c>
      <c r="O176" s="2">
        <v>338067.88</v>
      </c>
      <c r="P176" s="2">
        <v>575997.73</v>
      </c>
      <c r="Q176" s="2">
        <v>819454.21</v>
      </c>
      <c r="R176" s="2">
        <v>923438.76</v>
      </c>
      <c r="S176" s="2">
        <v>980838.97</v>
      </c>
      <c r="T176" s="2">
        <v>482507.07</v>
      </c>
      <c r="U176" s="2">
        <v>592964.24</v>
      </c>
    </row>
    <row r="177" spans="1:21" x14ac:dyDescent="0.25">
      <c r="A177" t="s">
        <v>17</v>
      </c>
    </row>
    <row r="178" spans="1:21" x14ac:dyDescent="0.25">
      <c r="A178" t="s">
        <v>176</v>
      </c>
    </row>
    <row r="179" spans="1:21" x14ac:dyDescent="0.25">
      <c r="A179" t="s">
        <v>179</v>
      </c>
      <c r="B179">
        <v>14.56</v>
      </c>
      <c r="C179">
        <v>17.600000000000001</v>
      </c>
      <c r="D179">
        <v>15.28</v>
      </c>
      <c r="E179">
        <v>9.5399999999999991</v>
      </c>
      <c r="F179">
        <v>27.41</v>
      </c>
      <c r="G179">
        <v>28.49</v>
      </c>
      <c r="H179">
        <v>3.11</v>
      </c>
      <c r="I179">
        <v>6.97</v>
      </c>
      <c r="J179">
        <v>11.46</v>
      </c>
      <c r="K179">
        <v>2.23</v>
      </c>
      <c r="L179">
        <v>-8.92</v>
      </c>
      <c r="M179">
        <v>17.97</v>
      </c>
      <c r="N179">
        <v>29</v>
      </c>
      <c r="O179">
        <v>77.290000000000006</v>
      </c>
      <c r="P179">
        <v>53.81</v>
      </c>
      <c r="Q179">
        <v>39.22</v>
      </c>
      <c r="R179">
        <v>41.53</v>
      </c>
      <c r="S179">
        <v>68.02</v>
      </c>
      <c r="T179">
        <v>119.31</v>
      </c>
      <c r="U179">
        <v>126.86</v>
      </c>
    </row>
    <row r="180" spans="1:21" x14ac:dyDescent="0.25">
      <c r="A180" t="s">
        <v>180</v>
      </c>
      <c r="B180">
        <v>25.19</v>
      </c>
      <c r="C180">
        <v>26.98</v>
      </c>
      <c r="D180">
        <v>21.93</v>
      </c>
      <c r="E180">
        <v>13.01</v>
      </c>
      <c r="F180">
        <v>36.799999999999997</v>
      </c>
      <c r="G180">
        <v>38.53</v>
      </c>
      <c r="H180">
        <v>4.2300000000000004</v>
      </c>
      <c r="I180">
        <v>9.5299999999999994</v>
      </c>
      <c r="J180">
        <v>16.84</v>
      </c>
      <c r="K180">
        <v>3.55</v>
      </c>
      <c r="L180">
        <v>-15.61</v>
      </c>
      <c r="M180">
        <v>31.06</v>
      </c>
      <c r="N180">
        <v>44.15</v>
      </c>
      <c r="O180">
        <v>101.51</v>
      </c>
      <c r="P180">
        <v>63.37</v>
      </c>
      <c r="Q180">
        <v>44.31</v>
      </c>
      <c r="R180">
        <v>31</v>
      </c>
      <c r="S180">
        <v>24.17</v>
      </c>
      <c r="T180">
        <v>15.61</v>
      </c>
      <c r="U180">
        <v>11.02</v>
      </c>
    </row>
    <row r="181" spans="1:21" x14ac:dyDescent="0.25">
      <c r="A181" t="s">
        <v>914</v>
      </c>
      <c r="B181">
        <v>50.03</v>
      </c>
      <c r="C181">
        <v>79.56</v>
      </c>
      <c r="D181">
        <v>51.04</v>
      </c>
      <c r="E181">
        <v>69.2</v>
      </c>
      <c r="F181">
        <v>67.31</v>
      </c>
      <c r="G181">
        <v>57.04</v>
      </c>
      <c r="H181">
        <v>57.63</v>
      </c>
      <c r="I181">
        <v>56.58</v>
      </c>
      <c r="J181">
        <v>70.180000000000007</v>
      </c>
      <c r="K181">
        <v>42.42</v>
      </c>
      <c r="L181">
        <v>73.53</v>
      </c>
      <c r="M181">
        <v>71.989999999999995</v>
      </c>
      <c r="N181">
        <v>68.38</v>
      </c>
      <c r="O181">
        <v>72.650000000000006</v>
      </c>
      <c r="P181">
        <v>62.01</v>
      </c>
      <c r="Q181">
        <v>58.02</v>
      </c>
      <c r="R181">
        <v>55.97</v>
      </c>
      <c r="S181">
        <v>58.45</v>
      </c>
    </row>
    <row r="182" spans="1:21" x14ac:dyDescent="0.25">
      <c r="A182" t="s">
        <v>611</v>
      </c>
      <c r="B182">
        <v>47.17</v>
      </c>
      <c r="C182">
        <v>60.47</v>
      </c>
      <c r="D182">
        <v>61.76</v>
      </c>
      <c r="E182">
        <v>62.57</v>
      </c>
      <c r="F182">
        <v>53.37</v>
      </c>
      <c r="G182">
        <v>53.57</v>
      </c>
      <c r="H182">
        <v>71.55</v>
      </c>
      <c r="I182">
        <v>52.74</v>
      </c>
      <c r="J182">
        <v>56.02</v>
      </c>
      <c r="K182">
        <v>55.02</v>
      </c>
      <c r="L182">
        <v>65.650000000000006</v>
      </c>
      <c r="M182">
        <v>54.24</v>
      </c>
      <c r="N182">
        <v>58.65</v>
      </c>
      <c r="O182">
        <v>39.36</v>
      </c>
      <c r="P182">
        <v>46.09</v>
      </c>
      <c r="Q182">
        <v>49.69</v>
      </c>
      <c r="R182">
        <v>42.48</v>
      </c>
      <c r="S182">
        <v>42.48</v>
      </c>
      <c r="T182">
        <v>42.48</v>
      </c>
      <c r="U182">
        <v>42.48</v>
      </c>
    </row>
    <row r="183" spans="1:21" x14ac:dyDescent="0.25">
      <c r="A183" t="s">
        <v>506</v>
      </c>
      <c r="B183">
        <v>48.52</v>
      </c>
      <c r="C183">
        <v>57.77</v>
      </c>
      <c r="D183">
        <v>66.760000000000005</v>
      </c>
      <c r="E183">
        <v>68.75</v>
      </c>
      <c r="F183">
        <v>75.88</v>
      </c>
      <c r="G183">
        <v>106.34</v>
      </c>
      <c r="H183">
        <v>102.72</v>
      </c>
      <c r="I183">
        <v>106.49</v>
      </c>
      <c r="J183">
        <v>135.86000000000001</v>
      </c>
      <c r="K183">
        <v>197.2</v>
      </c>
      <c r="L183">
        <v>147.76</v>
      </c>
      <c r="M183">
        <v>141.80000000000001</v>
      </c>
      <c r="N183">
        <v>135.63</v>
      </c>
      <c r="O183">
        <v>203.03</v>
      </c>
      <c r="P183">
        <v>219.84</v>
      </c>
      <c r="Q183">
        <v>305.26</v>
      </c>
      <c r="R183">
        <v>468.82</v>
      </c>
      <c r="S183">
        <v>104.5</v>
      </c>
      <c r="T183">
        <v>343.89</v>
      </c>
      <c r="U183">
        <v>353.01</v>
      </c>
    </row>
    <row r="184" spans="1:21" x14ac:dyDescent="0.25">
      <c r="A184" t="s">
        <v>622</v>
      </c>
      <c r="B184">
        <v>55.33</v>
      </c>
      <c r="C184">
        <v>51.61</v>
      </c>
      <c r="D184">
        <v>59.37</v>
      </c>
      <c r="E184">
        <v>67</v>
      </c>
      <c r="F184">
        <v>67.05</v>
      </c>
      <c r="G184">
        <v>84.91</v>
      </c>
      <c r="H184">
        <v>94.25</v>
      </c>
      <c r="I184">
        <v>99.2</v>
      </c>
      <c r="J184">
        <v>114.5</v>
      </c>
      <c r="K184">
        <v>154.94</v>
      </c>
      <c r="L184">
        <v>159.72999999999999</v>
      </c>
      <c r="M184">
        <v>142.69</v>
      </c>
      <c r="N184">
        <v>131</v>
      </c>
      <c r="O184">
        <v>121.83</v>
      </c>
      <c r="P184">
        <v>116.12</v>
      </c>
      <c r="Q184">
        <v>112.63</v>
      </c>
      <c r="R184">
        <v>156.15</v>
      </c>
      <c r="S184">
        <v>156.15</v>
      </c>
      <c r="T184">
        <v>156.15</v>
      </c>
      <c r="U184">
        <v>156.15</v>
      </c>
    </row>
    <row r="185" spans="1:21" x14ac:dyDescent="0.25">
      <c r="A185" t="s">
        <v>812</v>
      </c>
      <c r="B185">
        <v>7.74</v>
      </c>
      <c r="C185">
        <v>6.04</v>
      </c>
      <c r="D185">
        <v>5.91</v>
      </c>
      <c r="E185">
        <v>5.85</v>
      </c>
      <c r="F185">
        <v>6.84</v>
      </c>
      <c r="G185">
        <v>6.81</v>
      </c>
      <c r="H185">
        <v>5.0999999999999996</v>
      </c>
      <c r="I185">
        <v>6.94</v>
      </c>
      <c r="J185">
        <v>6.52</v>
      </c>
      <c r="K185">
        <v>6.63</v>
      </c>
      <c r="L185">
        <v>5.56</v>
      </c>
      <c r="M185">
        <v>6.75</v>
      </c>
      <c r="N185">
        <v>6.22</v>
      </c>
      <c r="O185">
        <v>9.5500000000000007</v>
      </c>
      <c r="P185">
        <v>9.2899999999999991</v>
      </c>
      <c r="Q185">
        <v>8.57</v>
      </c>
      <c r="R185">
        <v>11.61</v>
      </c>
      <c r="S185">
        <v>11.61</v>
      </c>
      <c r="T185">
        <v>7.22</v>
      </c>
      <c r="U185">
        <v>7.22</v>
      </c>
    </row>
    <row r="186" spans="1:21" x14ac:dyDescent="0.25">
      <c r="A186" t="s">
        <v>1442</v>
      </c>
      <c r="B186">
        <v>7.3</v>
      </c>
      <c r="C186">
        <v>4.59</v>
      </c>
      <c r="D186">
        <v>7.15</v>
      </c>
      <c r="E186">
        <v>5.29</v>
      </c>
      <c r="F186">
        <v>5.42</v>
      </c>
      <c r="G186">
        <v>6.4</v>
      </c>
      <c r="H186">
        <v>6.33</v>
      </c>
      <c r="I186">
        <v>6.47</v>
      </c>
      <c r="J186">
        <v>5.2</v>
      </c>
      <c r="K186">
        <v>8.6</v>
      </c>
      <c r="L186">
        <v>4.96</v>
      </c>
      <c r="M186">
        <v>5.08</v>
      </c>
      <c r="N186">
        <v>5.34</v>
      </c>
      <c r="O186">
        <v>5.13</v>
      </c>
      <c r="P186">
        <v>5.75</v>
      </c>
      <c r="Q186">
        <v>5.98</v>
      </c>
      <c r="R186">
        <v>6.64</v>
      </c>
      <c r="S186">
        <v>6.64</v>
      </c>
    </row>
    <row r="187" spans="1:21" x14ac:dyDescent="0.25">
      <c r="A187" t="s">
        <v>1443</v>
      </c>
      <c r="B187" s="2">
        <v>18642.45</v>
      </c>
      <c r="C187" s="2">
        <v>22173.05</v>
      </c>
      <c r="D187" s="2">
        <v>24915.46</v>
      </c>
      <c r="E187" s="2">
        <v>25953.26</v>
      </c>
      <c r="F187" s="2">
        <v>34610.49</v>
      </c>
      <c r="G187" s="2">
        <v>49862.05</v>
      </c>
      <c r="H187" s="2">
        <v>56831.79</v>
      </c>
      <c r="I187" s="2">
        <v>60929.04</v>
      </c>
      <c r="J187" s="2">
        <v>73163.03</v>
      </c>
      <c r="K187" s="2">
        <v>81820.850000000006</v>
      </c>
      <c r="L187" s="2">
        <v>80048.240000000005</v>
      </c>
      <c r="M187" s="2">
        <v>79236.42</v>
      </c>
      <c r="N187" s="2">
        <v>101488.71</v>
      </c>
      <c r="O187" s="2">
        <v>229264.33</v>
      </c>
      <c r="P187" s="2">
        <v>427777.59</v>
      </c>
      <c r="Q187" s="2">
        <v>633587.31000000006</v>
      </c>
      <c r="R187" s="2">
        <v>504174.08000000002</v>
      </c>
      <c r="S187" s="2">
        <v>554549.67000000004</v>
      </c>
      <c r="T187" s="2">
        <v>554549.67000000004</v>
      </c>
      <c r="U187" s="2">
        <v>554549.67000000004</v>
      </c>
    </row>
    <row r="188" spans="1:21" x14ac:dyDescent="0.25">
      <c r="A188" t="s">
        <v>177</v>
      </c>
      <c r="B188" s="2">
        <v>1675.27</v>
      </c>
      <c r="C188">
        <v>109.76</v>
      </c>
      <c r="D188">
        <v>-827.17</v>
      </c>
      <c r="E188">
        <v>165.81</v>
      </c>
      <c r="F188" s="2">
        <v>-4106.79</v>
      </c>
      <c r="G188" s="2">
        <v>-2772.81</v>
      </c>
      <c r="H188" s="2">
        <v>7095.92</v>
      </c>
      <c r="I188" s="2">
        <v>7298.66</v>
      </c>
      <c r="J188" s="2">
        <v>8803.85</v>
      </c>
      <c r="K188" s="2">
        <v>14632.62</v>
      </c>
      <c r="L188" s="2">
        <v>18192.47</v>
      </c>
      <c r="M188" s="2">
        <v>7639.31</v>
      </c>
      <c r="N188" s="2">
        <v>-7050.66</v>
      </c>
      <c r="O188" s="2">
        <v>-54569.69</v>
      </c>
      <c r="P188" s="2">
        <v>-118495.83</v>
      </c>
      <c r="Q188" s="2">
        <v>-292752.88</v>
      </c>
    </row>
    <row r="189" spans="1:21" x14ac:dyDescent="0.25">
      <c r="A189" t="s">
        <v>1444</v>
      </c>
      <c r="B189">
        <v>4.75</v>
      </c>
      <c r="C189">
        <v>4.57</v>
      </c>
      <c r="D189">
        <v>4.25</v>
      </c>
      <c r="E189">
        <v>4.1399999999999997</v>
      </c>
      <c r="F189">
        <v>4.68</v>
      </c>
      <c r="G189">
        <v>4.49</v>
      </c>
      <c r="H189">
        <v>4.33</v>
      </c>
      <c r="I189">
        <v>4.59</v>
      </c>
      <c r="J189">
        <v>4.2</v>
      </c>
      <c r="K189">
        <v>3.98</v>
      </c>
      <c r="L189">
        <v>3.86</v>
      </c>
      <c r="M189">
        <v>3.38</v>
      </c>
      <c r="N189">
        <v>3.46</v>
      </c>
      <c r="O189">
        <v>3.61</v>
      </c>
      <c r="P189">
        <v>3.61</v>
      </c>
      <c r="Q189">
        <v>3.61</v>
      </c>
      <c r="R189">
        <v>3.5</v>
      </c>
      <c r="S189">
        <v>3.5</v>
      </c>
      <c r="T189">
        <v>3.5</v>
      </c>
      <c r="U189">
        <v>3.5</v>
      </c>
    </row>
    <row r="190" spans="1:21" x14ac:dyDescent="0.25">
      <c r="A190" t="s">
        <v>424</v>
      </c>
      <c r="B190">
        <v>17.39</v>
      </c>
      <c r="C190">
        <v>22.66</v>
      </c>
      <c r="D190">
        <v>25.63</v>
      </c>
      <c r="E190">
        <v>28.02</v>
      </c>
      <c r="F190">
        <v>44.87</v>
      </c>
      <c r="G190">
        <v>61.19</v>
      </c>
      <c r="H190">
        <v>60.35</v>
      </c>
      <c r="I190">
        <v>69.31</v>
      </c>
      <c r="J190">
        <v>75.959999999999994</v>
      </c>
      <c r="K190">
        <v>73.23</v>
      </c>
      <c r="L190">
        <v>59.99</v>
      </c>
      <c r="M190">
        <v>72.540000000000006</v>
      </c>
      <c r="N190">
        <v>118.9</v>
      </c>
      <c r="O190">
        <v>387.79</v>
      </c>
      <c r="P190">
        <v>689.53</v>
      </c>
      <c r="Q190" s="2">
        <v>1057.22</v>
      </c>
      <c r="R190" s="2">
        <v>1494.93</v>
      </c>
      <c r="S190" s="2">
        <v>2048.81</v>
      </c>
      <c r="T190" s="2">
        <v>3145</v>
      </c>
      <c r="U190" s="2">
        <v>4738.42</v>
      </c>
    </row>
    <row r="191" spans="1:21" x14ac:dyDescent="0.25">
      <c r="A191" t="s">
        <v>1445</v>
      </c>
      <c r="B191" s="2">
        <v>16829.560000000001</v>
      </c>
      <c r="C191" s="2">
        <v>19318.72</v>
      </c>
      <c r="D191" s="2">
        <v>21121.56</v>
      </c>
      <c r="E191" s="2">
        <v>23224.080000000002</v>
      </c>
      <c r="F191" s="2">
        <v>34948.550000000003</v>
      </c>
      <c r="G191" s="2">
        <v>45467.64</v>
      </c>
      <c r="H191" s="2">
        <v>49598.55</v>
      </c>
      <c r="I191" s="2">
        <v>57034.01</v>
      </c>
      <c r="J191" s="2">
        <v>68577.83</v>
      </c>
      <c r="K191" s="2">
        <v>66886.14</v>
      </c>
      <c r="L191" s="2">
        <v>61205.13</v>
      </c>
      <c r="M191" s="2">
        <v>64173.95</v>
      </c>
      <c r="N191" s="2">
        <v>96041.85</v>
      </c>
      <c r="O191" s="2">
        <v>297004.62</v>
      </c>
      <c r="P191" s="2">
        <v>526774.4</v>
      </c>
      <c r="Q191" s="2">
        <v>789951.27</v>
      </c>
      <c r="R191" s="2">
        <v>886396.31</v>
      </c>
      <c r="S191" s="2">
        <v>942767.53</v>
      </c>
      <c r="T191" s="2">
        <v>428510.88</v>
      </c>
      <c r="U191" s="2">
        <v>515037.28</v>
      </c>
    </row>
    <row r="192" spans="1:21" x14ac:dyDescent="0.25">
      <c r="A192" t="s">
        <v>327</v>
      </c>
      <c r="B192">
        <v>0.72</v>
      </c>
      <c r="C192">
        <v>0.72</v>
      </c>
      <c r="D192">
        <v>0.66</v>
      </c>
      <c r="E192">
        <v>0.56000000000000005</v>
      </c>
      <c r="F192">
        <v>0.78</v>
      </c>
      <c r="G192">
        <v>0.74</v>
      </c>
      <c r="H192">
        <v>0.42</v>
      </c>
      <c r="I192">
        <v>0.47</v>
      </c>
      <c r="J192">
        <v>0.51</v>
      </c>
      <c r="K192">
        <v>0.45</v>
      </c>
      <c r="L192">
        <v>0.32</v>
      </c>
      <c r="M192">
        <v>0.6</v>
      </c>
      <c r="N192">
        <v>0.66</v>
      </c>
      <c r="O192">
        <v>1.01</v>
      </c>
      <c r="P192">
        <v>0.85</v>
      </c>
      <c r="Q192">
        <v>0.7</v>
      </c>
      <c r="R192">
        <v>0.84</v>
      </c>
      <c r="S192">
        <v>1.22</v>
      </c>
      <c r="T192">
        <v>2.12</v>
      </c>
      <c r="U192">
        <v>2.25</v>
      </c>
    </row>
    <row r="193" spans="1:21" x14ac:dyDescent="0.25">
      <c r="A193" t="s">
        <v>1446</v>
      </c>
      <c r="B193">
        <v>1.73</v>
      </c>
      <c r="C193">
        <v>1.53</v>
      </c>
      <c r="D193">
        <v>1.43</v>
      </c>
      <c r="E193">
        <v>1.36</v>
      </c>
      <c r="F193">
        <v>1.34</v>
      </c>
      <c r="G193">
        <v>1.35</v>
      </c>
      <c r="H193">
        <v>1.36</v>
      </c>
      <c r="I193">
        <v>1.37</v>
      </c>
      <c r="J193">
        <v>1.47</v>
      </c>
      <c r="K193">
        <v>1.6</v>
      </c>
      <c r="L193">
        <v>1.75</v>
      </c>
      <c r="M193">
        <v>1.73</v>
      </c>
      <c r="N193">
        <v>1.52</v>
      </c>
      <c r="O193">
        <v>2.76</v>
      </c>
      <c r="P193">
        <v>1.64</v>
      </c>
      <c r="Q193">
        <v>1.18</v>
      </c>
      <c r="R193">
        <v>1</v>
      </c>
      <c r="S193">
        <v>0.75</v>
      </c>
      <c r="T193">
        <v>0.28000000000000003</v>
      </c>
      <c r="U193">
        <v>0.21</v>
      </c>
    </row>
    <row r="194" spans="1:21" x14ac:dyDescent="0.25">
      <c r="A194" t="s">
        <v>186</v>
      </c>
      <c r="B194">
        <v>2.16</v>
      </c>
      <c r="C194">
        <v>1.8</v>
      </c>
      <c r="D194">
        <v>2.02</v>
      </c>
      <c r="E194">
        <v>2.36</v>
      </c>
      <c r="F194">
        <v>2.13</v>
      </c>
      <c r="G194">
        <v>1.53</v>
      </c>
      <c r="H194">
        <v>1.82</v>
      </c>
      <c r="I194">
        <v>1.83</v>
      </c>
      <c r="J194">
        <v>1.83</v>
      </c>
      <c r="K194">
        <v>1.45</v>
      </c>
      <c r="L194">
        <v>1.45</v>
      </c>
      <c r="M194">
        <v>1.69</v>
      </c>
      <c r="N194">
        <v>1.86</v>
      </c>
      <c r="O194">
        <v>5.35</v>
      </c>
      <c r="P194">
        <v>9.58</v>
      </c>
      <c r="Q194">
        <v>14.22</v>
      </c>
      <c r="R194">
        <v>47.43</v>
      </c>
      <c r="S194">
        <v>78.91</v>
      </c>
      <c r="T194">
        <v>78.91</v>
      </c>
      <c r="U194">
        <v>78.91</v>
      </c>
    </row>
    <row r="195" spans="1:21" x14ac:dyDescent="0.25">
      <c r="A195" t="s">
        <v>1447</v>
      </c>
      <c r="B195">
        <v>713.73</v>
      </c>
      <c r="C195">
        <v>728</v>
      </c>
      <c r="D195">
        <v>731.53</v>
      </c>
      <c r="E195">
        <v>731.53</v>
      </c>
      <c r="F195">
        <v>728</v>
      </c>
      <c r="G195">
        <v>731.53</v>
      </c>
      <c r="H195">
        <v>731.53</v>
      </c>
      <c r="I195">
        <v>731.53</v>
      </c>
      <c r="J195">
        <v>728</v>
      </c>
      <c r="K195">
        <v>728</v>
      </c>
      <c r="L195">
        <v>728</v>
      </c>
      <c r="M195">
        <v>728</v>
      </c>
      <c r="N195">
        <v>728</v>
      </c>
      <c r="O195">
        <v>722.7</v>
      </c>
      <c r="P195">
        <v>712.49</v>
      </c>
      <c r="Q195">
        <v>683.5</v>
      </c>
      <c r="R195">
        <v>598.62</v>
      </c>
      <c r="S195">
        <v>679.38</v>
      </c>
      <c r="T195">
        <v>729.25</v>
      </c>
      <c r="U195">
        <v>729.25</v>
      </c>
    </row>
    <row r="196" spans="1:21" x14ac:dyDescent="0.25">
      <c r="A196" t="s">
        <v>17</v>
      </c>
    </row>
    <row r="197" spans="1:21" x14ac:dyDescent="0.25">
      <c r="A197" t="s">
        <v>188</v>
      </c>
    </row>
    <row r="198" spans="1:21" x14ac:dyDescent="0.25">
      <c r="A198" t="s">
        <v>189</v>
      </c>
    </row>
    <row r="199" spans="1:21" x14ac:dyDescent="0.25">
      <c r="A199" t="s">
        <v>121</v>
      </c>
      <c r="B199" s="2">
        <v>2625.45</v>
      </c>
      <c r="C199" s="2">
        <v>3986.14</v>
      </c>
      <c r="D199" s="2">
        <v>3821.54</v>
      </c>
      <c r="E199" s="2">
        <v>2547.12</v>
      </c>
      <c r="F199" s="2">
        <v>9416.1</v>
      </c>
      <c r="G199" s="2">
        <v>14128.66</v>
      </c>
      <c r="H199" s="2">
        <v>1728.21</v>
      </c>
      <c r="I199" s="2">
        <v>4037.35</v>
      </c>
      <c r="J199" s="2">
        <v>8390.26</v>
      </c>
      <c r="K199" s="2">
        <v>1730.59</v>
      </c>
      <c r="L199" s="2">
        <v>-6977.76</v>
      </c>
      <c r="M199" s="2">
        <v>14512.78</v>
      </c>
      <c r="N199" s="2">
        <v>30206.15</v>
      </c>
      <c r="O199" s="2">
        <v>185464.01</v>
      </c>
      <c r="P199" s="2">
        <v>250221.92</v>
      </c>
      <c r="Q199" s="2">
        <v>281336.33</v>
      </c>
      <c r="R199" s="2">
        <v>220208.51</v>
      </c>
      <c r="S199" s="2">
        <v>279720.03000000003</v>
      </c>
      <c r="T199" s="2">
        <v>837142.37</v>
      </c>
      <c r="U199" s="2">
        <v>1228607.94</v>
      </c>
    </row>
    <row r="200" spans="1:21" x14ac:dyDescent="0.25">
      <c r="A200" t="s">
        <v>190</v>
      </c>
      <c r="B200" s="2">
        <v>2813.78</v>
      </c>
      <c r="C200" s="2">
        <v>3272.15</v>
      </c>
      <c r="D200" s="2">
        <v>3495.19</v>
      </c>
      <c r="E200" s="2">
        <v>3842.84</v>
      </c>
      <c r="F200" s="2">
        <v>4447.3500000000004</v>
      </c>
      <c r="G200" s="2">
        <v>5844.4</v>
      </c>
      <c r="H200" s="2">
        <v>7399.74</v>
      </c>
      <c r="I200" s="2">
        <v>8296.9</v>
      </c>
      <c r="J200" s="2">
        <v>9311.58</v>
      </c>
      <c r="K200" s="2">
        <v>10984.39</v>
      </c>
      <c r="L200" s="2">
        <v>10470.49</v>
      </c>
      <c r="M200" s="2">
        <v>9227.14</v>
      </c>
      <c r="N200" s="2">
        <v>9803.8799999999992</v>
      </c>
      <c r="O200" s="2">
        <v>12093.75</v>
      </c>
      <c r="P200" s="2">
        <v>15837.58</v>
      </c>
      <c r="Q200" s="2">
        <v>20094.71</v>
      </c>
      <c r="R200" s="2">
        <v>30158.47</v>
      </c>
      <c r="S200" s="2">
        <v>34750.400000000001</v>
      </c>
      <c r="T200" s="2">
        <v>28244.01</v>
      </c>
      <c r="U200" s="2">
        <v>28526.45</v>
      </c>
    </row>
    <row r="201" spans="1:21" x14ac:dyDescent="0.25">
      <c r="A201" t="s">
        <v>191</v>
      </c>
      <c r="B201" s="2">
        <v>2670.95</v>
      </c>
      <c r="C201" s="2">
        <v>3106.57</v>
      </c>
      <c r="D201" s="2">
        <v>3437.42</v>
      </c>
      <c r="E201" s="2">
        <v>3564.68</v>
      </c>
      <c r="F201" s="2">
        <v>4086.9</v>
      </c>
      <c r="G201" s="2">
        <v>5367.9</v>
      </c>
      <c r="H201" s="2">
        <v>6717.16</v>
      </c>
      <c r="I201" s="2">
        <v>7481.34</v>
      </c>
      <c r="J201" s="2">
        <v>8616.11</v>
      </c>
      <c r="K201" s="2">
        <v>10379.26</v>
      </c>
      <c r="L201" s="2">
        <v>10047.379999999999</v>
      </c>
      <c r="M201" s="2">
        <v>8789.89</v>
      </c>
      <c r="N201" s="2">
        <v>9219.16</v>
      </c>
      <c r="O201" s="2">
        <v>12153.59</v>
      </c>
      <c r="P201" s="2">
        <v>16292.51</v>
      </c>
      <c r="Q201" s="2">
        <v>21534.67</v>
      </c>
      <c r="R201" s="2">
        <v>33700.269999999997</v>
      </c>
      <c r="S201" s="2">
        <v>32691.15</v>
      </c>
      <c r="T201" s="2">
        <v>14299.9</v>
      </c>
      <c r="U201" s="2">
        <v>11511.27</v>
      </c>
    </row>
    <row r="202" spans="1:21" x14ac:dyDescent="0.25">
      <c r="A202" t="s">
        <v>192</v>
      </c>
      <c r="B202">
        <v>142.84</v>
      </c>
      <c r="C202">
        <v>165.58</v>
      </c>
      <c r="D202">
        <v>228.18</v>
      </c>
      <c r="E202">
        <v>278.16000000000003</v>
      </c>
      <c r="F202">
        <v>360.45</v>
      </c>
      <c r="G202">
        <v>476.49</v>
      </c>
      <c r="H202">
        <v>682.57</v>
      </c>
      <c r="I202">
        <v>815.56</v>
      </c>
      <c r="J202">
        <v>695.47</v>
      </c>
      <c r="K202">
        <v>605.13</v>
      </c>
      <c r="L202">
        <v>423.1</v>
      </c>
      <c r="M202">
        <v>437.25</v>
      </c>
      <c r="N202">
        <v>584.72</v>
      </c>
      <c r="O202">
        <v>678.78</v>
      </c>
      <c r="P202">
        <v>862.54</v>
      </c>
      <c r="Q202">
        <v>987.27</v>
      </c>
      <c r="R202">
        <v>623.79</v>
      </c>
      <c r="S202">
        <v>573.57000000000005</v>
      </c>
      <c r="T202">
        <v>170.52</v>
      </c>
      <c r="U202">
        <v>135.72999999999999</v>
      </c>
    </row>
    <row r="203" spans="1:21" x14ac:dyDescent="0.25">
      <c r="A203" t="s">
        <v>551</v>
      </c>
    </row>
    <row r="204" spans="1:21" x14ac:dyDescent="0.25">
      <c r="A204" t="s">
        <v>141</v>
      </c>
      <c r="B204">
        <v>-254.22</v>
      </c>
      <c r="C204" s="2">
        <v>-1547.41</v>
      </c>
      <c r="D204" s="2">
        <v>1114.1600000000001</v>
      </c>
      <c r="E204">
        <v>-405.98</v>
      </c>
      <c r="F204" s="2">
        <v>-2622.92</v>
      </c>
      <c r="G204">
        <v>-497.55</v>
      </c>
      <c r="H204" s="2">
        <v>1901.16</v>
      </c>
      <c r="I204">
        <v>-794.16</v>
      </c>
      <c r="J204" s="2">
        <v>-2206.91</v>
      </c>
      <c r="K204" s="2">
        <v>2594.0500000000002</v>
      </c>
      <c r="L204" s="2">
        <v>-1076.78</v>
      </c>
      <c r="M204" s="2">
        <v>-3738.81</v>
      </c>
      <c r="N204" s="2">
        <v>-3930.12</v>
      </c>
      <c r="O204" s="2">
        <v>-24998.560000000001</v>
      </c>
      <c r="P204" s="2">
        <v>-21764.94</v>
      </c>
      <c r="Q204" s="2">
        <v>-17659.84</v>
      </c>
      <c r="R204" s="2">
        <v>-16202.25</v>
      </c>
      <c r="S204" s="2">
        <v>-23431.05</v>
      </c>
      <c r="T204" s="2">
        <v>-65522.57</v>
      </c>
      <c r="U204" s="2">
        <v>-96162.79</v>
      </c>
    </row>
    <row r="205" spans="1:21" x14ac:dyDescent="0.25">
      <c r="A205" t="s">
        <v>340</v>
      </c>
      <c r="B205">
        <v>304.52999999999997</v>
      </c>
      <c r="C205">
        <v>-298.85000000000002</v>
      </c>
      <c r="D205">
        <v>-366.77</v>
      </c>
      <c r="E205">
        <v>-95.52</v>
      </c>
      <c r="F205">
        <v>-561.54</v>
      </c>
      <c r="G205" s="2">
        <v>-1620.5</v>
      </c>
      <c r="H205">
        <v>-731.13</v>
      </c>
      <c r="I205">
        <v>-716.47</v>
      </c>
      <c r="J205">
        <v>-608.64</v>
      </c>
      <c r="K205" s="2">
        <v>-5101.25</v>
      </c>
      <c r="L205" s="2">
        <v>1752.03</v>
      </c>
      <c r="M205">
        <v>122.27</v>
      </c>
      <c r="N205">
        <v>-745.65</v>
      </c>
      <c r="O205" s="2">
        <v>-12698.94</v>
      </c>
      <c r="P205" s="2">
        <v>-10417.200000000001</v>
      </c>
      <c r="Q205" s="2">
        <v>-7991.64</v>
      </c>
      <c r="R205" s="2">
        <v>-15696.99</v>
      </c>
      <c r="S205" s="2">
        <v>-23816.15</v>
      </c>
      <c r="T205" s="2">
        <v>-67244.490000000005</v>
      </c>
      <c r="U205" s="2">
        <v>-98689.94</v>
      </c>
    </row>
    <row r="206" spans="1:21" x14ac:dyDescent="0.25">
      <c r="A206" t="s">
        <v>204</v>
      </c>
      <c r="B206" s="2">
        <v>5824.09</v>
      </c>
      <c r="C206" s="2">
        <v>5573.99</v>
      </c>
      <c r="D206" s="2">
        <v>8239.7099999999991</v>
      </c>
      <c r="E206" s="2">
        <v>4784.99</v>
      </c>
      <c r="F206" s="2">
        <v>12998.93</v>
      </c>
      <c r="G206" s="2">
        <v>20208.39</v>
      </c>
      <c r="H206" s="2">
        <v>5622.3</v>
      </c>
      <c r="I206" s="2">
        <v>10455.77</v>
      </c>
      <c r="J206" s="2">
        <v>17298.68</v>
      </c>
      <c r="K206" s="2">
        <v>11472.66</v>
      </c>
      <c r="L206" s="2">
        <v>3275.99</v>
      </c>
      <c r="M206" s="2">
        <v>21851.94</v>
      </c>
      <c r="N206" s="2">
        <v>37563.449999999997</v>
      </c>
      <c r="O206" s="2">
        <v>146898.85999999999</v>
      </c>
      <c r="P206" s="2">
        <v>238954.73</v>
      </c>
      <c r="Q206" s="2">
        <v>273779.48</v>
      </c>
      <c r="R206" s="2">
        <v>274316.95</v>
      </c>
      <c r="S206" s="2">
        <v>340348.05</v>
      </c>
      <c r="T206" s="2">
        <v>743352.89</v>
      </c>
      <c r="U206" s="2">
        <v>1081369.6399999999</v>
      </c>
    </row>
    <row r="207" spans="1:21" x14ac:dyDescent="0.25">
      <c r="A207" t="s">
        <v>17</v>
      </c>
    </row>
    <row r="208" spans="1:21" x14ac:dyDescent="0.25">
      <c r="A208" t="s">
        <v>205</v>
      </c>
    </row>
    <row r="209" spans="1:21" x14ac:dyDescent="0.25">
      <c r="A209" t="s">
        <v>1448</v>
      </c>
      <c r="B209" s="2">
        <v>-2915.94</v>
      </c>
      <c r="C209" s="2">
        <v>-4372.17</v>
      </c>
      <c r="D209" s="2">
        <v>-5795.08</v>
      </c>
      <c r="E209" s="2">
        <v>-4996.53</v>
      </c>
      <c r="F209" s="2">
        <v>-7860.44</v>
      </c>
      <c r="G209" s="2">
        <v>-14459.86</v>
      </c>
      <c r="H209" s="2">
        <v>-11902.93</v>
      </c>
      <c r="I209" s="2">
        <v>-8498.69</v>
      </c>
      <c r="J209" s="2">
        <v>-10840.66</v>
      </c>
      <c r="K209" s="2">
        <v>-14504.52</v>
      </c>
      <c r="L209" s="2">
        <v>-5195.79</v>
      </c>
      <c r="M209" s="2">
        <v>-11659.7</v>
      </c>
      <c r="N209" s="2">
        <v>-19265.61</v>
      </c>
      <c r="O209" s="2">
        <v>-32963.599999999999</v>
      </c>
      <c r="P209" s="2">
        <v>-45413.06</v>
      </c>
      <c r="Q209" s="2">
        <v>-57713.04</v>
      </c>
      <c r="R209" s="2">
        <v>-82271.039999999994</v>
      </c>
      <c r="S209" s="2">
        <v>-69090.600000000006</v>
      </c>
    </row>
    <row r="210" spans="1:21" x14ac:dyDescent="0.25">
      <c r="A210" t="s">
        <v>1393</v>
      </c>
      <c r="B210">
        <v>14.18</v>
      </c>
      <c r="C210">
        <v>189.03</v>
      </c>
      <c r="D210">
        <v>194.6</v>
      </c>
      <c r="E210">
        <v>139.80000000000001</v>
      </c>
      <c r="F210">
        <v>216.7</v>
      </c>
      <c r="G210">
        <v>119.79</v>
      </c>
      <c r="H210">
        <v>46.22</v>
      </c>
      <c r="I210">
        <v>50.17</v>
      </c>
      <c r="J210">
        <v>69.849999999999994</v>
      </c>
      <c r="K210">
        <v>251.27</v>
      </c>
      <c r="L210" s="2">
        <v>1179.1099999999999</v>
      </c>
      <c r="M210">
        <v>34.56</v>
      </c>
      <c r="N210">
        <v>101.93</v>
      </c>
      <c r="O210">
        <v>59.38</v>
      </c>
      <c r="P210">
        <v>136.66</v>
      </c>
      <c r="Q210">
        <v>150.46</v>
      </c>
    </row>
    <row r="211" spans="1:21" x14ac:dyDescent="0.25">
      <c r="A211" t="s">
        <v>206</v>
      </c>
      <c r="B211" s="2">
        <v>-2930.11</v>
      </c>
      <c r="C211" s="2">
        <v>-4561.21</v>
      </c>
      <c r="D211" s="2">
        <v>-5989.68</v>
      </c>
      <c r="E211" s="2">
        <v>-5136.34</v>
      </c>
      <c r="F211" s="2">
        <v>-8077.14</v>
      </c>
      <c r="G211" s="2">
        <v>-14579.65</v>
      </c>
      <c r="H211" s="2">
        <v>-11949.14</v>
      </c>
      <c r="I211" s="2">
        <v>-8548.86</v>
      </c>
      <c r="J211" s="2">
        <v>-10910.51</v>
      </c>
      <c r="K211" s="2">
        <v>-14755.79</v>
      </c>
      <c r="L211" s="2">
        <v>-6374.9</v>
      </c>
      <c r="M211" s="2">
        <v>-11694.26</v>
      </c>
      <c r="N211" s="2">
        <v>-19367.53</v>
      </c>
      <c r="O211" s="2">
        <v>-33792.93</v>
      </c>
      <c r="P211" s="2">
        <v>-45523.91</v>
      </c>
      <c r="Q211" s="2">
        <v>-52753.46</v>
      </c>
      <c r="R211" s="2">
        <v>-65597.75</v>
      </c>
      <c r="S211" s="2">
        <v>-57367.7</v>
      </c>
      <c r="T211" s="2">
        <v>-53761.47</v>
      </c>
      <c r="U211" s="2">
        <v>-54299.08</v>
      </c>
    </row>
    <row r="212" spans="1:21" x14ac:dyDescent="0.25">
      <c r="A212" t="s">
        <v>1449</v>
      </c>
      <c r="B212">
        <v>-275.57</v>
      </c>
      <c r="C212">
        <v>-319.51</v>
      </c>
      <c r="D212">
        <v>-551.47</v>
      </c>
      <c r="E212">
        <v>-457.36</v>
      </c>
      <c r="F212">
        <v>-694.53</v>
      </c>
      <c r="G212">
        <v>-848.39</v>
      </c>
      <c r="H212">
        <v>-578.01</v>
      </c>
      <c r="I212">
        <v>-679.86</v>
      </c>
      <c r="J212">
        <v>-850.96</v>
      </c>
      <c r="K212">
        <v>-573.32000000000005</v>
      </c>
      <c r="L212">
        <v>-348.19</v>
      </c>
      <c r="M212">
        <v>-525.91999999999996</v>
      </c>
      <c r="N212">
        <v>-746.31</v>
      </c>
      <c r="O212" s="2">
        <v>-1458.67</v>
      </c>
      <c r="P212" s="2">
        <v>-2078.21</v>
      </c>
      <c r="Q212" s="2">
        <v>-4117.18</v>
      </c>
      <c r="R212">
        <v>-850.77</v>
      </c>
      <c r="S212">
        <v>-928.36</v>
      </c>
    </row>
    <row r="213" spans="1:21" x14ac:dyDescent="0.25">
      <c r="A213" t="s">
        <v>762</v>
      </c>
      <c r="B213">
        <v>-940.16</v>
      </c>
      <c r="C213" s="2">
        <v>-1337.52</v>
      </c>
      <c r="D213">
        <v>34.950000000000003</v>
      </c>
      <c r="E213">
        <v>94.69</v>
      </c>
      <c r="F213" s="2">
        <v>-1874.99</v>
      </c>
      <c r="G213">
        <v>-313.42</v>
      </c>
      <c r="H213" s="2">
        <v>3768.58</v>
      </c>
      <c r="I213">
        <v>-217.3</v>
      </c>
      <c r="J213" s="2">
        <v>-1377.49</v>
      </c>
      <c r="K213" s="2">
        <v>1747.08</v>
      </c>
      <c r="L213">
        <v>106.98</v>
      </c>
      <c r="M213" s="2">
        <v>-1037.5</v>
      </c>
      <c r="N213" s="2">
        <v>-11854.04</v>
      </c>
      <c r="O213" s="2">
        <v>-11734.19</v>
      </c>
      <c r="P213" s="2">
        <v>-2221.64</v>
      </c>
      <c r="Q213" s="2">
        <v>-1075.43</v>
      </c>
      <c r="R213" s="2">
        <v>-2568.19</v>
      </c>
      <c r="S213" s="2">
        <v>-2758.24</v>
      </c>
    </row>
    <row r="214" spans="1:21" x14ac:dyDescent="0.25">
      <c r="A214" t="s">
        <v>213</v>
      </c>
      <c r="B214" s="2">
        <v>-4471.43</v>
      </c>
      <c r="C214" s="2">
        <v>-5784.1</v>
      </c>
      <c r="D214" s="2">
        <v>-6299.92</v>
      </c>
      <c r="E214" s="2">
        <v>-5372.7</v>
      </c>
      <c r="F214" s="2">
        <v>-10546.62</v>
      </c>
      <c r="G214" s="2">
        <v>-19482.46</v>
      </c>
      <c r="H214" s="2">
        <v>-8971.09</v>
      </c>
      <c r="I214" s="2">
        <v>-10053.16</v>
      </c>
      <c r="J214" s="2">
        <v>-19565.810000000001</v>
      </c>
      <c r="K214" s="2">
        <v>-13881.39</v>
      </c>
      <c r="L214" s="2">
        <v>-5616.5</v>
      </c>
      <c r="M214" s="2">
        <v>-13204.38</v>
      </c>
      <c r="N214" s="2">
        <v>-33820.080000000002</v>
      </c>
      <c r="O214" s="2">
        <v>-48758.720000000001</v>
      </c>
      <c r="P214" s="2">
        <v>-53399.92</v>
      </c>
      <c r="Q214" s="2">
        <v>-66906.06</v>
      </c>
      <c r="R214" s="2">
        <v>-90034.47</v>
      </c>
      <c r="S214" s="2">
        <v>-60101.13</v>
      </c>
      <c r="T214" s="2">
        <v>-79398.84</v>
      </c>
      <c r="U214" s="2">
        <v>-116528</v>
      </c>
    </row>
    <row r="215" spans="1:21" x14ac:dyDescent="0.25">
      <c r="A215" t="s">
        <v>17</v>
      </c>
    </row>
    <row r="216" spans="1:21" x14ac:dyDescent="0.25">
      <c r="A216" t="s">
        <v>214</v>
      </c>
    </row>
    <row r="217" spans="1:21" x14ac:dyDescent="0.25">
      <c r="A217" t="s">
        <v>347</v>
      </c>
      <c r="B217">
        <v>0</v>
      </c>
      <c r="C217">
        <v>0</v>
      </c>
      <c r="D217">
        <v>-193.1</v>
      </c>
      <c r="E217">
        <v>-304.39999999999998</v>
      </c>
      <c r="F217">
        <v>-374.82</v>
      </c>
      <c r="G217">
        <v>-641.88</v>
      </c>
      <c r="H217">
        <v>-880.72</v>
      </c>
      <c r="I217">
        <v>-580.76</v>
      </c>
      <c r="J217">
        <v>-703.41</v>
      </c>
      <c r="K217" s="2">
        <v>-1304.72</v>
      </c>
      <c r="L217">
        <v>-632.17999999999995</v>
      </c>
      <c r="M217">
        <v>-606.02</v>
      </c>
      <c r="N217" s="2">
        <v>-1183.19</v>
      </c>
      <c r="O217" s="2">
        <v>-1562.31</v>
      </c>
      <c r="P217" s="2">
        <v>-7431.78</v>
      </c>
      <c r="Q217" s="2">
        <v>-8577.18</v>
      </c>
      <c r="R217" s="2">
        <v>-35366.050000000003</v>
      </c>
      <c r="S217" s="2">
        <v>-35211.29</v>
      </c>
      <c r="T217" s="2">
        <v>-71627.09</v>
      </c>
      <c r="U217" s="2">
        <v>-71627.09</v>
      </c>
    </row>
    <row r="218" spans="1:21" x14ac:dyDescent="0.25">
      <c r="A218" t="s">
        <v>822</v>
      </c>
      <c r="B218" s="2">
        <v>-1371</v>
      </c>
      <c r="C218">
        <v>26.95</v>
      </c>
      <c r="D218">
        <v>-417.28</v>
      </c>
      <c r="E218">
        <v>405.19</v>
      </c>
      <c r="F218">
        <v>63.44</v>
      </c>
      <c r="G218">
        <v>952.09</v>
      </c>
      <c r="H218" s="2">
        <v>4170.07</v>
      </c>
      <c r="I218">
        <v>791.29</v>
      </c>
      <c r="J218" s="2">
        <v>4621.26</v>
      </c>
      <c r="K218" s="2">
        <v>3485.95</v>
      </c>
      <c r="L218" s="2">
        <v>4982.7299999999996</v>
      </c>
      <c r="M218" s="2">
        <v>-5850.58</v>
      </c>
      <c r="N218">
        <v>120.45</v>
      </c>
      <c r="O218" s="2">
        <v>-3239.87</v>
      </c>
      <c r="P218" s="2">
        <v>-2917.02</v>
      </c>
      <c r="Q218" s="2">
        <v>-2464.46</v>
      </c>
      <c r="R218" s="2">
        <v>-3411.34</v>
      </c>
      <c r="S218" s="2">
        <v>-2558.98</v>
      </c>
    </row>
    <row r="219" spans="1:21" x14ac:dyDescent="0.25">
      <c r="A219" t="s">
        <v>218</v>
      </c>
      <c r="B219" s="2">
        <v>-1371</v>
      </c>
      <c r="C219">
        <v>26.93</v>
      </c>
      <c r="D219" s="2">
        <v>-1292.83</v>
      </c>
      <c r="E219">
        <v>100.79</v>
      </c>
      <c r="F219">
        <v>-311.38</v>
      </c>
      <c r="G219" s="2">
        <v>-1268.5899999999999</v>
      </c>
      <c r="H219" s="2">
        <v>3293.4</v>
      </c>
      <c r="I219">
        <v>214.01</v>
      </c>
      <c r="J219" s="2">
        <v>3925.27</v>
      </c>
      <c r="K219" s="2">
        <v>2190.2800000000002</v>
      </c>
      <c r="L219" s="2">
        <v>4362.3100000000004</v>
      </c>
      <c r="M219" s="2">
        <v>-6383.36</v>
      </c>
      <c r="N219" s="2">
        <v>-1016.97</v>
      </c>
      <c r="O219" s="2">
        <v>-1609.05</v>
      </c>
      <c r="P219" s="2">
        <v>-25992.99</v>
      </c>
      <c r="Q219" s="2">
        <v>-38311.699999999997</v>
      </c>
      <c r="R219" s="2">
        <v>-55063.51</v>
      </c>
      <c r="S219" s="2">
        <v>-54316.800000000003</v>
      </c>
      <c r="T219" s="2">
        <v>-64037.38</v>
      </c>
      <c r="U219" s="2">
        <v>-60488.22</v>
      </c>
    </row>
    <row r="220" spans="1:21" x14ac:dyDescent="0.25">
      <c r="A220" t="s">
        <v>17</v>
      </c>
    </row>
    <row r="221" spans="1:21" x14ac:dyDescent="0.25">
      <c r="A221" t="s">
        <v>176</v>
      </c>
    </row>
    <row r="222" spans="1:21" x14ac:dyDescent="0.25">
      <c r="A222" t="s">
        <v>219</v>
      </c>
      <c r="B222">
        <v>-5.91</v>
      </c>
      <c r="C222">
        <v>-2.2000000000000002</v>
      </c>
      <c r="D222">
        <v>6.39</v>
      </c>
      <c r="E222">
        <v>2.35</v>
      </c>
      <c r="F222">
        <v>-73.739999999999995</v>
      </c>
      <c r="G222">
        <v>-3.46</v>
      </c>
      <c r="H222">
        <v>18.27</v>
      </c>
      <c r="I222">
        <v>-47.81</v>
      </c>
      <c r="J222">
        <v>161.04</v>
      </c>
      <c r="K222">
        <v>155.6</v>
      </c>
      <c r="L222">
        <v>-22.96</v>
      </c>
      <c r="M222">
        <v>389.05</v>
      </c>
      <c r="N222">
        <v>-109.25</v>
      </c>
      <c r="O222">
        <v>788.07</v>
      </c>
      <c r="P222">
        <v>-305.76</v>
      </c>
      <c r="Q222">
        <v>-70.319999999999993</v>
      </c>
    </row>
    <row r="223" spans="1:21" x14ac:dyDescent="0.25">
      <c r="A223" t="s">
        <v>220</v>
      </c>
      <c r="B223">
        <v>-24.24</v>
      </c>
      <c r="C223">
        <v>-185.37</v>
      </c>
      <c r="D223">
        <v>653.34</v>
      </c>
      <c r="E223">
        <v>-484.57</v>
      </c>
      <c r="F223" s="2">
        <v>2067.1799999999998</v>
      </c>
      <c r="G223">
        <v>-546.12</v>
      </c>
      <c r="H223">
        <v>-37.119999999999997</v>
      </c>
      <c r="I223">
        <v>568.79999999999995</v>
      </c>
      <c r="J223" s="2">
        <v>1819.19</v>
      </c>
      <c r="K223">
        <v>-62.85</v>
      </c>
      <c r="L223" s="2">
        <v>1998.83</v>
      </c>
      <c r="M223" s="2">
        <v>2653.24</v>
      </c>
      <c r="N223" s="2">
        <v>2617.15</v>
      </c>
      <c r="O223" s="2">
        <v>95563.46</v>
      </c>
      <c r="P223" s="2">
        <v>151936.73000000001</v>
      </c>
      <c r="Q223" s="2">
        <v>169252.72</v>
      </c>
      <c r="R223" s="2">
        <v>154710.93</v>
      </c>
      <c r="S223" s="2">
        <v>225930.12</v>
      </c>
      <c r="T223" s="2">
        <v>599916.68000000005</v>
      </c>
      <c r="U223" s="2">
        <v>904353.42</v>
      </c>
    </row>
    <row r="224" spans="1:21" x14ac:dyDescent="0.25">
      <c r="A224" t="s">
        <v>221</v>
      </c>
      <c r="B224">
        <v>601.77</v>
      </c>
      <c r="C224">
        <v>600.34</v>
      </c>
      <c r="D224">
        <v>386.16</v>
      </c>
      <c r="E224" s="2">
        <v>1013.86</v>
      </c>
      <c r="F224">
        <v>543.11</v>
      </c>
      <c r="G224" s="2">
        <v>2682.05</v>
      </c>
      <c r="H224" s="2">
        <v>2016.66</v>
      </c>
      <c r="I224" s="2">
        <v>1957.98</v>
      </c>
      <c r="J224" s="2">
        <v>2600.34</v>
      </c>
      <c r="K224" s="2">
        <v>3926.01</v>
      </c>
      <c r="L224" s="2">
        <v>3811.1</v>
      </c>
      <c r="M224" s="2">
        <v>5564.45</v>
      </c>
      <c r="N224" s="2">
        <v>7886.05</v>
      </c>
      <c r="O224" s="2">
        <v>11967.73</v>
      </c>
      <c r="P224" s="2">
        <v>105048.02</v>
      </c>
      <c r="Q224" s="2">
        <v>265366.18</v>
      </c>
      <c r="R224" s="2">
        <v>423024.15</v>
      </c>
      <c r="S224" s="2">
        <v>579902.13</v>
      </c>
      <c r="T224" s="2">
        <v>676712.19</v>
      </c>
      <c r="U224" s="2">
        <v>986497.49</v>
      </c>
    </row>
    <row r="225" spans="1:21" x14ac:dyDescent="0.25">
      <c r="A225" t="s">
        <v>222</v>
      </c>
      <c r="B225">
        <v>600.15</v>
      </c>
      <c r="C225">
        <v>399.55</v>
      </c>
      <c r="D225">
        <v>999.83</v>
      </c>
      <c r="E225">
        <v>508.09</v>
      </c>
      <c r="F225" s="2">
        <v>2763.85</v>
      </c>
      <c r="G225" s="2">
        <v>2109.92</v>
      </c>
      <c r="H225" s="2">
        <v>1996.6</v>
      </c>
      <c r="I225" s="2">
        <v>2733.15</v>
      </c>
      <c r="J225" s="2">
        <v>4250.22</v>
      </c>
      <c r="K225" s="2">
        <v>3961.7</v>
      </c>
      <c r="L225" s="2">
        <v>5854.38</v>
      </c>
      <c r="M225" s="2">
        <v>7578.02</v>
      </c>
      <c r="N225" s="2">
        <v>10331.719999999999</v>
      </c>
      <c r="O225" s="2">
        <v>105428.96</v>
      </c>
      <c r="P225" s="2">
        <v>270809.37</v>
      </c>
      <c r="Q225" s="2">
        <v>445281.43</v>
      </c>
      <c r="R225" s="2">
        <v>579902.13</v>
      </c>
      <c r="S225" s="2">
        <v>764090.67</v>
      </c>
      <c r="T225" s="2">
        <v>986497.49</v>
      </c>
      <c r="U225" s="2">
        <v>1453488</v>
      </c>
    </row>
    <row r="226" spans="1:21" x14ac:dyDescent="0.25">
      <c r="A226" t="s">
        <v>178</v>
      </c>
    </row>
    <row r="227" spans="1:21" x14ac:dyDescent="0.25">
      <c r="A227" t="s">
        <v>1052</v>
      </c>
      <c r="B227">
        <v>23.99</v>
      </c>
      <c r="C227">
        <v>322.83</v>
      </c>
      <c r="D227">
        <v>868.31</v>
      </c>
      <c r="E227">
        <v>755.12</v>
      </c>
      <c r="F227">
        <v>547.57000000000005</v>
      </c>
      <c r="G227" s="2">
        <v>3244.27</v>
      </c>
      <c r="H227" s="2">
        <v>4423.5200000000004</v>
      </c>
      <c r="I227">
        <v>314.69</v>
      </c>
      <c r="J227">
        <v>886.8</v>
      </c>
      <c r="K227" s="2">
        <v>3088.78</v>
      </c>
      <c r="L227" s="2">
        <v>1059.74</v>
      </c>
      <c r="M227">
        <v>404.89</v>
      </c>
      <c r="N227" s="2">
        <v>4146.13</v>
      </c>
      <c r="O227" s="2">
        <v>46763.57</v>
      </c>
      <c r="P227" s="2">
        <v>64197.01</v>
      </c>
      <c r="Q227" s="2">
        <v>71634.45</v>
      </c>
      <c r="R227" s="2">
        <v>106273.22</v>
      </c>
      <c r="S227" s="2">
        <v>105565.5</v>
      </c>
      <c r="T227" s="2">
        <v>236274.5</v>
      </c>
      <c r="U227" s="2">
        <v>346761.48</v>
      </c>
    </row>
    <row r="228" spans="1:21" x14ac:dyDescent="0.25">
      <c r="A228" t="s">
        <v>1450</v>
      </c>
      <c r="H228">
        <v>335.21</v>
      </c>
      <c r="I228">
        <v>271.48</v>
      </c>
      <c r="J228">
        <v>283.08</v>
      </c>
      <c r="K228">
        <v>234.3</v>
      </c>
      <c r="L228">
        <v>353.36</v>
      </c>
      <c r="M228">
        <v>441.37</v>
      </c>
      <c r="N228">
        <v>419.79</v>
      </c>
      <c r="O228">
        <v>349.85</v>
      </c>
      <c r="P228">
        <v>883.18</v>
      </c>
      <c r="Q228" s="2">
        <v>1314.88</v>
      </c>
      <c r="R228" s="2">
        <v>1663.66</v>
      </c>
      <c r="S228" s="2">
        <v>1879.95</v>
      </c>
    </row>
    <row r="229" spans="1:21" x14ac:dyDescent="0.25">
      <c r="A229" t="s">
        <v>225</v>
      </c>
      <c r="B229" s="2">
        <v>2893.98</v>
      </c>
      <c r="C229" s="2">
        <v>1012.79</v>
      </c>
      <c r="D229" s="2">
        <v>2250.0300000000002</v>
      </c>
      <c r="E229">
        <v>-351.34</v>
      </c>
      <c r="F229" s="2">
        <v>4921.79</v>
      </c>
      <c r="G229" s="2">
        <v>5628.74</v>
      </c>
      <c r="H229" s="2">
        <v>-6326.85</v>
      </c>
      <c r="I229" s="2">
        <v>1906.9</v>
      </c>
      <c r="J229" s="2">
        <v>6388.18</v>
      </c>
      <c r="K229" s="2">
        <v>-3283.13</v>
      </c>
      <c r="L229" s="2">
        <v>-3098.91</v>
      </c>
      <c r="M229" s="2">
        <v>10157.68</v>
      </c>
      <c r="N229" s="2">
        <v>18195.919999999998</v>
      </c>
      <c r="O229" s="2">
        <v>117993.66</v>
      </c>
      <c r="P229" s="2">
        <v>207819.54</v>
      </c>
      <c r="Q229" s="2">
        <v>219163.6</v>
      </c>
      <c r="R229" s="2">
        <v>209859.52</v>
      </c>
      <c r="S229" s="2">
        <v>279536.5</v>
      </c>
      <c r="T229" s="2">
        <v>743352.89</v>
      </c>
      <c r="U229" s="2">
        <v>1081369.6399999999</v>
      </c>
    </row>
    <row r="230" spans="1:21" x14ac:dyDescent="0.25">
      <c r="A230" t="s">
        <v>767</v>
      </c>
      <c r="B230">
        <v>8.1999999999999993</v>
      </c>
      <c r="C230">
        <v>7.76</v>
      </c>
      <c r="D230">
        <v>11.44</v>
      </c>
      <c r="E230">
        <v>6.78</v>
      </c>
      <c r="F230">
        <v>18.41</v>
      </c>
      <c r="G230">
        <v>28.94</v>
      </c>
      <c r="H230">
        <v>8.2200000000000006</v>
      </c>
      <c r="I230">
        <v>15.29</v>
      </c>
      <c r="J230">
        <v>25.2</v>
      </c>
      <c r="K230">
        <v>16.68</v>
      </c>
      <c r="L230">
        <v>4.76</v>
      </c>
      <c r="M230">
        <v>31.73</v>
      </c>
      <c r="N230">
        <v>54.3</v>
      </c>
      <c r="O230">
        <v>256.52</v>
      </c>
      <c r="P230">
        <v>399.88</v>
      </c>
      <c r="Q230">
        <v>456.58</v>
      </c>
      <c r="R230">
        <v>431.99</v>
      </c>
      <c r="S230">
        <v>796.05</v>
      </c>
      <c r="T230" s="2">
        <v>1485.23</v>
      </c>
      <c r="U230" s="2">
        <v>2166.8200000000002</v>
      </c>
    </row>
    <row r="231" spans="1:21" x14ac:dyDescent="0.25">
      <c r="A231" t="s">
        <v>230</v>
      </c>
      <c r="B231">
        <v>22.63</v>
      </c>
      <c r="C231">
        <v>28.03</v>
      </c>
      <c r="D231">
        <v>36.04</v>
      </c>
      <c r="E231">
        <v>34.630000000000003</v>
      </c>
      <c r="F231">
        <v>30.32</v>
      </c>
      <c r="G231">
        <v>39.65</v>
      </c>
      <c r="H231">
        <v>51.57</v>
      </c>
      <c r="I231">
        <v>31.56</v>
      </c>
      <c r="J231">
        <v>29.04</v>
      </c>
      <c r="K231">
        <v>42.6</v>
      </c>
      <c r="L231">
        <v>25.41</v>
      </c>
      <c r="M231">
        <v>24.09</v>
      </c>
      <c r="N231">
        <v>28.33</v>
      </c>
      <c r="O231">
        <v>14.02</v>
      </c>
      <c r="P231">
        <v>12.05</v>
      </c>
      <c r="Q231">
        <v>12.72</v>
      </c>
      <c r="R231">
        <v>12.67</v>
      </c>
      <c r="S231">
        <v>14</v>
      </c>
    </row>
    <row r="232" spans="1:21" x14ac:dyDescent="0.25">
      <c r="A232" t="s">
        <v>17</v>
      </c>
    </row>
    <row r="233" spans="1:21" x14ac:dyDescent="0.25">
      <c r="A233" t="s">
        <v>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AADC-0BF3-4733-B55B-98F362A8671B}">
  <dimension ref="A2:AH93"/>
  <sheetViews>
    <sheetView workbookViewId="0">
      <selection activeCell="S1" sqref="S1:AH45"/>
    </sheetView>
  </sheetViews>
  <sheetFormatPr defaultRowHeight="15" x14ac:dyDescent="0.25"/>
  <sheetData>
    <row r="2" spans="1:34" x14ac:dyDescent="0.25">
      <c r="A2" t="s">
        <v>1452</v>
      </c>
      <c r="S2" t="s">
        <v>1534</v>
      </c>
    </row>
    <row r="4" spans="1:34" x14ac:dyDescent="0.25">
      <c r="A4" t="s">
        <v>1453</v>
      </c>
      <c r="B4" t="s">
        <v>1454</v>
      </c>
      <c r="C4" t="s">
        <v>1455</v>
      </c>
      <c r="D4" t="s">
        <v>1456</v>
      </c>
      <c r="E4" t="s">
        <v>1457</v>
      </c>
      <c r="F4" t="s">
        <v>1458</v>
      </c>
      <c r="G4" t="s">
        <v>1459</v>
      </c>
      <c r="H4" t="s">
        <v>1460</v>
      </c>
      <c r="I4" t="s">
        <v>1461</v>
      </c>
      <c r="J4" t="s">
        <v>1462</v>
      </c>
      <c r="K4" t="s">
        <v>1463</v>
      </c>
      <c r="L4" t="s">
        <v>1464</v>
      </c>
      <c r="M4" t="s">
        <v>1465</v>
      </c>
      <c r="S4" t="s">
        <v>1453</v>
      </c>
      <c r="T4" t="s">
        <v>1454</v>
      </c>
      <c r="U4" t="s">
        <v>1455</v>
      </c>
      <c r="V4" t="s">
        <v>1456</v>
      </c>
      <c r="W4" t="s">
        <v>1457</v>
      </c>
      <c r="X4" t="s">
        <v>1458</v>
      </c>
      <c r="Y4" t="s">
        <v>1459</v>
      </c>
      <c r="Z4" t="s">
        <v>1460</v>
      </c>
      <c r="AA4" t="s">
        <v>1461</v>
      </c>
      <c r="AB4" t="s">
        <v>1462</v>
      </c>
      <c r="AC4" t="s">
        <v>1463</v>
      </c>
      <c r="AD4" t="s">
        <v>1464</v>
      </c>
      <c r="AE4" t="s">
        <v>1465</v>
      </c>
      <c r="AF4" t="s">
        <v>1535</v>
      </c>
      <c r="AG4" t="s">
        <v>1536</v>
      </c>
      <c r="AH4" t="s">
        <v>1537</v>
      </c>
    </row>
    <row r="5" spans="1:34" x14ac:dyDescent="0.25">
      <c r="A5" t="s">
        <v>13</v>
      </c>
      <c r="B5" s="1">
        <v>42004</v>
      </c>
      <c r="C5" s="1">
        <v>42369</v>
      </c>
      <c r="D5" s="1">
        <v>42735</v>
      </c>
      <c r="E5" s="1">
        <v>43100</v>
      </c>
      <c r="F5" s="1">
        <v>43465</v>
      </c>
      <c r="G5" s="1">
        <v>43830</v>
      </c>
      <c r="H5" s="1">
        <v>44196</v>
      </c>
      <c r="I5" s="1">
        <v>44561</v>
      </c>
      <c r="J5" s="1">
        <v>44926</v>
      </c>
      <c r="K5" s="1">
        <v>45291</v>
      </c>
      <c r="L5" s="1">
        <v>45657</v>
      </c>
      <c r="M5" s="1">
        <v>46022</v>
      </c>
      <c r="S5" t="s">
        <v>13</v>
      </c>
      <c r="T5" s="1">
        <v>42004</v>
      </c>
      <c r="U5" s="1">
        <v>42369</v>
      </c>
      <c r="V5" s="1">
        <v>42735</v>
      </c>
      <c r="W5" s="1">
        <v>43100</v>
      </c>
      <c r="X5" s="1">
        <v>43465</v>
      </c>
      <c r="Y5" s="1">
        <v>43830</v>
      </c>
      <c r="Z5" s="1">
        <v>44196</v>
      </c>
      <c r="AA5" s="1">
        <v>44561</v>
      </c>
      <c r="AB5" s="1">
        <v>44926</v>
      </c>
      <c r="AC5" s="1">
        <v>45291</v>
      </c>
      <c r="AD5" s="1">
        <v>45657</v>
      </c>
      <c r="AE5" s="1">
        <v>46022</v>
      </c>
      <c r="AF5" s="1">
        <v>46203</v>
      </c>
      <c r="AG5" s="1">
        <v>46387</v>
      </c>
      <c r="AH5" s="1">
        <v>46752</v>
      </c>
    </row>
    <row r="6" spans="1:34" x14ac:dyDescent="0.25">
      <c r="A6" t="s">
        <v>1466</v>
      </c>
      <c r="S6" t="s">
        <v>1538</v>
      </c>
      <c r="T6">
        <v>4.2</v>
      </c>
      <c r="U6">
        <v>6.8</v>
      </c>
      <c r="V6">
        <v>6.1</v>
      </c>
      <c r="W6">
        <v>3.9</v>
      </c>
      <c r="X6">
        <v>12</v>
      </c>
      <c r="Y6">
        <v>13.6</v>
      </c>
      <c r="Z6">
        <v>8</v>
      </c>
      <c r="AA6">
        <v>8.3000000000000007</v>
      </c>
      <c r="AB6">
        <v>15</v>
      </c>
      <c r="AC6">
        <v>7.5</v>
      </c>
      <c r="AD6">
        <v>7.3</v>
      </c>
      <c r="AE6">
        <v>27</v>
      </c>
      <c r="AF6">
        <v>25.2</v>
      </c>
      <c r="AG6">
        <v>55.4</v>
      </c>
      <c r="AH6">
        <v>169</v>
      </c>
    </row>
    <row r="7" spans="1:34" x14ac:dyDescent="0.25">
      <c r="A7" t="s">
        <v>1467</v>
      </c>
      <c r="S7" t="s">
        <v>1539</v>
      </c>
      <c r="T7" t="s">
        <v>1469</v>
      </c>
      <c r="U7">
        <v>6.8</v>
      </c>
      <c r="V7">
        <v>6.1</v>
      </c>
      <c r="W7">
        <v>3.9</v>
      </c>
      <c r="X7">
        <v>12</v>
      </c>
      <c r="Y7">
        <v>13.6</v>
      </c>
      <c r="Z7">
        <v>7</v>
      </c>
      <c r="AA7">
        <v>8.3000000000000007</v>
      </c>
      <c r="AB7">
        <v>15</v>
      </c>
      <c r="AC7">
        <v>7.5</v>
      </c>
      <c r="AD7">
        <v>7.3</v>
      </c>
      <c r="AE7">
        <v>27</v>
      </c>
      <c r="AF7">
        <v>25.2</v>
      </c>
    </row>
    <row r="8" spans="1:34" x14ac:dyDescent="0.25">
      <c r="A8" t="s">
        <v>1468</v>
      </c>
      <c r="B8" t="s">
        <v>1469</v>
      </c>
      <c r="C8" t="s">
        <v>1469</v>
      </c>
      <c r="D8" t="s">
        <v>1469</v>
      </c>
      <c r="E8" t="s">
        <v>1469</v>
      </c>
      <c r="F8" t="s">
        <v>1469</v>
      </c>
      <c r="G8" t="s">
        <v>1469</v>
      </c>
      <c r="H8">
        <v>1</v>
      </c>
      <c r="I8" t="s">
        <v>1469</v>
      </c>
      <c r="J8" t="s">
        <v>1469</v>
      </c>
      <c r="K8" t="s">
        <v>1469</v>
      </c>
      <c r="L8" t="s">
        <v>1469</v>
      </c>
      <c r="M8" t="s">
        <v>1469</v>
      </c>
      <c r="S8" t="s">
        <v>1540</v>
      </c>
      <c r="T8" t="s">
        <v>1469</v>
      </c>
      <c r="U8" t="s">
        <v>1469</v>
      </c>
      <c r="V8" t="s">
        <v>1469</v>
      </c>
      <c r="W8" t="s">
        <v>1469</v>
      </c>
      <c r="X8" t="s">
        <v>1469</v>
      </c>
      <c r="Y8" t="s">
        <v>1469</v>
      </c>
      <c r="Z8">
        <v>1</v>
      </c>
      <c r="AA8" t="s">
        <v>1469</v>
      </c>
      <c r="AB8" t="s">
        <v>1469</v>
      </c>
      <c r="AC8" t="s">
        <v>1469</v>
      </c>
      <c r="AD8" t="s">
        <v>1469</v>
      </c>
      <c r="AE8" t="s">
        <v>1469</v>
      </c>
    </row>
    <row r="9" spans="1:34" x14ac:dyDescent="0.25">
      <c r="A9" t="s">
        <v>1470</v>
      </c>
      <c r="B9">
        <v>1.8</v>
      </c>
      <c r="C9">
        <v>3.8</v>
      </c>
      <c r="D9">
        <v>3.2</v>
      </c>
      <c r="E9">
        <v>1.9</v>
      </c>
      <c r="F9">
        <v>10.8</v>
      </c>
      <c r="G9">
        <v>12</v>
      </c>
      <c r="H9">
        <v>5</v>
      </c>
      <c r="I9">
        <v>5.9</v>
      </c>
      <c r="J9">
        <v>11.2</v>
      </c>
      <c r="K9">
        <v>3.6</v>
      </c>
      <c r="L9">
        <v>2.2999999999999998</v>
      </c>
      <c r="M9">
        <v>0.7</v>
      </c>
      <c r="S9" t="s">
        <v>1541</v>
      </c>
      <c r="T9">
        <v>2.1</v>
      </c>
      <c r="U9">
        <v>3.2</v>
      </c>
      <c r="V9">
        <v>2.7</v>
      </c>
      <c r="W9">
        <v>2.2999999999999998</v>
      </c>
      <c r="X9">
        <v>6.8</v>
      </c>
      <c r="Y9">
        <v>7.2</v>
      </c>
      <c r="Z9">
        <v>5.3</v>
      </c>
      <c r="AA9">
        <v>10.8</v>
      </c>
      <c r="AB9">
        <v>10.3</v>
      </c>
      <c r="AC9">
        <v>6.2</v>
      </c>
      <c r="AD9">
        <v>6.8</v>
      </c>
      <c r="AE9">
        <v>19.100000000000001</v>
      </c>
      <c r="AF9">
        <v>15.1</v>
      </c>
    </row>
    <row r="10" spans="1:34" x14ac:dyDescent="0.25">
      <c r="A10" t="s">
        <v>1471</v>
      </c>
      <c r="B10" t="s">
        <v>1469</v>
      </c>
      <c r="C10" t="s">
        <v>1469</v>
      </c>
      <c r="D10">
        <v>0.7</v>
      </c>
      <c r="E10">
        <v>0.9</v>
      </c>
      <c r="F10">
        <v>0.1</v>
      </c>
      <c r="G10">
        <v>0.3</v>
      </c>
      <c r="H10">
        <v>0.3</v>
      </c>
      <c r="I10">
        <v>2.4</v>
      </c>
      <c r="J10">
        <v>3.8</v>
      </c>
      <c r="K10">
        <v>3.9</v>
      </c>
      <c r="L10">
        <v>5</v>
      </c>
      <c r="M10">
        <v>26.3</v>
      </c>
      <c r="S10" t="s">
        <v>1542</v>
      </c>
      <c r="T10" t="s">
        <v>1469</v>
      </c>
      <c r="U10">
        <v>3.2</v>
      </c>
      <c r="V10">
        <v>2.7</v>
      </c>
      <c r="W10">
        <v>2.2999999999999998</v>
      </c>
      <c r="X10">
        <v>6.8</v>
      </c>
      <c r="Y10">
        <v>7.2</v>
      </c>
      <c r="Z10">
        <v>5.3</v>
      </c>
      <c r="AA10">
        <v>10.8</v>
      </c>
      <c r="AB10">
        <v>10.3</v>
      </c>
      <c r="AC10">
        <v>6.2</v>
      </c>
      <c r="AD10">
        <v>6.8</v>
      </c>
      <c r="AE10">
        <v>19.100000000000001</v>
      </c>
      <c r="AF10">
        <v>15.1</v>
      </c>
    </row>
    <row r="11" spans="1:34" x14ac:dyDescent="0.25">
      <c r="A11" t="s">
        <v>1472</v>
      </c>
      <c r="B11">
        <v>2.4</v>
      </c>
      <c r="C11">
        <v>2.5</v>
      </c>
      <c r="D11" t="s">
        <v>1469</v>
      </c>
      <c r="E11" t="s">
        <v>1469</v>
      </c>
      <c r="F11">
        <v>1.2</v>
      </c>
      <c r="G11">
        <v>1.4</v>
      </c>
      <c r="H11">
        <v>1.8</v>
      </c>
      <c r="I11" t="s">
        <v>1469</v>
      </c>
      <c r="J11" t="s">
        <v>1469</v>
      </c>
      <c r="K11" t="s">
        <v>1469</v>
      </c>
      <c r="L11" t="s">
        <v>1469</v>
      </c>
      <c r="M11" t="s">
        <v>1469</v>
      </c>
      <c r="S11" t="s">
        <v>1482</v>
      </c>
      <c r="T11">
        <v>2.1</v>
      </c>
      <c r="U11">
        <v>3.6</v>
      </c>
      <c r="V11">
        <v>3.4</v>
      </c>
      <c r="W11">
        <v>1.6</v>
      </c>
      <c r="X11">
        <v>5.2</v>
      </c>
      <c r="Y11">
        <v>6.5</v>
      </c>
      <c r="Z11">
        <v>2.8</v>
      </c>
      <c r="AA11">
        <v>-2.6</v>
      </c>
      <c r="AB11">
        <v>4.7</v>
      </c>
      <c r="AC11">
        <v>1.3</v>
      </c>
      <c r="AD11">
        <v>0.5</v>
      </c>
      <c r="AE11">
        <v>7.9</v>
      </c>
      <c r="AF11">
        <v>10.1</v>
      </c>
      <c r="AG11">
        <v>25</v>
      </c>
      <c r="AH11">
        <v>95.2</v>
      </c>
    </row>
    <row r="12" spans="1:34" x14ac:dyDescent="0.25">
      <c r="A12" t="s">
        <v>1473</v>
      </c>
      <c r="B12" t="s">
        <v>1469</v>
      </c>
      <c r="C12" t="s">
        <v>1469</v>
      </c>
      <c r="D12">
        <v>2.2000000000000002</v>
      </c>
      <c r="E12">
        <v>1.1000000000000001</v>
      </c>
      <c r="F12" t="s">
        <v>1469</v>
      </c>
      <c r="G12" t="s">
        <v>1469</v>
      </c>
      <c r="H12" t="s">
        <v>1469</v>
      </c>
      <c r="I12" t="s">
        <v>1469</v>
      </c>
      <c r="J12" t="s">
        <v>1469</v>
      </c>
      <c r="K12" t="s">
        <v>1469</v>
      </c>
      <c r="L12" t="s">
        <v>1469</v>
      </c>
      <c r="M12" t="s">
        <v>1469</v>
      </c>
      <c r="S12" t="s">
        <v>1543</v>
      </c>
      <c r="T12" t="s">
        <v>1469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4" x14ac:dyDescent="0.25">
      <c r="A13" t="s">
        <v>1474</v>
      </c>
      <c r="B13">
        <v>0</v>
      </c>
      <c r="C13">
        <v>0.5</v>
      </c>
      <c r="D13" t="s">
        <v>1469</v>
      </c>
      <c r="E13" t="s">
        <v>1469</v>
      </c>
      <c r="F13" t="s">
        <v>1469</v>
      </c>
      <c r="G13" t="s">
        <v>1469</v>
      </c>
      <c r="H13" t="s">
        <v>1469</v>
      </c>
      <c r="I13" t="s">
        <v>1469</v>
      </c>
      <c r="J13" t="s">
        <v>1469</v>
      </c>
      <c r="K13" t="s">
        <v>1469</v>
      </c>
      <c r="L13" t="s">
        <v>1469</v>
      </c>
      <c r="M13" t="s">
        <v>1469</v>
      </c>
      <c r="S13" t="s">
        <v>1544</v>
      </c>
      <c r="T13">
        <v>3.7</v>
      </c>
      <c r="U13">
        <v>4.2</v>
      </c>
      <c r="V13">
        <v>0</v>
      </c>
      <c r="W13">
        <v>0</v>
      </c>
      <c r="X13">
        <v>6.8</v>
      </c>
      <c r="Y13">
        <v>8.9</v>
      </c>
      <c r="Z13">
        <v>8.5</v>
      </c>
      <c r="AA13">
        <v>4.9000000000000004</v>
      </c>
      <c r="AB13">
        <v>11.6</v>
      </c>
      <c r="AC13">
        <v>12.8</v>
      </c>
      <c r="AD13">
        <v>11.5</v>
      </c>
      <c r="AE13">
        <v>17.600000000000001</v>
      </c>
      <c r="AF13">
        <v>18.2</v>
      </c>
    </row>
    <row r="14" spans="1:34" x14ac:dyDescent="0.25">
      <c r="A14" t="s">
        <v>1475</v>
      </c>
      <c r="B14">
        <v>4.2</v>
      </c>
      <c r="C14">
        <v>6.8</v>
      </c>
      <c r="D14">
        <v>6.1</v>
      </c>
      <c r="E14">
        <v>3.9</v>
      </c>
      <c r="F14">
        <v>12</v>
      </c>
      <c r="G14">
        <v>13.6</v>
      </c>
      <c r="H14">
        <v>8</v>
      </c>
      <c r="I14">
        <v>8.3000000000000007</v>
      </c>
      <c r="J14">
        <v>15</v>
      </c>
      <c r="K14">
        <v>7.5</v>
      </c>
      <c r="L14">
        <v>7.3</v>
      </c>
      <c r="M14">
        <v>27</v>
      </c>
      <c r="S14" t="s">
        <v>1545</v>
      </c>
      <c r="T14">
        <v>1.1000000000000001</v>
      </c>
      <c r="U14">
        <v>1.2</v>
      </c>
      <c r="V14">
        <v>1.2</v>
      </c>
      <c r="W14">
        <v>1.2</v>
      </c>
      <c r="X14">
        <v>1.7</v>
      </c>
      <c r="Y14">
        <v>2.6</v>
      </c>
      <c r="Z14">
        <v>5.7</v>
      </c>
      <c r="AA14">
        <v>4.5999999999999996</v>
      </c>
      <c r="AB14">
        <v>10</v>
      </c>
      <c r="AC14">
        <v>10.9</v>
      </c>
      <c r="AD14">
        <v>9.9</v>
      </c>
      <c r="AE14">
        <v>16.8</v>
      </c>
      <c r="AF14">
        <v>18.100000000000001</v>
      </c>
    </row>
    <row r="15" spans="1:34" x14ac:dyDescent="0.25">
      <c r="A15" t="s">
        <v>985</v>
      </c>
      <c r="S15" t="s">
        <v>1546</v>
      </c>
      <c r="T15">
        <v>0.3</v>
      </c>
      <c r="U15">
        <v>0.3</v>
      </c>
      <c r="V15">
        <v>0.3</v>
      </c>
      <c r="W15">
        <v>0.2</v>
      </c>
      <c r="X15">
        <v>0.3</v>
      </c>
      <c r="Y15">
        <v>0.4</v>
      </c>
      <c r="Z15">
        <v>0.7</v>
      </c>
      <c r="AA15">
        <v>1.2</v>
      </c>
      <c r="AB15">
        <v>1.3</v>
      </c>
      <c r="AC15">
        <v>1.5</v>
      </c>
      <c r="AD15">
        <v>2.1</v>
      </c>
      <c r="AE15">
        <v>1.2</v>
      </c>
      <c r="AF15">
        <v>1.3</v>
      </c>
    </row>
    <row r="16" spans="1:34" x14ac:dyDescent="0.25">
      <c r="A16" t="s">
        <v>1476</v>
      </c>
      <c r="B16">
        <v>3.7</v>
      </c>
      <c r="C16">
        <v>5.8</v>
      </c>
      <c r="D16">
        <v>5.0999999999999996</v>
      </c>
      <c r="E16">
        <v>5</v>
      </c>
      <c r="F16">
        <v>6.8</v>
      </c>
      <c r="G16">
        <v>8.9</v>
      </c>
      <c r="H16">
        <v>9.4</v>
      </c>
      <c r="I16">
        <v>4.9000000000000004</v>
      </c>
      <c r="J16">
        <v>11.6</v>
      </c>
      <c r="K16">
        <v>12.8</v>
      </c>
      <c r="L16">
        <v>11.5</v>
      </c>
      <c r="M16">
        <v>17.600000000000001</v>
      </c>
      <c r="S16" t="s">
        <v>1547</v>
      </c>
      <c r="T16" t="s">
        <v>1469</v>
      </c>
      <c r="U16">
        <v>0.9</v>
      </c>
      <c r="V16">
        <v>0.9</v>
      </c>
      <c r="W16">
        <v>1.1000000000000001</v>
      </c>
      <c r="X16">
        <v>1.5</v>
      </c>
      <c r="Y16">
        <v>2.2000000000000002</v>
      </c>
      <c r="Z16">
        <v>5</v>
      </c>
      <c r="AA16">
        <v>3.4</v>
      </c>
      <c r="AB16">
        <v>8.6</v>
      </c>
      <c r="AC16">
        <v>9.4</v>
      </c>
      <c r="AD16">
        <v>7.8</v>
      </c>
      <c r="AE16">
        <v>15.6</v>
      </c>
      <c r="AF16">
        <v>16.8</v>
      </c>
    </row>
    <row r="17" spans="1:34" x14ac:dyDescent="0.25">
      <c r="A17" t="s">
        <v>1477</v>
      </c>
      <c r="B17">
        <v>0.2</v>
      </c>
      <c r="C17">
        <v>0.2</v>
      </c>
      <c r="D17">
        <v>0.3</v>
      </c>
      <c r="E17">
        <v>0.3</v>
      </c>
      <c r="F17">
        <v>0.5</v>
      </c>
      <c r="G17">
        <v>0.4</v>
      </c>
      <c r="H17">
        <v>1</v>
      </c>
      <c r="I17">
        <v>0.3</v>
      </c>
      <c r="J17">
        <v>1.7</v>
      </c>
      <c r="K17">
        <v>1.8</v>
      </c>
      <c r="L17">
        <v>1.5</v>
      </c>
      <c r="M17">
        <v>0.8</v>
      </c>
      <c r="S17" t="s">
        <v>1548</v>
      </c>
      <c r="T17" t="s">
        <v>1469</v>
      </c>
      <c r="U17">
        <v>0.2</v>
      </c>
      <c r="V17">
        <v>0.3</v>
      </c>
      <c r="W17">
        <v>0.3</v>
      </c>
      <c r="X17">
        <v>0.5</v>
      </c>
      <c r="Y17">
        <v>0.4</v>
      </c>
      <c r="Z17">
        <v>1</v>
      </c>
      <c r="AA17">
        <v>0.3</v>
      </c>
      <c r="AB17">
        <v>1.7</v>
      </c>
      <c r="AC17">
        <v>1.8</v>
      </c>
      <c r="AD17">
        <v>1.5</v>
      </c>
      <c r="AE17">
        <v>0.8</v>
      </c>
    </row>
    <row r="18" spans="1:34" x14ac:dyDescent="0.25">
      <c r="A18" t="s">
        <v>1478</v>
      </c>
      <c r="B18">
        <v>0.3</v>
      </c>
      <c r="C18">
        <v>0.3</v>
      </c>
      <c r="D18">
        <v>0.3</v>
      </c>
      <c r="E18">
        <v>0.2</v>
      </c>
      <c r="F18">
        <v>0.3</v>
      </c>
      <c r="G18">
        <v>0.4</v>
      </c>
      <c r="H18">
        <v>0.7</v>
      </c>
      <c r="I18">
        <v>1.2</v>
      </c>
      <c r="J18">
        <v>1.3</v>
      </c>
      <c r="K18">
        <v>1.5</v>
      </c>
      <c r="L18">
        <v>2.1</v>
      </c>
      <c r="M18">
        <v>1.2</v>
      </c>
      <c r="S18" t="s">
        <v>1549</v>
      </c>
      <c r="T18" t="s">
        <v>1469</v>
      </c>
      <c r="U18">
        <v>2.8</v>
      </c>
      <c r="V18">
        <v>-1.4</v>
      </c>
      <c r="W18">
        <v>-1.5</v>
      </c>
      <c r="X18">
        <v>4.5</v>
      </c>
      <c r="Y18">
        <v>5.8</v>
      </c>
      <c r="Z18">
        <v>1.8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4" x14ac:dyDescent="0.25">
      <c r="A19" t="s">
        <v>1479</v>
      </c>
      <c r="B19">
        <v>2.2999999999999998</v>
      </c>
      <c r="C19">
        <v>2.6</v>
      </c>
      <c r="D19">
        <v>3.4</v>
      </c>
      <c r="E19">
        <v>3.1</v>
      </c>
      <c r="F19">
        <v>4.3</v>
      </c>
      <c r="G19">
        <v>5.6</v>
      </c>
      <c r="H19" t="s">
        <v>1469</v>
      </c>
      <c r="I19" t="s">
        <v>1469</v>
      </c>
      <c r="J19" t="s">
        <v>1469</v>
      </c>
      <c r="K19" t="s">
        <v>1469</v>
      </c>
      <c r="L19" t="s">
        <v>1469</v>
      </c>
      <c r="M19" t="s">
        <v>1469</v>
      </c>
      <c r="S19" t="s">
        <v>1550</v>
      </c>
      <c r="T19">
        <v>-1.6</v>
      </c>
      <c r="U19">
        <v>-0.6</v>
      </c>
      <c r="V19">
        <v>3.4</v>
      </c>
      <c r="W19">
        <v>1.6</v>
      </c>
      <c r="X19">
        <v>-1.6</v>
      </c>
      <c r="Y19">
        <v>-2.4</v>
      </c>
      <c r="Z19">
        <v>-5.7</v>
      </c>
      <c r="AA19">
        <v>-7.4</v>
      </c>
      <c r="AB19">
        <v>-6.9</v>
      </c>
      <c r="AC19">
        <v>-11.4</v>
      </c>
      <c r="AD19">
        <v>-11</v>
      </c>
      <c r="AE19">
        <v>-9.8000000000000007</v>
      </c>
      <c r="AF19">
        <v>-8.1</v>
      </c>
      <c r="AG19">
        <v>-4.5999999999999996</v>
      </c>
      <c r="AH19">
        <v>47.1</v>
      </c>
    </row>
    <row r="20" spans="1:34" x14ac:dyDescent="0.25">
      <c r="A20" t="s">
        <v>1480</v>
      </c>
      <c r="B20">
        <v>0.1</v>
      </c>
      <c r="C20">
        <v>0.3</v>
      </c>
      <c r="D20">
        <v>0.3</v>
      </c>
      <c r="E20">
        <v>0.4</v>
      </c>
      <c r="F20">
        <v>0.2</v>
      </c>
      <c r="G20">
        <v>0.3</v>
      </c>
      <c r="H20">
        <v>2.7</v>
      </c>
      <c r="I20" t="s">
        <v>1469</v>
      </c>
      <c r="J20" t="s">
        <v>1469</v>
      </c>
      <c r="K20" t="s">
        <v>1469</v>
      </c>
      <c r="L20" t="s">
        <v>1469</v>
      </c>
      <c r="M20" t="s">
        <v>1469</v>
      </c>
      <c r="S20" t="s">
        <v>1551</v>
      </c>
      <c r="T20" t="s">
        <v>1469</v>
      </c>
      <c r="U20">
        <v>-0.1</v>
      </c>
      <c r="V20">
        <v>0.8</v>
      </c>
      <c r="W20">
        <v>1.8</v>
      </c>
      <c r="X20">
        <v>0</v>
      </c>
      <c r="Y20">
        <v>0.1</v>
      </c>
      <c r="Z20">
        <v>0.1</v>
      </c>
      <c r="AA20">
        <v>-1.4</v>
      </c>
      <c r="AB20">
        <v>0</v>
      </c>
      <c r="AC20">
        <v>-0.2</v>
      </c>
      <c r="AD20">
        <v>-0.2</v>
      </c>
      <c r="AE20">
        <v>0</v>
      </c>
      <c r="AF20">
        <v>-54.1</v>
      </c>
    </row>
    <row r="21" spans="1:34" x14ac:dyDescent="0.25">
      <c r="A21" t="s">
        <v>1481</v>
      </c>
      <c r="B21">
        <v>0.8</v>
      </c>
      <c r="C21">
        <v>0.9</v>
      </c>
      <c r="D21">
        <v>0.9</v>
      </c>
      <c r="E21">
        <v>1.1000000000000001</v>
      </c>
      <c r="F21">
        <v>1.5</v>
      </c>
      <c r="G21">
        <v>2.2000000000000002</v>
      </c>
      <c r="H21">
        <v>5</v>
      </c>
      <c r="I21">
        <v>3.4</v>
      </c>
      <c r="J21">
        <v>8.6</v>
      </c>
      <c r="K21">
        <v>9.4</v>
      </c>
      <c r="L21">
        <v>7.8</v>
      </c>
      <c r="M21">
        <v>15.6</v>
      </c>
      <c r="S21" t="s">
        <v>1552</v>
      </c>
      <c r="T21">
        <v>0.5</v>
      </c>
      <c r="U21">
        <v>0.7</v>
      </c>
      <c r="V21">
        <v>0.6</v>
      </c>
      <c r="W21">
        <v>4.5</v>
      </c>
      <c r="X21">
        <v>0</v>
      </c>
      <c r="Y21">
        <v>0.1</v>
      </c>
      <c r="Z21">
        <v>0.2</v>
      </c>
      <c r="AA21">
        <v>0</v>
      </c>
      <c r="AB21">
        <v>0</v>
      </c>
      <c r="AC21">
        <v>0</v>
      </c>
      <c r="AD21">
        <v>0.3</v>
      </c>
      <c r="AE21">
        <v>0</v>
      </c>
      <c r="AF21">
        <v>-0.9</v>
      </c>
    </row>
    <row r="22" spans="1:34" x14ac:dyDescent="0.25">
      <c r="A22" t="s">
        <v>1482</v>
      </c>
      <c r="B22">
        <v>2.1</v>
      </c>
      <c r="C22">
        <v>3.6</v>
      </c>
      <c r="D22">
        <v>3.4</v>
      </c>
      <c r="E22">
        <v>1.6</v>
      </c>
      <c r="F22">
        <v>5.2</v>
      </c>
      <c r="G22">
        <v>6.5</v>
      </c>
      <c r="H22">
        <v>2.8</v>
      </c>
      <c r="I22">
        <v>-2.6</v>
      </c>
      <c r="J22">
        <v>4.7</v>
      </c>
      <c r="K22">
        <v>1.3</v>
      </c>
      <c r="L22">
        <v>0.5</v>
      </c>
      <c r="M22">
        <v>7.9</v>
      </c>
      <c r="S22" t="s">
        <v>1553</v>
      </c>
      <c r="T22">
        <v>0.5</v>
      </c>
      <c r="U22">
        <v>0.7</v>
      </c>
      <c r="V22">
        <v>0.6</v>
      </c>
      <c r="W22">
        <v>4.5</v>
      </c>
      <c r="X22">
        <v>0</v>
      </c>
      <c r="Y22">
        <v>0.1</v>
      </c>
      <c r="Z22">
        <v>0.2</v>
      </c>
      <c r="AA22">
        <v>0</v>
      </c>
      <c r="AB22">
        <v>0</v>
      </c>
      <c r="AC22">
        <v>0</v>
      </c>
      <c r="AD22">
        <v>0.3</v>
      </c>
      <c r="AE22">
        <v>0.4</v>
      </c>
      <c r="AF22">
        <v>0</v>
      </c>
    </row>
    <row r="23" spans="1:34" x14ac:dyDescent="0.25">
      <c r="A23" t="s">
        <v>1483</v>
      </c>
      <c r="B23">
        <v>-1.6</v>
      </c>
      <c r="C23">
        <v>-2.2000000000000002</v>
      </c>
      <c r="D23">
        <v>-1.7</v>
      </c>
      <c r="E23">
        <v>-3.4</v>
      </c>
      <c r="F23">
        <v>-1.6</v>
      </c>
      <c r="G23">
        <v>-2.4</v>
      </c>
      <c r="H23">
        <v>-6.6</v>
      </c>
      <c r="I23">
        <v>-7.5</v>
      </c>
      <c r="J23">
        <v>-6.9</v>
      </c>
      <c r="K23">
        <v>-11.4</v>
      </c>
      <c r="L23">
        <v>-11</v>
      </c>
      <c r="M23">
        <v>-9.8000000000000007</v>
      </c>
      <c r="S23" t="s">
        <v>1554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0.5</v>
      </c>
      <c r="AF23">
        <v>1</v>
      </c>
    </row>
    <row r="24" spans="1:34" x14ac:dyDescent="0.25">
      <c r="A24" t="s">
        <v>1484</v>
      </c>
      <c r="B24">
        <v>1.1000000000000001</v>
      </c>
      <c r="C24">
        <v>2.1</v>
      </c>
      <c r="D24">
        <v>1.6</v>
      </c>
      <c r="E24">
        <v>1.5</v>
      </c>
      <c r="F24">
        <v>6.4</v>
      </c>
      <c r="G24">
        <v>6.5</v>
      </c>
      <c r="H24">
        <v>3.7</v>
      </c>
      <c r="I24">
        <v>7.2</v>
      </c>
      <c r="J24">
        <v>8.4</v>
      </c>
      <c r="K24">
        <v>4.4000000000000004</v>
      </c>
      <c r="L24">
        <v>2.8</v>
      </c>
      <c r="M24">
        <v>1.4</v>
      </c>
      <c r="S24" t="s">
        <v>1555</v>
      </c>
      <c r="T24" t="s">
        <v>1469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4" x14ac:dyDescent="0.25">
      <c r="A25" t="s">
        <v>1485</v>
      </c>
      <c r="B25">
        <v>0</v>
      </c>
      <c r="C25">
        <v>0.2</v>
      </c>
      <c r="D25">
        <v>0.4</v>
      </c>
      <c r="E25">
        <v>0.3</v>
      </c>
      <c r="F25">
        <v>0.1</v>
      </c>
      <c r="G25">
        <v>0.1</v>
      </c>
      <c r="H25">
        <v>0.1</v>
      </c>
      <c r="I25">
        <v>1.4</v>
      </c>
      <c r="J25">
        <v>1.9</v>
      </c>
      <c r="K25">
        <v>1.8</v>
      </c>
      <c r="L25">
        <v>4</v>
      </c>
      <c r="M25">
        <v>17.600000000000001</v>
      </c>
      <c r="S25" t="s">
        <v>1556</v>
      </c>
      <c r="T25" t="s">
        <v>1469</v>
      </c>
      <c r="U25">
        <v>-0.9</v>
      </c>
      <c r="V25">
        <v>0.3</v>
      </c>
      <c r="W25">
        <v>-2.7</v>
      </c>
      <c r="X25">
        <v>0</v>
      </c>
      <c r="Y25">
        <v>0</v>
      </c>
      <c r="Z25">
        <v>0</v>
      </c>
      <c r="AA25">
        <v>-1.5</v>
      </c>
      <c r="AB25">
        <v>0</v>
      </c>
      <c r="AC25">
        <v>-0.2</v>
      </c>
      <c r="AD25">
        <v>-0.5</v>
      </c>
      <c r="AE25">
        <v>0</v>
      </c>
      <c r="AF25">
        <v>-53.2</v>
      </c>
    </row>
    <row r="26" spans="1:34" x14ac:dyDescent="0.25">
      <c r="A26" t="s">
        <v>1486</v>
      </c>
      <c r="B26" t="s">
        <v>1469</v>
      </c>
      <c r="C26" t="s">
        <v>1469</v>
      </c>
      <c r="D26" t="s">
        <v>1469</v>
      </c>
      <c r="E26" t="s">
        <v>1469</v>
      </c>
      <c r="F26" t="s">
        <v>1469</v>
      </c>
      <c r="G26" t="s">
        <v>1469</v>
      </c>
      <c r="H26">
        <v>0.4</v>
      </c>
      <c r="I26">
        <v>2.2999999999999998</v>
      </c>
      <c r="J26" t="s">
        <v>1469</v>
      </c>
      <c r="K26" t="s">
        <v>1469</v>
      </c>
      <c r="L26" t="s">
        <v>1469</v>
      </c>
      <c r="M26">
        <v>0.2</v>
      </c>
      <c r="S26" t="s">
        <v>1557</v>
      </c>
      <c r="T26">
        <v>-2.1</v>
      </c>
      <c r="U26">
        <v>-0.5</v>
      </c>
      <c r="V26">
        <v>2.6</v>
      </c>
      <c r="W26">
        <v>-0.2</v>
      </c>
      <c r="X26">
        <v>-1.6</v>
      </c>
      <c r="Y26">
        <v>-2.5</v>
      </c>
      <c r="Z26">
        <v>-5.9</v>
      </c>
      <c r="AA26">
        <v>-6</v>
      </c>
      <c r="AB26">
        <v>-6.9</v>
      </c>
      <c r="AC26">
        <v>-11.2</v>
      </c>
      <c r="AD26">
        <v>-10.8</v>
      </c>
      <c r="AE26">
        <v>-9.6999999999999993</v>
      </c>
      <c r="AF26">
        <v>46</v>
      </c>
      <c r="AG26">
        <v>33</v>
      </c>
      <c r="AH26">
        <v>21.5</v>
      </c>
    </row>
    <row r="27" spans="1:34" x14ac:dyDescent="0.25">
      <c r="A27" t="s">
        <v>1487</v>
      </c>
      <c r="B27">
        <v>2.1</v>
      </c>
      <c r="C27">
        <v>3.2</v>
      </c>
      <c r="D27">
        <v>2.7</v>
      </c>
      <c r="E27">
        <v>2.2999999999999998</v>
      </c>
      <c r="F27">
        <v>6.8</v>
      </c>
      <c r="G27">
        <v>7.2</v>
      </c>
      <c r="H27">
        <v>5.3</v>
      </c>
      <c r="I27">
        <v>10.8</v>
      </c>
      <c r="J27">
        <v>10.3</v>
      </c>
      <c r="K27">
        <v>6.2</v>
      </c>
      <c r="L27">
        <v>6.8</v>
      </c>
      <c r="M27">
        <v>19.100000000000001</v>
      </c>
      <c r="S27" t="s">
        <v>1558</v>
      </c>
      <c r="T27">
        <v>0</v>
      </c>
      <c r="U27">
        <v>1.8</v>
      </c>
      <c r="V27">
        <v>5.0999999999999996</v>
      </c>
      <c r="W27">
        <v>5</v>
      </c>
      <c r="X27">
        <v>0</v>
      </c>
      <c r="Y27">
        <v>0</v>
      </c>
      <c r="Z27">
        <v>0.9</v>
      </c>
      <c r="AA27">
        <v>0</v>
      </c>
      <c r="AB27">
        <v>0</v>
      </c>
      <c r="AC27">
        <v>0</v>
      </c>
      <c r="AD27">
        <v>0</v>
      </c>
      <c r="AE27">
        <v>0.1</v>
      </c>
      <c r="AF27">
        <v>0.1</v>
      </c>
    </row>
    <row r="28" spans="1:34" x14ac:dyDescent="0.25">
      <c r="A28" t="s">
        <v>1488</v>
      </c>
      <c r="B28">
        <v>1</v>
      </c>
      <c r="C28">
        <v>1</v>
      </c>
      <c r="D28">
        <v>0.8</v>
      </c>
      <c r="E28">
        <v>0.5</v>
      </c>
      <c r="F28">
        <v>0.4</v>
      </c>
      <c r="G28">
        <v>0.5</v>
      </c>
      <c r="H28">
        <v>1.1000000000000001</v>
      </c>
      <c r="I28" t="s">
        <v>1469</v>
      </c>
      <c r="J28" t="s">
        <v>1469</v>
      </c>
      <c r="K28" t="s">
        <v>1469</v>
      </c>
      <c r="L28" t="s">
        <v>1469</v>
      </c>
      <c r="M28" t="s">
        <v>1469</v>
      </c>
      <c r="S28" t="s">
        <v>1559</v>
      </c>
      <c r="T28" t="s">
        <v>1469</v>
      </c>
      <c r="U28" t="s">
        <v>1469</v>
      </c>
      <c r="V28" t="s">
        <v>1469</v>
      </c>
      <c r="W28" t="s">
        <v>1469</v>
      </c>
      <c r="X28" t="s">
        <v>1469</v>
      </c>
      <c r="Y28" t="s">
        <v>1469</v>
      </c>
      <c r="Z28" t="s">
        <v>1469</v>
      </c>
      <c r="AA28">
        <v>0</v>
      </c>
      <c r="AB28" t="s">
        <v>1469</v>
      </c>
      <c r="AC28" t="s">
        <v>1469</v>
      </c>
      <c r="AD28" t="s">
        <v>1469</v>
      </c>
      <c r="AE28" t="s">
        <v>1469</v>
      </c>
    </row>
    <row r="29" spans="1:34" x14ac:dyDescent="0.25">
      <c r="A29" t="s">
        <v>1489</v>
      </c>
      <c r="B29">
        <v>0</v>
      </c>
      <c r="C29">
        <v>1.6</v>
      </c>
      <c r="D29">
        <v>0</v>
      </c>
      <c r="E29" t="s">
        <v>1469</v>
      </c>
      <c r="F29" t="s">
        <v>1469</v>
      </c>
      <c r="G29" t="s">
        <v>1469</v>
      </c>
      <c r="H29" t="s">
        <v>1469</v>
      </c>
      <c r="I29" t="s">
        <v>1469</v>
      </c>
      <c r="J29" t="s">
        <v>1469</v>
      </c>
      <c r="K29" t="s">
        <v>1469</v>
      </c>
      <c r="L29" t="s">
        <v>1469</v>
      </c>
      <c r="M29" t="s">
        <v>1469</v>
      </c>
      <c r="S29" t="s">
        <v>1560</v>
      </c>
      <c r="T29" t="s">
        <v>1469</v>
      </c>
      <c r="U29">
        <v>0.2</v>
      </c>
      <c r="V29" t="s">
        <v>1469</v>
      </c>
      <c r="W29">
        <v>-0.1</v>
      </c>
      <c r="X29" t="s">
        <v>1469</v>
      </c>
      <c r="Y29" t="s">
        <v>1469</v>
      </c>
      <c r="Z29" t="s">
        <v>1469</v>
      </c>
      <c r="AA29" t="s">
        <v>1469</v>
      </c>
      <c r="AB29" t="s">
        <v>1469</v>
      </c>
      <c r="AC29" t="s">
        <v>1469</v>
      </c>
      <c r="AD29" t="s">
        <v>1469</v>
      </c>
      <c r="AE29">
        <v>0.1</v>
      </c>
    </row>
    <row r="30" spans="1:34" x14ac:dyDescent="0.25">
      <c r="A30" t="s">
        <v>792</v>
      </c>
      <c r="S30" t="s">
        <v>1561</v>
      </c>
      <c r="T30" t="s">
        <v>1469</v>
      </c>
      <c r="U30">
        <v>1.6</v>
      </c>
      <c r="V30">
        <v>5.0999999999999996</v>
      </c>
      <c r="W30">
        <v>5</v>
      </c>
      <c r="X30" t="s">
        <v>1469</v>
      </c>
      <c r="Y30" t="s">
        <v>1469</v>
      </c>
      <c r="Z30" t="s">
        <v>1469</v>
      </c>
      <c r="AA30" t="s">
        <v>1469</v>
      </c>
      <c r="AB30" t="s">
        <v>1469</v>
      </c>
      <c r="AC30" t="s">
        <v>1469</v>
      </c>
      <c r="AD30" t="s">
        <v>1469</v>
      </c>
      <c r="AE30" t="s">
        <v>1469</v>
      </c>
    </row>
    <row r="31" spans="1:34" x14ac:dyDescent="0.25">
      <c r="A31" t="s">
        <v>1490</v>
      </c>
      <c r="B31">
        <v>0.5</v>
      </c>
      <c r="C31">
        <v>0.7</v>
      </c>
      <c r="D31">
        <v>0.6</v>
      </c>
      <c r="E31">
        <v>4.5</v>
      </c>
      <c r="F31">
        <v>0</v>
      </c>
      <c r="G31">
        <v>0.1</v>
      </c>
      <c r="H31">
        <v>0.2</v>
      </c>
      <c r="I31">
        <v>0</v>
      </c>
      <c r="J31">
        <v>0</v>
      </c>
      <c r="K31">
        <v>0</v>
      </c>
      <c r="L31">
        <v>0.3</v>
      </c>
      <c r="M31">
        <v>0.4</v>
      </c>
      <c r="S31" t="s">
        <v>1562</v>
      </c>
      <c r="T31" t="s">
        <v>1469</v>
      </c>
      <c r="U31" t="s">
        <v>1469</v>
      </c>
      <c r="V31" t="s">
        <v>1469</v>
      </c>
      <c r="W31" t="s">
        <v>1469</v>
      </c>
      <c r="X31" t="s">
        <v>1469</v>
      </c>
      <c r="Y31" t="s">
        <v>1469</v>
      </c>
      <c r="Z31">
        <v>0.9</v>
      </c>
      <c r="AA31" t="s">
        <v>1469</v>
      </c>
      <c r="AB31" t="s">
        <v>1469</v>
      </c>
      <c r="AC31" t="s">
        <v>1469</v>
      </c>
      <c r="AD31" t="s">
        <v>1469</v>
      </c>
      <c r="AE31" t="s">
        <v>1469</v>
      </c>
    </row>
    <row r="32" spans="1:34" x14ac:dyDescent="0.25">
      <c r="A32" t="s">
        <v>1491</v>
      </c>
      <c r="B32" t="s">
        <v>1469</v>
      </c>
      <c r="C32" t="s">
        <v>1469</v>
      </c>
      <c r="D32" t="s">
        <v>1469</v>
      </c>
      <c r="E32" t="s">
        <v>1469</v>
      </c>
      <c r="F32" t="s">
        <v>1469</v>
      </c>
      <c r="G32" t="s">
        <v>1469</v>
      </c>
      <c r="H32" t="s">
        <v>1469</v>
      </c>
      <c r="I32" t="s">
        <v>1469</v>
      </c>
      <c r="J32" t="s">
        <v>1469</v>
      </c>
      <c r="K32" t="s">
        <v>1469</v>
      </c>
      <c r="L32" t="s">
        <v>1469</v>
      </c>
      <c r="M32">
        <v>-0.5</v>
      </c>
      <c r="S32" t="s">
        <v>1563</v>
      </c>
      <c r="T32">
        <v>-2.1</v>
      </c>
      <c r="U32">
        <v>-2.2999999999999998</v>
      </c>
      <c r="V32">
        <v>-2.6</v>
      </c>
      <c r="W32">
        <v>-5.2</v>
      </c>
      <c r="X32">
        <v>-1.6</v>
      </c>
      <c r="Y32">
        <v>-2.5</v>
      </c>
      <c r="Z32">
        <v>-6.7</v>
      </c>
      <c r="AA32">
        <v>-6</v>
      </c>
      <c r="AB32">
        <v>-6.9</v>
      </c>
      <c r="AC32">
        <v>-11.2</v>
      </c>
      <c r="AD32">
        <v>-10.8</v>
      </c>
      <c r="AE32">
        <v>-9.8000000000000007</v>
      </c>
      <c r="AF32">
        <v>45.9</v>
      </c>
      <c r="AG32">
        <v>33</v>
      </c>
      <c r="AH32">
        <v>21.5</v>
      </c>
    </row>
    <row r="33" spans="1:34" x14ac:dyDescent="0.25">
      <c r="A33" t="s">
        <v>1492</v>
      </c>
      <c r="B33" t="s">
        <v>1469</v>
      </c>
      <c r="C33">
        <v>0</v>
      </c>
      <c r="D33" t="s">
        <v>1469</v>
      </c>
      <c r="E33" t="s">
        <v>1469</v>
      </c>
      <c r="F33" t="s">
        <v>1469</v>
      </c>
      <c r="G33" t="s">
        <v>1469</v>
      </c>
      <c r="H33" t="s">
        <v>1469</v>
      </c>
      <c r="I33" t="s">
        <v>1469</v>
      </c>
      <c r="J33" t="s">
        <v>1469</v>
      </c>
      <c r="K33" t="s">
        <v>1469</v>
      </c>
      <c r="L33">
        <v>-0.6</v>
      </c>
      <c r="M33" t="s">
        <v>1469</v>
      </c>
      <c r="S33" t="s">
        <v>1564</v>
      </c>
      <c r="T33">
        <v>0</v>
      </c>
      <c r="U33">
        <v>0</v>
      </c>
      <c r="V33">
        <v>0</v>
      </c>
      <c r="W33" t="s">
        <v>1469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</v>
      </c>
    </row>
    <row r="34" spans="1:34" x14ac:dyDescent="0.25">
      <c r="A34" t="s">
        <v>1493</v>
      </c>
      <c r="B34">
        <v>0</v>
      </c>
      <c r="C34">
        <v>0</v>
      </c>
      <c r="D34" t="s">
        <v>1469</v>
      </c>
      <c r="E34" t="s">
        <v>1469</v>
      </c>
      <c r="F34" t="s">
        <v>1469</v>
      </c>
      <c r="G34" t="s">
        <v>1469</v>
      </c>
      <c r="H34" t="s">
        <v>1469</v>
      </c>
      <c r="I34" t="s">
        <v>1469</v>
      </c>
      <c r="J34" t="s">
        <v>1469</v>
      </c>
      <c r="K34" t="s">
        <v>1469</v>
      </c>
      <c r="L34" t="s">
        <v>1469</v>
      </c>
      <c r="M34" t="s">
        <v>1469</v>
      </c>
      <c r="S34" t="s">
        <v>1565</v>
      </c>
      <c r="T34" t="s">
        <v>1469</v>
      </c>
      <c r="U34">
        <v>0</v>
      </c>
      <c r="V34">
        <v>0</v>
      </c>
      <c r="W34" t="s">
        <v>1469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4" x14ac:dyDescent="0.25">
      <c r="A35" t="s">
        <v>1494</v>
      </c>
      <c r="B35">
        <v>-2.1</v>
      </c>
      <c r="C35">
        <v>-2.2999999999999998</v>
      </c>
      <c r="D35" t="s">
        <v>1469</v>
      </c>
      <c r="E35" t="s">
        <v>1469</v>
      </c>
      <c r="F35" t="s">
        <v>1469</v>
      </c>
      <c r="G35">
        <v>-2.5</v>
      </c>
      <c r="H35">
        <v>-6.7</v>
      </c>
      <c r="I35">
        <v>-6</v>
      </c>
      <c r="J35">
        <v>-6.9</v>
      </c>
      <c r="K35">
        <v>-11.2</v>
      </c>
      <c r="L35">
        <v>-10.8</v>
      </c>
      <c r="M35">
        <v>-9.8000000000000007</v>
      </c>
      <c r="S35" t="s">
        <v>1566</v>
      </c>
      <c r="T35" t="s">
        <v>1469</v>
      </c>
      <c r="U35">
        <v>0</v>
      </c>
      <c r="V35">
        <v>0</v>
      </c>
      <c r="W35" t="s">
        <v>1469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4" x14ac:dyDescent="0.25">
      <c r="A36" t="s">
        <v>1495</v>
      </c>
      <c r="B36" t="s">
        <v>1469</v>
      </c>
      <c r="C36" t="s">
        <v>1469</v>
      </c>
      <c r="D36" t="s">
        <v>1469</v>
      </c>
      <c r="E36" t="s">
        <v>1469</v>
      </c>
      <c r="F36" t="s">
        <v>1469</v>
      </c>
      <c r="G36" t="s">
        <v>1469</v>
      </c>
      <c r="H36" t="s">
        <v>1469</v>
      </c>
      <c r="I36" t="s">
        <v>1469</v>
      </c>
      <c r="J36" t="s">
        <v>1469</v>
      </c>
      <c r="K36" t="s">
        <v>1469</v>
      </c>
      <c r="L36">
        <v>-10.8</v>
      </c>
      <c r="M36">
        <v>-9.8000000000000007</v>
      </c>
      <c r="S36" t="s">
        <v>1567</v>
      </c>
      <c r="T36">
        <v>-2.1</v>
      </c>
      <c r="U36">
        <v>-2.2999999999999998</v>
      </c>
      <c r="V36">
        <v>-2.6</v>
      </c>
      <c r="W36">
        <v>-5.2</v>
      </c>
      <c r="X36">
        <v>-1.6</v>
      </c>
      <c r="Y36">
        <v>-2.5</v>
      </c>
      <c r="Z36">
        <v>-6.7</v>
      </c>
      <c r="AA36">
        <v>-6</v>
      </c>
      <c r="AB36">
        <v>-6.9</v>
      </c>
      <c r="AC36">
        <v>-11.2</v>
      </c>
      <c r="AD36">
        <v>-10.8</v>
      </c>
      <c r="AE36">
        <v>-9.8000000000000007</v>
      </c>
      <c r="AF36">
        <v>40.9</v>
      </c>
      <c r="AG36">
        <v>40.799999999999997</v>
      </c>
      <c r="AH36">
        <v>37</v>
      </c>
    </row>
    <row r="37" spans="1:34" x14ac:dyDescent="0.25">
      <c r="A37" t="s">
        <v>1496</v>
      </c>
      <c r="B37">
        <v>0</v>
      </c>
      <c r="C37">
        <v>0.2</v>
      </c>
      <c r="D37">
        <v>0</v>
      </c>
      <c r="E37">
        <v>-0.1</v>
      </c>
      <c r="F37">
        <v>0</v>
      </c>
      <c r="G37" t="s">
        <v>1469</v>
      </c>
      <c r="H37" t="s">
        <v>1469</v>
      </c>
      <c r="I37" t="s">
        <v>1469</v>
      </c>
      <c r="J37" t="s">
        <v>1469</v>
      </c>
      <c r="K37" t="s">
        <v>1469</v>
      </c>
      <c r="L37" t="s">
        <v>1469</v>
      </c>
      <c r="M37">
        <v>0.1</v>
      </c>
      <c r="S37" t="s">
        <v>1568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0.8</v>
      </c>
    </row>
    <row r="38" spans="1:34" x14ac:dyDescent="0.25">
      <c r="A38" t="s">
        <v>1497</v>
      </c>
      <c r="B38">
        <v>0</v>
      </c>
      <c r="C38">
        <v>-0.9</v>
      </c>
      <c r="D38">
        <v>0</v>
      </c>
      <c r="E38">
        <v>0</v>
      </c>
      <c r="F38">
        <v>0</v>
      </c>
      <c r="G38">
        <v>0</v>
      </c>
      <c r="H38">
        <v>0</v>
      </c>
      <c r="I38">
        <v>-1.5</v>
      </c>
      <c r="J38">
        <v>0</v>
      </c>
      <c r="K38">
        <v>-0.2</v>
      </c>
      <c r="L38">
        <v>0.1</v>
      </c>
      <c r="M38">
        <v>0</v>
      </c>
      <c r="S38" t="s">
        <v>1569</v>
      </c>
      <c r="T38" t="s">
        <v>1469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0.8</v>
      </c>
    </row>
    <row r="39" spans="1:34" x14ac:dyDescent="0.25">
      <c r="A39" t="s">
        <v>1498</v>
      </c>
      <c r="B39" t="s">
        <v>1469</v>
      </c>
      <c r="C39" t="s">
        <v>1469</v>
      </c>
      <c r="D39">
        <v>0.3</v>
      </c>
      <c r="E39">
        <v>-2.7</v>
      </c>
      <c r="F39">
        <v>0</v>
      </c>
      <c r="G39" t="s">
        <v>1469</v>
      </c>
      <c r="H39" t="s">
        <v>1469</v>
      </c>
      <c r="I39" t="s">
        <v>1469</v>
      </c>
      <c r="J39" t="s">
        <v>1469</v>
      </c>
      <c r="K39" t="s">
        <v>1469</v>
      </c>
      <c r="L39" t="s">
        <v>1469</v>
      </c>
      <c r="M39" t="s">
        <v>1469</v>
      </c>
      <c r="S39" t="s">
        <v>1570</v>
      </c>
      <c r="T39" t="s">
        <v>1469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4" x14ac:dyDescent="0.25">
      <c r="A40" t="s">
        <v>1499</v>
      </c>
      <c r="S40" t="s">
        <v>1571</v>
      </c>
      <c r="T40">
        <v>-2.1</v>
      </c>
      <c r="U40">
        <v>-2.2999999999999998</v>
      </c>
      <c r="V40">
        <v>-2.6</v>
      </c>
      <c r="W40">
        <v>-5.2</v>
      </c>
      <c r="X40">
        <v>-1.6</v>
      </c>
      <c r="Y40">
        <v>-2.5</v>
      </c>
      <c r="Z40">
        <v>-6.7</v>
      </c>
      <c r="AA40">
        <v>-6</v>
      </c>
      <c r="AB40">
        <v>-6.9</v>
      </c>
      <c r="AC40">
        <v>-11.2</v>
      </c>
      <c r="AD40">
        <v>-10.8</v>
      </c>
      <c r="AE40">
        <v>-9.8000000000000007</v>
      </c>
      <c r="AF40">
        <v>40.1</v>
      </c>
    </row>
    <row r="41" spans="1:34" x14ac:dyDescent="0.25">
      <c r="A41" t="s">
        <v>1500</v>
      </c>
      <c r="B41">
        <v>0.5</v>
      </c>
      <c r="C41">
        <v>0</v>
      </c>
      <c r="D41">
        <v>0</v>
      </c>
      <c r="E41">
        <v>0</v>
      </c>
      <c r="F41">
        <v>0</v>
      </c>
      <c r="G41" t="s">
        <v>1469</v>
      </c>
      <c r="H41" t="s">
        <v>1469</v>
      </c>
      <c r="I41" t="s">
        <v>1469</v>
      </c>
      <c r="J41" t="s">
        <v>1469</v>
      </c>
      <c r="K41" t="s">
        <v>1469</v>
      </c>
      <c r="L41" t="s">
        <v>1469</v>
      </c>
      <c r="M41" t="s">
        <v>1469</v>
      </c>
      <c r="S41" t="s">
        <v>1572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4" x14ac:dyDescent="0.25">
      <c r="A42" t="s">
        <v>1501</v>
      </c>
      <c r="B42">
        <v>-0.05</v>
      </c>
      <c r="C42">
        <v>-0.04</v>
      </c>
      <c r="D42" t="s">
        <v>1469</v>
      </c>
      <c r="E42" t="s">
        <v>1469</v>
      </c>
      <c r="F42" t="s">
        <v>1469</v>
      </c>
      <c r="G42" t="s">
        <v>1469</v>
      </c>
      <c r="H42" t="s">
        <v>1469</v>
      </c>
      <c r="I42" t="s">
        <v>1469</v>
      </c>
      <c r="J42">
        <v>-1.1100000000000001</v>
      </c>
      <c r="K42" t="s">
        <v>1469</v>
      </c>
      <c r="L42">
        <v>-1.39</v>
      </c>
      <c r="M42">
        <v>-0.64</v>
      </c>
      <c r="S42" t="s">
        <v>1573</v>
      </c>
      <c r="T42">
        <v>-2.1</v>
      </c>
      <c r="U42">
        <v>-2.2999999999999998</v>
      </c>
      <c r="V42">
        <v>-2.6</v>
      </c>
      <c r="W42">
        <v>-5.2</v>
      </c>
      <c r="X42">
        <v>-1.6</v>
      </c>
      <c r="Y42">
        <v>-2.5</v>
      </c>
      <c r="Z42">
        <v>-6.7</v>
      </c>
      <c r="AA42">
        <v>-6</v>
      </c>
      <c r="AB42">
        <v>-6.9</v>
      </c>
      <c r="AC42">
        <v>-11.2</v>
      </c>
      <c r="AD42">
        <v>-10.8</v>
      </c>
      <c r="AE42">
        <v>-9.8000000000000007</v>
      </c>
      <c r="AF42">
        <v>40.1</v>
      </c>
      <c r="AG42">
        <v>40.799999999999997</v>
      </c>
      <c r="AH42">
        <v>37</v>
      </c>
    </row>
    <row r="43" spans="1:34" x14ac:dyDescent="0.25">
      <c r="A43" t="s">
        <v>1502</v>
      </c>
      <c r="B43">
        <v>56.6</v>
      </c>
      <c r="C43">
        <v>61.3</v>
      </c>
      <c r="D43" t="s">
        <v>1469</v>
      </c>
      <c r="E43" t="s">
        <v>1469</v>
      </c>
      <c r="F43" t="s">
        <v>1469</v>
      </c>
      <c r="G43" t="s">
        <v>1469</v>
      </c>
      <c r="H43" t="s">
        <v>1469</v>
      </c>
      <c r="I43" t="s">
        <v>1469</v>
      </c>
      <c r="J43">
        <v>6.2</v>
      </c>
      <c r="K43" t="s">
        <v>1469</v>
      </c>
      <c r="L43">
        <v>7.7</v>
      </c>
      <c r="M43">
        <v>15.3</v>
      </c>
      <c r="S43" t="s">
        <v>1574</v>
      </c>
      <c r="T43">
        <v>0.5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4" x14ac:dyDescent="0.25">
      <c r="A44" t="s">
        <v>1503</v>
      </c>
      <c r="B44">
        <v>-0.05</v>
      </c>
      <c r="C44">
        <v>-0.04</v>
      </c>
      <c r="D44" t="s">
        <v>1469</v>
      </c>
      <c r="E44" t="s">
        <v>1469</v>
      </c>
      <c r="F44" t="s">
        <v>1469</v>
      </c>
      <c r="G44" t="s">
        <v>1469</v>
      </c>
      <c r="H44" t="s">
        <v>1469</v>
      </c>
      <c r="I44" t="s">
        <v>1469</v>
      </c>
      <c r="J44">
        <v>-1.1100000000000001</v>
      </c>
      <c r="K44" t="s">
        <v>1469</v>
      </c>
      <c r="L44">
        <v>-1.39</v>
      </c>
      <c r="M44">
        <v>-0.64</v>
      </c>
      <c r="S44" t="s">
        <v>1575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4" x14ac:dyDescent="0.25">
      <c r="A45" t="s">
        <v>1504</v>
      </c>
      <c r="B45">
        <v>56.6</v>
      </c>
      <c r="C45">
        <v>61.3</v>
      </c>
      <c r="D45" t="s">
        <v>1469</v>
      </c>
      <c r="E45" t="s">
        <v>1469</v>
      </c>
      <c r="F45" t="s">
        <v>1469</v>
      </c>
      <c r="G45" t="s">
        <v>1469</v>
      </c>
      <c r="H45" t="s">
        <v>1469</v>
      </c>
      <c r="I45" t="s">
        <v>1469</v>
      </c>
      <c r="J45">
        <v>6.2</v>
      </c>
      <c r="K45" t="s">
        <v>1469</v>
      </c>
      <c r="L45">
        <v>7.7</v>
      </c>
      <c r="M45">
        <v>15.3</v>
      </c>
      <c r="S45" t="s">
        <v>1576</v>
      </c>
      <c r="T45">
        <v>-2.6</v>
      </c>
      <c r="U45">
        <v>-2.2999999999999998</v>
      </c>
      <c r="V45">
        <v>-2.6</v>
      </c>
      <c r="W45">
        <v>-5.2</v>
      </c>
      <c r="X45">
        <v>-1.6</v>
      </c>
      <c r="Y45">
        <v>-2.5</v>
      </c>
      <c r="Z45">
        <v>-6.7</v>
      </c>
      <c r="AA45">
        <v>-6</v>
      </c>
      <c r="AB45">
        <v>-6.9</v>
      </c>
      <c r="AC45">
        <v>-11.2</v>
      </c>
      <c r="AD45">
        <v>-10.8</v>
      </c>
      <c r="AE45">
        <v>-9.8000000000000007</v>
      </c>
      <c r="AF45">
        <v>40.1</v>
      </c>
      <c r="AG45">
        <v>40.799999999999997</v>
      </c>
      <c r="AH45">
        <v>37</v>
      </c>
    </row>
    <row r="46" spans="1:34" x14ac:dyDescent="0.25">
      <c r="A46" t="s">
        <v>1505</v>
      </c>
      <c r="B46" t="s">
        <v>1469</v>
      </c>
      <c r="C46" t="s">
        <v>1469</v>
      </c>
      <c r="D46">
        <v>-0.04</v>
      </c>
      <c r="E46">
        <v>-1.43</v>
      </c>
      <c r="F46">
        <v>-0.08</v>
      </c>
      <c r="G46">
        <v>-1.39</v>
      </c>
      <c r="H46">
        <v>-2.0299999999999998</v>
      </c>
      <c r="I46">
        <v>-1.63</v>
      </c>
      <c r="J46">
        <v>-1.1100000000000001</v>
      </c>
      <c r="K46">
        <v>-1.56</v>
      </c>
      <c r="L46">
        <v>-1.39</v>
      </c>
      <c r="M46">
        <v>-0.64</v>
      </c>
    </row>
    <row r="47" spans="1:34" x14ac:dyDescent="0.25">
      <c r="A47" t="s">
        <v>1506</v>
      </c>
      <c r="B47" t="s">
        <v>1469</v>
      </c>
      <c r="C47" t="s">
        <v>1469</v>
      </c>
      <c r="D47">
        <v>65.900000000000006</v>
      </c>
      <c r="E47">
        <v>3.6</v>
      </c>
      <c r="F47">
        <v>20.8</v>
      </c>
      <c r="G47">
        <v>1.8</v>
      </c>
      <c r="H47">
        <v>3.3</v>
      </c>
      <c r="I47">
        <v>3.7</v>
      </c>
      <c r="J47">
        <v>6.2</v>
      </c>
      <c r="K47">
        <v>7.2</v>
      </c>
      <c r="L47">
        <v>7.7</v>
      </c>
      <c r="M47">
        <v>15.3</v>
      </c>
    </row>
    <row r="48" spans="1:34" x14ac:dyDescent="0.25">
      <c r="A48" t="s">
        <v>1507</v>
      </c>
      <c r="B48">
        <v>-2.6</v>
      </c>
      <c r="C48">
        <v>-2.2999999999999998</v>
      </c>
      <c r="D48">
        <v>-2.6</v>
      </c>
      <c r="E48">
        <v>-5.2</v>
      </c>
      <c r="F48">
        <v>-1.6</v>
      </c>
      <c r="G48">
        <v>-2.5</v>
      </c>
      <c r="H48">
        <v>-6.7</v>
      </c>
      <c r="I48">
        <v>-6</v>
      </c>
      <c r="J48">
        <v>-6.9</v>
      </c>
      <c r="K48">
        <v>-11.2</v>
      </c>
      <c r="L48">
        <v>-10.8</v>
      </c>
      <c r="M48">
        <v>-9.8000000000000007</v>
      </c>
    </row>
    <row r="49" spans="1:13" x14ac:dyDescent="0.25">
      <c r="A49" t="s">
        <v>1508</v>
      </c>
      <c r="B49" t="s">
        <v>1469</v>
      </c>
      <c r="C49" t="s">
        <v>1469</v>
      </c>
      <c r="D49" t="s">
        <v>1469</v>
      </c>
      <c r="E49" t="s">
        <v>1469</v>
      </c>
      <c r="F49" t="s">
        <v>1469</v>
      </c>
      <c r="G49" t="s">
        <v>1469</v>
      </c>
      <c r="H49" t="s">
        <v>1469</v>
      </c>
      <c r="I49" t="s">
        <v>1469</v>
      </c>
      <c r="J49" t="s">
        <v>1469</v>
      </c>
      <c r="K49" t="s">
        <v>1469</v>
      </c>
      <c r="L49">
        <v>-10.8</v>
      </c>
      <c r="M49">
        <v>-9.8000000000000007</v>
      </c>
    </row>
    <row r="50" spans="1:13" x14ac:dyDescent="0.25">
      <c r="A50" t="s">
        <v>1509</v>
      </c>
      <c r="B50">
        <v>-2.1</v>
      </c>
      <c r="C50">
        <v>-2.2999999999999998</v>
      </c>
      <c r="D50">
        <v>-2.6</v>
      </c>
      <c r="E50">
        <v>-5.2</v>
      </c>
      <c r="F50">
        <v>-1.6</v>
      </c>
      <c r="G50">
        <v>-2.5</v>
      </c>
      <c r="H50">
        <v>-6.7</v>
      </c>
      <c r="I50">
        <v>-6</v>
      </c>
      <c r="J50">
        <v>-6.9</v>
      </c>
      <c r="K50">
        <v>-11.2</v>
      </c>
      <c r="L50">
        <v>-10.8</v>
      </c>
      <c r="M50">
        <v>-9.8000000000000007</v>
      </c>
    </row>
    <row r="51" spans="1:13" x14ac:dyDescent="0.25">
      <c r="A51" t="s">
        <v>1510</v>
      </c>
      <c r="B51">
        <v>-2.1</v>
      </c>
      <c r="C51">
        <v>-2.2999999999999998</v>
      </c>
      <c r="D51">
        <v>-2.6</v>
      </c>
      <c r="E51">
        <v>-5.2</v>
      </c>
      <c r="F51">
        <v>-1.6</v>
      </c>
      <c r="G51">
        <v>-2.5</v>
      </c>
      <c r="H51">
        <v>-6.7</v>
      </c>
      <c r="I51">
        <v>-6</v>
      </c>
      <c r="J51">
        <v>-6.9</v>
      </c>
      <c r="K51">
        <v>-11.2</v>
      </c>
      <c r="L51">
        <v>-10.8</v>
      </c>
      <c r="M51">
        <v>-9.8000000000000007</v>
      </c>
    </row>
    <row r="52" spans="1:13" x14ac:dyDescent="0.25">
      <c r="A52" t="s">
        <v>1426</v>
      </c>
    </row>
    <row r="53" spans="1:13" x14ac:dyDescent="0.25">
      <c r="A53" t="s">
        <v>1511</v>
      </c>
      <c r="B53" t="s">
        <v>1469</v>
      </c>
      <c r="C53" t="s">
        <v>1469</v>
      </c>
      <c r="D53" t="s">
        <v>1469</v>
      </c>
      <c r="E53" t="s">
        <v>1469</v>
      </c>
      <c r="F53" t="s">
        <v>1469</v>
      </c>
      <c r="G53" t="s">
        <v>1469</v>
      </c>
      <c r="H53">
        <v>-6.7</v>
      </c>
      <c r="I53">
        <v>-6</v>
      </c>
      <c r="J53">
        <v>-6.9</v>
      </c>
      <c r="K53">
        <v>-11.2</v>
      </c>
      <c r="L53">
        <v>-10.8</v>
      </c>
      <c r="M53">
        <v>-9.8000000000000007</v>
      </c>
    </row>
    <row r="54" spans="1:13" x14ac:dyDescent="0.25">
      <c r="A54" t="s">
        <v>1512</v>
      </c>
      <c r="B54" t="s">
        <v>1469</v>
      </c>
      <c r="C54" t="s">
        <v>1469</v>
      </c>
      <c r="D54" t="s">
        <v>1469</v>
      </c>
      <c r="E54" t="s">
        <v>1469</v>
      </c>
      <c r="F54" t="s">
        <v>1469</v>
      </c>
      <c r="G54" t="s">
        <v>1469</v>
      </c>
      <c r="H54">
        <v>-6.7</v>
      </c>
      <c r="I54">
        <v>-6</v>
      </c>
      <c r="J54">
        <v>-6.9</v>
      </c>
      <c r="K54">
        <v>-11.2</v>
      </c>
      <c r="L54">
        <v>-10.8</v>
      </c>
      <c r="M54">
        <v>-9.8000000000000007</v>
      </c>
    </row>
    <row r="55" spans="1:13" x14ac:dyDescent="0.25">
      <c r="A55" t="s">
        <v>1513</v>
      </c>
    </row>
    <row r="56" spans="1:13" x14ac:dyDescent="0.25">
      <c r="A56" t="s">
        <v>1514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1469</v>
      </c>
      <c r="I56" t="s">
        <v>1469</v>
      </c>
      <c r="J56" t="s">
        <v>1469</v>
      </c>
      <c r="K56" t="s">
        <v>1469</v>
      </c>
      <c r="L56" t="s">
        <v>1469</v>
      </c>
      <c r="M56" t="s">
        <v>1469</v>
      </c>
    </row>
    <row r="57" spans="1:13" x14ac:dyDescent="0.25">
      <c r="A57" t="s">
        <v>1477</v>
      </c>
      <c r="B57" t="s">
        <v>1469</v>
      </c>
      <c r="C57" t="s">
        <v>1469</v>
      </c>
      <c r="D57" t="s">
        <v>1469</v>
      </c>
      <c r="E57" t="s">
        <v>1469</v>
      </c>
      <c r="F57">
        <v>0.5</v>
      </c>
      <c r="G57">
        <v>0.4</v>
      </c>
      <c r="H57" t="s">
        <v>1469</v>
      </c>
      <c r="I57" t="s">
        <v>1469</v>
      </c>
      <c r="J57" t="s">
        <v>1469</v>
      </c>
      <c r="K57">
        <v>1.8</v>
      </c>
      <c r="L57">
        <v>1.5</v>
      </c>
      <c r="M57">
        <v>0.8</v>
      </c>
    </row>
    <row r="58" spans="1:13" x14ac:dyDescent="0.25">
      <c r="A58" t="s">
        <v>1478</v>
      </c>
      <c r="B58" t="s">
        <v>1469</v>
      </c>
      <c r="C58" t="s">
        <v>1469</v>
      </c>
      <c r="D58" t="s">
        <v>1469</v>
      </c>
      <c r="E58" t="s">
        <v>1469</v>
      </c>
      <c r="F58">
        <v>0.3</v>
      </c>
      <c r="G58">
        <v>0.4</v>
      </c>
      <c r="H58" t="s">
        <v>1469</v>
      </c>
      <c r="I58" t="s">
        <v>1469</v>
      </c>
      <c r="J58" t="s">
        <v>1469</v>
      </c>
      <c r="K58">
        <v>1.5</v>
      </c>
      <c r="L58">
        <v>2.1</v>
      </c>
      <c r="M58">
        <v>1.2</v>
      </c>
    </row>
    <row r="59" spans="1:13" x14ac:dyDescent="0.25">
      <c r="A59" t="s">
        <v>1479</v>
      </c>
      <c r="B59" t="s">
        <v>1469</v>
      </c>
      <c r="C59" t="s">
        <v>1469</v>
      </c>
      <c r="D59" t="s">
        <v>1469</v>
      </c>
      <c r="E59" t="s">
        <v>1469</v>
      </c>
      <c r="F59">
        <v>4.3</v>
      </c>
      <c r="G59">
        <v>5.6</v>
      </c>
      <c r="H59" t="s">
        <v>1469</v>
      </c>
      <c r="I59" t="s">
        <v>1469</v>
      </c>
      <c r="J59" t="s">
        <v>1469</v>
      </c>
      <c r="K59" t="s">
        <v>1469</v>
      </c>
      <c r="L59" t="s">
        <v>1469</v>
      </c>
      <c r="M59" t="s">
        <v>1469</v>
      </c>
    </row>
    <row r="60" spans="1:13" x14ac:dyDescent="0.25">
      <c r="A60" t="s">
        <v>1515</v>
      </c>
      <c r="B60">
        <v>0</v>
      </c>
      <c r="C60">
        <v>0</v>
      </c>
      <c r="D60">
        <v>0</v>
      </c>
      <c r="E60">
        <v>0</v>
      </c>
      <c r="F60">
        <v>0.1</v>
      </c>
      <c r="G60">
        <v>0.2</v>
      </c>
      <c r="H60">
        <v>0.2</v>
      </c>
      <c r="I60">
        <v>0.3</v>
      </c>
      <c r="J60">
        <v>0.3</v>
      </c>
      <c r="K60">
        <v>0.3</v>
      </c>
      <c r="L60">
        <v>0.3</v>
      </c>
      <c r="M60">
        <v>0.4</v>
      </c>
    </row>
    <row r="61" spans="1:13" x14ac:dyDescent="0.25">
      <c r="A61" t="s">
        <v>1516</v>
      </c>
      <c r="B61" t="s">
        <v>1469</v>
      </c>
      <c r="C61" t="s">
        <v>1469</v>
      </c>
      <c r="D61" t="s">
        <v>1469</v>
      </c>
      <c r="E61" t="s">
        <v>1469</v>
      </c>
      <c r="F61" t="s">
        <v>1469</v>
      </c>
      <c r="G61" t="s">
        <v>1469</v>
      </c>
      <c r="H61">
        <v>0.2</v>
      </c>
      <c r="I61">
        <v>0.3</v>
      </c>
      <c r="J61">
        <v>0.4</v>
      </c>
      <c r="K61">
        <v>0.6</v>
      </c>
      <c r="L61">
        <v>2.2000000000000002</v>
      </c>
      <c r="M61">
        <v>2.1</v>
      </c>
    </row>
    <row r="62" spans="1:13" x14ac:dyDescent="0.25">
      <c r="A62" t="s">
        <v>1480</v>
      </c>
      <c r="B62" t="s">
        <v>1469</v>
      </c>
      <c r="C62" t="s">
        <v>1469</v>
      </c>
      <c r="D62" t="s">
        <v>1469</v>
      </c>
      <c r="E62" t="s">
        <v>1469</v>
      </c>
      <c r="F62">
        <v>0.2</v>
      </c>
      <c r="G62">
        <v>0.3</v>
      </c>
      <c r="H62" t="s">
        <v>1469</v>
      </c>
      <c r="I62" t="s">
        <v>1469</v>
      </c>
      <c r="J62" t="s">
        <v>1469</v>
      </c>
      <c r="K62" t="s">
        <v>1469</v>
      </c>
      <c r="L62" t="s">
        <v>1469</v>
      </c>
      <c r="M62" t="s">
        <v>1469</v>
      </c>
    </row>
    <row r="63" spans="1:13" x14ac:dyDescent="0.25">
      <c r="A63" t="s">
        <v>1490</v>
      </c>
      <c r="B63">
        <v>0.5</v>
      </c>
      <c r="C63">
        <v>0.7</v>
      </c>
      <c r="D63">
        <v>0.6</v>
      </c>
      <c r="E63">
        <v>4.5</v>
      </c>
      <c r="F63">
        <v>0</v>
      </c>
      <c r="G63">
        <v>0.1</v>
      </c>
      <c r="H63">
        <v>0.2</v>
      </c>
      <c r="I63">
        <v>0</v>
      </c>
      <c r="J63">
        <v>0</v>
      </c>
      <c r="K63">
        <v>0</v>
      </c>
      <c r="L63">
        <v>0.3</v>
      </c>
      <c r="M63">
        <v>0.4</v>
      </c>
    </row>
    <row r="64" spans="1:13" x14ac:dyDescent="0.25">
      <c r="A64" t="s">
        <v>1517</v>
      </c>
      <c r="B64" t="s">
        <v>1469</v>
      </c>
      <c r="C64" t="s">
        <v>1469</v>
      </c>
      <c r="D64" t="s">
        <v>1469</v>
      </c>
      <c r="E64" t="s">
        <v>1469</v>
      </c>
      <c r="F64" t="s">
        <v>1469</v>
      </c>
      <c r="G64" t="s">
        <v>1469</v>
      </c>
      <c r="H64" t="s">
        <v>1469</v>
      </c>
      <c r="I64">
        <v>0</v>
      </c>
      <c r="J64">
        <v>0</v>
      </c>
      <c r="K64" t="s">
        <v>1469</v>
      </c>
      <c r="L64" t="s">
        <v>1469</v>
      </c>
      <c r="M64" t="s">
        <v>1469</v>
      </c>
    </row>
    <row r="65" spans="1:13" x14ac:dyDescent="0.25">
      <c r="A65" t="s">
        <v>1518</v>
      </c>
      <c r="B65" t="s">
        <v>1469</v>
      </c>
      <c r="C65" t="s">
        <v>1469</v>
      </c>
      <c r="D65" t="s">
        <v>1469</v>
      </c>
      <c r="E65" t="s">
        <v>1469</v>
      </c>
      <c r="F65" t="s">
        <v>1469</v>
      </c>
      <c r="G65" t="s">
        <v>1469</v>
      </c>
      <c r="H65">
        <v>0.9</v>
      </c>
      <c r="I65" t="s">
        <v>1469</v>
      </c>
      <c r="J65" t="s">
        <v>1469</v>
      </c>
      <c r="K65" t="s">
        <v>1469</v>
      </c>
      <c r="L65" t="s">
        <v>1469</v>
      </c>
      <c r="M65" t="s">
        <v>1469</v>
      </c>
    </row>
    <row r="66" spans="1:13" x14ac:dyDescent="0.25">
      <c r="A66" t="s">
        <v>1493</v>
      </c>
      <c r="B66">
        <v>0</v>
      </c>
      <c r="C66">
        <v>0</v>
      </c>
      <c r="D66">
        <v>0</v>
      </c>
      <c r="E66">
        <v>0</v>
      </c>
      <c r="F66" t="s">
        <v>1469</v>
      </c>
      <c r="G66" t="s">
        <v>1469</v>
      </c>
      <c r="H66" t="s">
        <v>1469</v>
      </c>
      <c r="I66" t="s">
        <v>1469</v>
      </c>
      <c r="J66" t="s">
        <v>1469</v>
      </c>
      <c r="K66" t="s">
        <v>1469</v>
      </c>
      <c r="L66" t="s">
        <v>1469</v>
      </c>
      <c r="M66" t="s">
        <v>1469</v>
      </c>
    </row>
    <row r="67" spans="1:13" x14ac:dyDescent="0.25">
      <c r="A67" t="s">
        <v>1481</v>
      </c>
      <c r="B67" t="s">
        <v>1469</v>
      </c>
      <c r="C67" t="s">
        <v>1469</v>
      </c>
      <c r="D67" t="s">
        <v>1469</v>
      </c>
      <c r="E67" t="s">
        <v>1469</v>
      </c>
      <c r="F67">
        <v>1.5</v>
      </c>
      <c r="G67">
        <v>2.2000000000000002</v>
      </c>
      <c r="H67" t="s">
        <v>1469</v>
      </c>
      <c r="I67" t="s">
        <v>1469</v>
      </c>
      <c r="J67" t="s">
        <v>1469</v>
      </c>
      <c r="K67">
        <v>9.4</v>
      </c>
      <c r="L67">
        <v>7.8</v>
      </c>
      <c r="M67">
        <v>15.6</v>
      </c>
    </row>
    <row r="68" spans="1:13" x14ac:dyDescent="0.25">
      <c r="A68" t="s">
        <v>1468</v>
      </c>
      <c r="B68" t="s">
        <v>1469</v>
      </c>
      <c r="C68" t="s">
        <v>1469</v>
      </c>
      <c r="D68" t="s">
        <v>1469</v>
      </c>
      <c r="E68" t="s">
        <v>1469</v>
      </c>
      <c r="F68" t="s">
        <v>1469</v>
      </c>
      <c r="G68" t="s">
        <v>1469</v>
      </c>
      <c r="H68">
        <v>1</v>
      </c>
      <c r="I68" t="s">
        <v>1469</v>
      </c>
      <c r="J68" t="s">
        <v>1469</v>
      </c>
      <c r="K68" t="s">
        <v>1469</v>
      </c>
      <c r="L68" t="s">
        <v>1469</v>
      </c>
      <c r="M68" t="s">
        <v>1469</v>
      </c>
    </row>
    <row r="69" spans="1:13" x14ac:dyDescent="0.25">
      <c r="A69" t="s">
        <v>1501</v>
      </c>
      <c r="B69" t="s">
        <v>1469</v>
      </c>
      <c r="C69" t="s">
        <v>1469</v>
      </c>
      <c r="D69" t="s">
        <v>1469</v>
      </c>
      <c r="E69" t="s">
        <v>1469</v>
      </c>
      <c r="F69" t="s">
        <v>1469</v>
      </c>
      <c r="G69" t="s">
        <v>1469</v>
      </c>
      <c r="H69" t="s">
        <v>1469</v>
      </c>
      <c r="I69" t="s">
        <v>1469</v>
      </c>
      <c r="J69" t="s">
        <v>1469</v>
      </c>
      <c r="K69" t="s">
        <v>1469</v>
      </c>
      <c r="L69">
        <v>-1.39</v>
      </c>
      <c r="M69">
        <v>-0.64</v>
      </c>
    </row>
    <row r="70" spans="1:13" x14ac:dyDescent="0.25">
      <c r="A70" t="s">
        <v>1502</v>
      </c>
      <c r="B70" t="s">
        <v>1469</v>
      </c>
      <c r="C70" t="s">
        <v>1469</v>
      </c>
      <c r="D70" t="s">
        <v>1469</v>
      </c>
      <c r="E70" t="s">
        <v>1469</v>
      </c>
      <c r="F70" t="s">
        <v>1469</v>
      </c>
      <c r="G70" t="s">
        <v>1469</v>
      </c>
      <c r="H70" t="s">
        <v>1469</v>
      </c>
      <c r="I70" t="s">
        <v>1469</v>
      </c>
      <c r="J70" t="s">
        <v>1469</v>
      </c>
      <c r="K70" t="s">
        <v>1469</v>
      </c>
      <c r="L70">
        <v>7.7</v>
      </c>
      <c r="M70">
        <v>15.3</v>
      </c>
    </row>
    <row r="71" spans="1:13" x14ac:dyDescent="0.25">
      <c r="A71" t="s">
        <v>1503</v>
      </c>
      <c r="B71" t="s">
        <v>1469</v>
      </c>
      <c r="C71" t="s">
        <v>1469</v>
      </c>
      <c r="D71" t="s">
        <v>1469</v>
      </c>
      <c r="E71" t="s">
        <v>1469</v>
      </c>
      <c r="F71" t="s">
        <v>1469</v>
      </c>
      <c r="G71" t="s">
        <v>1469</v>
      </c>
      <c r="H71" t="s">
        <v>1469</v>
      </c>
      <c r="I71" t="s">
        <v>1469</v>
      </c>
      <c r="J71" t="s">
        <v>1469</v>
      </c>
      <c r="K71" t="s">
        <v>1469</v>
      </c>
      <c r="L71">
        <v>-1.39</v>
      </c>
      <c r="M71">
        <v>-0.64</v>
      </c>
    </row>
    <row r="72" spans="1:13" x14ac:dyDescent="0.25">
      <c r="A72" t="s">
        <v>1504</v>
      </c>
      <c r="B72" t="s">
        <v>1469</v>
      </c>
      <c r="C72" t="s">
        <v>1469</v>
      </c>
      <c r="D72" t="s">
        <v>1469</v>
      </c>
      <c r="E72" t="s">
        <v>1469</v>
      </c>
      <c r="F72" t="s">
        <v>1469</v>
      </c>
      <c r="G72" t="s">
        <v>1469</v>
      </c>
      <c r="H72" t="s">
        <v>1469</v>
      </c>
      <c r="I72" t="s">
        <v>1469</v>
      </c>
      <c r="J72" t="s">
        <v>1469</v>
      </c>
      <c r="K72" t="s">
        <v>1469</v>
      </c>
      <c r="L72">
        <v>7.7</v>
      </c>
      <c r="M72">
        <v>15.3</v>
      </c>
    </row>
    <row r="73" spans="1:13" x14ac:dyDescent="0.25">
      <c r="A73" t="s">
        <v>1519</v>
      </c>
      <c r="B73" t="s">
        <v>1469</v>
      </c>
      <c r="C73">
        <v>0.1</v>
      </c>
      <c r="D73">
        <v>0.2</v>
      </c>
      <c r="E73">
        <v>0.2</v>
      </c>
      <c r="F73">
        <v>0.2</v>
      </c>
      <c r="G73">
        <v>0</v>
      </c>
      <c r="H73">
        <v>0.3</v>
      </c>
      <c r="I73">
        <v>0.4</v>
      </c>
      <c r="J73">
        <v>0.8</v>
      </c>
      <c r="K73">
        <v>0.8</v>
      </c>
      <c r="L73">
        <v>0.8</v>
      </c>
      <c r="M73">
        <v>0.8</v>
      </c>
    </row>
    <row r="74" spans="1:13" x14ac:dyDescent="0.25">
      <c r="A74" t="s">
        <v>1520</v>
      </c>
      <c r="B74" t="s">
        <v>1469</v>
      </c>
      <c r="C74" t="s">
        <v>1469</v>
      </c>
      <c r="D74" t="s">
        <v>1469</v>
      </c>
      <c r="E74" t="s">
        <v>1469</v>
      </c>
      <c r="F74" t="s">
        <v>1469</v>
      </c>
      <c r="G74" t="s">
        <v>1469</v>
      </c>
      <c r="H74" t="s">
        <v>1469</v>
      </c>
      <c r="I74">
        <v>0.3</v>
      </c>
      <c r="J74">
        <v>0.8</v>
      </c>
      <c r="K74">
        <v>0.7</v>
      </c>
      <c r="L74">
        <v>0.1</v>
      </c>
      <c r="M74">
        <v>4.0999999999999996</v>
      </c>
    </row>
    <row r="75" spans="1:13" x14ac:dyDescent="0.25">
      <c r="A75" t="s">
        <v>1505</v>
      </c>
      <c r="B75">
        <v>-0.05</v>
      </c>
      <c r="C75">
        <v>-0.04</v>
      </c>
      <c r="D75">
        <v>-0.04</v>
      </c>
      <c r="E75">
        <v>-1.43</v>
      </c>
      <c r="F75">
        <v>-0.08</v>
      </c>
      <c r="G75" t="s">
        <v>1469</v>
      </c>
      <c r="H75" t="s">
        <v>1469</v>
      </c>
      <c r="I75">
        <v>-1.63</v>
      </c>
      <c r="J75">
        <v>-1.1100000000000001</v>
      </c>
      <c r="K75">
        <v>-1.56</v>
      </c>
      <c r="L75">
        <v>-1.39</v>
      </c>
      <c r="M75">
        <v>-0.64</v>
      </c>
    </row>
    <row r="76" spans="1:13" x14ac:dyDescent="0.25">
      <c r="A76" t="s">
        <v>1506</v>
      </c>
      <c r="B76" t="s">
        <v>1469</v>
      </c>
      <c r="C76" t="s">
        <v>1469</v>
      </c>
      <c r="D76" t="s">
        <v>1469</v>
      </c>
      <c r="E76" t="s">
        <v>1469</v>
      </c>
      <c r="F76" t="s">
        <v>1469</v>
      </c>
      <c r="G76" t="s">
        <v>1469</v>
      </c>
      <c r="H76" t="s">
        <v>1469</v>
      </c>
      <c r="I76">
        <v>3.7</v>
      </c>
      <c r="J76">
        <v>6.2</v>
      </c>
      <c r="K76">
        <v>7.2</v>
      </c>
      <c r="L76">
        <v>7.7</v>
      </c>
      <c r="M76">
        <v>15.3</v>
      </c>
    </row>
    <row r="77" spans="1:13" x14ac:dyDescent="0.25">
      <c r="A77" t="s">
        <v>1521</v>
      </c>
      <c r="B77" t="s">
        <v>1469</v>
      </c>
      <c r="C77" t="s">
        <v>1469</v>
      </c>
      <c r="D77" t="s">
        <v>1469</v>
      </c>
      <c r="E77" t="s">
        <v>1469</v>
      </c>
      <c r="F77" t="s">
        <v>1469</v>
      </c>
      <c r="G77" t="s">
        <v>1469</v>
      </c>
      <c r="H77">
        <v>0</v>
      </c>
      <c r="I77">
        <v>0</v>
      </c>
      <c r="J77">
        <v>0</v>
      </c>
      <c r="K77">
        <v>0.2</v>
      </c>
      <c r="L77">
        <v>1.8</v>
      </c>
      <c r="M77">
        <v>0.2</v>
      </c>
    </row>
    <row r="78" spans="1:13" x14ac:dyDescent="0.25">
      <c r="A78" t="s">
        <v>1475</v>
      </c>
      <c r="B78" t="s">
        <v>1469</v>
      </c>
      <c r="C78" t="s">
        <v>1469</v>
      </c>
      <c r="D78" t="s">
        <v>1469</v>
      </c>
      <c r="E78" t="s">
        <v>1469</v>
      </c>
      <c r="F78">
        <v>12</v>
      </c>
      <c r="G78">
        <v>13.6</v>
      </c>
      <c r="H78">
        <v>8</v>
      </c>
      <c r="I78">
        <v>8.3000000000000007</v>
      </c>
      <c r="J78">
        <v>15</v>
      </c>
      <c r="K78">
        <v>7.5</v>
      </c>
      <c r="L78">
        <v>7.3</v>
      </c>
      <c r="M78">
        <v>27</v>
      </c>
    </row>
    <row r="79" spans="1:13" x14ac:dyDescent="0.25">
      <c r="A79" t="s">
        <v>1496</v>
      </c>
      <c r="B79" t="s">
        <v>1469</v>
      </c>
      <c r="C79">
        <v>0.2</v>
      </c>
      <c r="D79" t="s">
        <v>1469</v>
      </c>
      <c r="E79">
        <v>-0.1</v>
      </c>
      <c r="F79">
        <v>0</v>
      </c>
      <c r="G79" t="s">
        <v>1469</v>
      </c>
      <c r="H79" t="s">
        <v>1469</v>
      </c>
      <c r="I79" t="s">
        <v>1469</v>
      </c>
      <c r="J79" t="s">
        <v>1469</v>
      </c>
      <c r="K79" t="s">
        <v>1469</v>
      </c>
      <c r="L79" t="s">
        <v>1469</v>
      </c>
      <c r="M79">
        <v>0.1</v>
      </c>
    </row>
    <row r="80" spans="1:13" x14ac:dyDescent="0.25">
      <c r="A80" t="s">
        <v>1470</v>
      </c>
      <c r="B80" t="s">
        <v>1469</v>
      </c>
      <c r="C80" t="s">
        <v>1469</v>
      </c>
      <c r="D80" t="s">
        <v>1469</v>
      </c>
      <c r="E80" t="s">
        <v>1469</v>
      </c>
      <c r="F80">
        <v>10.8</v>
      </c>
      <c r="G80">
        <v>12</v>
      </c>
      <c r="H80">
        <v>5</v>
      </c>
      <c r="I80">
        <v>5.9</v>
      </c>
      <c r="J80">
        <v>11.2</v>
      </c>
      <c r="K80">
        <v>3.6</v>
      </c>
      <c r="L80">
        <v>2.2999999999999998</v>
      </c>
      <c r="M80">
        <v>0.7</v>
      </c>
    </row>
    <row r="81" spans="1:13" x14ac:dyDescent="0.25">
      <c r="A81" t="s">
        <v>1471</v>
      </c>
      <c r="B81" t="s">
        <v>1469</v>
      </c>
      <c r="C81" t="s">
        <v>1469</v>
      </c>
      <c r="D81" t="s">
        <v>1469</v>
      </c>
      <c r="E81" t="s">
        <v>1469</v>
      </c>
      <c r="F81">
        <v>0.1</v>
      </c>
      <c r="G81">
        <v>0.3</v>
      </c>
      <c r="H81">
        <v>0.3</v>
      </c>
      <c r="I81">
        <v>2.4</v>
      </c>
      <c r="J81">
        <v>3.8</v>
      </c>
      <c r="K81">
        <v>3.9</v>
      </c>
      <c r="L81">
        <v>5</v>
      </c>
      <c r="M81">
        <v>26.3</v>
      </c>
    </row>
    <row r="82" spans="1:13" x14ac:dyDescent="0.25">
      <c r="A82" t="s">
        <v>1522</v>
      </c>
      <c r="B82" t="s">
        <v>1469</v>
      </c>
      <c r="C82" t="s">
        <v>1469</v>
      </c>
      <c r="D82" t="s">
        <v>1469</v>
      </c>
      <c r="E82" t="s">
        <v>1469</v>
      </c>
      <c r="F82" t="s">
        <v>1469</v>
      </c>
      <c r="G82" t="s">
        <v>1469</v>
      </c>
      <c r="H82" t="s">
        <v>1469</v>
      </c>
      <c r="I82">
        <v>-6</v>
      </c>
      <c r="J82">
        <v>-6.9</v>
      </c>
      <c r="K82">
        <v>-11.2</v>
      </c>
      <c r="L82">
        <v>-10.8</v>
      </c>
      <c r="M82">
        <v>-9.8000000000000007</v>
      </c>
    </row>
    <row r="83" spans="1:13" x14ac:dyDescent="0.25">
      <c r="A83" t="s">
        <v>1523</v>
      </c>
      <c r="B83">
        <v>0.01</v>
      </c>
      <c r="C83" t="s">
        <v>1469</v>
      </c>
      <c r="D83" t="s">
        <v>1469</v>
      </c>
      <c r="E83" t="s">
        <v>1469</v>
      </c>
      <c r="F83" t="s">
        <v>1469</v>
      </c>
      <c r="G83">
        <v>7.0000000000000007E-2</v>
      </c>
      <c r="H83" t="s">
        <v>1469</v>
      </c>
      <c r="I83" t="s">
        <v>1469</v>
      </c>
      <c r="J83" t="s">
        <v>1469</v>
      </c>
      <c r="K83" t="s">
        <v>1469</v>
      </c>
      <c r="L83" t="s">
        <v>1469</v>
      </c>
      <c r="M83" t="s">
        <v>1469</v>
      </c>
    </row>
    <row r="84" spans="1:13" x14ac:dyDescent="0.25">
      <c r="A84" t="s">
        <v>1524</v>
      </c>
      <c r="B84" t="s">
        <v>1469</v>
      </c>
      <c r="C84" t="s">
        <v>1469</v>
      </c>
      <c r="D84" t="s">
        <v>1469</v>
      </c>
      <c r="E84" t="s">
        <v>1469</v>
      </c>
      <c r="F84" t="s">
        <v>1469</v>
      </c>
      <c r="G84">
        <v>0.1</v>
      </c>
      <c r="H84">
        <v>0.1</v>
      </c>
      <c r="I84">
        <v>0.1</v>
      </c>
      <c r="J84">
        <v>0.1</v>
      </c>
      <c r="K84">
        <v>0.1</v>
      </c>
      <c r="L84" t="s">
        <v>1469</v>
      </c>
      <c r="M84" t="s">
        <v>1469</v>
      </c>
    </row>
    <row r="85" spans="1:13" x14ac:dyDescent="0.25">
      <c r="A85" t="s">
        <v>1525</v>
      </c>
      <c r="B85" t="s">
        <v>1469</v>
      </c>
      <c r="C85" t="s">
        <v>1469</v>
      </c>
      <c r="D85" t="s">
        <v>1469</v>
      </c>
      <c r="E85" t="s">
        <v>1469</v>
      </c>
      <c r="F85" t="s">
        <v>1469</v>
      </c>
      <c r="G85" t="s">
        <v>1469</v>
      </c>
      <c r="H85" t="s">
        <v>1469</v>
      </c>
      <c r="I85">
        <v>0.1</v>
      </c>
      <c r="J85">
        <v>0.1</v>
      </c>
      <c r="K85">
        <v>0.1</v>
      </c>
      <c r="L85" t="s">
        <v>1469</v>
      </c>
      <c r="M85" t="s">
        <v>1469</v>
      </c>
    </row>
    <row r="86" spans="1:13" x14ac:dyDescent="0.25">
      <c r="A86" t="s">
        <v>1526</v>
      </c>
      <c r="B86" t="s">
        <v>1469</v>
      </c>
      <c r="C86" t="s">
        <v>1469</v>
      </c>
      <c r="D86" t="s">
        <v>1469</v>
      </c>
      <c r="E86" t="s">
        <v>1469</v>
      </c>
      <c r="F86" t="s">
        <v>1469</v>
      </c>
      <c r="G86" t="s">
        <v>1469</v>
      </c>
      <c r="H86" t="s">
        <v>1469</v>
      </c>
      <c r="I86">
        <v>0</v>
      </c>
      <c r="J86">
        <v>0</v>
      </c>
      <c r="K86">
        <v>0</v>
      </c>
      <c r="L86" t="s">
        <v>1469</v>
      </c>
      <c r="M86" t="s">
        <v>1469</v>
      </c>
    </row>
    <row r="87" spans="1:13" x14ac:dyDescent="0.25">
      <c r="A87" t="s">
        <v>1527</v>
      </c>
      <c r="B87" t="s">
        <v>1469</v>
      </c>
      <c r="C87">
        <v>1.6</v>
      </c>
      <c r="D87">
        <v>5.0999999999999996</v>
      </c>
      <c r="E87">
        <v>5</v>
      </c>
      <c r="F87" t="s">
        <v>1469</v>
      </c>
      <c r="G87" t="s">
        <v>1469</v>
      </c>
      <c r="H87" t="s">
        <v>1469</v>
      </c>
      <c r="I87" t="s">
        <v>1469</v>
      </c>
      <c r="J87" t="s">
        <v>1469</v>
      </c>
      <c r="K87" t="s">
        <v>1469</v>
      </c>
      <c r="L87" t="s">
        <v>1469</v>
      </c>
      <c r="M87" t="s">
        <v>1469</v>
      </c>
    </row>
    <row r="88" spans="1:13" x14ac:dyDescent="0.25">
      <c r="A88" t="s">
        <v>1528</v>
      </c>
      <c r="B88" t="s">
        <v>1469</v>
      </c>
      <c r="C88" t="s">
        <v>1469</v>
      </c>
      <c r="D88" t="s">
        <v>1469</v>
      </c>
      <c r="E88">
        <v>0.9</v>
      </c>
      <c r="F88" t="s">
        <v>1469</v>
      </c>
      <c r="G88" t="s">
        <v>1469</v>
      </c>
      <c r="H88" t="s">
        <v>1469</v>
      </c>
      <c r="I88" t="s">
        <v>1469</v>
      </c>
      <c r="J88" t="s">
        <v>1469</v>
      </c>
      <c r="K88" t="s">
        <v>1469</v>
      </c>
      <c r="L88" t="s">
        <v>1469</v>
      </c>
      <c r="M88" t="s">
        <v>1469</v>
      </c>
    </row>
    <row r="89" spans="1:13" x14ac:dyDescent="0.25">
      <c r="A89" t="s">
        <v>1529</v>
      </c>
      <c r="B89" t="s">
        <v>1469</v>
      </c>
      <c r="C89" t="s">
        <v>1469</v>
      </c>
      <c r="D89" t="s">
        <v>1469</v>
      </c>
      <c r="E89" t="s">
        <v>1469</v>
      </c>
      <c r="F89">
        <v>0.1</v>
      </c>
      <c r="G89">
        <v>0.1</v>
      </c>
      <c r="H89">
        <v>0.1</v>
      </c>
      <c r="I89" t="s">
        <v>1469</v>
      </c>
      <c r="J89" t="s">
        <v>1469</v>
      </c>
      <c r="K89" t="s">
        <v>1469</v>
      </c>
      <c r="L89" t="s">
        <v>1469</v>
      </c>
      <c r="M89" t="s">
        <v>1469</v>
      </c>
    </row>
    <row r="90" spans="1:13" x14ac:dyDescent="0.25">
      <c r="A90" t="s">
        <v>1530</v>
      </c>
      <c r="B90" t="s">
        <v>1469</v>
      </c>
      <c r="C90" t="s">
        <v>1469</v>
      </c>
      <c r="D90" t="s">
        <v>1469</v>
      </c>
      <c r="E90" t="s">
        <v>1469</v>
      </c>
      <c r="F90">
        <v>35</v>
      </c>
      <c r="G90">
        <v>48</v>
      </c>
      <c r="H90">
        <v>35</v>
      </c>
      <c r="I90">
        <v>-31</v>
      </c>
      <c r="J90">
        <v>32</v>
      </c>
      <c r="K90">
        <v>-72</v>
      </c>
      <c r="L90">
        <v>-64</v>
      </c>
      <c r="M90" s="2">
        <v>1579</v>
      </c>
    </row>
    <row r="91" spans="1:13" x14ac:dyDescent="0.25">
      <c r="A91" t="s">
        <v>1531</v>
      </c>
      <c r="B91" t="s">
        <v>1469</v>
      </c>
      <c r="C91" t="s">
        <v>1469</v>
      </c>
      <c r="D91" t="s">
        <v>1469</v>
      </c>
      <c r="E91" t="s">
        <v>1469</v>
      </c>
      <c r="F91" t="s">
        <v>1469</v>
      </c>
      <c r="G91">
        <v>13</v>
      </c>
      <c r="H91">
        <v>-41</v>
      </c>
      <c r="I91">
        <v>3</v>
      </c>
      <c r="J91">
        <v>82</v>
      </c>
      <c r="K91">
        <v>-50</v>
      </c>
      <c r="L91">
        <v>-3</v>
      </c>
      <c r="M91">
        <v>271</v>
      </c>
    </row>
    <row r="92" spans="1:13" x14ac:dyDescent="0.25">
      <c r="A92" t="s">
        <v>1532</v>
      </c>
      <c r="B92" t="s">
        <v>1469</v>
      </c>
      <c r="C92" t="s">
        <v>1469</v>
      </c>
      <c r="D92" t="s">
        <v>1469</v>
      </c>
      <c r="E92">
        <v>0.8</v>
      </c>
      <c r="F92">
        <v>0</v>
      </c>
      <c r="G92">
        <v>0</v>
      </c>
      <c r="H92">
        <v>0.4</v>
      </c>
      <c r="I92">
        <v>0.3</v>
      </c>
      <c r="J92">
        <v>0.8</v>
      </c>
      <c r="K92">
        <v>0.7</v>
      </c>
      <c r="L92">
        <v>0.1</v>
      </c>
      <c r="M92">
        <v>4.0999999999999996</v>
      </c>
    </row>
    <row r="93" spans="1:13" x14ac:dyDescent="0.25">
      <c r="A93" t="s">
        <v>231</v>
      </c>
      <c r="B93" t="s">
        <v>1533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9D0D-8E72-4A10-A681-9C994B42E778}">
  <dimension ref="A1:U271"/>
  <sheetViews>
    <sheetView workbookViewId="0">
      <selection sqref="A1:U271"/>
    </sheetView>
  </sheetViews>
  <sheetFormatPr defaultRowHeight="15" x14ac:dyDescent="0.25"/>
  <sheetData>
    <row r="1" spans="1:21" x14ac:dyDescent="0.25">
      <c r="A1" t="s">
        <v>1577</v>
      </c>
    </row>
    <row r="2" spans="1:21" x14ac:dyDescent="0.25">
      <c r="A2" t="s">
        <v>1578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41671</v>
      </c>
      <c r="C4" s="1">
        <v>42035</v>
      </c>
      <c r="D4" s="1">
        <v>42399</v>
      </c>
      <c r="E4" s="1">
        <v>42763</v>
      </c>
      <c r="F4" s="1">
        <v>43134</v>
      </c>
      <c r="G4" s="1">
        <v>43498</v>
      </c>
      <c r="H4" s="1">
        <v>43862</v>
      </c>
      <c r="I4" s="1">
        <v>44226</v>
      </c>
      <c r="J4" s="1">
        <v>44590</v>
      </c>
      <c r="K4" s="1">
        <v>44954</v>
      </c>
      <c r="L4" s="1">
        <v>45325</v>
      </c>
      <c r="M4" s="1">
        <v>45689</v>
      </c>
      <c r="N4" s="1">
        <v>46053</v>
      </c>
      <c r="O4" s="1">
        <v>46417</v>
      </c>
      <c r="P4" s="1">
        <v>46781</v>
      </c>
      <c r="Q4" s="1">
        <v>47152</v>
      </c>
      <c r="R4" s="1">
        <v>47516</v>
      </c>
      <c r="S4" s="1">
        <v>47880</v>
      </c>
      <c r="T4" s="1">
        <v>48244</v>
      </c>
      <c r="U4" s="1">
        <v>48608</v>
      </c>
    </row>
    <row r="5" spans="1:21" x14ac:dyDescent="0.25">
      <c r="A5" t="s">
        <v>14</v>
      </c>
    </row>
    <row r="6" spans="1:21" x14ac:dyDescent="0.25">
      <c r="A6" t="s">
        <v>15</v>
      </c>
      <c r="B6">
        <v>1.02</v>
      </c>
      <c r="C6">
        <v>1.1499999999999999</v>
      </c>
      <c r="D6">
        <v>0.37</v>
      </c>
      <c r="E6">
        <v>0.63</v>
      </c>
      <c r="F6">
        <v>1.19</v>
      </c>
      <c r="G6">
        <v>1.19</v>
      </c>
      <c r="H6">
        <v>2.7</v>
      </c>
      <c r="I6">
        <v>0.92</v>
      </c>
      <c r="J6">
        <v>1.57</v>
      </c>
      <c r="K6">
        <v>2.12</v>
      </c>
      <c r="L6">
        <v>1.51</v>
      </c>
      <c r="M6">
        <v>1.57</v>
      </c>
      <c r="N6">
        <v>2.84</v>
      </c>
      <c r="O6">
        <v>4.21</v>
      </c>
      <c r="P6">
        <v>6.81</v>
      </c>
      <c r="Q6">
        <v>10.67</v>
      </c>
      <c r="R6">
        <v>14.47</v>
      </c>
      <c r="S6">
        <v>18.2</v>
      </c>
      <c r="T6">
        <v>16.14</v>
      </c>
    </row>
    <row r="7" spans="1:21" x14ac:dyDescent="0.25">
      <c r="A7" t="s">
        <v>16</v>
      </c>
      <c r="B7" s="2">
        <v>3404.4</v>
      </c>
      <c r="C7" s="2">
        <v>3706.96</v>
      </c>
      <c r="D7" s="2">
        <v>2725.83</v>
      </c>
      <c r="E7" s="2">
        <v>2317.67</v>
      </c>
      <c r="F7" s="2">
        <v>2409.17</v>
      </c>
      <c r="G7" s="2">
        <v>2865.79</v>
      </c>
      <c r="H7" s="2">
        <v>2699.16</v>
      </c>
      <c r="I7" s="2">
        <v>2968.9</v>
      </c>
      <c r="J7" s="2">
        <v>4462.38</v>
      </c>
      <c r="K7" s="2">
        <v>5919.6</v>
      </c>
      <c r="L7" s="2">
        <v>5507.7</v>
      </c>
      <c r="M7" s="2">
        <v>5767.3</v>
      </c>
      <c r="N7" s="2">
        <v>8194.6</v>
      </c>
      <c r="O7" s="2">
        <v>12037.05</v>
      </c>
      <c r="P7" s="2">
        <v>18257.34</v>
      </c>
      <c r="Q7" s="2">
        <v>26607.56</v>
      </c>
      <c r="R7" s="2">
        <v>34336.400000000001</v>
      </c>
      <c r="S7" s="2">
        <v>42669.25</v>
      </c>
      <c r="T7" s="2">
        <v>39484</v>
      </c>
      <c r="U7" s="2"/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530</v>
      </c>
      <c r="H10">
        <v>823.84</v>
      </c>
      <c r="I10" s="2">
        <v>1040.73</v>
      </c>
      <c r="J10" s="2">
        <v>1784.64</v>
      </c>
      <c r="K10" s="2">
        <v>2408.8000000000002</v>
      </c>
      <c r="L10" s="2">
        <v>2216.6999999999998</v>
      </c>
      <c r="M10" s="2">
        <v>4164.2</v>
      </c>
      <c r="N10" s="2">
        <v>6100.3</v>
      </c>
      <c r="O10" s="2">
        <v>9793.84</v>
      </c>
      <c r="P10" s="2">
        <v>15839.53</v>
      </c>
      <c r="Q10" s="2">
        <v>23958.49</v>
      </c>
      <c r="R10" s="2">
        <v>30428.41</v>
      </c>
      <c r="S10" s="2">
        <v>37454.21</v>
      </c>
      <c r="T10" s="2">
        <v>36759.57</v>
      </c>
      <c r="U10" s="2"/>
    </row>
    <row r="11" spans="1:21" x14ac:dyDescent="0.25">
      <c r="A11" t="s">
        <v>1579</v>
      </c>
      <c r="B11">
        <v>212.79</v>
      </c>
      <c r="C11">
        <v>215.83</v>
      </c>
      <c r="D11">
        <v>428.5</v>
      </c>
      <c r="E11">
        <v>234.99</v>
      </c>
      <c r="F11">
        <v>193.31</v>
      </c>
      <c r="G11">
        <v>175.66</v>
      </c>
      <c r="H11">
        <v>183.76</v>
      </c>
      <c r="I11">
        <v>133.72999999999999</v>
      </c>
      <c r="M11" s="2">
        <v>1603.1</v>
      </c>
      <c r="N11" s="2">
        <v>2094.3000000000002</v>
      </c>
      <c r="O11" s="2">
        <v>2237.9299999999998</v>
      </c>
      <c r="P11" s="2">
        <v>2312.31</v>
      </c>
      <c r="Q11" s="2">
        <v>2448.42</v>
      </c>
      <c r="R11" s="2">
        <v>2575.5300000000002</v>
      </c>
      <c r="S11" s="2">
        <v>2746.65</v>
      </c>
      <c r="T11" s="2">
        <v>2724.91</v>
      </c>
      <c r="U11" s="2"/>
    </row>
    <row r="12" spans="1:21" x14ac:dyDescent="0.25">
      <c r="A12" t="s">
        <v>1580</v>
      </c>
      <c r="H12">
        <v>369.9</v>
      </c>
      <c r="I12">
        <v>599.53</v>
      </c>
      <c r="J12">
        <v>820.38</v>
      </c>
      <c r="K12" s="2">
        <v>1084</v>
      </c>
      <c r="L12" s="2">
        <v>1051.9000000000001</v>
      </c>
      <c r="M12">
        <v>338.2</v>
      </c>
      <c r="O12">
        <v>743.62</v>
      </c>
      <c r="P12" s="2">
        <v>818.58</v>
      </c>
      <c r="Q12" s="2">
        <v>828.75</v>
      </c>
      <c r="R12">
        <v>799.61</v>
      </c>
      <c r="S12">
        <v>757.61</v>
      </c>
      <c r="T12">
        <v>795.49</v>
      </c>
    </row>
    <row r="13" spans="1:21" x14ac:dyDescent="0.25">
      <c r="A13" t="s">
        <v>1581</v>
      </c>
      <c r="H13">
        <v>569.57000000000005</v>
      </c>
      <c r="I13">
        <v>636.03</v>
      </c>
      <c r="J13">
        <v>907.74</v>
      </c>
      <c r="K13" s="2">
        <v>1369.2</v>
      </c>
      <c r="L13" s="2">
        <v>1228.4000000000001</v>
      </c>
      <c r="M13">
        <v>626.4</v>
      </c>
      <c r="O13">
        <v>959.34</v>
      </c>
      <c r="P13" s="2">
        <v>1087.94</v>
      </c>
      <c r="Q13" s="2">
        <v>1144.97</v>
      </c>
      <c r="R13" s="2">
        <v>1188.49</v>
      </c>
      <c r="S13">
        <v>905.76</v>
      </c>
      <c r="T13">
        <v>951.04</v>
      </c>
      <c r="U13" s="2"/>
    </row>
    <row r="14" spans="1:21" x14ac:dyDescent="0.25">
      <c r="A14" t="s">
        <v>1582</v>
      </c>
      <c r="H14">
        <v>845.83</v>
      </c>
      <c r="I14">
        <v>574.63</v>
      </c>
      <c r="J14">
        <v>699.99</v>
      </c>
      <c r="K14">
        <v>701.1</v>
      </c>
      <c r="L14">
        <v>622.4</v>
      </c>
      <c r="M14">
        <v>316.10000000000002</v>
      </c>
      <c r="O14">
        <v>291.52999999999997</v>
      </c>
      <c r="P14">
        <v>275.56</v>
      </c>
      <c r="Q14">
        <v>291.63</v>
      </c>
      <c r="R14">
        <v>204.31</v>
      </c>
      <c r="S14">
        <v>266.77999999999997</v>
      </c>
      <c r="T14">
        <v>266.77999999999997</v>
      </c>
    </row>
    <row r="15" spans="1:21" x14ac:dyDescent="0.25">
      <c r="A15" t="s">
        <v>1583</v>
      </c>
      <c r="H15">
        <v>90.02</v>
      </c>
      <c r="I15">
        <v>117.99</v>
      </c>
      <c r="J15">
        <v>249.64</v>
      </c>
      <c r="K15">
        <v>356.5</v>
      </c>
      <c r="L15">
        <v>388.3</v>
      </c>
      <c r="M15">
        <v>322.39999999999998</v>
      </c>
      <c r="O15">
        <v>129.11000000000001</v>
      </c>
      <c r="P15">
        <v>145.96</v>
      </c>
      <c r="Q15">
        <v>167.15</v>
      </c>
      <c r="R15">
        <v>95.61</v>
      </c>
    </row>
    <row r="16" spans="1:21" x14ac:dyDescent="0.25">
      <c r="A16" t="s">
        <v>17</v>
      </c>
    </row>
    <row r="17" spans="1:21" x14ac:dyDescent="0.25">
      <c r="A17" t="s">
        <v>30</v>
      </c>
      <c r="B17">
        <v>51.8</v>
      </c>
      <c r="C17">
        <v>50.5</v>
      </c>
      <c r="D17">
        <v>49</v>
      </c>
      <c r="E17">
        <v>55.94</v>
      </c>
      <c r="F17">
        <v>61.4</v>
      </c>
      <c r="G17">
        <v>63.9</v>
      </c>
      <c r="H17">
        <v>63.3</v>
      </c>
      <c r="I17">
        <v>63.3</v>
      </c>
      <c r="J17">
        <v>64.900000000000006</v>
      </c>
      <c r="K17">
        <v>64.5</v>
      </c>
      <c r="L17">
        <v>61.2</v>
      </c>
      <c r="M17">
        <v>61</v>
      </c>
      <c r="N17">
        <v>59.5</v>
      </c>
      <c r="O17">
        <v>58.37</v>
      </c>
      <c r="P17">
        <v>57.67</v>
      </c>
      <c r="Q17">
        <v>56.89</v>
      </c>
      <c r="R17">
        <v>56.79</v>
      </c>
      <c r="S17">
        <v>56.5</v>
      </c>
      <c r="T17">
        <v>57</v>
      </c>
    </row>
    <row r="18" spans="1:21" x14ac:dyDescent="0.25">
      <c r="A18" t="s">
        <v>1584</v>
      </c>
      <c r="B18" s="2"/>
      <c r="D18" s="2">
        <v>1102.0999999999999</v>
      </c>
      <c r="E18">
        <v>953.24</v>
      </c>
      <c r="F18">
        <v>855.87</v>
      </c>
      <c r="G18" s="2">
        <v>1041.05</v>
      </c>
      <c r="H18" s="2">
        <v>1164.05</v>
      </c>
      <c r="I18" s="2">
        <v>1159.8399999999999</v>
      </c>
      <c r="J18" s="2">
        <v>1433.06</v>
      </c>
      <c r="K18" s="2">
        <v>1718</v>
      </c>
      <c r="L18" s="2">
        <v>1772.2</v>
      </c>
      <c r="M18" s="2">
        <v>1855.9</v>
      </c>
      <c r="N18" s="2">
        <v>1980.8</v>
      </c>
      <c r="O18" s="2">
        <v>2554.39</v>
      </c>
      <c r="P18" s="2">
        <v>3234.58</v>
      </c>
      <c r="Q18" s="2">
        <v>4079.35</v>
      </c>
      <c r="R18" s="2">
        <v>4615.2</v>
      </c>
      <c r="S18" s="2">
        <v>5599.79</v>
      </c>
      <c r="T18" s="2">
        <v>6712.36</v>
      </c>
      <c r="U18" s="2"/>
    </row>
    <row r="19" spans="1:21" x14ac:dyDescent="0.25">
      <c r="A19" t="s">
        <v>29</v>
      </c>
      <c r="B19">
        <v>502.67</v>
      </c>
      <c r="C19">
        <v>559.84</v>
      </c>
      <c r="D19" s="2">
        <v>177.14</v>
      </c>
      <c r="E19">
        <v>319.86</v>
      </c>
      <c r="F19">
        <v>623.71</v>
      </c>
      <c r="G19">
        <v>789.9</v>
      </c>
      <c r="H19">
        <v>543.94000000000005</v>
      </c>
      <c r="I19">
        <v>718.31</v>
      </c>
      <c r="J19" s="2">
        <v>1465.25</v>
      </c>
      <c r="K19" s="2">
        <v>2099.4</v>
      </c>
      <c r="L19" s="2">
        <v>1598.7</v>
      </c>
      <c r="M19" s="2">
        <v>1664.7</v>
      </c>
      <c r="N19" s="2">
        <v>2891</v>
      </c>
      <c r="O19" s="2">
        <v>4470.09</v>
      </c>
      <c r="P19" s="2">
        <v>7092.55</v>
      </c>
      <c r="Q19" s="2">
        <v>10976.5</v>
      </c>
      <c r="R19" s="2">
        <v>14122.5</v>
      </c>
      <c r="S19" s="2">
        <v>17044</v>
      </c>
      <c r="T19" s="2">
        <v>15794</v>
      </c>
      <c r="U19" s="2"/>
    </row>
    <row r="20" spans="1:21" x14ac:dyDescent="0.25">
      <c r="A20" t="s">
        <v>92</v>
      </c>
      <c r="E20">
        <v>14.7</v>
      </c>
      <c r="F20">
        <v>25.9</v>
      </c>
      <c r="G20">
        <v>27.6</v>
      </c>
      <c r="H20">
        <v>20.2</v>
      </c>
      <c r="I20">
        <v>24.2</v>
      </c>
      <c r="J20">
        <v>32.799999999999997</v>
      </c>
      <c r="K20">
        <v>35.5</v>
      </c>
      <c r="L20">
        <v>29</v>
      </c>
      <c r="M20">
        <v>28.9</v>
      </c>
      <c r="N20">
        <v>35.299999999999997</v>
      </c>
      <c r="O20">
        <v>37.15</v>
      </c>
      <c r="P20">
        <v>40.06</v>
      </c>
      <c r="Q20">
        <v>41.86</v>
      </c>
      <c r="R20">
        <v>42.74</v>
      </c>
      <c r="S20">
        <v>42.24</v>
      </c>
      <c r="T20">
        <v>40</v>
      </c>
    </row>
    <row r="21" spans="1:21" x14ac:dyDescent="0.25">
      <c r="A21" t="s">
        <v>241</v>
      </c>
      <c r="B21">
        <v>15.58</v>
      </c>
      <c r="C21">
        <v>16.489999999999998</v>
      </c>
      <c r="D21">
        <v>8.68</v>
      </c>
      <c r="E21">
        <v>15.2</v>
      </c>
      <c r="F21">
        <v>25.55</v>
      </c>
      <c r="G21">
        <v>25</v>
      </c>
      <c r="H21">
        <v>16.45</v>
      </c>
      <c r="I21">
        <v>21.13</v>
      </c>
      <c r="J21">
        <v>28.66</v>
      </c>
      <c r="K21">
        <v>30.78</v>
      </c>
      <c r="L21">
        <v>23.79</v>
      </c>
      <c r="M21">
        <v>23.88</v>
      </c>
      <c r="N21">
        <v>30.09</v>
      </c>
      <c r="O21">
        <v>31.77</v>
      </c>
      <c r="P21">
        <v>34.19</v>
      </c>
      <c r="Q21">
        <v>36.33</v>
      </c>
      <c r="R21">
        <v>38.950000000000003</v>
      </c>
      <c r="S21">
        <v>39.9</v>
      </c>
    </row>
    <row r="22" spans="1:21" x14ac:dyDescent="0.25">
      <c r="A22" t="s">
        <v>17</v>
      </c>
    </row>
    <row r="23" spans="1:21" x14ac:dyDescent="0.25">
      <c r="A23" t="s">
        <v>721</v>
      </c>
      <c r="B23" s="2">
        <v>1156.8900000000001</v>
      </c>
      <c r="C23" s="2">
        <v>1164.06</v>
      </c>
      <c r="D23">
        <v>954.65</v>
      </c>
      <c r="E23" s="2">
        <v>805.03</v>
      </c>
      <c r="F23" s="2">
        <v>714.44</v>
      </c>
      <c r="G23" s="2">
        <v>914.01</v>
      </c>
      <c r="H23" s="2">
        <v>1080.3900000000001</v>
      </c>
      <c r="I23" s="2">
        <v>1072.74</v>
      </c>
      <c r="J23" s="2">
        <v>1424.31</v>
      </c>
      <c r="K23" s="2">
        <v>1784.3</v>
      </c>
      <c r="L23" s="2">
        <v>1896.2</v>
      </c>
      <c r="M23" s="2">
        <v>1950.4</v>
      </c>
      <c r="N23" s="2">
        <v>2075.1999999999998</v>
      </c>
      <c r="O23" s="2">
        <v>2933.09</v>
      </c>
      <c r="P23" s="2">
        <v>3550.18</v>
      </c>
      <c r="Q23" s="2">
        <v>4277.3</v>
      </c>
      <c r="R23" s="2">
        <v>4858.87</v>
      </c>
      <c r="S23" s="2">
        <v>5928.05</v>
      </c>
      <c r="T23" s="2">
        <v>7376.24</v>
      </c>
      <c r="U23" s="2"/>
    </row>
    <row r="24" spans="1:21" x14ac:dyDescent="0.25">
      <c r="A24" t="s">
        <v>1585</v>
      </c>
      <c r="B24">
        <v>-66.59</v>
      </c>
      <c r="C24">
        <v>-63.03</v>
      </c>
      <c r="D24">
        <v>-47.5</v>
      </c>
      <c r="E24">
        <v>-44.51</v>
      </c>
      <c r="F24">
        <v>-38.549999999999997</v>
      </c>
      <c r="G24">
        <v>-75.92</v>
      </c>
      <c r="H24">
        <v>-81.92</v>
      </c>
      <c r="I24">
        <v>-106.8</v>
      </c>
      <c r="J24">
        <v>-169.32</v>
      </c>
      <c r="K24">
        <v>-206.2</v>
      </c>
      <c r="L24">
        <v>-336.3</v>
      </c>
      <c r="M24">
        <v>-284.60000000000002</v>
      </c>
      <c r="N24">
        <v>-354.1</v>
      </c>
      <c r="O24">
        <v>-547.73</v>
      </c>
      <c r="P24">
        <v>-686.27</v>
      </c>
      <c r="Q24">
        <v>-913.58</v>
      </c>
      <c r="R24" s="2">
        <v>-1036.2</v>
      </c>
      <c r="S24" s="2">
        <v>-1145</v>
      </c>
      <c r="T24">
        <v>-537.5</v>
      </c>
      <c r="U24">
        <v>-688</v>
      </c>
    </row>
    <row r="25" spans="1:21" x14ac:dyDescent="0.25">
      <c r="A25" t="s">
        <v>36</v>
      </c>
      <c r="B25">
        <v>381.45</v>
      </c>
      <c r="C25">
        <v>665.91</v>
      </c>
      <c r="D25" s="2">
        <v>157.86000000000001</v>
      </c>
      <c r="E25">
        <v>-402.95</v>
      </c>
      <c r="F25">
        <v>532.55999999999995</v>
      </c>
      <c r="G25">
        <v>520.82000000000005</v>
      </c>
      <c r="H25">
        <v>278.38</v>
      </c>
      <c r="I25">
        <v>710.49</v>
      </c>
      <c r="J25">
        <v>650.04</v>
      </c>
      <c r="K25" s="2">
        <v>1082.5999999999999</v>
      </c>
      <c r="L25" s="2">
        <v>1034.2</v>
      </c>
      <c r="M25" s="2">
        <v>1396.6</v>
      </c>
      <c r="N25" s="2">
        <v>1396.4</v>
      </c>
      <c r="O25" s="2">
        <v>2713</v>
      </c>
      <c r="P25" s="2">
        <v>5283.93</v>
      </c>
      <c r="Q25" s="2">
        <v>7646.99</v>
      </c>
      <c r="R25" s="2">
        <v>9834.2800000000007</v>
      </c>
      <c r="S25" s="2">
        <v>11439.48</v>
      </c>
      <c r="T25" s="2">
        <v>11382.05</v>
      </c>
      <c r="U25" s="2"/>
    </row>
    <row r="26" spans="1:21" x14ac:dyDescent="0.25">
      <c r="A26" t="s">
        <v>17</v>
      </c>
    </row>
    <row r="27" spans="1:21" x14ac:dyDescent="0.25">
      <c r="A27" t="s">
        <v>37</v>
      </c>
    </row>
    <row r="28" spans="1:21" x14ac:dyDescent="0.25">
      <c r="A28" t="s">
        <v>17</v>
      </c>
    </row>
    <row r="29" spans="1:21" x14ac:dyDescent="0.25">
      <c r="A29" t="s">
        <v>38</v>
      </c>
    </row>
    <row r="30" spans="1:21" x14ac:dyDescent="0.25">
      <c r="A30" t="s">
        <v>43</v>
      </c>
      <c r="B30" s="2">
        <v>7355</v>
      </c>
      <c r="C30" s="2">
        <v>7163</v>
      </c>
      <c r="D30" s="2">
        <v>5437</v>
      </c>
      <c r="E30" s="2">
        <v>4617</v>
      </c>
      <c r="F30" s="2">
        <v>3749</v>
      </c>
      <c r="G30" s="2">
        <v>5275</v>
      </c>
      <c r="H30" s="2">
        <v>5633</v>
      </c>
      <c r="I30" s="2">
        <v>5287</v>
      </c>
      <c r="J30" s="2">
        <v>6695</v>
      </c>
      <c r="K30" s="2">
        <v>7418</v>
      </c>
      <c r="L30" s="2">
        <v>6577</v>
      </c>
      <c r="M30" s="2">
        <v>7042</v>
      </c>
      <c r="N30" s="2">
        <v>7480</v>
      </c>
      <c r="O30" s="2"/>
      <c r="P30" s="2"/>
      <c r="Q30" s="2"/>
      <c r="R30" s="2"/>
      <c r="S30" s="2"/>
    </row>
    <row r="31" spans="1:21" x14ac:dyDescent="0.25">
      <c r="A31" t="s">
        <v>1586</v>
      </c>
      <c r="B31">
        <v>4.3600000000000003</v>
      </c>
      <c r="C31">
        <v>5.25</v>
      </c>
      <c r="D31">
        <v>2.41</v>
      </c>
      <c r="E31">
        <v>4.6100000000000003</v>
      </c>
      <c r="F31">
        <v>5.61</v>
      </c>
      <c r="G31">
        <v>2.19</v>
      </c>
      <c r="H31">
        <v>2.16</v>
      </c>
      <c r="I31">
        <v>1.5</v>
      </c>
      <c r="J31">
        <v>1.8</v>
      </c>
      <c r="K31">
        <v>1.37</v>
      </c>
      <c r="L31">
        <v>1.69</v>
      </c>
      <c r="M31">
        <v>1.54</v>
      </c>
      <c r="N31">
        <v>2.0099999999999998</v>
      </c>
      <c r="O31">
        <v>2.86</v>
      </c>
      <c r="P31">
        <v>3.43</v>
      </c>
      <c r="Q31">
        <v>4.5</v>
      </c>
      <c r="R31">
        <v>6.85</v>
      </c>
      <c r="S31">
        <v>5.93</v>
      </c>
      <c r="T31">
        <v>6.78</v>
      </c>
    </row>
    <row r="32" spans="1:21" x14ac:dyDescent="0.25">
      <c r="A32" t="s">
        <v>1587</v>
      </c>
      <c r="B32">
        <v>48.49</v>
      </c>
      <c r="C32">
        <v>41.34</v>
      </c>
      <c r="D32">
        <v>44.83</v>
      </c>
      <c r="E32">
        <v>53.06</v>
      </c>
      <c r="F32">
        <v>43.18</v>
      </c>
      <c r="G32">
        <v>62.63</v>
      </c>
      <c r="H32">
        <v>66.400000000000006</v>
      </c>
      <c r="I32">
        <v>65.8</v>
      </c>
      <c r="J32">
        <v>85.53</v>
      </c>
      <c r="K32">
        <v>73.31</v>
      </c>
      <c r="L32">
        <v>75.55</v>
      </c>
      <c r="M32">
        <v>64.91</v>
      </c>
      <c r="N32">
        <v>97.13</v>
      </c>
      <c r="O32">
        <v>82.73</v>
      </c>
      <c r="P32">
        <v>76.150000000000006</v>
      </c>
      <c r="Q32">
        <v>75.75</v>
      </c>
      <c r="R32">
        <v>67.400000000000006</v>
      </c>
      <c r="S32">
        <v>60</v>
      </c>
      <c r="T32">
        <v>60</v>
      </c>
    </row>
    <row r="33" spans="1:21" x14ac:dyDescent="0.25">
      <c r="A33" t="s">
        <v>569</v>
      </c>
      <c r="B33">
        <v>5.56</v>
      </c>
      <c r="C33">
        <v>5.62</v>
      </c>
      <c r="D33">
        <v>5.52</v>
      </c>
      <c r="E33">
        <v>5.47</v>
      </c>
      <c r="F33">
        <v>5.56</v>
      </c>
      <c r="G33">
        <v>6.31</v>
      </c>
      <c r="H33">
        <v>4.4800000000000004</v>
      </c>
      <c r="I33">
        <v>5.01</v>
      </c>
      <c r="J33">
        <v>4.8499999999999996</v>
      </c>
      <c r="K33">
        <v>3.28</v>
      </c>
      <c r="L33">
        <v>3.33</v>
      </c>
      <c r="M33">
        <v>3.57</v>
      </c>
      <c r="N33">
        <v>3.32</v>
      </c>
      <c r="O33">
        <v>3.24</v>
      </c>
      <c r="P33">
        <v>3.44</v>
      </c>
      <c r="Q33">
        <v>3.28</v>
      </c>
    </row>
    <row r="34" spans="1:21" x14ac:dyDescent="0.25">
      <c r="A34" t="s">
        <v>17</v>
      </c>
    </row>
    <row r="35" spans="1:21" x14ac:dyDescent="0.25">
      <c r="A35" t="s">
        <v>58</v>
      </c>
    </row>
    <row r="36" spans="1:21" x14ac:dyDescent="0.25">
      <c r="A36" t="s">
        <v>80</v>
      </c>
      <c r="B36" s="2">
        <v>3404.4</v>
      </c>
      <c r="C36" s="2">
        <v>3706.96</v>
      </c>
      <c r="D36" s="2">
        <v>2725.83</v>
      </c>
      <c r="E36" s="2">
        <v>2317.67</v>
      </c>
      <c r="F36" s="2">
        <v>2409.17</v>
      </c>
      <c r="G36" s="2">
        <v>2865.79</v>
      </c>
      <c r="H36" s="2">
        <v>2699.16</v>
      </c>
      <c r="I36" s="2">
        <v>2968.9</v>
      </c>
      <c r="J36" s="2">
        <v>4462.38</v>
      </c>
      <c r="K36" s="2">
        <v>5919.6</v>
      </c>
      <c r="L36" s="2">
        <v>5507.7</v>
      </c>
      <c r="M36" s="2">
        <v>5767.3</v>
      </c>
      <c r="N36" s="2">
        <v>8194.6</v>
      </c>
      <c r="O36" s="2">
        <v>12037.05</v>
      </c>
      <c r="P36" s="2">
        <v>18257.34</v>
      </c>
      <c r="Q36" s="2">
        <v>26607.56</v>
      </c>
      <c r="R36" s="2">
        <v>34336.400000000001</v>
      </c>
      <c r="S36" s="2">
        <v>42669.25</v>
      </c>
      <c r="T36" s="2">
        <v>39484</v>
      </c>
      <c r="U36" s="2"/>
    </row>
    <row r="37" spans="1:21" x14ac:dyDescent="0.25">
      <c r="A37" t="s">
        <v>530</v>
      </c>
      <c r="H37">
        <v>823.84</v>
      </c>
      <c r="I37" s="2">
        <v>1040.73</v>
      </c>
      <c r="J37" s="2">
        <v>1784.64</v>
      </c>
      <c r="K37" s="2">
        <v>2408.8000000000002</v>
      </c>
      <c r="L37" s="2">
        <v>2216.6999999999998</v>
      </c>
      <c r="M37" s="2">
        <v>4164.2</v>
      </c>
      <c r="N37" s="2">
        <v>6100.3</v>
      </c>
      <c r="O37" s="2">
        <v>9793.84</v>
      </c>
      <c r="P37" s="2">
        <v>15839.53</v>
      </c>
      <c r="Q37" s="2">
        <v>23958.49</v>
      </c>
      <c r="R37" s="2">
        <v>30428.41</v>
      </c>
      <c r="S37" s="2">
        <v>37454.21</v>
      </c>
      <c r="T37" s="2">
        <v>36759.57</v>
      </c>
      <c r="U37" s="2"/>
    </row>
    <row r="38" spans="1:21" x14ac:dyDescent="0.25">
      <c r="A38" t="s">
        <v>61</v>
      </c>
      <c r="H38">
        <v>31</v>
      </c>
      <c r="I38">
        <v>35</v>
      </c>
      <c r="J38">
        <v>40</v>
      </c>
      <c r="K38">
        <v>41</v>
      </c>
      <c r="L38">
        <v>40</v>
      </c>
      <c r="M38">
        <v>72</v>
      </c>
      <c r="N38">
        <v>74</v>
      </c>
      <c r="O38">
        <v>81.47</v>
      </c>
      <c r="P38">
        <v>87.28</v>
      </c>
      <c r="Q38">
        <v>90.77</v>
      </c>
      <c r="R38">
        <v>91.61</v>
      </c>
      <c r="S38">
        <v>92.53</v>
      </c>
      <c r="T38">
        <v>93.1</v>
      </c>
    </row>
    <row r="39" spans="1:21" x14ac:dyDescent="0.25">
      <c r="A39" t="s">
        <v>1579</v>
      </c>
      <c r="B39">
        <v>212.79</v>
      </c>
      <c r="C39">
        <v>215.83</v>
      </c>
      <c r="D39">
        <v>428.5</v>
      </c>
      <c r="E39">
        <v>234.99</v>
      </c>
      <c r="F39">
        <v>193.31</v>
      </c>
      <c r="G39">
        <v>175.66</v>
      </c>
      <c r="H39">
        <v>183.76</v>
      </c>
      <c r="I39">
        <v>133.72999999999999</v>
      </c>
      <c r="M39" s="2">
        <v>1603.1</v>
      </c>
      <c r="N39" s="2">
        <v>2094.3000000000002</v>
      </c>
      <c r="O39" s="2">
        <v>2237.9299999999998</v>
      </c>
      <c r="P39" s="2">
        <v>2312.31</v>
      </c>
      <c r="Q39" s="2">
        <v>2448.42</v>
      </c>
      <c r="R39" s="2">
        <v>2575.5300000000002</v>
      </c>
      <c r="S39" s="2">
        <v>2746.65</v>
      </c>
      <c r="T39" s="2">
        <v>2724.91</v>
      </c>
      <c r="U39" s="2"/>
    </row>
    <row r="40" spans="1:21" x14ac:dyDescent="0.25">
      <c r="A40" t="s">
        <v>1580</v>
      </c>
      <c r="H40">
        <v>369.9</v>
      </c>
      <c r="I40">
        <v>599.53</v>
      </c>
      <c r="J40">
        <v>820.38</v>
      </c>
      <c r="K40" s="2">
        <v>1084</v>
      </c>
      <c r="L40" s="2">
        <v>1051.9000000000001</v>
      </c>
      <c r="M40">
        <v>338.2</v>
      </c>
      <c r="O40">
        <v>743.62</v>
      </c>
      <c r="P40" s="2">
        <v>818.58</v>
      </c>
      <c r="Q40" s="2">
        <v>828.75</v>
      </c>
      <c r="R40">
        <v>799.61</v>
      </c>
      <c r="S40">
        <v>757.61</v>
      </c>
      <c r="T40">
        <v>795.49</v>
      </c>
    </row>
    <row r="41" spans="1:21" x14ac:dyDescent="0.25">
      <c r="A41" t="s">
        <v>76</v>
      </c>
      <c r="H41">
        <v>14</v>
      </c>
      <c r="I41">
        <v>20</v>
      </c>
      <c r="J41">
        <v>18</v>
      </c>
      <c r="K41">
        <v>18</v>
      </c>
      <c r="L41">
        <v>19</v>
      </c>
      <c r="M41">
        <v>6</v>
      </c>
      <c r="O41">
        <v>6.14</v>
      </c>
      <c r="P41">
        <v>4.66</v>
      </c>
      <c r="Q41">
        <v>3.5</v>
      </c>
      <c r="R41">
        <v>2.58</v>
      </c>
      <c r="S41">
        <v>2.14</v>
      </c>
      <c r="T41">
        <v>2.0099999999999998</v>
      </c>
    </row>
    <row r="42" spans="1:21" x14ac:dyDescent="0.25">
      <c r="A42" t="s">
        <v>1581</v>
      </c>
      <c r="H42">
        <v>569.57000000000005</v>
      </c>
      <c r="I42">
        <v>636.03</v>
      </c>
      <c r="J42">
        <v>907.74</v>
      </c>
      <c r="K42" s="2">
        <v>1369.2</v>
      </c>
      <c r="L42" s="2">
        <v>1228.4000000000001</v>
      </c>
      <c r="M42">
        <v>626.4</v>
      </c>
      <c r="O42">
        <v>959.34</v>
      </c>
      <c r="P42" s="2">
        <v>1087.94</v>
      </c>
      <c r="Q42" s="2">
        <v>1144.97</v>
      </c>
      <c r="R42" s="2">
        <v>1188.49</v>
      </c>
      <c r="S42">
        <v>905.76</v>
      </c>
      <c r="T42">
        <v>951.04</v>
      </c>
      <c r="U42" s="2"/>
    </row>
    <row r="43" spans="1:21" x14ac:dyDescent="0.25">
      <c r="A43" t="s">
        <v>76</v>
      </c>
      <c r="H43">
        <v>21</v>
      </c>
      <c r="I43">
        <v>22</v>
      </c>
      <c r="J43">
        <v>20</v>
      </c>
      <c r="K43">
        <v>23</v>
      </c>
      <c r="L43">
        <v>22</v>
      </c>
      <c r="M43">
        <v>11</v>
      </c>
      <c r="O43">
        <v>7.86</v>
      </c>
      <c r="P43">
        <v>6.09</v>
      </c>
      <c r="Q43">
        <v>4.7</v>
      </c>
      <c r="R43">
        <v>3.85</v>
      </c>
      <c r="S43">
        <v>2.56</v>
      </c>
      <c r="T43">
        <v>2.41</v>
      </c>
    </row>
    <row r="44" spans="1:21" x14ac:dyDescent="0.25">
      <c r="A44" t="s">
        <v>1582</v>
      </c>
      <c r="H44">
        <v>845.83</v>
      </c>
      <c r="I44">
        <v>574.63</v>
      </c>
      <c r="J44">
        <v>699.99</v>
      </c>
      <c r="K44">
        <v>701.1</v>
      </c>
      <c r="L44">
        <v>622.4</v>
      </c>
      <c r="M44">
        <v>316.10000000000002</v>
      </c>
      <c r="O44">
        <v>291.52999999999997</v>
      </c>
      <c r="P44">
        <v>275.56</v>
      </c>
      <c r="Q44">
        <v>291.63</v>
      </c>
      <c r="R44">
        <v>204.31</v>
      </c>
      <c r="S44">
        <v>266.77999999999997</v>
      </c>
      <c r="T44">
        <v>266.77999999999997</v>
      </c>
    </row>
    <row r="45" spans="1:21" x14ac:dyDescent="0.25">
      <c r="A45" t="s">
        <v>76</v>
      </c>
      <c r="H45">
        <v>31</v>
      </c>
      <c r="I45">
        <v>19</v>
      </c>
      <c r="J45">
        <v>16</v>
      </c>
      <c r="K45">
        <v>12</v>
      </c>
      <c r="L45">
        <v>11</v>
      </c>
      <c r="M45">
        <v>5</v>
      </c>
      <c r="O45">
        <v>2.4900000000000002</v>
      </c>
      <c r="P45">
        <v>1.71</v>
      </c>
      <c r="Q45">
        <v>1.39</v>
      </c>
      <c r="R45">
        <v>0.66</v>
      </c>
      <c r="S45">
        <v>0.75</v>
      </c>
      <c r="T45">
        <v>0.68</v>
      </c>
    </row>
    <row r="46" spans="1:21" x14ac:dyDescent="0.25">
      <c r="A46" t="s">
        <v>1588</v>
      </c>
      <c r="H46">
        <v>90.02</v>
      </c>
      <c r="I46">
        <v>117.99</v>
      </c>
      <c r="J46">
        <v>249.64</v>
      </c>
      <c r="K46">
        <v>356.5</v>
      </c>
      <c r="L46">
        <v>388.3</v>
      </c>
      <c r="M46">
        <v>322.39999999999998</v>
      </c>
      <c r="O46">
        <v>129.11000000000001</v>
      </c>
      <c r="P46">
        <v>145.96</v>
      </c>
      <c r="Q46">
        <v>167.15</v>
      </c>
      <c r="R46">
        <v>95.61</v>
      </c>
    </row>
    <row r="47" spans="1:21" x14ac:dyDescent="0.25">
      <c r="A47" t="s">
        <v>76</v>
      </c>
      <c r="H47">
        <v>3</v>
      </c>
      <c r="I47">
        <v>4</v>
      </c>
      <c r="J47">
        <v>6</v>
      </c>
      <c r="K47">
        <v>6</v>
      </c>
      <c r="L47">
        <v>8</v>
      </c>
      <c r="M47">
        <v>6</v>
      </c>
      <c r="O47">
        <v>1.66</v>
      </c>
      <c r="P47">
        <v>1.35</v>
      </c>
      <c r="Q47">
        <v>1.0900000000000001</v>
      </c>
      <c r="R47">
        <v>0.57999999999999996</v>
      </c>
      <c r="S47">
        <v>0.75</v>
      </c>
      <c r="T47">
        <v>0.68</v>
      </c>
    </row>
    <row r="48" spans="1:21" x14ac:dyDescent="0.25">
      <c r="A48" t="s">
        <v>17</v>
      </c>
    </row>
    <row r="49" spans="1:21" x14ac:dyDescent="0.25">
      <c r="A49" t="s">
        <v>1589</v>
      </c>
      <c r="O49" s="2">
        <v>6120.12</v>
      </c>
      <c r="P49" s="2">
        <v>10549.64</v>
      </c>
      <c r="Q49" s="2">
        <v>17637.88</v>
      </c>
      <c r="T49" s="2"/>
      <c r="U49" s="2"/>
    </row>
    <row r="50" spans="1:21" x14ac:dyDescent="0.25">
      <c r="A50" t="s">
        <v>17</v>
      </c>
    </row>
    <row r="51" spans="1:21" x14ac:dyDescent="0.25">
      <c r="A51" t="s">
        <v>1590</v>
      </c>
      <c r="O51" s="2">
        <v>2067.87</v>
      </c>
      <c r="P51" s="2">
        <v>4206.42</v>
      </c>
      <c r="Q51" s="2">
        <v>10323.379999999999</v>
      </c>
      <c r="T51" s="2"/>
      <c r="U51" s="2"/>
    </row>
    <row r="52" spans="1:21" x14ac:dyDescent="0.25">
      <c r="A52" t="s">
        <v>17</v>
      </c>
    </row>
    <row r="53" spans="1:21" x14ac:dyDescent="0.25">
      <c r="A53" t="s">
        <v>80</v>
      </c>
      <c r="B53" s="2">
        <v>3404.4</v>
      </c>
      <c r="C53" s="2">
        <v>3706.96</v>
      </c>
      <c r="D53" s="2">
        <v>2725.83</v>
      </c>
      <c r="E53" s="2">
        <v>2317.67</v>
      </c>
      <c r="F53" s="2">
        <v>2409.17</v>
      </c>
      <c r="G53" s="2">
        <v>2865.79</v>
      </c>
      <c r="H53" s="2">
        <v>2699.16</v>
      </c>
      <c r="I53" s="2">
        <v>2968.9</v>
      </c>
      <c r="J53" s="2">
        <v>4462.38</v>
      </c>
      <c r="K53" s="2">
        <v>5919.6</v>
      </c>
      <c r="L53" s="2">
        <v>5507.7</v>
      </c>
      <c r="M53" s="2">
        <v>5767.3</v>
      </c>
      <c r="N53" s="2">
        <v>8194.6</v>
      </c>
      <c r="O53" s="2">
        <v>12037.05</v>
      </c>
      <c r="P53" s="2">
        <v>18257.34</v>
      </c>
      <c r="Q53" s="2">
        <v>26607.56</v>
      </c>
      <c r="R53" s="2">
        <v>34336.400000000001</v>
      </c>
      <c r="S53" s="2">
        <v>42669.25</v>
      </c>
      <c r="T53" s="2">
        <v>39484</v>
      </c>
      <c r="U53" s="2"/>
    </row>
    <row r="54" spans="1:21" x14ac:dyDescent="0.25">
      <c r="A54" t="s">
        <v>1591</v>
      </c>
      <c r="F54" s="2">
        <v>1888.11</v>
      </c>
      <c r="G54" s="2">
        <v>2197.21</v>
      </c>
      <c r="H54" s="2">
        <v>2041.09</v>
      </c>
      <c r="I54" s="2">
        <v>2213.65</v>
      </c>
      <c r="J54" s="2">
        <v>3314.5</v>
      </c>
      <c r="K54" s="2">
        <v>3949.6</v>
      </c>
      <c r="L54" s="2">
        <v>3469.5</v>
      </c>
      <c r="M54" s="2">
        <v>3309.9</v>
      </c>
      <c r="N54" s="2">
        <v>4630.3999999999996</v>
      </c>
      <c r="O54" s="2">
        <v>6137.2</v>
      </c>
      <c r="P54" s="2">
        <v>9222.15</v>
      </c>
      <c r="Q54" s="2">
        <v>12715.07</v>
      </c>
      <c r="R54" s="2"/>
      <c r="S54" s="2"/>
      <c r="T54" s="2"/>
      <c r="U54" s="2"/>
    </row>
    <row r="55" spans="1:21" x14ac:dyDescent="0.25">
      <c r="A55" t="s">
        <v>61</v>
      </c>
      <c r="F55">
        <v>78</v>
      </c>
      <c r="G55">
        <v>77</v>
      </c>
      <c r="H55">
        <v>76</v>
      </c>
      <c r="I55">
        <v>75</v>
      </c>
      <c r="J55">
        <v>74</v>
      </c>
      <c r="K55">
        <v>67</v>
      </c>
      <c r="L55">
        <v>63</v>
      </c>
      <c r="M55">
        <v>57</v>
      </c>
      <c r="N55">
        <v>57</v>
      </c>
      <c r="O55">
        <v>55.14</v>
      </c>
      <c r="P55">
        <v>55.36</v>
      </c>
      <c r="Q55">
        <v>51.23</v>
      </c>
    </row>
    <row r="56" spans="1:21" x14ac:dyDescent="0.25">
      <c r="A56" t="s">
        <v>1592</v>
      </c>
      <c r="F56">
        <v>521.05999999999995</v>
      </c>
      <c r="G56">
        <v>668.58</v>
      </c>
      <c r="H56">
        <v>658.07</v>
      </c>
      <c r="I56">
        <v>755.26</v>
      </c>
      <c r="J56" s="2">
        <v>1147.8900000000001</v>
      </c>
      <c r="K56" s="2">
        <v>1970</v>
      </c>
      <c r="L56" s="2">
        <v>2038.2</v>
      </c>
      <c r="M56" s="2">
        <v>2457.4</v>
      </c>
      <c r="N56" s="2">
        <v>3564.2</v>
      </c>
      <c r="O56" s="2">
        <v>5916.6</v>
      </c>
      <c r="P56" s="2">
        <v>8798.6200000000008</v>
      </c>
      <c r="Q56" s="2">
        <v>12105.28</v>
      </c>
      <c r="R56" s="2"/>
      <c r="S56" s="2"/>
      <c r="T56" s="2"/>
      <c r="U56" s="2"/>
    </row>
    <row r="57" spans="1:21" x14ac:dyDescent="0.25">
      <c r="A57" t="s">
        <v>61</v>
      </c>
      <c r="F57">
        <v>22</v>
      </c>
      <c r="G57">
        <v>23</v>
      </c>
      <c r="H57">
        <v>24</v>
      </c>
      <c r="I57">
        <v>25</v>
      </c>
      <c r="J57">
        <v>26</v>
      </c>
      <c r="K57">
        <v>33</v>
      </c>
      <c r="L57">
        <v>37</v>
      </c>
      <c r="M57">
        <v>43</v>
      </c>
      <c r="N57">
        <v>43</v>
      </c>
      <c r="O57">
        <v>49.08</v>
      </c>
      <c r="P57">
        <v>48.82</v>
      </c>
      <c r="Q57">
        <v>48.77</v>
      </c>
    </row>
    <row r="58" spans="1:21" x14ac:dyDescent="0.25">
      <c r="A58" t="s">
        <v>17</v>
      </c>
    </row>
    <row r="59" spans="1:21" x14ac:dyDescent="0.25">
      <c r="A59" t="s">
        <v>51</v>
      </c>
    </row>
    <row r="60" spans="1:21" x14ac:dyDescent="0.25">
      <c r="A60" t="s">
        <v>1593</v>
      </c>
      <c r="B60" s="2">
        <v>1681.95</v>
      </c>
      <c r="C60" s="2">
        <v>1744.66</v>
      </c>
      <c r="D60" s="2">
        <v>1201</v>
      </c>
      <c r="E60" s="2">
        <v>1158</v>
      </c>
      <c r="F60" s="2">
        <v>1254.3699999999999</v>
      </c>
      <c r="G60" s="2">
        <v>1376.7</v>
      </c>
      <c r="H60" s="2">
        <v>1137.77</v>
      </c>
      <c r="I60" s="2">
        <v>1151.8699999999999</v>
      </c>
      <c r="J60" s="2"/>
      <c r="K60" s="2"/>
      <c r="L60" s="2"/>
      <c r="M60" s="2"/>
      <c r="N60" s="2"/>
      <c r="O60" s="2">
        <v>1574.65</v>
      </c>
      <c r="P60" s="2">
        <v>2219.85</v>
      </c>
      <c r="Q60" s="2">
        <v>4458.29</v>
      </c>
      <c r="R60" s="2">
        <v>15000</v>
      </c>
      <c r="S60" s="2">
        <v>22000</v>
      </c>
      <c r="T60" s="2"/>
      <c r="U60" s="2"/>
    </row>
    <row r="61" spans="1:21" x14ac:dyDescent="0.25">
      <c r="A61" t="s">
        <v>61</v>
      </c>
      <c r="B61">
        <v>49</v>
      </c>
      <c r="C61">
        <v>47</v>
      </c>
      <c r="D61">
        <v>46</v>
      </c>
      <c r="E61">
        <v>50</v>
      </c>
      <c r="F61">
        <v>52</v>
      </c>
      <c r="G61">
        <v>48</v>
      </c>
      <c r="H61">
        <v>42</v>
      </c>
      <c r="I61">
        <v>39</v>
      </c>
      <c r="O61">
        <v>17.54</v>
      </c>
      <c r="P61">
        <v>14.51</v>
      </c>
      <c r="Q61">
        <v>12.12</v>
      </c>
      <c r="R61">
        <v>12.8</v>
      </c>
      <c r="S61">
        <v>14</v>
      </c>
      <c r="T61">
        <v>14</v>
      </c>
    </row>
    <row r="62" spans="1:21" x14ac:dyDescent="0.25">
      <c r="A62" t="s">
        <v>575</v>
      </c>
      <c r="F62">
        <v>961.5</v>
      </c>
      <c r="G62" s="2">
        <v>1313.44</v>
      </c>
      <c r="H62" s="2">
        <v>1377.64</v>
      </c>
      <c r="I62" s="2">
        <v>1683.29</v>
      </c>
      <c r="L62" s="2"/>
      <c r="M62" s="2"/>
      <c r="N62" s="2"/>
      <c r="O62" s="2">
        <v>3663.1</v>
      </c>
      <c r="P62" s="2">
        <v>6410.53</v>
      </c>
      <c r="Q62" s="2">
        <v>12121.3</v>
      </c>
      <c r="T62" s="2"/>
      <c r="U62" s="2"/>
    </row>
    <row r="63" spans="1:21" x14ac:dyDescent="0.25">
      <c r="A63" t="s">
        <v>61</v>
      </c>
      <c r="F63">
        <v>40</v>
      </c>
      <c r="G63">
        <v>46</v>
      </c>
      <c r="H63">
        <v>51</v>
      </c>
      <c r="I63">
        <v>57</v>
      </c>
      <c r="O63">
        <v>58.33</v>
      </c>
      <c r="P63">
        <v>57.92</v>
      </c>
      <c r="Q63">
        <v>57.4</v>
      </c>
      <c r="R63">
        <v>57.06</v>
      </c>
      <c r="S63">
        <v>55</v>
      </c>
    </row>
    <row r="64" spans="1:21" x14ac:dyDescent="0.25">
      <c r="A64" t="s">
        <v>17</v>
      </c>
    </row>
    <row r="65" spans="1:21" x14ac:dyDescent="0.25">
      <c r="A65" t="s">
        <v>72</v>
      </c>
    </row>
    <row r="66" spans="1:21" x14ac:dyDescent="0.25">
      <c r="A66" t="s">
        <v>385</v>
      </c>
    </row>
    <row r="67" spans="1:21" x14ac:dyDescent="0.25">
      <c r="A67" t="s">
        <v>60</v>
      </c>
      <c r="B67">
        <v>68.319999999999993</v>
      </c>
      <c r="C67">
        <v>62.33</v>
      </c>
      <c r="D67">
        <v>60.12</v>
      </c>
      <c r="E67">
        <v>51.42</v>
      </c>
      <c r="F67">
        <v>42.56</v>
      </c>
      <c r="G67">
        <v>251.91</v>
      </c>
      <c r="H67">
        <v>258.83</v>
      </c>
      <c r="I67">
        <v>321.45</v>
      </c>
      <c r="J67">
        <v>484.04</v>
      </c>
      <c r="K67">
        <v>690.1</v>
      </c>
      <c r="L67">
        <v>795.6</v>
      </c>
      <c r="M67">
        <v>956.9</v>
      </c>
      <c r="N67" s="2">
        <v>1174.0999999999999</v>
      </c>
      <c r="O67">
        <v>844.66</v>
      </c>
      <c r="P67" s="2">
        <v>1262.24</v>
      </c>
      <c r="Q67" s="2">
        <v>1738.47</v>
      </c>
      <c r="S67" s="2"/>
      <c r="U67" s="2"/>
    </row>
    <row r="68" spans="1:21" x14ac:dyDescent="0.25">
      <c r="A68" t="s">
        <v>61</v>
      </c>
      <c r="F68">
        <v>2</v>
      </c>
      <c r="G68">
        <v>9</v>
      </c>
      <c r="H68">
        <v>10</v>
      </c>
      <c r="I68">
        <v>11</v>
      </c>
      <c r="J68">
        <v>11</v>
      </c>
      <c r="K68">
        <v>12</v>
      </c>
      <c r="L68">
        <v>14</v>
      </c>
      <c r="M68">
        <v>17</v>
      </c>
      <c r="N68">
        <v>14</v>
      </c>
      <c r="O68">
        <v>7.01</v>
      </c>
      <c r="P68">
        <v>7</v>
      </c>
      <c r="Q68">
        <v>7</v>
      </c>
    </row>
    <row r="69" spans="1:21" x14ac:dyDescent="0.25">
      <c r="A69" t="s">
        <v>1594</v>
      </c>
    </row>
    <row r="70" spans="1:21" x14ac:dyDescent="0.25">
      <c r="A70" t="s">
        <v>60</v>
      </c>
      <c r="B70" s="2">
        <v>1869.38</v>
      </c>
      <c r="C70" s="2">
        <v>2214.88</v>
      </c>
      <c r="D70" s="2">
        <v>1471.18</v>
      </c>
      <c r="E70" s="2">
        <v>1224.03</v>
      </c>
      <c r="F70" s="2">
        <v>1205.2</v>
      </c>
      <c r="G70" s="2">
        <v>1189.93</v>
      </c>
      <c r="H70" s="2">
        <v>1071.03</v>
      </c>
      <c r="I70" s="2">
        <v>1268.82</v>
      </c>
      <c r="J70" s="2">
        <v>1970.54</v>
      </c>
      <c r="K70" s="2">
        <v>2486.3000000000002</v>
      </c>
      <c r="L70" s="2">
        <v>2371</v>
      </c>
      <c r="M70" s="2">
        <v>2507.6</v>
      </c>
      <c r="N70" s="2">
        <v>2969.9</v>
      </c>
      <c r="O70" s="2">
        <v>5190.3599999999997</v>
      </c>
      <c r="P70" s="2">
        <v>7751.12</v>
      </c>
      <c r="Q70" s="2">
        <v>10675.13</v>
      </c>
      <c r="R70" s="2"/>
      <c r="S70" s="2"/>
      <c r="T70" s="2"/>
      <c r="U70" s="2"/>
    </row>
    <row r="71" spans="1:21" x14ac:dyDescent="0.25">
      <c r="A71" t="s">
        <v>61</v>
      </c>
      <c r="F71">
        <v>50</v>
      </c>
      <c r="G71">
        <v>42</v>
      </c>
      <c r="H71">
        <v>40</v>
      </c>
      <c r="I71">
        <v>43</v>
      </c>
      <c r="J71">
        <v>44</v>
      </c>
      <c r="K71">
        <v>42</v>
      </c>
      <c r="L71">
        <v>43</v>
      </c>
      <c r="M71">
        <v>43</v>
      </c>
      <c r="N71">
        <v>36</v>
      </c>
      <c r="O71">
        <v>43.06</v>
      </c>
      <c r="P71">
        <v>43.01</v>
      </c>
      <c r="Q71">
        <v>43.01</v>
      </c>
    </row>
    <row r="72" spans="1:21" x14ac:dyDescent="0.25">
      <c r="A72" t="s">
        <v>1595</v>
      </c>
    </row>
    <row r="73" spans="1:21" x14ac:dyDescent="0.25">
      <c r="A73" t="s">
        <v>60</v>
      </c>
      <c r="K73">
        <v>289</v>
      </c>
      <c r="L73">
        <v>161.9</v>
      </c>
      <c r="M73">
        <v>560.70000000000005</v>
      </c>
      <c r="N73" s="2">
        <v>1657.3</v>
      </c>
      <c r="O73" s="2">
        <v>2292.75</v>
      </c>
      <c r="P73" s="2">
        <v>3397.05</v>
      </c>
      <c r="Q73" s="2">
        <v>4676.54</v>
      </c>
      <c r="S73" s="2"/>
      <c r="T73" s="2"/>
      <c r="U73" s="2"/>
    </row>
    <row r="74" spans="1:21" x14ac:dyDescent="0.25">
      <c r="A74" t="s">
        <v>61</v>
      </c>
      <c r="K74">
        <v>5</v>
      </c>
      <c r="L74">
        <v>3</v>
      </c>
      <c r="M74">
        <v>10</v>
      </c>
      <c r="N74">
        <v>20</v>
      </c>
      <c r="O74">
        <v>19.02</v>
      </c>
      <c r="P74">
        <v>18.850000000000001</v>
      </c>
      <c r="Q74">
        <v>18.84</v>
      </c>
    </row>
    <row r="75" spans="1:21" x14ac:dyDescent="0.25">
      <c r="A75" t="s">
        <v>260</v>
      </c>
    </row>
    <row r="76" spans="1:21" x14ac:dyDescent="0.25">
      <c r="A76" t="s">
        <v>60</v>
      </c>
      <c r="B76">
        <v>502.68</v>
      </c>
      <c r="C76">
        <v>502.76</v>
      </c>
      <c r="D76" s="2">
        <v>367.34</v>
      </c>
      <c r="E76">
        <v>342.15</v>
      </c>
      <c r="F76">
        <v>365.18</v>
      </c>
      <c r="G76">
        <v>649.29999999999995</v>
      </c>
      <c r="H76">
        <v>528.77</v>
      </c>
      <c r="I76">
        <v>563.88</v>
      </c>
      <c r="J76">
        <v>719.5</v>
      </c>
      <c r="K76">
        <v>716.3</v>
      </c>
      <c r="L76">
        <v>667.1</v>
      </c>
      <c r="M76">
        <v>563.29999999999995</v>
      </c>
      <c r="N76" s="2">
        <v>2393.3000000000002</v>
      </c>
      <c r="S76" s="2"/>
    </row>
    <row r="77" spans="1:21" x14ac:dyDescent="0.25">
      <c r="A77" t="s">
        <v>61</v>
      </c>
      <c r="F77">
        <v>15</v>
      </c>
      <c r="G77">
        <v>22</v>
      </c>
      <c r="H77">
        <v>19</v>
      </c>
      <c r="I77">
        <v>18</v>
      </c>
      <c r="J77">
        <v>16</v>
      </c>
      <c r="K77">
        <v>11</v>
      </c>
      <c r="L77">
        <v>13</v>
      </c>
      <c r="M77">
        <v>10</v>
      </c>
      <c r="N77">
        <v>30</v>
      </c>
    </row>
    <row r="78" spans="1:21" x14ac:dyDescent="0.25">
      <c r="A78" t="s">
        <v>17</v>
      </c>
    </row>
    <row r="79" spans="1:21" x14ac:dyDescent="0.25">
      <c r="A79" t="s">
        <v>463</v>
      </c>
    </row>
    <row r="80" spans="1:21" x14ac:dyDescent="0.25">
      <c r="A80" t="s">
        <v>979</v>
      </c>
    </row>
    <row r="81" spans="1:13" x14ac:dyDescent="0.25">
      <c r="A81" t="s">
        <v>60</v>
      </c>
      <c r="H81">
        <v>162.4</v>
      </c>
      <c r="I81">
        <v>142.55000000000001</v>
      </c>
      <c r="J81">
        <v>222.83</v>
      </c>
      <c r="K81">
        <v>260</v>
      </c>
      <c r="L81">
        <v>169.1</v>
      </c>
      <c r="M81">
        <v>166.2</v>
      </c>
    </row>
    <row r="82" spans="1:13" x14ac:dyDescent="0.25">
      <c r="A82" t="s">
        <v>61</v>
      </c>
      <c r="H82">
        <v>6</v>
      </c>
      <c r="I82">
        <v>5</v>
      </c>
      <c r="J82">
        <v>5</v>
      </c>
      <c r="K82">
        <v>4</v>
      </c>
      <c r="L82">
        <v>3</v>
      </c>
      <c r="M82">
        <v>3</v>
      </c>
    </row>
    <row r="83" spans="1:13" x14ac:dyDescent="0.25">
      <c r="A83" t="s">
        <v>1596</v>
      </c>
    </row>
    <row r="84" spans="1:13" x14ac:dyDescent="0.25">
      <c r="A84" t="s">
        <v>60</v>
      </c>
      <c r="B84">
        <v>352.76</v>
      </c>
      <c r="C84">
        <v>377.9</v>
      </c>
      <c r="D84">
        <v>302.95</v>
      </c>
      <c r="E84">
        <v>286.27</v>
      </c>
      <c r="F84">
        <v>388.47</v>
      </c>
      <c r="G84">
        <v>372.82</v>
      </c>
      <c r="H84">
        <v>226.36</v>
      </c>
      <c r="I84">
        <v>254.05</v>
      </c>
      <c r="J84">
        <v>275.97000000000003</v>
      </c>
      <c r="K84">
        <v>393.2</v>
      </c>
      <c r="L84">
        <v>222.6</v>
      </c>
      <c r="M84">
        <v>143.1</v>
      </c>
    </row>
    <row r="85" spans="1:13" x14ac:dyDescent="0.25">
      <c r="A85" t="s">
        <v>61</v>
      </c>
      <c r="F85">
        <v>16</v>
      </c>
      <c r="G85">
        <v>13</v>
      </c>
      <c r="H85">
        <v>8</v>
      </c>
      <c r="I85">
        <v>9</v>
      </c>
      <c r="J85">
        <v>6</v>
      </c>
      <c r="K85">
        <v>7</v>
      </c>
      <c r="L85">
        <v>4</v>
      </c>
      <c r="M85">
        <v>2</v>
      </c>
    </row>
    <row r="86" spans="1:13" x14ac:dyDescent="0.25">
      <c r="A86" t="s">
        <v>1597</v>
      </c>
    </row>
    <row r="87" spans="1:13" x14ac:dyDescent="0.25">
      <c r="A87" t="s">
        <v>60</v>
      </c>
      <c r="B87">
        <v>353.36</v>
      </c>
      <c r="C87">
        <v>294.70999999999998</v>
      </c>
      <c r="D87">
        <v>189.3</v>
      </c>
      <c r="E87">
        <v>113.78</v>
      </c>
      <c r="F87">
        <v>137.66</v>
      </c>
      <c r="G87">
        <v>165.92</v>
      </c>
      <c r="H87">
        <v>230.22</v>
      </c>
      <c r="I87">
        <v>251.41</v>
      </c>
      <c r="J87">
        <v>355.3</v>
      </c>
      <c r="K87">
        <v>391.9</v>
      </c>
      <c r="L87">
        <v>329.2</v>
      </c>
      <c r="M87">
        <v>304.39999999999998</v>
      </c>
    </row>
    <row r="88" spans="1:13" x14ac:dyDescent="0.25">
      <c r="A88" t="s">
        <v>61</v>
      </c>
      <c r="F88">
        <v>6</v>
      </c>
      <c r="G88">
        <v>6</v>
      </c>
      <c r="H88">
        <v>9</v>
      </c>
      <c r="I88">
        <v>8</v>
      </c>
      <c r="J88">
        <v>8</v>
      </c>
      <c r="K88">
        <v>7</v>
      </c>
      <c r="L88">
        <v>6</v>
      </c>
      <c r="M88">
        <v>5</v>
      </c>
    </row>
    <row r="89" spans="1:13" x14ac:dyDescent="0.25">
      <c r="A89" t="s">
        <v>1598</v>
      </c>
    </row>
    <row r="90" spans="1:13" x14ac:dyDescent="0.25">
      <c r="A90" t="s">
        <v>60</v>
      </c>
      <c r="K90">
        <v>189.6</v>
      </c>
      <c r="L90">
        <v>380.4</v>
      </c>
      <c r="M90">
        <v>112.9</v>
      </c>
    </row>
    <row r="91" spans="1:13" x14ac:dyDescent="0.25">
      <c r="A91" t="s">
        <v>61</v>
      </c>
      <c r="K91">
        <v>3</v>
      </c>
      <c r="L91">
        <v>7</v>
      </c>
      <c r="M91">
        <v>2</v>
      </c>
    </row>
    <row r="92" spans="1:13" x14ac:dyDescent="0.25">
      <c r="A92" t="s">
        <v>1599</v>
      </c>
    </row>
    <row r="93" spans="1:13" x14ac:dyDescent="0.25">
      <c r="A93" t="s">
        <v>60</v>
      </c>
      <c r="J93">
        <v>220.81</v>
      </c>
      <c r="K93">
        <v>331.7</v>
      </c>
      <c r="L93">
        <v>336.2</v>
      </c>
      <c r="M93">
        <v>452.2</v>
      </c>
    </row>
    <row r="94" spans="1:13" x14ac:dyDescent="0.25">
      <c r="A94" t="s">
        <v>61</v>
      </c>
      <c r="J94">
        <v>5</v>
      </c>
      <c r="K94">
        <v>6</v>
      </c>
      <c r="L94">
        <v>6</v>
      </c>
      <c r="M94">
        <v>8</v>
      </c>
    </row>
    <row r="95" spans="1:13" x14ac:dyDescent="0.25">
      <c r="A95" t="s">
        <v>17</v>
      </c>
    </row>
    <row r="96" spans="1:13" x14ac:dyDescent="0.25">
      <c r="A96" t="s">
        <v>79</v>
      </c>
    </row>
    <row r="97" spans="1:21" x14ac:dyDescent="0.25">
      <c r="A97" t="s">
        <v>80</v>
      </c>
      <c r="B97" s="2">
        <v>3404.4</v>
      </c>
      <c r="C97" s="2">
        <v>3706.96</v>
      </c>
      <c r="D97" s="2">
        <v>2725.83</v>
      </c>
      <c r="E97" s="2">
        <v>2317.67</v>
      </c>
      <c r="F97" s="2">
        <v>2409.17</v>
      </c>
      <c r="G97" s="2">
        <v>2865.79</v>
      </c>
      <c r="H97" s="2">
        <v>2699.16</v>
      </c>
      <c r="I97" s="2">
        <v>2968.9</v>
      </c>
      <c r="J97" s="2">
        <v>4462.38</v>
      </c>
      <c r="K97" s="2">
        <v>5919.6</v>
      </c>
      <c r="L97" s="2">
        <v>5507.7</v>
      </c>
      <c r="M97" s="2">
        <v>5767.3</v>
      </c>
      <c r="N97" s="2">
        <v>8194.6</v>
      </c>
      <c r="O97" s="2">
        <v>12037.05</v>
      </c>
      <c r="P97" s="2">
        <v>18257.34</v>
      </c>
      <c r="Q97" s="2">
        <v>26607.56</v>
      </c>
      <c r="R97" s="2">
        <v>34336.400000000001</v>
      </c>
      <c r="S97" s="2">
        <v>42669.25</v>
      </c>
      <c r="T97" s="2">
        <v>39484</v>
      </c>
      <c r="U97" s="2"/>
    </row>
    <row r="98" spans="1:21" x14ac:dyDescent="0.25">
      <c r="A98" t="s">
        <v>17</v>
      </c>
    </row>
    <row r="99" spans="1:21" x14ac:dyDescent="0.25">
      <c r="A99" t="s">
        <v>82</v>
      </c>
      <c r="B99" s="2">
        <v>1663.73</v>
      </c>
      <c r="C99" s="2">
        <v>1843.71</v>
      </c>
      <c r="D99" s="2">
        <v>1406.12</v>
      </c>
      <c r="E99" s="2">
        <v>1017.56</v>
      </c>
      <c r="F99" s="2">
        <v>947.23</v>
      </c>
      <c r="G99" s="2">
        <v>1407.4</v>
      </c>
      <c r="H99" s="2">
        <v>1342.22</v>
      </c>
      <c r="I99" s="2">
        <v>1480.55</v>
      </c>
      <c r="J99" s="2">
        <v>2398.16</v>
      </c>
      <c r="K99" s="2">
        <v>2932.1</v>
      </c>
      <c r="L99" s="2">
        <v>3214.1</v>
      </c>
      <c r="M99" s="2">
        <v>3385.1</v>
      </c>
      <c r="N99" s="2">
        <v>4013.9</v>
      </c>
      <c r="O99" s="2">
        <v>5634.38</v>
      </c>
      <c r="P99" s="2">
        <v>8243.09</v>
      </c>
      <c r="Q99" s="2">
        <v>11879.69</v>
      </c>
      <c r="R99" s="2">
        <v>15122.09</v>
      </c>
      <c r="S99" s="2">
        <v>19412.36</v>
      </c>
      <c r="T99" s="2">
        <v>17810.240000000002</v>
      </c>
      <c r="U99" s="2"/>
    </row>
    <row r="100" spans="1:21" x14ac:dyDescent="0.25">
      <c r="A100" t="s">
        <v>83</v>
      </c>
      <c r="B100">
        <v>48.87</v>
      </c>
      <c r="C100">
        <v>49.74</v>
      </c>
      <c r="D100">
        <v>54.03</v>
      </c>
      <c r="E100">
        <v>44.22</v>
      </c>
      <c r="F100">
        <v>39.32</v>
      </c>
      <c r="G100">
        <v>49.11</v>
      </c>
      <c r="H100">
        <v>49.73</v>
      </c>
      <c r="I100">
        <v>49.87</v>
      </c>
      <c r="J100">
        <v>53.74</v>
      </c>
      <c r="K100">
        <v>49.53</v>
      </c>
      <c r="L100">
        <v>58.36</v>
      </c>
      <c r="M100">
        <v>58.69</v>
      </c>
      <c r="N100">
        <v>48.98</v>
      </c>
      <c r="O100">
        <v>47.2</v>
      </c>
      <c r="P100">
        <v>46.78</v>
      </c>
      <c r="Q100">
        <v>46.1</v>
      </c>
    </row>
    <row r="101" spans="1:21" x14ac:dyDescent="0.25">
      <c r="A101" t="s">
        <v>84</v>
      </c>
      <c r="B101" s="2">
        <v>1740.67</v>
      </c>
      <c r="C101" s="2">
        <v>1863.26</v>
      </c>
      <c r="D101" s="2">
        <v>1196.3800000000001</v>
      </c>
      <c r="E101" s="2">
        <v>1283.43</v>
      </c>
      <c r="F101" s="2">
        <v>1461.94</v>
      </c>
      <c r="G101" s="2">
        <v>1458.39</v>
      </c>
      <c r="H101" s="2">
        <v>1356.94</v>
      </c>
      <c r="I101" s="2">
        <v>1488.35</v>
      </c>
      <c r="J101" s="2">
        <v>2064.23</v>
      </c>
      <c r="K101" s="2">
        <v>2987.5</v>
      </c>
      <c r="L101" s="2">
        <v>2293.6</v>
      </c>
      <c r="M101" s="2">
        <v>2382.1999999999998</v>
      </c>
      <c r="N101" s="2">
        <v>4180.7</v>
      </c>
      <c r="O101" s="2">
        <v>6435.95</v>
      </c>
      <c r="P101" s="2">
        <v>10007.73</v>
      </c>
      <c r="Q101" s="2">
        <v>14816.34</v>
      </c>
      <c r="R101" s="2">
        <v>19588.25</v>
      </c>
      <c r="S101" s="2">
        <v>24027.74</v>
      </c>
      <c r="T101" s="2">
        <v>21674.25</v>
      </c>
      <c r="U101" s="2"/>
    </row>
    <row r="102" spans="1:21" x14ac:dyDescent="0.25">
      <c r="A102" t="s">
        <v>85</v>
      </c>
      <c r="C102">
        <v>50.3</v>
      </c>
      <c r="D102">
        <v>-28.6</v>
      </c>
      <c r="E102">
        <v>55.8</v>
      </c>
      <c r="F102">
        <v>60.7</v>
      </c>
      <c r="G102">
        <v>-6.2</v>
      </c>
      <c r="H102">
        <v>50.3</v>
      </c>
      <c r="I102">
        <v>50.1</v>
      </c>
      <c r="J102">
        <v>46.3</v>
      </c>
      <c r="K102">
        <v>50.5</v>
      </c>
      <c r="L102">
        <v>41.6</v>
      </c>
      <c r="M102">
        <v>41.3</v>
      </c>
      <c r="N102">
        <v>51</v>
      </c>
      <c r="O102">
        <v>53.15</v>
      </c>
      <c r="P102">
        <v>54.71</v>
      </c>
      <c r="Q102">
        <v>55.61</v>
      </c>
      <c r="R102">
        <v>54.49</v>
      </c>
      <c r="S102">
        <v>54.72</v>
      </c>
      <c r="T102">
        <v>54.89</v>
      </c>
    </row>
    <row r="103" spans="1:21" x14ac:dyDescent="0.25">
      <c r="A103" t="s">
        <v>17</v>
      </c>
    </row>
    <row r="104" spans="1:21" x14ac:dyDescent="0.25">
      <c r="A104" t="s">
        <v>275</v>
      </c>
      <c r="B104" s="2">
        <v>1459.98</v>
      </c>
      <c r="C104" s="2">
        <v>1454.44</v>
      </c>
      <c r="D104" s="2">
        <v>1941.79</v>
      </c>
      <c r="E104" s="2">
        <v>1153.02</v>
      </c>
      <c r="F104" s="2">
        <v>1032.25</v>
      </c>
      <c r="G104" s="2">
        <v>1415.12</v>
      </c>
      <c r="H104" s="2">
        <v>1600.3</v>
      </c>
      <c r="I104" s="2">
        <v>1746.74</v>
      </c>
      <c r="J104" s="2">
        <v>2411.89</v>
      </c>
      <c r="K104" s="2">
        <v>2749.5</v>
      </c>
      <c r="L104" s="2">
        <v>2861.3</v>
      </c>
      <c r="M104" s="2">
        <v>3102.5</v>
      </c>
      <c r="N104" s="2">
        <v>2857.8</v>
      </c>
      <c r="O104" s="2">
        <v>3965.74</v>
      </c>
      <c r="P104" s="2">
        <v>4720.3900000000003</v>
      </c>
      <c r="Q104" s="2">
        <v>5744.49</v>
      </c>
      <c r="R104" s="2">
        <v>6335.16</v>
      </c>
      <c r="S104" s="2">
        <v>8490.39</v>
      </c>
      <c r="T104" s="2">
        <v>9432.27</v>
      </c>
      <c r="U104" s="2"/>
    </row>
    <row r="105" spans="1:21" x14ac:dyDescent="0.25">
      <c r="A105" t="s">
        <v>83</v>
      </c>
      <c r="B105">
        <v>42.89</v>
      </c>
      <c r="C105">
        <v>39.24</v>
      </c>
      <c r="D105">
        <v>74.61</v>
      </c>
      <c r="E105">
        <v>50.11</v>
      </c>
      <c r="F105">
        <v>42.85</v>
      </c>
      <c r="G105">
        <v>49.38</v>
      </c>
      <c r="H105">
        <v>59.29</v>
      </c>
      <c r="I105">
        <v>58.83</v>
      </c>
      <c r="J105">
        <v>54.05</v>
      </c>
      <c r="K105">
        <v>46.45</v>
      </c>
      <c r="L105">
        <v>51.95</v>
      </c>
      <c r="M105">
        <v>53.79</v>
      </c>
      <c r="N105">
        <v>34.869999999999997</v>
      </c>
      <c r="O105">
        <v>32.93</v>
      </c>
      <c r="P105">
        <v>24.69</v>
      </c>
      <c r="Q105">
        <v>20.11</v>
      </c>
    </row>
    <row r="106" spans="1:21" x14ac:dyDescent="0.25">
      <c r="A106" t="s">
        <v>276</v>
      </c>
      <c r="B106">
        <v>259.17</v>
      </c>
      <c r="C106">
        <v>273.98</v>
      </c>
      <c r="D106">
        <v>279.22000000000003</v>
      </c>
      <c r="E106">
        <v>251.19</v>
      </c>
      <c r="F106">
        <v>238.17</v>
      </c>
      <c r="G106">
        <v>424.36</v>
      </c>
      <c r="H106">
        <v>464.58</v>
      </c>
      <c r="I106">
        <v>467.24</v>
      </c>
      <c r="J106">
        <v>955.25</v>
      </c>
      <c r="K106">
        <v>843.6</v>
      </c>
      <c r="L106">
        <v>834</v>
      </c>
      <c r="M106">
        <v>798.2</v>
      </c>
      <c r="N106">
        <v>767.1</v>
      </c>
      <c r="O106" s="2">
        <v>1012.65</v>
      </c>
      <c r="P106" s="2">
        <v>1151.8699999999999</v>
      </c>
      <c r="Q106" s="2">
        <v>1357.83</v>
      </c>
      <c r="R106" s="2">
        <v>1295.46</v>
      </c>
      <c r="S106" s="2">
        <v>1562.75</v>
      </c>
      <c r="T106" s="2">
        <v>2056.0300000000002</v>
      </c>
      <c r="U106" s="2"/>
    </row>
    <row r="107" spans="1:21" x14ac:dyDescent="0.25">
      <c r="A107" t="s">
        <v>61</v>
      </c>
      <c r="B107">
        <v>7.61</v>
      </c>
      <c r="C107">
        <v>7.39</v>
      </c>
      <c r="D107">
        <v>10.73</v>
      </c>
      <c r="E107">
        <v>10.92</v>
      </c>
      <c r="F107">
        <v>9.89</v>
      </c>
      <c r="G107">
        <v>14.81</v>
      </c>
      <c r="H107">
        <v>17.21</v>
      </c>
      <c r="I107">
        <v>15.74</v>
      </c>
      <c r="J107">
        <v>21.41</v>
      </c>
      <c r="K107">
        <v>14.25</v>
      </c>
      <c r="L107">
        <v>15.14</v>
      </c>
      <c r="M107">
        <v>13.84</v>
      </c>
      <c r="N107">
        <v>9.36</v>
      </c>
      <c r="O107">
        <v>8.9700000000000006</v>
      </c>
      <c r="P107">
        <v>6.82</v>
      </c>
      <c r="Q107">
        <v>5.08</v>
      </c>
    </row>
    <row r="108" spans="1:21" x14ac:dyDescent="0.25">
      <c r="A108" t="s">
        <v>89</v>
      </c>
      <c r="B108" s="2">
        <v>1156.8900000000001</v>
      </c>
      <c r="C108" s="2">
        <v>1164.06</v>
      </c>
      <c r="D108">
        <v>954.65</v>
      </c>
      <c r="E108" s="2">
        <v>805.03</v>
      </c>
      <c r="F108" s="2">
        <v>714.44</v>
      </c>
      <c r="G108" s="2">
        <v>914.01</v>
      </c>
      <c r="H108" s="2">
        <v>1080.3900000000001</v>
      </c>
      <c r="I108" s="2">
        <v>1072.74</v>
      </c>
      <c r="J108" s="2">
        <v>1424.31</v>
      </c>
      <c r="K108" s="2">
        <v>1784.3</v>
      </c>
      <c r="L108" s="2">
        <v>1896.2</v>
      </c>
      <c r="M108" s="2">
        <v>1950.4</v>
      </c>
      <c r="N108" s="2">
        <v>2075.1999999999998</v>
      </c>
      <c r="O108" s="2">
        <v>2933.09</v>
      </c>
      <c r="P108" s="2">
        <v>3550.18</v>
      </c>
      <c r="Q108" s="2">
        <v>4277.3</v>
      </c>
      <c r="R108" s="2">
        <v>4858.87</v>
      </c>
      <c r="S108" s="2">
        <v>5928.05</v>
      </c>
      <c r="T108" s="2">
        <v>7376.24</v>
      </c>
      <c r="U108" s="2"/>
    </row>
    <row r="109" spans="1:21" x14ac:dyDescent="0.25">
      <c r="A109" t="s">
        <v>61</v>
      </c>
      <c r="B109">
        <v>33.979999999999997</v>
      </c>
      <c r="C109">
        <v>31.4</v>
      </c>
      <c r="D109">
        <v>36.68</v>
      </c>
      <c r="E109">
        <v>34.99</v>
      </c>
      <c r="F109">
        <v>29.66</v>
      </c>
      <c r="G109">
        <v>31.89</v>
      </c>
      <c r="H109">
        <v>40.03</v>
      </c>
      <c r="I109">
        <v>36.130000000000003</v>
      </c>
      <c r="J109">
        <v>31.92</v>
      </c>
      <c r="K109">
        <v>30.14</v>
      </c>
      <c r="L109">
        <v>34.43</v>
      </c>
      <c r="M109">
        <v>33.82</v>
      </c>
      <c r="N109">
        <v>25.32</v>
      </c>
      <c r="O109">
        <v>23.39</v>
      </c>
      <c r="P109">
        <v>18.399999999999999</v>
      </c>
      <c r="Q109">
        <v>15.05</v>
      </c>
    </row>
    <row r="110" spans="1:21" x14ac:dyDescent="0.25">
      <c r="A110" t="s">
        <v>17</v>
      </c>
    </row>
    <row r="111" spans="1:21" x14ac:dyDescent="0.25">
      <c r="A111" t="s">
        <v>91</v>
      </c>
      <c r="B111">
        <v>280.69</v>
      </c>
      <c r="C111">
        <v>408.82</v>
      </c>
      <c r="D111">
        <v>-745.41</v>
      </c>
      <c r="E111">
        <v>130.41</v>
      </c>
      <c r="F111">
        <v>429.7</v>
      </c>
      <c r="G111">
        <v>43.27</v>
      </c>
      <c r="H111">
        <v>-243.36</v>
      </c>
      <c r="I111">
        <v>-258.39</v>
      </c>
      <c r="J111">
        <v>-347.67</v>
      </c>
      <c r="K111">
        <v>238</v>
      </c>
      <c r="L111">
        <v>-567.70000000000005</v>
      </c>
      <c r="M111">
        <v>-720.3</v>
      </c>
      <c r="N111" s="2">
        <v>1322.9</v>
      </c>
      <c r="O111" s="2">
        <v>2420.64</v>
      </c>
      <c r="P111" s="2">
        <v>5134.6099999999997</v>
      </c>
      <c r="Q111" s="2">
        <v>8873.44</v>
      </c>
      <c r="R111" s="2">
        <v>12008.86</v>
      </c>
      <c r="S111" s="2">
        <v>15360.04</v>
      </c>
      <c r="T111" s="2">
        <v>12241.98</v>
      </c>
      <c r="U111" s="2"/>
    </row>
    <row r="112" spans="1:21" x14ac:dyDescent="0.25">
      <c r="A112" t="s">
        <v>92</v>
      </c>
      <c r="B112">
        <v>8.24</v>
      </c>
      <c r="C112">
        <v>11.03</v>
      </c>
      <c r="D112">
        <v>-28.64</v>
      </c>
      <c r="E112">
        <v>5.67</v>
      </c>
      <c r="F112">
        <v>17.84</v>
      </c>
      <c r="G112">
        <v>1.51</v>
      </c>
      <c r="H112">
        <v>-9.02</v>
      </c>
      <c r="I112">
        <v>-8.6999999999999993</v>
      </c>
      <c r="J112">
        <v>-7.79</v>
      </c>
      <c r="K112">
        <v>4.0199999999999996</v>
      </c>
      <c r="L112">
        <v>-10.31</v>
      </c>
      <c r="M112">
        <v>-12.49</v>
      </c>
      <c r="N112">
        <v>16.14</v>
      </c>
      <c r="O112">
        <v>19.66</v>
      </c>
      <c r="P112">
        <v>26.98</v>
      </c>
      <c r="Q112">
        <v>32.89</v>
      </c>
      <c r="R112">
        <v>26.96</v>
      </c>
      <c r="S112">
        <v>27.13</v>
      </c>
      <c r="T112">
        <v>27.25</v>
      </c>
      <c r="U112">
        <v>23.5</v>
      </c>
    </row>
    <row r="113" spans="1:21" x14ac:dyDescent="0.25">
      <c r="A113" t="s">
        <v>17</v>
      </c>
    </row>
    <row r="114" spans="1:21" x14ac:dyDescent="0.25">
      <c r="A114" t="s">
        <v>93</v>
      </c>
      <c r="C114">
        <v>106.25</v>
      </c>
      <c r="D114">
        <v>100.18</v>
      </c>
      <c r="E114">
        <v>107.85</v>
      </c>
      <c r="F114">
        <v>83.49</v>
      </c>
      <c r="G114">
        <v>123.98</v>
      </c>
      <c r="H114">
        <v>156.66</v>
      </c>
      <c r="I114">
        <v>197.91</v>
      </c>
      <c r="J114">
        <v>265.93</v>
      </c>
      <c r="K114">
        <v>304.89999999999998</v>
      </c>
      <c r="L114">
        <v>299.8</v>
      </c>
      <c r="M114">
        <v>304.3</v>
      </c>
      <c r="N114">
        <v>348.6</v>
      </c>
      <c r="O114">
        <v>398.73</v>
      </c>
      <c r="P114">
        <v>475.8</v>
      </c>
      <c r="Q114">
        <v>588.87</v>
      </c>
      <c r="R114">
        <v>603.12</v>
      </c>
      <c r="S114">
        <v>663.94</v>
      </c>
      <c r="T114">
        <v>441.03</v>
      </c>
    </row>
    <row r="115" spans="1:21" x14ac:dyDescent="0.25">
      <c r="A115" t="s">
        <v>396</v>
      </c>
      <c r="B115">
        <v>44.15</v>
      </c>
      <c r="C115">
        <v>13.01</v>
      </c>
      <c r="D115">
        <v>10.1</v>
      </c>
      <c r="E115">
        <v>8.3800000000000008</v>
      </c>
      <c r="F115">
        <v>3.57</v>
      </c>
      <c r="G115">
        <v>183.32</v>
      </c>
      <c r="H115">
        <v>368.08</v>
      </c>
      <c r="I115">
        <v>443.62</v>
      </c>
      <c r="J115">
        <v>979.38</v>
      </c>
      <c r="K115" s="2">
        <v>1087.4000000000001</v>
      </c>
      <c r="L115" s="2">
        <v>1097.9000000000001</v>
      </c>
      <c r="M115" s="2">
        <v>1052.5999999999999</v>
      </c>
      <c r="N115">
        <v>124.7</v>
      </c>
      <c r="O115">
        <v>864.76</v>
      </c>
      <c r="P115" s="2">
        <v>887.28</v>
      </c>
      <c r="Q115" s="2">
        <v>999.57</v>
      </c>
      <c r="R115" s="2">
        <v>576.99</v>
      </c>
      <c r="S115">
        <v>462.5</v>
      </c>
      <c r="T115">
        <v>875</v>
      </c>
    </row>
    <row r="116" spans="1:21" x14ac:dyDescent="0.25">
      <c r="A116" t="s">
        <v>664</v>
      </c>
      <c r="E116">
        <v>8.3800000000000008</v>
      </c>
      <c r="F116">
        <v>3.57</v>
      </c>
      <c r="G116">
        <v>49.15</v>
      </c>
      <c r="H116">
        <v>88.52</v>
      </c>
      <c r="I116">
        <v>105.42</v>
      </c>
      <c r="J116">
        <v>369.9</v>
      </c>
      <c r="K116">
        <v>361.8</v>
      </c>
      <c r="L116">
        <v>349.8</v>
      </c>
      <c r="M116">
        <v>330.9</v>
      </c>
      <c r="N116">
        <v>303</v>
      </c>
      <c r="O116">
        <v>297.87</v>
      </c>
      <c r="P116">
        <v>293.67</v>
      </c>
      <c r="Q116">
        <v>326.83</v>
      </c>
      <c r="R116">
        <v>264.10000000000002</v>
      </c>
      <c r="S116">
        <v>280</v>
      </c>
      <c r="T116">
        <v>280</v>
      </c>
    </row>
    <row r="117" spans="1:21" x14ac:dyDescent="0.25">
      <c r="A117" t="s">
        <v>17</v>
      </c>
    </row>
    <row r="118" spans="1:21" x14ac:dyDescent="0.25">
      <c r="A118" t="s">
        <v>392</v>
      </c>
      <c r="C118">
        <v>-10.199999999999999</v>
      </c>
      <c r="D118">
        <v>-15.28</v>
      </c>
      <c r="E118">
        <v>-12.83</v>
      </c>
      <c r="F118">
        <v>-16.7</v>
      </c>
      <c r="G118">
        <v>48.44</v>
      </c>
      <c r="H118">
        <v>80.819999999999993</v>
      </c>
      <c r="I118">
        <v>66.67</v>
      </c>
      <c r="J118">
        <v>138.59</v>
      </c>
      <c r="K118">
        <v>165.3</v>
      </c>
      <c r="L118">
        <v>202.9</v>
      </c>
      <c r="M118">
        <v>174.4</v>
      </c>
      <c r="N118" s="2">
        <v>-1723.7</v>
      </c>
      <c r="O118">
        <v>420.6</v>
      </c>
      <c r="P118">
        <v>174.19</v>
      </c>
      <c r="Q118">
        <v>220.21</v>
      </c>
      <c r="R118">
        <v>50.24</v>
      </c>
      <c r="S118" s="2">
        <v>146.33000000000001</v>
      </c>
      <c r="T118">
        <v>200</v>
      </c>
    </row>
    <row r="119" spans="1:21" x14ac:dyDescent="0.25">
      <c r="A119" t="s">
        <v>97</v>
      </c>
      <c r="C119">
        <v>11.37</v>
      </c>
      <c r="D119">
        <v>15.98</v>
      </c>
      <c r="E119">
        <v>13.2</v>
      </c>
      <c r="F119">
        <v>17.38</v>
      </c>
      <c r="G119">
        <v>11.93</v>
      </c>
      <c r="H119">
        <v>4.82</v>
      </c>
      <c r="I119">
        <v>2.6</v>
      </c>
      <c r="J119">
        <v>0.75</v>
      </c>
      <c r="K119">
        <v>5.3</v>
      </c>
      <c r="L119">
        <v>8.8000000000000007</v>
      </c>
      <c r="M119">
        <v>15</v>
      </c>
      <c r="N119" s="2">
        <v>1926.3</v>
      </c>
      <c r="O119">
        <v>-108.38</v>
      </c>
      <c r="P119">
        <v>154.62</v>
      </c>
      <c r="Q119">
        <v>333.26</v>
      </c>
      <c r="S119" s="2"/>
    </row>
    <row r="120" spans="1:21" x14ac:dyDescent="0.25">
      <c r="A120" t="s">
        <v>95</v>
      </c>
      <c r="E120">
        <v>-17.02</v>
      </c>
      <c r="F120">
        <v>-17.489999999999998</v>
      </c>
      <c r="G120">
        <v>43.67</v>
      </c>
      <c r="H120">
        <v>78.87</v>
      </c>
      <c r="I120">
        <v>57.88</v>
      </c>
      <c r="J120">
        <v>119.2</v>
      </c>
      <c r="K120">
        <v>160.9</v>
      </c>
      <c r="L120">
        <v>204.9</v>
      </c>
      <c r="M120">
        <v>183.7</v>
      </c>
      <c r="N120">
        <v>151.4</v>
      </c>
      <c r="O120">
        <v>142.54</v>
      </c>
      <c r="P120">
        <v>166.06</v>
      </c>
      <c r="Q120">
        <v>162.66999999999999</v>
      </c>
      <c r="R120">
        <v>-65.010000000000005</v>
      </c>
      <c r="S120">
        <v>220</v>
      </c>
      <c r="T120">
        <v>220</v>
      </c>
    </row>
    <row r="121" spans="1:21" x14ac:dyDescent="0.25">
      <c r="A121" t="s">
        <v>100</v>
      </c>
      <c r="B121">
        <v>306.26</v>
      </c>
      <c r="C121">
        <v>432.15</v>
      </c>
      <c r="D121">
        <v>-727.73</v>
      </c>
      <c r="E121">
        <v>147.43</v>
      </c>
      <c r="F121">
        <v>451.2</v>
      </c>
      <c r="G121">
        <v>-4.6500000000000004</v>
      </c>
      <c r="H121">
        <v>798.38</v>
      </c>
      <c r="I121">
        <v>-322.17</v>
      </c>
      <c r="J121">
        <v>-483.5</v>
      </c>
      <c r="K121">
        <v>85.1</v>
      </c>
      <c r="L121">
        <v>-758.7</v>
      </c>
      <c r="M121">
        <v>-894.7</v>
      </c>
      <c r="N121" s="2">
        <v>3046.6</v>
      </c>
      <c r="O121" s="2">
        <v>2037.2</v>
      </c>
      <c r="P121" s="2">
        <v>4925.51</v>
      </c>
      <c r="Q121" s="2">
        <v>8516.2099999999991</v>
      </c>
      <c r="R121" s="2">
        <v>9296.1299999999992</v>
      </c>
      <c r="S121" s="2">
        <v>10692.08</v>
      </c>
      <c r="T121" s="2">
        <v>12041.98</v>
      </c>
      <c r="U121" s="2"/>
    </row>
    <row r="122" spans="1:21" x14ac:dyDescent="0.25">
      <c r="A122" t="s">
        <v>83</v>
      </c>
      <c r="B122">
        <v>9</v>
      </c>
      <c r="C122">
        <v>11.66</v>
      </c>
      <c r="D122">
        <v>-27.96</v>
      </c>
      <c r="E122">
        <v>6.41</v>
      </c>
      <c r="F122">
        <v>18.73</v>
      </c>
      <c r="G122">
        <v>-0.16</v>
      </c>
      <c r="H122">
        <v>29.58</v>
      </c>
      <c r="I122">
        <v>-10.85</v>
      </c>
      <c r="J122">
        <v>-10.83</v>
      </c>
      <c r="K122">
        <v>1.44</v>
      </c>
      <c r="L122">
        <v>-13.78</v>
      </c>
      <c r="M122">
        <v>-15.51</v>
      </c>
      <c r="N122">
        <v>37.18</v>
      </c>
      <c r="O122">
        <v>15.79</v>
      </c>
      <c r="P122">
        <v>26.98</v>
      </c>
      <c r="Q122">
        <v>32.56</v>
      </c>
    </row>
    <row r="123" spans="1:21" x14ac:dyDescent="0.25">
      <c r="A123" t="s">
        <v>17</v>
      </c>
    </row>
    <row r="124" spans="1:21" x14ac:dyDescent="0.25">
      <c r="A124" t="s">
        <v>101</v>
      </c>
      <c r="B124">
        <v>-9.06</v>
      </c>
      <c r="C124">
        <v>-3.19</v>
      </c>
      <c r="D124">
        <v>10.72</v>
      </c>
      <c r="E124">
        <v>72.61</v>
      </c>
      <c r="F124">
        <v>18.059999999999999</v>
      </c>
      <c r="G124">
        <v>174.45</v>
      </c>
      <c r="H124">
        <v>-786.01</v>
      </c>
      <c r="I124">
        <v>-44.87</v>
      </c>
      <c r="J124">
        <v>-62.46</v>
      </c>
      <c r="K124">
        <v>248.6</v>
      </c>
      <c r="L124">
        <v>174.7</v>
      </c>
      <c r="M124">
        <v>-9.6999999999999993</v>
      </c>
      <c r="N124">
        <v>376.5</v>
      </c>
      <c r="O124">
        <v>358.12</v>
      </c>
      <c r="P124">
        <v>748.67</v>
      </c>
      <c r="Q124" s="2">
        <v>1332.94</v>
      </c>
      <c r="R124" s="2">
        <v>1933.44</v>
      </c>
      <c r="S124" s="2">
        <v>2616.0100000000002</v>
      </c>
      <c r="T124" s="2">
        <v>1924.59</v>
      </c>
    </row>
    <row r="125" spans="1:21" x14ac:dyDescent="0.25">
      <c r="A125" t="s">
        <v>102</v>
      </c>
      <c r="E125">
        <v>49.25</v>
      </c>
      <c r="F125">
        <v>4</v>
      </c>
      <c r="J125">
        <v>21</v>
      </c>
      <c r="K125">
        <v>292.13</v>
      </c>
      <c r="L125">
        <v>21</v>
      </c>
      <c r="N125">
        <v>12.36</v>
      </c>
      <c r="O125">
        <v>14.47</v>
      </c>
      <c r="P125">
        <v>12.14</v>
      </c>
      <c r="Q125">
        <v>12.54</v>
      </c>
      <c r="R125">
        <v>16.079999999999998</v>
      </c>
      <c r="S125">
        <v>16.02</v>
      </c>
      <c r="T125">
        <v>15.98</v>
      </c>
    </row>
    <row r="126" spans="1:21" x14ac:dyDescent="0.25">
      <c r="A126" t="s">
        <v>17</v>
      </c>
    </row>
    <row r="127" spans="1:21" x14ac:dyDescent="0.25">
      <c r="A127" t="s">
        <v>106</v>
      </c>
      <c r="B127">
        <v>324.82</v>
      </c>
      <c r="C127">
        <v>435.35</v>
      </c>
      <c r="D127">
        <v>-811.4</v>
      </c>
      <c r="E127">
        <v>43.99</v>
      </c>
      <c r="F127">
        <v>608.52</v>
      </c>
      <c r="G127">
        <v>-179.09</v>
      </c>
      <c r="H127" s="2">
        <v>1584.39</v>
      </c>
      <c r="I127">
        <v>-277.3</v>
      </c>
      <c r="J127">
        <v>-421.03</v>
      </c>
      <c r="K127">
        <v>-163.5</v>
      </c>
      <c r="L127">
        <v>-933.4</v>
      </c>
      <c r="M127" s="2">
        <v>-885</v>
      </c>
      <c r="N127" s="2">
        <v>2670.1</v>
      </c>
      <c r="O127" s="2">
        <v>1754.35</v>
      </c>
      <c r="P127" s="2">
        <v>4321.1899999999996</v>
      </c>
      <c r="Q127" s="2">
        <v>7389.88</v>
      </c>
      <c r="R127" s="2">
        <v>10872.75</v>
      </c>
      <c r="S127" s="2">
        <v>14148.33</v>
      </c>
      <c r="T127" s="2">
        <v>10117</v>
      </c>
      <c r="U127" s="2"/>
    </row>
    <row r="128" spans="1:21" x14ac:dyDescent="0.25">
      <c r="A128" t="s">
        <v>83</v>
      </c>
      <c r="B128">
        <v>9.26</v>
      </c>
      <c r="C128">
        <v>11.74</v>
      </c>
      <c r="D128">
        <v>-31.18</v>
      </c>
      <c r="E128">
        <v>0.92</v>
      </c>
      <c r="F128">
        <v>21.62</v>
      </c>
      <c r="G128">
        <v>-6.25</v>
      </c>
      <c r="H128">
        <v>58.7</v>
      </c>
      <c r="I128">
        <v>-9.34</v>
      </c>
      <c r="J128">
        <v>-9.44</v>
      </c>
      <c r="K128">
        <v>-2.76</v>
      </c>
      <c r="L128">
        <v>-16.95</v>
      </c>
      <c r="M128">
        <v>-15.35</v>
      </c>
      <c r="N128">
        <v>32.58</v>
      </c>
      <c r="O128">
        <v>13.58</v>
      </c>
      <c r="P128">
        <v>23.16</v>
      </c>
      <c r="Q128">
        <v>27.62</v>
      </c>
      <c r="R128">
        <v>30.5</v>
      </c>
      <c r="S128">
        <v>31.7</v>
      </c>
      <c r="T128">
        <v>25.62</v>
      </c>
    </row>
    <row r="129" spans="1:21" x14ac:dyDescent="0.25">
      <c r="A129" t="s">
        <v>17</v>
      </c>
    </row>
    <row r="130" spans="1:21" x14ac:dyDescent="0.25">
      <c r="A130" t="s">
        <v>108</v>
      </c>
      <c r="B130">
        <v>496.52</v>
      </c>
      <c r="C130">
        <v>511.09</v>
      </c>
      <c r="D130">
        <v>510.95</v>
      </c>
      <c r="E130">
        <v>509.74</v>
      </c>
      <c r="F130">
        <v>498.01</v>
      </c>
      <c r="G130">
        <v>591.23</v>
      </c>
      <c r="H130">
        <v>664.71</v>
      </c>
      <c r="I130">
        <v>668.77</v>
      </c>
      <c r="J130">
        <v>796.86</v>
      </c>
      <c r="K130">
        <v>851.4</v>
      </c>
      <c r="L130">
        <v>861.3</v>
      </c>
      <c r="M130">
        <v>865.5</v>
      </c>
      <c r="N130">
        <v>861</v>
      </c>
      <c r="O130">
        <v>893.53</v>
      </c>
      <c r="P130">
        <v>899.42</v>
      </c>
      <c r="Q130">
        <v>897.43</v>
      </c>
      <c r="R130">
        <v>840.18</v>
      </c>
      <c r="S130">
        <v>835.77</v>
      </c>
      <c r="T130">
        <v>831.36</v>
      </c>
    </row>
    <row r="131" spans="1:21" x14ac:dyDescent="0.25">
      <c r="A131" t="s">
        <v>888</v>
      </c>
      <c r="B131">
        <v>0.64</v>
      </c>
      <c r="C131">
        <v>0.85</v>
      </c>
      <c r="D131">
        <v>-1.59</v>
      </c>
      <c r="E131">
        <v>0.04</v>
      </c>
      <c r="F131">
        <v>1.05</v>
      </c>
      <c r="G131">
        <v>-0.3</v>
      </c>
      <c r="H131">
        <v>2.38</v>
      </c>
      <c r="I131">
        <v>-0.41</v>
      </c>
      <c r="J131">
        <v>-0.53</v>
      </c>
      <c r="K131">
        <v>-0.19</v>
      </c>
      <c r="L131">
        <v>-1.08</v>
      </c>
      <c r="M131">
        <v>-1.02</v>
      </c>
      <c r="N131">
        <v>3.1</v>
      </c>
    </row>
    <row r="132" spans="1:21" x14ac:dyDescent="0.25">
      <c r="A132" t="s">
        <v>17</v>
      </c>
    </row>
    <row r="133" spans="1:21" x14ac:dyDescent="0.25">
      <c r="A133" t="s">
        <v>109</v>
      </c>
      <c r="B133">
        <v>504.41</v>
      </c>
      <c r="C133">
        <v>520.76</v>
      </c>
      <c r="D133">
        <v>510.95</v>
      </c>
      <c r="E133">
        <v>517.51</v>
      </c>
      <c r="F133">
        <v>509.67</v>
      </c>
      <c r="G133">
        <v>591.23</v>
      </c>
      <c r="H133">
        <v>676.09</v>
      </c>
      <c r="I133">
        <v>668.77</v>
      </c>
      <c r="J133">
        <v>796.86</v>
      </c>
      <c r="K133">
        <v>851.4</v>
      </c>
      <c r="L133">
        <v>861.3</v>
      </c>
      <c r="M133">
        <v>865.5</v>
      </c>
      <c r="N133">
        <v>869.7</v>
      </c>
      <c r="O133">
        <v>905.61</v>
      </c>
      <c r="P133">
        <v>890.42</v>
      </c>
      <c r="Q133">
        <v>912.25</v>
      </c>
      <c r="R133">
        <v>870.22</v>
      </c>
      <c r="S133">
        <v>835.48</v>
      </c>
      <c r="T133">
        <v>839.56</v>
      </c>
    </row>
    <row r="134" spans="1:21" x14ac:dyDescent="0.25">
      <c r="A134" t="s">
        <v>110</v>
      </c>
      <c r="B134">
        <v>0.64</v>
      </c>
      <c r="C134">
        <v>0.84</v>
      </c>
      <c r="D134">
        <v>-1.59</v>
      </c>
      <c r="E134">
        <v>0.09</v>
      </c>
      <c r="F134">
        <v>0.85</v>
      </c>
      <c r="G134">
        <v>-0.3</v>
      </c>
      <c r="H134">
        <v>2.34</v>
      </c>
      <c r="I134">
        <v>-0.41</v>
      </c>
      <c r="J134">
        <v>-0.53</v>
      </c>
      <c r="K134">
        <v>-0.19</v>
      </c>
      <c r="L134">
        <v>-1.08</v>
      </c>
      <c r="M134">
        <v>-1.02</v>
      </c>
      <c r="N134">
        <v>3.07</v>
      </c>
      <c r="O134">
        <v>2.0099999999999998</v>
      </c>
      <c r="P134">
        <v>4.82</v>
      </c>
      <c r="Q134">
        <v>8.07</v>
      </c>
      <c r="R134">
        <v>11.59</v>
      </c>
      <c r="S134">
        <v>15.1</v>
      </c>
      <c r="T134">
        <v>12.05</v>
      </c>
    </row>
    <row r="135" spans="1:21" x14ac:dyDescent="0.25">
      <c r="A135" t="s">
        <v>17</v>
      </c>
    </row>
    <row r="136" spans="1:21" x14ac:dyDescent="0.25">
      <c r="A136" t="s">
        <v>111</v>
      </c>
    </row>
    <row r="137" spans="1:21" x14ac:dyDescent="0.25">
      <c r="A137" t="s">
        <v>63</v>
      </c>
      <c r="B137" s="2">
        <v>1763.99</v>
      </c>
      <c r="C137" s="2">
        <v>1871.93</v>
      </c>
      <c r="D137" s="2">
        <v>1310.07</v>
      </c>
      <c r="E137" s="2">
        <v>1291.76</v>
      </c>
      <c r="F137" s="2">
        <v>1479.59</v>
      </c>
      <c r="G137" s="2">
        <v>1830.96</v>
      </c>
      <c r="H137" s="2">
        <v>1707.99</v>
      </c>
      <c r="I137" s="2">
        <v>1878.15</v>
      </c>
      <c r="J137" s="2">
        <v>2898.31</v>
      </c>
      <c r="K137" s="2">
        <v>3817.4</v>
      </c>
      <c r="L137" s="2">
        <v>3370.9</v>
      </c>
      <c r="M137" s="2">
        <v>3520.6</v>
      </c>
      <c r="N137" s="2">
        <v>4871.8</v>
      </c>
      <c r="O137" s="2">
        <v>7029.48</v>
      </c>
      <c r="P137" s="2">
        <v>10548.36</v>
      </c>
      <c r="Q137" s="2">
        <v>15400.61</v>
      </c>
      <c r="R137" s="2">
        <v>18737.830000000002</v>
      </c>
      <c r="S137" s="2">
        <v>22689.64</v>
      </c>
      <c r="T137" s="2">
        <v>22506.16</v>
      </c>
      <c r="U137" s="2"/>
    </row>
    <row r="138" spans="1:21" x14ac:dyDescent="0.25">
      <c r="A138" t="s">
        <v>64</v>
      </c>
      <c r="B138">
        <v>51.8</v>
      </c>
      <c r="C138">
        <v>50.5</v>
      </c>
      <c r="D138">
        <v>49</v>
      </c>
      <c r="E138">
        <v>55.94</v>
      </c>
      <c r="F138">
        <v>61.4</v>
      </c>
      <c r="G138">
        <v>63.9</v>
      </c>
      <c r="H138">
        <v>63.3</v>
      </c>
      <c r="I138">
        <v>63.3</v>
      </c>
      <c r="J138">
        <v>64.900000000000006</v>
      </c>
      <c r="K138">
        <v>64.5</v>
      </c>
      <c r="L138">
        <v>61.2</v>
      </c>
      <c r="M138">
        <v>61</v>
      </c>
      <c r="N138">
        <v>59.5</v>
      </c>
      <c r="O138">
        <v>58.37</v>
      </c>
      <c r="P138">
        <v>57.67</v>
      </c>
      <c r="Q138">
        <v>56.89</v>
      </c>
      <c r="R138">
        <v>56.79</v>
      </c>
      <c r="S138">
        <v>56.5</v>
      </c>
      <c r="T138">
        <v>57</v>
      </c>
    </row>
    <row r="139" spans="1:21" x14ac:dyDescent="0.25">
      <c r="A139" t="s">
        <v>87</v>
      </c>
      <c r="B139" s="2"/>
      <c r="D139" s="2">
        <v>1102.0999999999999</v>
      </c>
      <c r="E139">
        <v>953.24</v>
      </c>
      <c r="F139">
        <v>855.87</v>
      </c>
      <c r="G139" s="2">
        <v>1041.05</v>
      </c>
      <c r="H139" s="2">
        <v>1164.05</v>
      </c>
      <c r="I139" s="2">
        <v>1159.8399999999999</v>
      </c>
      <c r="J139" s="2">
        <v>1433.06</v>
      </c>
      <c r="K139" s="2">
        <v>1718</v>
      </c>
      <c r="L139" s="2">
        <v>1772.2</v>
      </c>
      <c r="M139" s="2">
        <v>1855.9</v>
      </c>
      <c r="N139" s="2">
        <v>1980.8</v>
      </c>
      <c r="O139" s="2">
        <v>2554.39</v>
      </c>
      <c r="P139" s="2">
        <v>3234.58</v>
      </c>
      <c r="Q139" s="2">
        <v>4079.35</v>
      </c>
      <c r="R139" s="2">
        <v>4615.2</v>
      </c>
      <c r="S139" s="2">
        <v>5599.79</v>
      </c>
      <c r="T139" s="2">
        <v>6712.36</v>
      </c>
      <c r="U139" s="2"/>
    </row>
    <row r="140" spans="1:21" x14ac:dyDescent="0.25">
      <c r="A140" t="s">
        <v>114</v>
      </c>
      <c r="B140" s="2">
        <v>1042.22</v>
      </c>
      <c r="C140" s="2">
        <v>1064.3800000000001</v>
      </c>
      <c r="D140">
        <v>945.95</v>
      </c>
      <c r="G140" s="2"/>
      <c r="H140" s="2">
        <v>1080.3900000000001</v>
      </c>
      <c r="M140" s="2"/>
      <c r="N140" s="2">
        <v>1665.6</v>
      </c>
      <c r="O140" s="2">
        <v>2124.96</v>
      </c>
      <c r="P140" s="2">
        <v>2634.32</v>
      </c>
      <c r="Q140" s="2">
        <v>3163.7</v>
      </c>
      <c r="R140" s="2">
        <v>3967.26</v>
      </c>
      <c r="S140" s="2">
        <v>4958.95</v>
      </c>
      <c r="T140" s="2">
        <v>5527.83</v>
      </c>
      <c r="U140" s="2"/>
    </row>
    <row r="141" spans="1:21" x14ac:dyDescent="0.25">
      <c r="A141" t="s">
        <v>116</v>
      </c>
      <c r="B141">
        <v>502.67</v>
      </c>
      <c r="C141">
        <v>559.84</v>
      </c>
      <c r="D141" s="2">
        <v>177.14</v>
      </c>
      <c r="E141">
        <v>319.86</v>
      </c>
      <c r="F141">
        <v>623.71</v>
      </c>
      <c r="G141">
        <v>789.9</v>
      </c>
      <c r="H141">
        <v>543.94000000000005</v>
      </c>
      <c r="I141">
        <v>718.31</v>
      </c>
      <c r="J141" s="2">
        <v>1465.25</v>
      </c>
      <c r="K141" s="2">
        <v>2099.4</v>
      </c>
      <c r="L141" s="2">
        <v>1598.7</v>
      </c>
      <c r="M141" s="2">
        <v>1664.7</v>
      </c>
      <c r="N141" s="2">
        <v>2891</v>
      </c>
      <c r="O141" s="2">
        <v>4470.09</v>
      </c>
      <c r="P141" s="2">
        <v>7092.55</v>
      </c>
      <c r="Q141" s="2">
        <v>10976.5</v>
      </c>
      <c r="R141" s="2">
        <v>14122.5</v>
      </c>
      <c r="S141" s="2">
        <v>17044</v>
      </c>
      <c r="T141" s="2">
        <v>15794</v>
      </c>
      <c r="U141" s="2"/>
    </row>
    <row r="142" spans="1:21" x14ac:dyDescent="0.25">
      <c r="A142" t="s">
        <v>269</v>
      </c>
      <c r="E142">
        <v>14.7</v>
      </c>
      <c r="F142">
        <v>25.9</v>
      </c>
      <c r="G142">
        <v>27.6</v>
      </c>
      <c r="H142">
        <v>20.2</v>
      </c>
      <c r="I142">
        <v>24.2</v>
      </c>
      <c r="J142">
        <v>32.799999999999997</v>
      </c>
      <c r="K142">
        <v>35.5</v>
      </c>
      <c r="L142">
        <v>29</v>
      </c>
      <c r="M142">
        <v>28.9</v>
      </c>
      <c r="N142">
        <v>35.299999999999997</v>
      </c>
      <c r="O142">
        <v>37.15</v>
      </c>
      <c r="P142">
        <v>40.06</v>
      </c>
      <c r="Q142">
        <v>41.86</v>
      </c>
      <c r="R142">
        <v>42.74</v>
      </c>
      <c r="S142">
        <v>42.24</v>
      </c>
      <c r="T142">
        <v>40</v>
      </c>
    </row>
    <row r="143" spans="1:21" x14ac:dyDescent="0.25">
      <c r="A143" t="s">
        <v>117</v>
      </c>
      <c r="B143">
        <v>605.28</v>
      </c>
      <c r="C143">
        <v>666.09</v>
      </c>
      <c r="D143" s="2">
        <v>277.32</v>
      </c>
      <c r="E143">
        <v>427.71</v>
      </c>
      <c r="F143">
        <v>707.2</v>
      </c>
      <c r="G143">
        <v>913.89</v>
      </c>
      <c r="H143">
        <v>700.6</v>
      </c>
      <c r="I143">
        <v>916.22</v>
      </c>
      <c r="J143" s="2">
        <v>1731.19</v>
      </c>
      <c r="K143" s="2">
        <v>2404.3000000000002</v>
      </c>
      <c r="L143" s="2">
        <v>2072</v>
      </c>
      <c r="M143" s="2">
        <v>1969</v>
      </c>
      <c r="N143" s="2">
        <v>3239.6</v>
      </c>
      <c r="O143" s="2">
        <v>4871.45</v>
      </c>
      <c r="P143" s="2">
        <v>7440</v>
      </c>
      <c r="Q143" s="2">
        <v>11280.31</v>
      </c>
      <c r="R143" s="2">
        <v>13462</v>
      </c>
      <c r="S143" s="2">
        <v>14604</v>
      </c>
      <c r="T143" s="2">
        <v>16235</v>
      </c>
      <c r="U143" s="2"/>
    </row>
    <row r="144" spans="1:21" x14ac:dyDescent="0.25">
      <c r="A144" t="s">
        <v>397</v>
      </c>
      <c r="C144">
        <v>1.17</v>
      </c>
      <c r="D144">
        <v>0.71</v>
      </c>
      <c r="E144">
        <v>0.37</v>
      </c>
      <c r="F144">
        <v>0.69</v>
      </c>
      <c r="G144">
        <v>60.36</v>
      </c>
      <c r="H144">
        <v>85.63</v>
      </c>
      <c r="I144">
        <v>69.260000000000005</v>
      </c>
      <c r="J144">
        <v>139.34</v>
      </c>
      <c r="K144">
        <v>170.6</v>
      </c>
      <c r="L144">
        <v>211.7</v>
      </c>
      <c r="M144">
        <v>189.4</v>
      </c>
      <c r="N144">
        <v>202.6</v>
      </c>
      <c r="O144">
        <v>225.89</v>
      </c>
      <c r="P144">
        <v>228.02</v>
      </c>
      <c r="Q144">
        <v>213.16</v>
      </c>
      <c r="R144">
        <v>-268.04000000000002</v>
      </c>
    </row>
    <row r="145" spans="1:21" x14ac:dyDescent="0.25">
      <c r="A145" t="s">
        <v>119</v>
      </c>
      <c r="B145">
        <v>521.26</v>
      </c>
      <c r="C145">
        <v>583.17999999999995</v>
      </c>
      <c r="D145" s="2">
        <v>194.83</v>
      </c>
      <c r="E145">
        <v>336.88</v>
      </c>
      <c r="F145">
        <v>641.20000000000005</v>
      </c>
      <c r="G145">
        <v>746.24</v>
      </c>
      <c r="H145">
        <v>465.07</v>
      </c>
      <c r="I145">
        <v>660.43</v>
      </c>
      <c r="J145" s="2">
        <v>1346.06</v>
      </c>
      <c r="K145" s="2">
        <v>1938.6</v>
      </c>
      <c r="L145" s="2">
        <v>1393.8</v>
      </c>
      <c r="M145" s="2">
        <v>1481</v>
      </c>
      <c r="N145" s="2">
        <v>3353.6</v>
      </c>
      <c r="O145" s="2">
        <v>4331.8599999999997</v>
      </c>
      <c r="P145" s="2">
        <v>6797.32</v>
      </c>
      <c r="Q145" s="2">
        <v>10823.72</v>
      </c>
      <c r="R145" s="2">
        <v>14135.25</v>
      </c>
      <c r="S145" s="2">
        <v>16907.5</v>
      </c>
      <c r="T145" s="2">
        <v>15574</v>
      </c>
      <c r="U145" s="2"/>
    </row>
    <row r="146" spans="1:21" x14ac:dyDescent="0.25">
      <c r="A146" t="s">
        <v>1600</v>
      </c>
      <c r="D146">
        <v>11.51</v>
      </c>
      <c r="E146">
        <v>66.92</v>
      </c>
      <c r="F146">
        <v>-7.59</v>
      </c>
      <c r="G146">
        <v>144.59</v>
      </c>
      <c r="H146">
        <v>-806.94</v>
      </c>
      <c r="I146">
        <v>-77.89</v>
      </c>
      <c r="J146">
        <v>-129.76</v>
      </c>
      <c r="K146">
        <v>132.30000000000001</v>
      </c>
      <c r="L146">
        <v>91</v>
      </c>
      <c r="M146">
        <v>-113.4</v>
      </c>
      <c r="N146">
        <v>102.5</v>
      </c>
      <c r="O146">
        <v>-116.78</v>
      </c>
      <c r="P146">
        <v>-146.76</v>
      </c>
      <c r="Q146">
        <v>-178.19</v>
      </c>
      <c r="R146">
        <v>-100</v>
      </c>
      <c r="S146">
        <v>-100</v>
      </c>
      <c r="T146">
        <v>-100</v>
      </c>
    </row>
    <row r="147" spans="1:21" x14ac:dyDescent="0.25">
      <c r="A147" t="s">
        <v>102</v>
      </c>
      <c r="H147">
        <v>4.5</v>
      </c>
      <c r="I147">
        <v>5</v>
      </c>
      <c r="J147">
        <v>5</v>
      </c>
      <c r="K147">
        <v>6</v>
      </c>
      <c r="L147">
        <v>6</v>
      </c>
      <c r="M147">
        <v>7</v>
      </c>
      <c r="N147">
        <v>10</v>
      </c>
      <c r="O147">
        <v>10.59</v>
      </c>
      <c r="P147">
        <v>13</v>
      </c>
      <c r="Q147">
        <v>13.29</v>
      </c>
      <c r="R147">
        <v>13.5</v>
      </c>
      <c r="S147">
        <v>13.67</v>
      </c>
      <c r="T147">
        <v>13</v>
      </c>
    </row>
    <row r="148" spans="1:21" x14ac:dyDescent="0.25">
      <c r="A148" t="s">
        <v>1601</v>
      </c>
      <c r="B148">
        <v>530.33000000000004</v>
      </c>
      <c r="C148">
        <v>611.44000000000005</v>
      </c>
      <c r="D148" s="2">
        <v>193.99</v>
      </c>
      <c r="E148">
        <v>330.78</v>
      </c>
      <c r="F148">
        <v>615.54999999999995</v>
      </c>
      <c r="G148">
        <v>716.38</v>
      </c>
      <c r="H148" s="2">
        <v>1826.6</v>
      </c>
      <c r="I148">
        <v>627.41</v>
      </c>
      <c r="J148" s="2">
        <v>1278.75</v>
      </c>
      <c r="K148" s="2">
        <v>1822.2</v>
      </c>
      <c r="L148" s="2">
        <v>1310.0999999999999</v>
      </c>
      <c r="M148" s="2">
        <v>1377.3</v>
      </c>
      <c r="N148" s="2">
        <v>2465.6</v>
      </c>
      <c r="O148" s="2">
        <v>3840.53</v>
      </c>
      <c r="P148" s="2">
        <v>6239.73</v>
      </c>
      <c r="Q148" s="2">
        <v>9677.2900000000009</v>
      </c>
      <c r="R148" s="2">
        <v>12883.2</v>
      </c>
      <c r="S148" s="2">
        <v>16601</v>
      </c>
      <c r="T148" s="2">
        <v>13549</v>
      </c>
      <c r="U148" s="2"/>
    </row>
    <row r="149" spans="1:21" x14ac:dyDescent="0.25">
      <c r="A149" t="s">
        <v>122</v>
      </c>
      <c r="B149">
        <v>15.58</v>
      </c>
      <c r="C149">
        <v>16.489999999999998</v>
      </c>
      <c r="D149">
        <v>8.68</v>
      </c>
      <c r="E149">
        <v>15.2</v>
      </c>
      <c r="F149">
        <v>25.55</v>
      </c>
      <c r="G149">
        <v>25</v>
      </c>
      <c r="H149">
        <v>16.45</v>
      </c>
      <c r="I149">
        <v>21.13</v>
      </c>
      <c r="J149">
        <v>28.66</v>
      </c>
      <c r="K149">
        <v>30.78</v>
      </c>
      <c r="L149">
        <v>23.79</v>
      </c>
      <c r="M149">
        <v>23.88</v>
      </c>
      <c r="N149">
        <v>30.09</v>
      </c>
      <c r="O149">
        <v>31.77</v>
      </c>
      <c r="P149">
        <v>34.19</v>
      </c>
      <c r="Q149">
        <v>36.33</v>
      </c>
      <c r="R149">
        <v>38.950000000000003</v>
      </c>
      <c r="S149">
        <v>39.9</v>
      </c>
    </row>
    <row r="150" spans="1:21" x14ac:dyDescent="0.25">
      <c r="A150" t="s">
        <v>1602</v>
      </c>
      <c r="B150">
        <v>518.92999999999995</v>
      </c>
      <c r="C150">
        <v>532.36</v>
      </c>
      <c r="D150">
        <v>526.29</v>
      </c>
      <c r="E150">
        <v>527.20000000000005</v>
      </c>
      <c r="F150">
        <v>516.79</v>
      </c>
      <c r="G150">
        <v>591.23</v>
      </c>
      <c r="H150">
        <v>676.09</v>
      </c>
      <c r="I150">
        <v>679.94</v>
      </c>
      <c r="J150">
        <v>813.09</v>
      </c>
      <c r="K150">
        <v>859.2</v>
      </c>
      <c r="L150">
        <v>869.3</v>
      </c>
      <c r="M150">
        <v>876.8</v>
      </c>
      <c r="N150">
        <v>869.7</v>
      </c>
      <c r="O150">
        <v>886.45</v>
      </c>
      <c r="P150">
        <v>891.75</v>
      </c>
      <c r="Q150">
        <v>913.83</v>
      </c>
      <c r="R150">
        <v>897.75</v>
      </c>
      <c r="S150">
        <v>874</v>
      </c>
    </row>
    <row r="151" spans="1:21" x14ac:dyDescent="0.25">
      <c r="A151" t="s">
        <v>124</v>
      </c>
      <c r="B151">
        <v>1.02</v>
      </c>
      <c r="C151">
        <v>1.1499999999999999</v>
      </c>
      <c r="D151">
        <v>0.37</v>
      </c>
      <c r="E151">
        <v>0.63</v>
      </c>
      <c r="F151">
        <v>1.19</v>
      </c>
      <c r="G151">
        <v>1.19</v>
      </c>
      <c r="H151">
        <v>2.7</v>
      </c>
      <c r="I151">
        <v>0.92</v>
      </c>
      <c r="J151">
        <v>1.57</v>
      </c>
      <c r="K151">
        <v>2.12</v>
      </c>
      <c r="L151">
        <v>1.51</v>
      </c>
      <c r="M151">
        <v>1.57</v>
      </c>
      <c r="N151">
        <v>2.84</v>
      </c>
      <c r="O151">
        <v>4.21</v>
      </c>
      <c r="P151">
        <v>6.81</v>
      </c>
      <c r="Q151">
        <v>10.67</v>
      </c>
      <c r="R151">
        <v>14.47</v>
      </c>
      <c r="S151">
        <v>18.2</v>
      </c>
      <c r="T151">
        <v>16.14</v>
      </c>
    </row>
    <row r="152" spans="1:21" x14ac:dyDescent="0.25">
      <c r="A152" t="s">
        <v>1603</v>
      </c>
      <c r="B152">
        <v>0.24</v>
      </c>
      <c r="C152">
        <v>0.24</v>
      </c>
      <c r="D152">
        <v>0.24</v>
      </c>
      <c r="E152">
        <v>0.24</v>
      </c>
      <c r="F152">
        <v>0.24</v>
      </c>
      <c r="G152">
        <v>0.24</v>
      </c>
      <c r="H152">
        <v>0.24</v>
      </c>
      <c r="I152">
        <v>0.24</v>
      </c>
      <c r="J152">
        <v>0.24</v>
      </c>
      <c r="K152">
        <v>0.24</v>
      </c>
      <c r="L152">
        <v>0.24</v>
      </c>
      <c r="M152">
        <v>0.24</v>
      </c>
      <c r="N152">
        <v>0.24</v>
      </c>
      <c r="O152">
        <v>0.24</v>
      </c>
      <c r="P152">
        <v>0.25</v>
      </c>
      <c r="Q152">
        <v>0.28000000000000003</v>
      </c>
      <c r="R152">
        <v>0.24</v>
      </c>
      <c r="S152">
        <v>0.24</v>
      </c>
      <c r="T152">
        <v>0.24</v>
      </c>
    </row>
    <row r="153" spans="1:21" x14ac:dyDescent="0.25">
      <c r="A153" t="s">
        <v>17</v>
      </c>
    </row>
    <row r="154" spans="1:21" x14ac:dyDescent="0.25">
      <c r="A154" t="s">
        <v>125</v>
      </c>
    </row>
    <row r="155" spans="1:21" x14ac:dyDescent="0.25">
      <c r="A155" t="s">
        <v>67</v>
      </c>
      <c r="B155">
        <v>155.87</v>
      </c>
      <c r="C155">
        <v>137.25</v>
      </c>
      <c r="D155">
        <v>125.96</v>
      </c>
      <c r="E155">
        <v>101.4</v>
      </c>
      <c r="F155">
        <v>85.12</v>
      </c>
      <c r="G155">
        <v>198.1</v>
      </c>
      <c r="H155">
        <v>242.21</v>
      </c>
      <c r="I155">
        <v>241.54</v>
      </c>
      <c r="J155">
        <v>477.55</v>
      </c>
      <c r="K155">
        <v>552.4</v>
      </c>
      <c r="L155">
        <v>609.79999999999995</v>
      </c>
      <c r="M155">
        <v>597.4</v>
      </c>
      <c r="N155">
        <v>590.79999999999995</v>
      </c>
      <c r="O155" s="2">
        <v>1108.95</v>
      </c>
      <c r="P155" s="2">
        <v>1303.48</v>
      </c>
      <c r="Q155" s="2">
        <v>1457.1</v>
      </c>
      <c r="R155" s="2">
        <v>1472.68</v>
      </c>
      <c r="S155" s="2">
        <v>2401.34</v>
      </c>
      <c r="T155" s="2">
        <v>2676.81</v>
      </c>
      <c r="U155" s="2"/>
    </row>
    <row r="156" spans="1:21" x14ac:dyDescent="0.25">
      <c r="A156" t="s">
        <v>61</v>
      </c>
      <c r="B156">
        <v>4.58</v>
      </c>
      <c r="C156">
        <v>3.7</v>
      </c>
      <c r="D156">
        <v>4.84</v>
      </c>
      <c r="E156">
        <v>4.41</v>
      </c>
      <c r="F156">
        <v>3.53</v>
      </c>
      <c r="G156">
        <v>6.91</v>
      </c>
      <c r="H156">
        <v>8.9700000000000006</v>
      </c>
      <c r="I156">
        <v>8.14</v>
      </c>
      <c r="J156">
        <v>10.7</v>
      </c>
      <c r="K156">
        <v>9.33</v>
      </c>
      <c r="L156">
        <v>11.07</v>
      </c>
      <c r="M156">
        <v>10.36</v>
      </c>
      <c r="N156">
        <v>7.21</v>
      </c>
      <c r="O156">
        <v>9.39</v>
      </c>
      <c r="P156">
        <v>7.05</v>
      </c>
      <c r="Q156">
        <v>6.06</v>
      </c>
      <c r="R156">
        <v>6.78</v>
      </c>
      <c r="S156">
        <v>6.78</v>
      </c>
      <c r="T156">
        <v>6.78</v>
      </c>
    </row>
    <row r="157" spans="1:21" x14ac:dyDescent="0.25">
      <c r="A157" t="s">
        <v>128</v>
      </c>
      <c r="B157">
        <v>8.86</v>
      </c>
      <c r="C157">
        <v>7.97</v>
      </c>
      <c r="D157">
        <v>7.79</v>
      </c>
      <c r="E157">
        <v>8.33</v>
      </c>
      <c r="F157">
        <v>6.65</v>
      </c>
      <c r="G157">
        <v>12.02</v>
      </c>
      <c r="H157">
        <v>13.76</v>
      </c>
      <c r="I157">
        <v>16.32</v>
      </c>
      <c r="J157">
        <v>31.08</v>
      </c>
      <c r="K157">
        <v>43.3</v>
      </c>
      <c r="L157">
        <v>49.1</v>
      </c>
      <c r="M157">
        <v>47.3</v>
      </c>
      <c r="N157">
        <v>49.2</v>
      </c>
      <c r="O157">
        <v>75.150000000000006</v>
      </c>
      <c r="P157">
        <v>100.21</v>
      </c>
      <c r="Q157">
        <v>140.62</v>
      </c>
      <c r="R157">
        <v>121.01</v>
      </c>
      <c r="S157">
        <v>212.53</v>
      </c>
      <c r="T157">
        <v>236.91</v>
      </c>
    </row>
    <row r="158" spans="1:21" x14ac:dyDescent="0.25">
      <c r="A158" t="s">
        <v>298</v>
      </c>
      <c r="D158">
        <v>26.12</v>
      </c>
      <c r="E158">
        <v>18.260000000000002</v>
      </c>
      <c r="F158">
        <v>26.35</v>
      </c>
      <c r="G158">
        <v>77.31</v>
      </c>
      <c r="H158">
        <v>72</v>
      </c>
      <c r="I158">
        <v>74.349999999999994</v>
      </c>
      <c r="J158">
        <v>173.22</v>
      </c>
      <c r="K158">
        <v>136.69999999999999</v>
      </c>
      <c r="L158">
        <v>149.6</v>
      </c>
      <c r="M158">
        <v>154.5</v>
      </c>
      <c r="N158">
        <v>132.6</v>
      </c>
      <c r="O158">
        <v>296.27999999999997</v>
      </c>
      <c r="P158">
        <v>349.11</v>
      </c>
      <c r="Q158">
        <v>468.88</v>
      </c>
      <c r="R158">
        <v>337.69</v>
      </c>
      <c r="S158">
        <v>530.62</v>
      </c>
      <c r="T158">
        <v>591.49</v>
      </c>
    </row>
    <row r="159" spans="1:21" x14ac:dyDescent="0.25">
      <c r="A159" t="s">
        <v>114</v>
      </c>
      <c r="B159">
        <v>109.43</v>
      </c>
      <c r="C159">
        <v>94.43</v>
      </c>
      <c r="D159">
        <v>92.05</v>
      </c>
      <c r="E159">
        <v>74.81</v>
      </c>
      <c r="F159">
        <v>52.13</v>
      </c>
      <c r="G159">
        <v>108.76</v>
      </c>
      <c r="H159">
        <v>157.05000000000001</v>
      </c>
      <c r="I159">
        <v>150.87</v>
      </c>
      <c r="J159">
        <v>273.25</v>
      </c>
      <c r="K159">
        <v>372.4</v>
      </c>
      <c r="L159">
        <v>411.1</v>
      </c>
      <c r="M159">
        <v>395.6</v>
      </c>
      <c r="N159">
        <v>409</v>
      </c>
      <c r="O159">
        <v>786.28</v>
      </c>
      <c r="P159">
        <v>910.86</v>
      </c>
      <c r="Q159" s="2">
        <v>1236.69</v>
      </c>
      <c r="R159" s="2">
        <v>1013.99</v>
      </c>
      <c r="S159" s="2">
        <v>1658.19</v>
      </c>
      <c r="T159" s="2">
        <v>1848.41</v>
      </c>
    </row>
    <row r="160" spans="1:21" x14ac:dyDescent="0.25">
      <c r="A160" t="s">
        <v>601</v>
      </c>
      <c r="C160">
        <v>3.7</v>
      </c>
      <c r="D160">
        <v>0.73</v>
      </c>
      <c r="E160">
        <v>0</v>
      </c>
      <c r="F160">
        <v>0</v>
      </c>
      <c r="G160">
        <v>134.16999999999999</v>
      </c>
      <c r="H160">
        <v>279.57</v>
      </c>
      <c r="I160">
        <v>338.2</v>
      </c>
      <c r="J160">
        <v>609.48</v>
      </c>
      <c r="K160">
        <v>725.6</v>
      </c>
      <c r="L160">
        <v>748.1</v>
      </c>
      <c r="M160">
        <v>721.7</v>
      </c>
      <c r="N160">
        <v>639</v>
      </c>
      <c r="O160">
        <v>579.30999999999995</v>
      </c>
      <c r="P160">
        <v>564.08000000000004</v>
      </c>
      <c r="Q160">
        <v>545.17999999999995</v>
      </c>
      <c r="R160">
        <v>546.39</v>
      </c>
      <c r="S160">
        <v>595</v>
      </c>
      <c r="T160">
        <v>595</v>
      </c>
    </row>
    <row r="161" spans="1:21" x14ac:dyDescent="0.25">
      <c r="A161" t="s">
        <v>1604</v>
      </c>
      <c r="D161">
        <v>128.47</v>
      </c>
      <c r="E161">
        <v>1.54</v>
      </c>
      <c r="F161">
        <v>25.69</v>
      </c>
      <c r="I161">
        <v>35.28</v>
      </c>
      <c r="J161">
        <v>193.52</v>
      </c>
      <c r="K161">
        <v>61</v>
      </c>
      <c r="L161">
        <v>280.10000000000002</v>
      </c>
      <c r="M161">
        <v>11.5</v>
      </c>
      <c r="N161">
        <v>2.4</v>
      </c>
      <c r="O161">
        <v>-2.27</v>
      </c>
      <c r="P161">
        <v>-0.8</v>
      </c>
      <c r="Q161">
        <v>-0.8</v>
      </c>
    </row>
    <row r="162" spans="1:21" x14ac:dyDescent="0.25">
      <c r="A162" t="s">
        <v>131</v>
      </c>
    </row>
    <row r="163" spans="1:21" x14ac:dyDescent="0.25">
      <c r="A163" t="s">
        <v>1605</v>
      </c>
      <c r="G163">
        <v>7.74</v>
      </c>
      <c r="H163">
        <v>2.08</v>
      </c>
      <c r="I163">
        <v>6.5</v>
      </c>
      <c r="J163">
        <v>16.63</v>
      </c>
      <c r="K163">
        <v>-8</v>
      </c>
      <c r="O163">
        <v>310.88</v>
      </c>
      <c r="P163">
        <v>122.8</v>
      </c>
      <c r="Q163">
        <v>-20</v>
      </c>
      <c r="R163">
        <v>-20</v>
      </c>
      <c r="S163">
        <v>-20</v>
      </c>
      <c r="T163">
        <v>-20</v>
      </c>
    </row>
    <row r="164" spans="1:21" x14ac:dyDescent="0.25">
      <c r="A164" t="s">
        <v>1606</v>
      </c>
      <c r="B164">
        <v>43.93</v>
      </c>
      <c r="C164">
        <v>16.399999999999999</v>
      </c>
      <c r="D164">
        <v>707.92</v>
      </c>
      <c r="E164">
        <v>96.8</v>
      </c>
      <c r="F164">
        <v>79.64</v>
      </c>
      <c r="G164">
        <v>76.75</v>
      </c>
      <c r="H164">
        <v>55.33</v>
      </c>
      <c r="I164">
        <v>206.76</v>
      </c>
      <c r="J164">
        <v>32.340000000000003</v>
      </c>
      <c r="K164">
        <v>121.6</v>
      </c>
      <c r="L164">
        <v>131.1</v>
      </c>
      <c r="M164">
        <v>353.9</v>
      </c>
      <c r="N164">
        <v>15.5</v>
      </c>
      <c r="O164">
        <v>14.23</v>
      </c>
      <c r="P164">
        <v>30.81</v>
      </c>
      <c r="Q164">
        <v>25.95</v>
      </c>
      <c r="R164">
        <v>76.25</v>
      </c>
      <c r="S164">
        <v>104.38</v>
      </c>
      <c r="T164">
        <v>253.13</v>
      </c>
    </row>
    <row r="165" spans="1:21" x14ac:dyDescent="0.25">
      <c r="A165" t="s">
        <v>17</v>
      </c>
    </row>
    <row r="166" spans="1:21" x14ac:dyDescent="0.25">
      <c r="A166" t="s">
        <v>176</v>
      </c>
    </row>
    <row r="167" spans="1:21" x14ac:dyDescent="0.25">
      <c r="A167" t="s">
        <v>1428</v>
      </c>
      <c r="C167">
        <v>350.32</v>
      </c>
      <c r="D167" s="2">
        <v>-1055.82</v>
      </c>
      <c r="E167">
        <v>354.37</v>
      </c>
      <c r="F167">
        <v>627.29</v>
      </c>
      <c r="G167">
        <v>0.72</v>
      </c>
      <c r="H167">
        <v>-2.84</v>
      </c>
      <c r="I167" s="2">
        <v>-3.73</v>
      </c>
      <c r="J167">
        <v>-2.5</v>
      </c>
      <c r="K167">
        <v>1.4</v>
      </c>
      <c r="L167">
        <v>-2.68</v>
      </c>
      <c r="M167">
        <v>-3.8</v>
      </c>
      <c r="N167">
        <v>6.53</v>
      </c>
      <c r="O167">
        <v>10.72</v>
      </c>
      <c r="P167">
        <v>22.52</v>
      </c>
      <c r="Q167">
        <v>41.63</v>
      </c>
      <c r="R167">
        <v>-44.8</v>
      </c>
    </row>
    <row r="168" spans="1:21" x14ac:dyDescent="0.25">
      <c r="A168" t="s">
        <v>17</v>
      </c>
    </row>
    <row r="169" spans="1:21" x14ac:dyDescent="0.25">
      <c r="A169" t="s">
        <v>134</v>
      </c>
    </row>
    <row r="170" spans="1:21" x14ac:dyDescent="0.25">
      <c r="A170" t="s">
        <v>135</v>
      </c>
    </row>
    <row r="171" spans="1:21" x14ac:dyDescent="0.25">
      <c r="A171" t="s">
        <v>136</v>
      </c>
      <c r="B171" s="2">
        <v>2839.22</v>
      </c>
      <c r="C171" s="2">
        <v>3344.04</v>
      </c>
      <c r="D171" s="2">
        <v>2951.9</v>
      </c>
      <c r="E171" s="2">
        <v>2290.4299999999998</v>
      </c>
      <c r="F171" s="2">
        <v>2363.96</v>
      </c>
      <c r="G171" s="2">
        <v>1395.26</v>
      </c>
      <c r="H171" s="2">
        <v>1537.5</v>
      </c>
      <c r="I171" s="2">
        <v>1617.15</v>
      </c>
      <c r="J171" s="2">
        <v>2493.4499999999998</v>
      </c>
      <c r="K171" s="2">
        <v>3281.1</v>
      </c>
      <c r="L171" s="2">
        <v>3062.7</v>
      </c>
      <c r="M171" s="2">
        <v>3120.3</v>
      </c>
      <c r="N171" s="2">
        <v>6460.6</v>
      </c>
      <c r="O171" s="2">
        <v>9759.75</v>
      </c>
      <c r="P171" s="2">
        <v>15167.32</v>
      </c>
      <c r="Q171" s="2">
        <v>23975.48</v>
      </c>
      <c r="R171" s="2">
        <v>29924.01</v>
      </c>
      <c r="S171" s="2">
        <v>38315.03</v>
      </c>
      <c r="T171" s="2">
        <v>48665.65</v>
      </c>
      <c r="U171" s="2"/>
    </row>
    <row r="172" spans="1:21" x14ac:dyDescent="0.25">
      <c r="A172" t="s">
        <v>536</v>
      </c>
      <c r="B172">
        <v>965.75</v>
      </c>
      <c r="C172" s="2">
        <v>1210.98</v>
      </c>
      <c r="D172" s="2">
        <v>1278.18</v>
      </c>
      <c r="E172">
        <v>814.09</v>
      </c>
      <c r="F172">
        <v>888.48</v>
      </c>
      <c r="G172">
        <v>582.41</v>
      </c>
      <c r="H172" s="2">
        <v>647.6</v>
      </c>
      <c r="I172" s="2">
        <v>748.47</v>
      </c>
      <c r="J172">
        <v>613.53</v>
      </c>
      <c r="K172">
        <v>911</v>
      </c>
      <c r="L172">
        <v>950.8</v>
      </c>
      <c r="M172">
        <v>948.3</v>
      </c>
      <c r="N172" s="2">
        <v>2638.8</v>
      </c>
      <c r="O172" s="2">
        <v>5068.2</v>
      </c>
      <c r="P172" s="2">
        <v>8572.1200000000008</v>
      </c>
      <c r="Q172" s="2">
        <v>14895.61</v>
      </c>
      <c r="R172" s="2">
        <v>21057.66</v>
      </c>
      <c r="S172" s="2">
        <v>30217.25</v>
      </c>
      <c r="T172" s="2">
        <v>38285.07</v>
      </c>
      <c r="U172" s="2"/>
    </row>
    <row r="173" spans="1:21" x14ac:dyDescent="0.25">
      <c r="A173" t="s">
        <v>141</v>
      </c>
      <c r="B173">
        <v>453.5</v>
      </c>
      <c r="C173">
        <v>420.96</v>
      </c>
      <c r="D173">
        <v>320.54000000000002</v>
      </c>
      <c r="E173">
        <v>335.38</v>
      </c>
      <c r="F173">
        <v>280.39999999999998</v>
      </c>
      <c r="G173">
        <v>493.12</v>
      </c>
      <c r="H173">
        <v>492.35</v>
      </c>
      <c r="I173">
        <v>536.66999999999996</v>
      </c>
      <c r="J173" s="2">
        <v>1048.58</v>
      </c>
      <c r="K173" s="2">
        <v>1192.2</v>
      </c>
      <c r="L173" s="2">
        <v>1121.5999999999999</v>
      </c>
      <c r="M173" s="2">
        <v>1028.4000000000001</v>
      </c>
      <c r="N173" s="2">
        <v>2186.6</v>
      </c>
      <c r="O173" s="2">
        <v>2790.84</v>
      </c>
      <c r="P173" s="2">
        <v>3925.02</v>
      </c>
      <c r="Q173" s="2">
        <v>5726.56</v>
      </c>
      <c r="R173" s="2">
        <v>6349.75</v>
      </c>
      <c r="S173" s="2">
        <v>7817.32</v>
      </c>
      <c r="T173" s="2">
        <v>6508.43</v>
      </c>
      <c r="U173" s="2"/>
    </row>
    <row r="174" spans="1:21" x14ac:dyDescent="0.25">
      <c r="A174" t="s">
        <v>340</v>
      </c>
      <c r="B174">
        <v>347.86</v>
      </c>
      <c r="C174">
        <v>308.16000000000003</v>
      </c>
      <c r="D174">
        <v>200.96</v>
      </c>
      <c r="E174">
        <v>170.84</v>
      </c>
      <c r="F174">
        <v>170.04</v>
      </c>
      <c r="G174">
        <v>276.01</v>
      </c>
      <c r="H174">
        <v>322.98</v>
      </c>
      <c r="I174">
        <v>268.23</v>
      </c>
      <c r="J174">
        <v>720.33</v>
      </c>
      <c r="K174" s="2">
        <v>1068.3</v>
      </c>
      <c r="L174">
        <v>864.4</v>
      </c>
      <c r="M174" s="2">
        <v>1029.7</v>
      </c>
      <c r="N174" s="2">
        <v>1388</v>
      </c>
      <c r="O174" s="2">
        <v>1869.27</v>
      </c>
      <c r="P174" s="2">
        <v>2617.83</v>
      </c>
      <c r="Q174" s="2">
        <v>3724.52</v>
      </c>
      <c r="R174" s="2">
        <v>4176.96</v>
      </c>
      <c r="S174" s="2">
        <v>4852.58</v>
      </c>
      <c r="T174" s="2">
        <v>3278.26</v>
      </c>
      <c r="U174" s="2"/>
    </row>
    <row r="175" spans="1:21" x14ac:dyDescent="0.25">
      <c r="A175" t="s">
        <v>1607</v>
      </c>
      <c r="B175">
        <v>195.5</v>
      </c>
      <c r="C175">
        <v>183.87</v>
      </c>
      <c r="D175">
        <v>125.8</v>
      </c>
      <c r="E175">
        <v>109.36</v>
      </c>
      <c r="F175">
        <v>103.71</v>
      </c>
      <c r="G175">
        <v>162.38</v>
      </c>
      <c r="H175">
        <v>216.5</v>
      </c>
      <c r="I175">
        <v>187.35</v>
      </c>
      <c r="J175">
        <v>578.9</v>
      </c>
      <c r="K175">
        <v>756.3</v>
      </c>
      <c r="L175">
        <v>523.79999999999995</v>
      </c>
      <c r="M175">
        <v>709</v>
      </c>
      <c r="N175" s="2">
        <v>1105.5999999999999</v>
      </c>
      <c r="S175" s="2"/>
    </row>
    <row r="176" spans="1:21" x14ac:dyDescent="0.25">
      <c r="A176" t="s">
        <v>1608</v>
      </c>
      <c r="B176">
        <v>152.37</v>
      </c>
      <c r="C176">
        <v>124.29</v>
      </c>
      <c r="D176">
        <v>75.16</v>
      </c>
      <c r="E176">
        <v>61.48</v>
      </c>
      <c r="F176">
        <v>66.33</v>
      </c>
      <c r="G176">
        <v>113.62</v>
      </c>
      <c r="H176">
        <v>106.48</v>
      </c>
      <c r="I176">
        <v>80.88</v>
      </c>
      <c r="J176">
        <v>141.43</v>
      </c>
      <c r="K176">
        <v>312</v>
      </c>
      <c r="L176">
        <v>340.6</v>
      </c>
      <c r="M176">
        <v>320.7</v>
      </c>
      <c r="N176">
        <v>282.39999999999998</v>
      </c>
      <c r="O176">
        <v>302.98</v>
      </c>
      <c r="P176">
        <v>600.21</v>
      </c>
      <c r="Q176">
        <v>971.25</v>
      </c>
    </row>
    <row r="177" spans="1:21" x14ac:dyDescent="0.25">
      <c r="A177" t="s">
        <v>203</v>
      </c>
      <c r="B177">
        <v>56.95</v>
      </c>
      <c r="C177">
        <v>68.14</v>
      </c>
      <c r="D177">
        <v>102.56</v>
      </c>
      <c r="E177">
        <v>58.77</v>
      </c>
      <c r="F177">
        <v>41.48</v>
      </c>
      <c r="G177">
        <v>43.72</v>
      </c>
      <c r="H177">
        <v>74.569999999999993</v>
      </c>
      <c r="I177">
        <v>63.78</v>
      </c>
      <c r="J177">
        <v>111</v>
      </c>
      <c r="K177">
        <v>109.6</v>
      </c>
      <c r="L177">
        <v>125.9</v>
      </c>
      <c r="M177">
        <v>113.9</v>
      </c>
      <c r="N177">
        <v>247.2</v>
      </c>
      <c r="O177">
        <v>417.12</v>
      </c>
      <c r="P177">
        <v>512.24</v>
      </c>
      <c r="Q177">
        <v>561.19000000000005</v>
      </c>
      <c r="R177">
        <v>438.54</v>
      </c>
      <c r="S177">
        <v>532.78</v>
      </c>
      <c r="T177">
        <v>593.89</v>
      </c>
    </row>
    <row r="178" spans="1:21" x14ac:dyDescent="0.25">
      <c r="A178" t="s">
        <v>146</v>
      </c>
      <c r="B178" s="2">
        <v>2611.79</v>
      </c>
      <c r="C178" s="2">
        <v>2540.35</v>
      </c>
      <c r="D178" s="2">
        <v>2490.23</v>
      </c>
      <c r="E178" s="2">
        <v>2358.2199999999998</v>
      </c>
      <c r="F178" s="2">
        <v>2344.33</v>
      </c>
      <c r="G178" s="2">
        <v>8621.49</v>
      </c>
      <c r="H178" s="2">
        <v>9595.74</v>
      </c>
      <c r="I178" s="2">
        <v>9147.7800000000007</v>
      </c>
      <c r="J178" s="2">
        <v>19615.150000000001</v>
      </c>
      <c r="K178" s="2">
        <v>19241</v>
      </c>
      <c r="L178" s="2">
        <v>18165.8</v>
      </c>
      <c r="M178" s="2">
        <v>17084.2</v>
      </c>
      <c r="N178" s="2">
        <v>15824.7</v>
      </c>
      <c r="O178" s="2">
        <v>17398.04</v>
      </c>
      <c r="P178" s="2">
        <v>17387.25</v>
      </c>
      <c r="Q178" s="2">
        <v>17083.400000000001</v>
      </c>
      <c r="R178" s="2"/>
      <c r="S178" s="2"/>
      <c r="T178" s="2"/>
      <c r="U178" s="2"/>
    </row>
    <row r="179" spans="1:21" x14ac:dyDescent="0.25">
      <c r="A179" t="s">
        <v>409</v>
      </c>
      <c r="B179">
        <v>356.17</v>
      </c>
      <c r="C179">
        <v>340.64</v>
      </c>
      <c r="D179">
        <v>296.77999999999997</v>
      </c>
      <c r="E179">
        <v>243.4</v>
      </c>
      <c r="F179">
        <v>202.22</v>
      </c>
      <c r="G179">
        <v>318.98</v>
      </c>
      <c r="H179">
        <v>357.09</v>
      </c>
      <c r="I179">
        <v>326.13</v>
      </c>
      <c r="J179">
        <v>462.77</v>
      </c>
      <c r="K179">
        <v>577.4</v>
      </c>
      <c r="L179">
        <v>756</v>
      </c>
      <c r="M179">
        <v>790.5</v>
      </c>
      <c r="N179">
        <v>935</v>
      </c>
      <c r="O179" s="2">
        <v>1152.79</v>
      </c>
      <c r="P179" s="2">
        <v>1430.44</v>
      </c>
      <c r="Q179" s="2">
        <v>1763.62</v>
      </c>
      <c r="R179" s="2">
        <v>1813.78</v>
      </c>
      <c r="S179" s="2">
        <v>1353.66</v>
      </c>
      <c r="T179" s="2">
        <v>1166.46</v>
      </c>
      <c r="U179" s="2"/>
    </row>
    <row r="180" spans="1:21" x14ac:dyDescent="0.25">
      <c r="A180" t="s">
        <v>413</v>
      </c>
      <c r="B180" s="2">
        <v>2078.98</v>
      </c>
      <c r="C180" s="2">
        <v>2060.64</v>
      </c>
      <c r="D180" s="2">
        <v>2015.36</v>
      </c>
      <c r="E180" s="2">
        <v>1996.88</v>
      </c>
      <c r="F180" s="2">
        <v>1993.31</v>
      </c>
      <c r="G180" s="2">
        <v>8055.19</v>
      </c>
      <c r="H180" s="2">
        <v>8102.01</v>
      </c>
      <c r="I180" s="2">
        <v>7607.66</v>
      </c>
      <c r="J180" s="2">
        <v>17664.55</v>
      </c>
      <c r="K180" s="2">
        <v>16688.900000000001</v>
      </c>
      <c r="L180" s="2">
        <v>15591</v>
      </c>
      <c r="M180" s="2">
        <v>14297.5</v>
      </c>
      <c r="N180" s="2">
        <v>12816.9</v>
      </c>
      <c r="O180" s="2">
        <v>14720.61</v>
      </c>
      <c r="P180" s="2">
        <v>14209.59</v>
      </c>
      <c r="Q180" s="2">
        <v>13429.31</v>
      </c>
      <c r="R180" s="2">
        <v>13432.75</v>
      </c>
      <c r="S180" s="2"/>
      <c r="T180" s="2"/>
      <c r="U180" s="2"/>
    </row>
    <row r="181" spans="1:21" x14ac:dyDescent="0.25">
      <c r="A181" t="s">
        <v>152</v>
      </c>
      <c r="B181" s="2">
        <v>2029.95</v>
      </c>
      <c r="C181" s="2">
        <v>2029.95</v>
      </c>
      <c r="D181" s="2">
        <v>2003.41</v>
      </c>
      <c r="E181" s="2">
        <v>1993.31</v>
      </c>
      <c r="F181" s="2">
        <v>1993.31</v>
      </c>
      <c r="G181" s="2">
        <v>5494.51</v>
      </c>
      <c r="H181" s="2">
        <v>5337.41</v>
      </c>
      <c r="I181" s="2">
        <v>5336.96</v>
      </c>
      <c r="J181" s="2">
        <v>11511.13</v>
      </c>
      <c r="K181" s="2">
        <v>11586.9</v>
      </c>
      <c r="L181" s="2">
        <v>11586.9</v>
      </c>
      <c r="M181" s="2">
        <v>11586.9</v>
      </c>
      <c r="N181" s="2">
        <v>11062.2</v>
      </c>
      <c r="O181" s="2">
        <v>12982.31</v>
      </c>
      <c r="P181" s="2">
        <v>12783.47</v>
      </c>
      <c r="Q181" s="2">
        <v>11960.08</v>
      </c>
      <c r="R181" s="2">
        <v>12600.95</v>
      </c>
      <c r="S181" s="2">
        <v>12644.95</v>
      </c>
      <c r="T181" s="2">
        <v>13873.9</v>
      </c>
      <c r="U181" s="2"/>
    </row>
    <row r="182" spans="1:21" x14ac:dyDescent="0.25">
      <c r="A182" t="s">
        <v>1609</v>
      </c>
      <c r="B182">
        <v>49.04</v>
      </c>
      <c r="C182">
        <v>30.7</v>
      </c>
      <c r="D182">
        <v>11.95</v>
      </c>
      <c r="E182">
        <v>3.57</v>
      </c>
      <c r="F182">
        <v>0</v>
      </c>
      <c r="G182" s="2">
        <v>2560.6799999999998</v>
      </c>
      <c r="H182" s="2">
        <v>2764.6</v>
      </c>
      <c r="I182" s="2">
        <v>2270.6999999999998</v>
      </c>
      <c r="J182" s="2">
        <v>6153.42</v>
      </c>
      <c r="K182" s="2">
        <v>5102</v>
      </c>
      <c r="L182" s="2">
        <v>4004.1</v>
      </c>
      <c r="M182" s="2">
        <v>2710.6</v>
      </c>
      <c r="N182" s="2">
        <v>1754.7</v>
      </c>
      <c r="O182" s="2">
        <v>1980.13</v>
      </c>
      <c r="P182" s="2">
        <v>1283.49</v>
      </c>
      <c r="Q182" s="2">
        <v>960.56</v>
      </c>
      <c r="R182" s="2">
        <v>-59.15</v>
      </c>
      <c r="S182" s="2">
        <v>-492.15</v>
      </c>
      <c r="T182" s="2">
        <v>-2463.3000000000002</v>
      </c>
      <c r="U182" s="2"/>
    </row>
    <row r="183" spans="1:21" x14ac:dyDescent="0.25">
      <c r="A183" t="s">
        <v>311</v>
      </c>
      <c r="C183">
        <v>83.49</v>
      </c>
      <c r="D183">
        <v>34.51</v>
      </c>
      <c r="E183">
        <v>26.61</v>
      </c>
      <c r="F183">
        <v>20.63</v>
      </c>
      <c r="G183">
        <v>12.46</v>
      </c>
      <c r="H183">
        <v>639.79</v>
      </c>
      <c r="I183">
        <v>672.42</v>
      </c>
      <c r="J183">
        <v>493.51</v>
      </c>
      <c r="K183">
        <v>465.9</v>
      </c>
      <c r="L183">
        <v>311.89999999999998</v>
      </c>
      <c r="M183">
        <v>401.2</v>
      </c>
      <c r="N183">
        <v>345.9</v>
      </c>
      <c r="O183">
        <v>321.60000000000002</v>
      </c>
      <c r="P183">
        <v>321.60000000000002</v>
      </c>
      <c r="Q183">
        <v>321.47000000000003</v>
      </c>
      <c r="R183">
        <v>322.3</v>
      </c>
      <c r="S183">
        <v>322.3</v>
      </c>
      <c r="T183">
        <v>322.3</v>
      </c>
    </row>
    <row r="184" spans="1:21" x14ac:dyDescent="0.25">
      <c r="A184" t="s">
        <v>154</v>
      </c>
      <c r="B184">
        <v>160.37</v>
      </c>
      <c r="C184">
        <v>128.84</v>
      </c>
      <c r="D184">
        <v>164.03</v>
      </c>
      <c r="E184">
        <v>117.94</v>
      </c>
      <c r="F184">
        <v>148.80000000000001</v>
      </c>
      <c r="G184">
        <v>247.33</v>
      </c>
      <c r="H184">
        <v>496.85</v>
      </c>
      <c r="I184">
        <v>541.57000000000005</v>
      </c>
      <c r="J184">
        <v>994.32</v>
      </c>
      <c r="K184" s="2">
        <v>1508.8</v>
      </c>
      <c r="L184" s="2">
        <v>1506.9</v>
      </c>
      <c r="M184" s="2">
        <v>1595</v>
      </c>
      <c r="N184" s="2">
        <v>1726.9</v>
      </c>
      <c r="O184" s="2">
        <v>1907.34</v>
      </c>
      <c r="P184" s="2">
        <v>1907.74</v>
      </c>
      <c r="Q184" s="2">
        <v>1879.68</v>
      </c>
      <c r="R184" s="2">
        <v>2021.5</v>
      </c>
      <c r="S184" s="2">
        <v>2021.5</v>
      </c>
      <c r="T184" s="2">
        <v>2021.5</v>
      </c>
      <c r="U184" s="2"/>
    </row>
    <row r="185" spans="1:21" x14ac:dyDescent="0.25">
      <c r="A185" t="s">
        <v>155</v>
      </c>
      <c r="B185" s="2">
        <v>5451.01</v>
      </c>
      <c r="C185" s="2">
        <v>5884.39</v>
      </c>
      <c r="D185" s="2">
        <v>5442.13</v>
      </c>
      <c r="E185" s="2">
        <v>4648.6499999999996</v>
      </c>
      <c r="F185" s="2">
        <v>4708.29</v>
      </c>
      <c r="G185" s="2">
        <v>10016.75</v>
      </c>
      <c r="H185" s="2">
        <v>11133.24</v>
      </c>
      <c r="I185" s="2">
        <v>10764.92</v>
      </c>
      <c r="J185" s="2">
        <v>22108.6</v>
      </c>
      <c r="K185" s="2">
        <v>22522.1</v>
      </c>
      <c r="L185" s="2">
        <v>21228.5</v>
      </c>
      <c r="M185" s="2">
        <v>20204.5</v>
      </c>
      <c r="N185" s="2">
        <v>22285.3</v>
      </c>
      <c r="O185" s="2">
        <v>28350.77</v>
      </c>
      <c r="P185" s="2">
        <v>33493.33</v>
      </c>
      <c r="Q185" s="2">
        <v>42502.9</v>
      </c>
      <c r="R185" s="2">
        <v>50488.77</v>
      </c>
      <c r="S185" s="2">
        <v>61384.88</v>
      </c>
      <c r="T185" s="2">
        <v>63586.51</v>
      </c>
      <c r="U185" s="2"/>
    </row>
    <row r="186" spans="1:21" x14ac:dyDescent="0.25">
      <c r="A186" t="s">
        <v>17</v>
      </c>
    </row>
    <row r="187" spans="1:21" x14ac:dyDescent="0.25">
      <c r="A187" t="s">
        <v>156</v>
      </c>
    </row>
    <row r="188" spans="1:21" x14ac:dyDescent="0.25">
      <c r="A188" t="s">
        <v>157</v>
      </c>
      <c r="B188">
        <v>651.30999999999995</v>
      </c>
      <c r="C188">
        <v>637.38</v>
      </c>
      <c r="D188" s="2">
        <v>1225.79</v>
      </c>
      <c r="E188">
        <v>496.42</v>
      </c>
      <c r="F188">
        <v>421.14</v>
      </c>
      <c r="G188">
        <v>636.79999999999995</v>
      </c>
      <c r="H188">
        <v>710.17</v>
      </c>
      <c r="I188" s="2">
        <v>1077.0999999999999</v>
      </c>
      <c r="J188" s="2">
        <v>1388.54</v>
      </c>
      <c r="K188" s="2">
        <v>2386.6999999999998</v>
      </c>
      <c r="L188" s="2">
        <v>1814.2</v>
      </c>
      <c r="M188" s="2">
        <v>2026.8</v>
      </c>
      <c r="N188" s="2">
        <v>3220.5</v>
      </c>
      <c r="O188" s="2">
        <v>3067.83</v>
      </c>
      <c r="P188" s="2">
        <v>3829.31</v>
      </c>
      <c r="Q188" s="2">
        <v>4875.6000000000004</v>
      </c>
      <c r="R188" s="2">
        <v>4368.0200000000004</v>
      </c>
      <c r="S188" s="2">
        <v>6465.95</v>
      </c>
      <c r="T188" s="2">
        <v>7180.32</v>
      </c>
      <c r="U188" s="2"/>
    </row>
    <row r="189" spans="1:21" x14ac:dyDescent="0.25">
      <c r="A189" t="s">
        <v>158</v>
      </c>
      <c r="B189">
        <v>316.39</v>
      </c>
      <c r="C189">
        <v>282.89999999999998</v>
      </c>
      <c r="D189">
        <v>180.37</v>
      </c>
      <c r="E189">
        <v>143.47999999999999</v>
      </c>
      <c r="F189">
        <v>145.24</v>
      </c>
      <c r="G189">
        <v>185.36</v>
      </c>
      <c r="H189">
        <v>213.75</v>
      </c>
      <c r="I189">
        <v>252.42</v>
      </c>
      <c r="J189">
        <v>461.51</v>
      </c>
      <c r="K189">
        <v>465.8</v>
      </c>
      <c r="L189">
        <v>411.3</v>
      </c>
      <c r="M189">
        <v>622.20000000000005</v>
      </c>
      <c r="N189" s="2">
        <v>1073.8</v>
      </c>
      <c r="O189" s="2">
        <v>1194.08</v>
      </c>
      <c r="P189" s="2">
        <v>1680.76</v>
      </c>
      <c r="Q189" s="2">
        <v>2474.12</v>
      </c>
      <c r="R189" s="2">
        <v>2606.84</v>
      </c>
      <c r="S189" s="2">
        <v>3139.9</v>
      </c>
      <c r="T189" s="2">
        <v>2201.81</v>
      </c>
      <c r="U189" s="2"/>
    </row>
    <row r="190" spans="1:21" x14ac:dyDescent="0.25">
      <c r="A190" t="s">
        <v>414</v>
      </c>
      <c r="B190">
        <v>161.76</v>
      </c>
      <c r="C190">
        <v>131.38999999999999</v>
      </c>
      <c r="D190">
        <v>132.06</v>
      </c>
      <c r="E190">
        <v>143.49</v>
      </c>
      <c r="F190">
        <v>86.96</v>
      </c>
      <c r="G190">
        <v>330.59</v>
      </c>
      <c r="H190">
        <v>346.64</v>
      </c>
      <c r="I190">
        <v>435.62</v>
      </c>
      <c r="J190">
        <v>622.55999999999995</v>
      </c>
      <c r="K190" s="2">
        <v>1092</v>
      </c>
      <c r="L190" s="2">
        <v>1032.9000000000001</v>
      </c>
      <c r="M190">
        <v>972.6</v>
      </c>
      <c r="N190" s="2">
        <v>1337.1</v>
      </c>
      <c r="O190" s="2">
        <v>1792.22</v>
      </c>
      <c r="P190" s="2">
        <v>2168.85</v>
      </c>
      <c r="Q190" s="2">
        <v>3165.55</v>
      </c>
      <c r="R190" s="2">
        <v>3317.44</v>
      </c>
      <c r="S190" s="2">
        <v>3745.27</v>
      </c>
      <c r="T190" s="2">
        <v>4158.9799999999996</v>
      </c>
      <c r="U190" s="2"/>
    </row>
    <row r="191" spans="1:21" x14ac:dyDescent="0.25">
      <c r="A191" t="s">
        <v>1610</v>
      </c>
      <c r="B191">
        <v>111.41</v>
      </c>
      <c r="C191">
        <v>154.97</v>
      </c>
      <c r="D191">
        <v>121.63</v>
      </c>
      <c r="E191">
        <v>139.65</v>
      </c>
      <c r="F191">
        <v>127.71</v>
      </c>
      <c r="G191">
        <v>115.93</v>
      </c>
      <c r="H191">
        <v>149.78</v>
      </c>
      <c r="I191">
        <v>189.42</v>
      </c>
      <c r="J191">
        <v>241.31</v>
      </c>
      <c r="K191">
        <v>244.5</v>
      </c>
      <c r="L191">
        <v>262.7</v>
      </c>
      <c r="M191">
        <v>302.5</v>
      </c>
      <c r="N191">
        <v>309.8</v>
      </c>
      <c r="O191">
        <v>304.64999999999998</v>
      </c>
      <c r="P191">
        <v>342</v>
      </c>
      <c r="Q191">
        <v>389.03</v>
      </c>
      <c r="R191">
        <v>653.48</v>
      </c>
      <c r="S191">
        <v>737.89</v>
      </c>
      <c r="T191">
        <v>819.52</v>
      </c>
    </row>
    <row r="192" spans="1:21" x14ac:dyDescent="0.25">
      <c r="A192" t="s">
        <v>313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199.64</v>
      </c>
      <c r="J192">
        <v>63.17</v>
      </c>
      <c r="K192">
        <v>584.4</v>
      </c>
      <c r="L192">
        <v>107.3</v>
      </c>
      <c r="M192">
        <v>129.5</v>
      </c>
      <c r="N192">
        <v>499.8</v>
      </c>
      <c r="O192">
        <v>522.80999999999995</v>
      </c>
      <c r="P192">
        <v>520.84</v>
      </c>
      <c r="Q192">
        <v>521.27</v>
      </c>
      <c r="R192">
        <v>25.8</v>
      </c>
    </row>
    <row r="193" spans="1:21" x14ac:dyDescent="0.25">
      <c r="A193" t="s">
        <v>164</v>
      </c>
      <c r="B193">
        <v>123.79</v>
      </c>
      <c r="C193">
        <v>100.92</v>
      </c>
      <c r="D193">
        <v>76.22</v>
      </c>
      <c r="E193">
        <v>124.58</v>
      </c>
      <c r="F193">
        <v>145.72999999999999</v>
      </c>
      <c r="G193" s="2">
        <v>2073.5500000000002</v>
      </c>
      <c r="H193" s="2">
        <v>1744.49</v>
      </c>
      <c r="I193" s="2">
        <v>1252.02</v>
      </c>
      <c r="J193" s="2">
        <v>5017.96</v>
      </c>
      <c r="K193" s="2">
        <v>4498.2</v>
      </c>
      <c r="L193" s="2">
        <v>4582.8999999999996</v>
      </c>
      <c r="M193" s="2">
        <v>4750.7</v>
      </c>
      <c r="N193" s="2">
        <v>4756.3999999999996</v>
      </c>
      <c r="O193" s="2">
        <v>5541.2</v>
      </c>
      <c r="P193" s="2">
        <v>5849.87</v>
      </c>
      <c r="Q193" s="2">
        <v>6759.25</v>
      </c>
      <c r="R193" s="2"/>
      <c r="S193" s="2"/>
      <c r="T193" s="2"/>
      <c r="U193" s="2"/>
    </row>
    <row r="194" spans="1:21" x14ac:dyDescent="0.25">
      <c r="A194" t="s">
        <v>315</v>
      </c>
      <c r="B194">
        <v>0</v>
      </c>
      <c r="C194">
        <v>0</v>
      </c>
      <c r="D194">
        <v>0</v>
      </c>
      <c r="E194">
        <v>0</v>
      </c>
      <c r="F194">
        <v>0</v>
      </c>
      <c r="G194" s="2">
        <v>1732.7</v>
      </c>
      <c r="H194" s="2">
        <v>1439.02</v>
      </c>
      <c r="I194">
        <v>993.17</v>
      </c>
      <c r="J194" s="2">
        <v>4484.8100000000004</v>
      </c>
      <c r="K194" s="2">
        <v>3907.7</v>
      </c>
      <c r="L194" s="2">
        <v>4058.6</v>
      </c>
      <c r="M194" s="2">
        <v>3934.3</v>
      </c>
      <c r="N194" s="2">
        <v>3970.8</v>
      </c>
      <c r="O194" s="2">
        <v>4781.8</v>
      </c>
      <c r="P194" s="2">
        <v>4838.08</v>
      </c>
      <c r="Q194" s="2">
        <v>4935.47</v>
      </c>
      <c r="R194" s="2">
        <v>4962.8999999999996</v>
      </c>
      <c r="S194" s="2">
        <v>4962.8999999999996</v>
      </c>
      <c r="T194" s="2">
        <v>4962.8999999999996</v>
      </c>
      <c r="U194" s="2"/>
    </row>
    <row r="195" spans="1:21" x14ac:dyDescent="0.25">
      <c r="A195" t="s">
        <v>78</v>
      </c>
      <c r="B195">
        <v>42.47</v>
      </c>
      <c r="C195">
        <v>100.92</v>
      </c>
      <c r="D195">
        <v>76.22</v>
      </c>
      <c r="E195">
        <v>63.94</v>
      </c>
      <c r="F195">
        <v>88.76</v>
      </c>
      <c r="G195">
        <v>35.369999999999997</v>
      </c>
      <c r="H195">
        <v>274.23</v>
      </c>
      <c r="I195">
        <v>258.85000000000002</v>
      </c>
      <c r="J195">
        <v>533.15</v>
      </c>
      <c r="K195">
        <v>590.5</v>
      </c>
      <c r="L195">
        <v>524.29999999999995</v>
      </c>
      <c r="M195">
        <v>816.4</v>
      </c>
      <c r="N195">
        <v>785.6</v>
      </c>
      <c r="O195" s="2">
        <v>1349.02</v>
      </c>
      <c r="P195" s="2">
        <v>1388.65</v>
      </c>
      <c r="Q195" s="2">
        <v>1438.27</v>
      </c>
      <c r="R195" s="2">
        <v>1560.6</v>
      </c>
      <c r="S195" s="2">
        <v>1560.6</v>
      </c>
      <c r="T195" s="2">
        <v>1560.6</v>
      </c>
      <c r="U195" s="2"/>
    </row>
    <row r="196" spans="1:21" x14ac:dyDescent="0.25">
      <c r="A196" t="s">
        <v>167</v>
      </c>
      <c r="B196">
        <v>775.1</v>
      </c>
      <c r="C196">
        <v>738.3</v>
      </c>
      <c r="D196" s="2">
        <v>1302</v>
      </c>
      <c r="E196">
        <v>621</v>
      </c>
      <c r="F196">
        <v>566.87</v>
      </c>
      <c r="G196" s="2">
        <v>2710.34</v>
      </c>
      <c r="H196" s="2">
        <v>2454.66</v>
      </c>
      <c r="I196" s="2">
        <v>2329.12</v>
      </c>
      <c r="J196" s="2">
        <v>6406.5</v>
      </c>
      <c r="K196" s="2">
        <v>6884.9</v>
      </c>
      <c r="L196" s="2">
        <v>6397.1</v>
      </c>
      <c r="M196" s="2">
        <v>6777.5</v>
      </c>
      <c r="N196" s="2">
        <v>7976.9</v>
      </c>
      <c r="O196" s="2">
        <v>9246.23</v>
      </c>
      <c r="P196" s="2">
        <v>10256.58</v>
      </c>
      <c r="Q196" s="2">
        <v>11791.79</v>
      </c>
      <c r="R196" s="2">
        <v>15845.35</v>
      </c>
      <c r="S196" s="2">
        <v>22273.73</v>
      </c>
      <c r="T196" s="2">
        <v>13703.82</v>
      </c>
      <c r="U196" s="2"/>
    </row>
    <row r="197" spans="1:21" x14ac:dyDescent="0.25">
      <c r="A197" t="s">
        <v>170</v>
      </c>
      <c r="B197" s="2">
        <v>4675.91</v>
      </c>
      <c r="C197" s="2">
        <v>5146.09</v>
      </c>
      <c r="D197" s="2">
        <v>4140.12</v>
      </c>
      <c r="E197" s="2">
        <v>4027.65</v>
      </c>
      <c r="F197" s="2">
        <v>4141.41</v>
      </c>
      <c r="G197" s="2">
        <v>7306.41</v>
      </c>
      <c r="H197" s="2">
        <v>8678.58</v>
      </c>
      <c r="I197" s="2">
        <v>8435.7999999999993</v>
      </c>
      <c r="J197" s="2">
        <v>15702.1</v>
      </c>
      <c r="K197" s="2">
        <v>15637.2</v>
      </c>
      <c r="L197" s="2">
        <v>14831.4</v>
      </c>
      <c r="M197" s="2">
        <v>13427</v>
      </c>
      <c r="N197" s="2">
        <v>14308.4</v>
      </c>
      <c r="O197" s="2">
        <v>19105.330000000002</v>
      </c>
      <c r="P197" s="2">
        <v>23243.24</v>
      </c>
      <c r="Q197" s="2">
        <v>30726.94</v>
      </c>
      <c r="R197" s="2">
        <v>34768.67</v>
      </c>
      <c r="S197" s="2">
        <v>39363.5</v>
      </c>
      <c r="T197" s="2">
        <v>50532</v>
      </c>
      <c r="U197" s="2"/>
    </row>
    <row r="198" spans="1:21" x14ac:dyDescent="0.25">
      <c r="A198" t="s">
        <v>171</v>
      </c>
      <c r="B198">
        <v>1.01</v>
      </c>
      <c r="C198">
        <v>1.03</v>
      </c>
      <c r="D198">
        <v>1.02</v>
      </c>
      <c r="E198">
        <v>1.01</v>
      </c>
      <c r="F198">
        <v>0.99</v>
      </c>
      <c r="G198">
        <v>1.32</v>
      </c>
      <c r="H198">
        <v>1.33</v>
      </c>
      <c r="I198">
        <v>1.35</v>
      </c>
      <c r="J198">
        <v>1.69</v>
      </c>
      <c r="K198">
        <v>1.7</v>
      </c>
      <c r="L198">
        <v>1.7</v>
      </c>
      <c r="M198">
        <v>1.7</v>
      </c>
      <c r="N198">
        <v>1.7</v>
      </c>
      <c r="O198">
        <v>1.76</v>
      </c>
      <c r="P198">
        <v>1.76</v>
      </c>
      <c r="Q198">
        <v>1.74</v>
      </c>
    </row>
    <row r="199" spans="1:21" x14ac:dyDescent="0.25">
      <c r="A199" t="s">
        <v>503</v>
      </c>
      <c r="B199" s="2">
        <v>2941.65</v>
      </c>
      <c r="C199" s="2">
        <v>3099.55</v>
      </c>
      <c r="D199" s="2">
        <v>3028.92</v>
      </c>
      <c r="E199" s="2">
        <v>3016.78</v>
      </c>
      <c r="F199" s="2">
        <v>2733.29</v>
      </c>
      <c r="G199" s="2">
        <v>6188.6</v>
      </c>
      <c r="H199" s="2">
        <v>6135.94</v>
      </c>
      <c r="I199" s="2">
        <v>6331.01</v>
      </c>
      <c r="J199" s="2">
        <v>14209.05</v>
      </c>
      <c r="K199" s="2">
        <v>14512</v>
      </c>
      <c r="L199" s="2">
        <v>14845.3</v>
      </c>
      <c r="M199" s="2">
        <v>14534.1</v>
      </c>
      <c r="N199" s="2">
        <v>12950.9</v>
      </c>
      <c r="O199" s="2">
        <v>16938.29</v>
      </c>
      <c r="P199" s="2">
        <v>18280.88</v>
      </c>
      <c r="Q199" s="2">
        <v>18390.099999999999</v>
      </c>
      <c r="R199" s="2"/>
      <c r="S199" s="2"/>
      <c r="T199" s="2"/>
      <c r="U199" s="2"/>
    </row>
    <row r="200" spans="1:21" x14ac:dyDescent="0.25">
      <c r="A200" t="s">
        <v>173</v>
      </c>
      <c r="B200" s="2">
        <v>1732.66</v>
      </c>
      <c r="C200" s="2">
        <v>2045.2</v>
      </c>
      <c r="D200" s="2">
        <v>1110.98</v>
      </c>
      <c r="E200" s="2">
        <v>1009.84</v>
      </c>
      <c r="F200" s="2">
        <v>1409.45</v>
      </c>
      <c r="G200" s="2">
        <v>1116.5</v>
      </c>
      <c r="H200" s="2">
        <v>2541.31</v>
      </c>
      <c r="I200" s="2">
        <v>2103.44</v>
      </c>
      <c r="J200" s="2">
        <v>1491.36</v>
      </c>
      <c r="K200" s="2">
        <v>1123.5</v>
      </c>
      <c r="L200" s="2">
        <v>-16.7</v>
      </c>
      <c r="M200" s="2">
        <v>-1109.2</v>
      </c>
      <c r="N200" s="2">
        <v>1355.8</v>
      </c>
      <c r="O200" s="2">
        <v>2869.17</v>
      </c>
      <c r="P200" s="2">
        <v>6380.9</v>
      </c>
      <c r="Q200" s="2">
        <v>13476.91</v>
      </c>
      <c r="R200" s="2"/>
      <c r="S200" s="2"/>
      <c r="T200" s="2"/>
      <c r="U200" s="2"/>
    </row>
    <row r="201" spans="1:21" x14ac:dyDescent="0.25">
      <c r="A201" t="s">
        <v>174</v>
      </c>
      <c r="B201">
        <v>0.6</v>
      </c>
      <c r="C201">
        <v>0.31</v>
      </c>
      <c r="D201">
        <v>-0.8</v>
      </c>
      <c r="E201">
        <v>0.02</v>
      </c>
      <c r="F201">
        <v>-2.3199999999999998</v>
      </c>
      <c r="G201">
        <v>0</v>
      </c>
      <c r="H201">
        <v>0</v>
      </c>
      <c r="I201">
        <v>0</v>
      </c>
      <c r="K201">
        <v>0</v>
      </c>
      <c r="L201">
        <v>1.1000000000000001</v>
      </c>
      <c r="M201">
        <v>0.4</v>
      </c>
      <c r="N201">
        <v>0</v>
      </c>
    </row>
    <row r="202" spans="1:21" x14ac:dyDescent="0.25">
      <c r="A202" t="s">
        <v>326</v>
      </c>
      <c r="B202" s="2">
        <v>5451.01</v>
      </c>
      <c r="C202" s="2">
        <v>5884.39</v>
      </c>
      <c r="D202" s="2">
        <v>5442.13</v>
      </c>
      <c r="E202" s="2">
        <v>4648.6499999999996</v>
      </c>
      <c r="F202" s="2">
        <v>4708.29</v>
      </c>
      <c r="G202" s="2">
        <v>10016.75</v>
      </c>
      <c r="H202" s="2">
        <v>11133.24</v>
      </c>
      <c r="I202" s="2">
        <v>10764.92</v>
      </c>
      <c r="J202" s="2">
        <v>22108.6</v>
      </c>
      <c r="K202" s="2">
        <v>22522.1</v>
      </c>
      <c r="L202" s="2">
        <v>21228.5</v>
      </c>
      <c r="M202" s="2">
        <v>20204.5</v>
      </c>
      <c r="N202" s="2">
        <v>22285.3</v>
      </c>
      <c r="O202" s="2">
        <v>28350.77</v>
      </c>
      <c r="P202" s="2">
        <v>33493.33</v>
      </c>
      <c r="Q202" s="2">
        <v>42502.9</v>
      </c>
      <c r="R202" s="2">
        <v>50488.77</v>
      </c>
      <c r="S202" s="2">
        <v>61384.88</v>
      </c>
      <c r="T202" s="2">
        <v>63586.51</v>
      </c>
      <c r="U202" s="2"/>
    </row>
    <row r="203" spans="1:21" x14ac:dyDescent="0.25">
      <c r="A203" t="s">
        <v>17</v>
      </c>
    </row>
    <row r="204" spans="1:21" x14ac:dyDescent="0.25">
      <c r="A204" t="s">
        <v>176</v>
      </c>
    </row>
    <row r="205" spans="1:21" x14ac:dyDescent="0.25">
      <c r="A205" t="s">
        <v>1611</v>
      </c>
      <c r="B205">
        <v>9.73</v>
      </c>
      <c r="C205">
        <v>10.39</v>
      </c>
      <c r="D205">
        <v>4.1500000000000004</v>
      </c>
      <c r="E205">
        <v>7.53</v>
      </c>
      <c r="F205">
        <v>13.07</v>
      </c>
      <c r="G205">
        <v>7.15</v>
      </c>
      <c r="H205">
        <v>3.99</v>
      </c>
      <c r="I205">
        <v>5.83</v>
      </c>
      <c r="J205">
        <v>5.78</v>
      </c>
      <c r="K205">
        <v>8.09</v>
      </c>
      <c r="L205">
        <v>6.17</v>
      </c>
      <c r="M205">
        <v>6.82</v>
      </c>
      <c r="N205">
        <v>11.06</v>
      </c>
    </row>
    <row r="206" spans="1:21" x14ac:dyDescent="0.25">
      <c r="A206" t="s">
        <v>1612</v>
      </c>
      <c r="B206">
        <v>11.34</v>
      </c>
      <c r="C206">
        <v>11.88</v>
      </c>
      <c r="D206">
        <v>5.45</v>
      </c>
      <c r="E206">
        <v>8.69</v>
      </c>
      <c r="F206">
        <v>14.86</v>
      </c>
      <c r="G206">
        <v>9.8000000000000007</v>
      </c>
      <c r="H206">
        <v>5.12</v>
      </c>
      <c r="I206">
        <v>7.44</v>
      </c>
      <c r="J206">
        <v>8.14</v>
      </c>
      <c r="K206">
        <v>11.65</v>
      </c>
      <c r="L206">
        <v>8.83</v>
      </c>
      <c r="M206">
        <v>10.26</v>
      </c>
      <c r="N206">
        <v>17.23</v>
      </c>
      <c r="O206">
        <v>18.8</v>
      </c>
      <c r="P206">
        <v>24</v>
      </c>
      <c r="Q206">
        <v>28</v>
      </c>
    </row>
    <row r="207" spans="1:21" x14ac:dyDescent="0.25">
      <c r="A207" t="s">
        <v>180</v>
      </c>
      <c r="B207">
        <v>6.88</v>
      </c>
      <c r="C207">
        <v>8.86</v>
      </c>
      <c r="D207">
        <v>-17.48</v>
      </c>
      <c r="E207">
        <v>0.52</v>
      </c>
      <c r="F207">
        <v>12.75</v>
      </c>
      <c r="G207">
        <v>-3.13</v>
      </c>
      <c r="H207">
        <v>19.82</v>
      </c>
      <c r="I207">
        <v>-3.24</v>
      </c>
      <c r="J207">
        <v>-3.49</v>
      </c>
      <c r="K207">
        <v>-1.04</v>
      </c>
      <c r="L207">
        <v>-6.13</v>
      </c>
      <c r="M207">
        <v>-6.26</v>
      </c>
      <c r="N207">
        <v>19.25</v>
      </c>
      <c r="O207">
        <v>15.78</v>
      </c>
      <c r="P207">
        <v>25.18</v>
      </c>
      <c r="Q207">
        <v>32.9</v>
      </c>
      <c r="R207">
        <v>39.700000000000003</v>
      </c>
      <c r="S207">
        <v>43.6</v>
      </c>
    </row>
    <row r="208" spans="1:21" x14ac:dyDescent="0.25">
      <c r="A208" t="s">
        <v>506</v>
      </c>
      <c r="B208">
        <v>76.11</v>
      </c>
      <c r="C208">
        <v>60.84</v>
      </c>
      <c r="D208">
        <v>52.02</v>
      </c>
      <c r="E208">
        <v>61.11</v>
      </c>
      <c r="F208">
        <v>66.599999999999994</v>
      </c>
      <c r="G208">
        <v>71.38</v>
      </c>
      <c r="H208">
        <v>87.59</v>
      </c>
      <c r="I208">
        <v>65.95</v>
      </c>
      <c r="J208">
        <v>109.33</v>
      </c>
      <c r="K208">
        <v>132.62</v>
      </c>
      <c r="L208">
        <v>99.78</v>
      </c>
      <c r="M208">
        <v>110.72</v>
      </c>
      <c r="N208">
        <v>125.87</v>
      </c>
      <c r="O208">
        <v>29.65</v>
      </c>
      <c r="P208">
        <v>27.83</v>
      </c>
      <c r="Q208">
        <v>96.61</v>
      </c>
      <c r="R208">
        <v>67</v>
      </c>
      <c r="S208">
        <v>67</v>
      </c>
      <c r="T208">
        <v>67</v>
      </c>
    </row>
    <row r="209" spans="1:21" x14ac:dyDescent="0.25">
      <c r="A209" t="s">
        <v>505</v>
      </c>
      <c r="B209" s="2">
        <v>-1969.41</v>
      </c>
      <c r="C209" s="2">
        <v>-2529.56</v>
      </c>
      <c r="D209" s="2">
        <v>-2282.75</v>
      </c>
      <c r="E209" s="2">
        <v>-1668.36</v>
      </c>
      <c r="F209" s="2">
        <v>-1841.27</v>
      </c>
      <c r="G209" s="2">
        <v>1150.29</v>
      </c>
      <c r="H209" s="2">
        <v>791.42</v>
      </c>
      <c r="I209" s="2">
        <v>444.34</v>
      </c>
      <c r="J209" s="2">
        <v>3934.44</v>
      </c>
      <c r="K209" s="2">
        <v>3581.1</v>
      </c>
      <c r="L209" s="2">
        <v>3215.1</v>
      </c>
      <c r="M209" s="2">
        <v>3115.5</v>
      </c>
      <c r="N209" s="2">
        <v>1831.8</v>
      </c>
      <c r="O209" s="2">
        <v>-93.71</v>
      </c>
      <c r="P209" s="2">
        <v>-3811.67</v>
      </c>
      <c r="Q209" s="2">
        <v>-8223</v>
      </c>
      <c r="R209" s="2">
        <v>-15160.5</v>
      </c>
      <c r="S209" s="2">
        <v>-24029</v>
      </c>
      <c r="T209" s="2">
        <v>-33322</v>
      </c>
      <c r="U209" s="2"/>
    </row>
    <row r="210" spans="1:21" x14ac:dyDescent="0.25">
      <c r="A210" t="s">
        <v>1613</v>
      </c>
      <c r="B210">
        <v>-3.9</v>
      </c>
      <c r="C210">
        <v>-4.8600000000000003</v>
      </c>
      <c r="D210">
        <v>-4.47</v>
      </c>
      <c r="E210">
        <v>-3.22</v>
      </c>
      <c r="F210">
        <v>-3.61</v>
      </c>
      <c r="G210">
        <v>1.95</v>
      </c>
      <c r="H210">
        <v>1.38</v>
      </c>
      <c r="I210">
        <v>0.87</v>
      </c>
      <c r="J210">
        <v>5.16</v>
      </c>
      <c r="K210">
        <v>4.49</v>
      </c>
      <c r="L210">
        <v>4.01</v>
      </c>
      <c r="M210">
        <v>3.92</v>
      </c>
      <c r="N210">
        <v>2.4700000000000002</v>
      </c>
      <c r="O210">
        <v>0.31</v>
      </c>
      <c r="P210">
        <v>-4.0199999999999996</v>
      </c>
      <c r="Q210">
        <v>-8.81</v>
      </c>
      <c r="R210">
        <v>-15.77</v>
      </c>
    </row>
    <row r="211" spans="1:21" x14ac:dyDescent="0.25">
      <c r="A211" t="s">
        <v>1339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23.71</v>
      </c>
      <c r="H211">
        <v>17.920000000000002</v>
      </c>
      <c r="I211">
        <v>13.01</v>
      </c>
      <c r="J211">
        <v>29.46</v>
      </c>
      <c r="K211">
        <v>26.28</v>
      </c>
      <c r="L211">
        <v>28.69</v>
      </c>
      <c r="M211">
        <v>31.02</v>
      </c>
      <c r="N211">
        <v>29.59</v>
      </c>
      <c r="O211">
        <v>26.03</v>
      </c>
      <c r="P211">
        <v>21.99</v>
      </c>
      <c r="Q211">
        <v>16.47</v>
      </c>
    </row>
    <row r="212" spans="1:21" x14ac:dyDescent="0.25">
      <c r="A212" t="s">
        <v>331</v>
      </c>
      <c r="G212" s="2">
        <v>1732.7</v>
      </c>
      <c r="H212" s="2">
        <v>1450</v>
      </c>
      <c r="I212" s="2">
        <v>1200</v>
      </c>
      <c r="J212" s="2">
        <v>4587.99</v>
      </c>
      <c r="K212" s="2">
        <v>4522.3999999999996</v>
      </c>
      <c r="L212" s="2">
        <v>4199.8999999999996</v>
      </c>
      <c r="M212" s="2">
        <v>4090.5</v>
      </c>
      <c r="N212" s="2">
        <v>4499.8999999999996</v>
      </c>
      <c r="O212" s="2">
        <v>4771.2</v>
      </c>
      <c r="P212" s="2">
        <v>4771.8500000000004</v>
      </c>
      <c r="Q212" s="2">
        <v>4292.7700000000004</v>
      </c>
      <c r="R212" s="2">
        <v>3221</v>
      </c>
      <c r="S212" s="2">
        <v>1971</v>
      </c>
      <c r="T212" s="2"/>
      <c r="U212" s="2"/>
    </row>
    <row r="213" spans="1:21" x14ac:dyDescent="0.25">
      <c r="A213" t="s">
        <v>178</v>
      </c>
    </row>
    <row r="214" spans="1:21" x14ac:dyDescent="0.25">
      <c r="A214" t="s">
        <v>179</v>
      </c>
      <c r="B214">
        <v>5.89</v>
      </c>
      <c r="C214">
        <v>7.68</v>
      </c>
      <c r="D214">
        <v>-14.33</v>
      </c>
      <c r="E214">
        <v>0.42</v>
      </c>
      <c r="F214">
        <v>11.13</v>
      </c>
      <c r="G214">
        <v>-2.4300000000000002</v>
      </c>
      <c r="H214">
        <v>14.98</v>
      </c>
      <c r="I214">
        <v>-2.5299999999999998</v>
      </c>
      <c r="J214">
        <v>-2.56</v>
      </c>
      <c r="K214">
        <v>-0.73</v>
      </c>
      <c r="L214">
        <v>-4.2699999999999996</v>
      </c>
      <c r="M214">
        <v>-4.2699999999999996</v>
      </c>
      <c r="N214">
        <v>12.57</v>
      </c>
      <c r="O214">
        <v>12.77</v>
      </c>
      <c r="P214">
        <v>18.989999999999998</v>
      </c>
      <c r="Q214">
        <v>23.24</v>
      </c>
      <c r="R214">
        <v>21.5</v>
      </c>
      <c r="S214">
        <v>23.6</v>
      </c>
    </row>
    <row r="215" spans="1:21" x14ac:dyDescent="0.25">
      <c r="A215" t="s">
        <v>180</v>
      </c>
      <c r="B215">
        <v>6.88</v>
      </c>
      <c r="C215">
        <v>8.86</v>
      </c>
      <c r="D215">
        <v>-17.48</v>
      </c>
      <c r="E215">
        <v>0.52</v>
      </c>
      <c r="F215">
        <v>12.75</v>
      </c>
      <c r="G215">
        <v>-3.13</v>
      </c>
      <c r="H215">
        <v>19.82</v>
      </c>
      <c r="I215">
        <v>-3.24</v>
      </c>
      <c r="J215">
        <v>-3.49</v>
      </c>
      <c r="K215">
        <v>-1.04</v>
      </c>
      <c r="L215">
        <v>-6.13</v>
      </c>
      <c r="M215">
        <v>-6.26</v>
      </c>
      <c r="N215">
        <v>19.25</v>
      </c>
      <c r="O215">
        <v>18.760000000000002</v>
      </c>
      <c r="P215">
        <v>27.24</v>
      </c>
      <c r="Q215">
        <v>33.11</v>
      </c>
      <c r="R215">
        <v>39.700000000000003</v>
      </c>
      <c r="S215">
        <v>43.6</v>
      </c>
    </row>
    <row r="216" spans="1:21" x14ac:dyDescent="0.25">
      <c r="A216" t="s">
        <v>1389</v>
      </c>
      <c r="B216">
        <v>62.31</v>
      </c>
      <c r="C216">
        <v>60.46</v>
      </c>
      <c r="D216">
        <v>64.91</v>
      </c>
      <c r="E216">
        <v>59.69</v>
      </c>
      <c r="F216">
        <v>56.59</v>
      </c>
      <c r="G216">
        <v>39.76</v>
      </c>
      <c r="H216">
        <v>52.29</v>
      </c>
      <c r="I216">
        <v>59.51</v>
      </c>
      <c r="J216">
        <v>45.59</v>
      </c>
      <c r="K216">
        <v>51.45</v>
      </c>
      <c r="L216">
        <v>54.05</v>
      </c>
      <c r="M216">
        <v>52.98</v>
      </c>
      <c r="N216">
        <v>70.599999999999994</v>
      </c>
      <c r="O216">
        <v>80.75</v>
      </c>
      <c r="P216">
        <v>75.22</v>
      </c>
      <c r="Q216">
        <v>74.8</v>
      </c>
      <c r="R216">
        <v>74.900000000000006</v>
      </c>
    </row>
    <row r="217" spans="1:21" x14ac:dyDescent="0.25">
      <c r="A217" t="s">
        <v>506</v>
      </c>
      <c r="B217">
        <v>65.45</v>
      </c>
      <c r="C217">
        <v>64.760000000000005</v>
      </c>
      <c r="D217">
        <v>65.900000000000006</v>
      </c>
      <c r="E217">
        <v>66.5</v>
      </c>
      <c r="F217">
        <v>66.760000000000005</v>
      </c>
      <c r="G217">
        <v>57.68</v>
      </c>
      <c r="H217">
        <v>81.22</v>
      </c>
      <c r="I217">
        <v>72.680000000000007</v>
      </c>
      <c r="J217">
        <v>75.02</v>
      </c>
      <c r="K217">
        <v>111.02</v>
      </c>
      <c r="L217">
        <v>111.54</v>
      </c>
      <c r="M217">
        <v>101.84</v>
      </c>
      <c r="N217">
        <v>109.62</v>
      </c>
      <c r="O217">
        <v>126.59</v>
      </c>
      <c r="P217">
        <v>116.29</v>
      </c>
      <c r="Q217">
        <v>118.48</v>
      </c>
      <c r="R217">
        <v>128.38999999999999</v>
      </c>
    </row>
    <row r="218" spans="1:21" x14ac:dyDescent="0.25">
      <c r="A218" t="s">
        <v>812</v>
      </c>
      <c r="B218">
        <v>8.69</v>
      </c>
      <c r="C218">
        <v>8.48</v>
      </c>
      <c r="D218">
        <v>7.02</v>
      </c>
      <c r="E218">
        <v>7.02</v>
      </c>
      <c r="F218">
        <v>7.82</v>
      </c>
      <c r="G218">
        <v>7.41</v>
      </c>
      <c r="H218">
        <v>5.48</v>
      </c>
      <c r="I218">
        <v>5.77</v>
      </c>
      <c r="J218">
        <v>5.63</v>
      </c>
      <c r="K218">
        <v>5.28</v>
      </c>
      <c r="L218">
        <v>4.76</v>
      </c>
      <c r="M218">
        <v>5.36</v>
      </c>
      <c r="N218">
        <v>5.0999999999999996</v>
      </c>
      <c r="O218">
        <v>4.33</v>
      </c>
      <c r="P218">
        <v>5.21</v>
      </c>
    </row>
    <row r="219" spans="1:21" x14ac:dyDescent="0.25">
      <c r="A219" t="s">
        <v>757</v>
      </c>
      <c r="B219">
        <v>3.72</v>
      </c>
      <c r="C219">
        <v>4.63</v>
      </c>
      <c r="D219">
        <v>2.12</v>
      </c>
      <c r="E219">
        <v>4.04</v>
      </c>
      <c r="F219">
        <v>5.04</v>
      </c>
      <c r="G219">
        <v>1.69</v>
      </c>
      <c r="H219">
        <v>1.61</v>
      </c>
      <c r="I219">
        <v>1.19</v>
      </c>
      <c r="J219">
        <v>1.2</v>
      </c>
      <c r="K219">
        <v>0.88</v>
      </c>
      <c r="L219">
        <v>1.1399999999999999</v>
      </c>
      <c r="M219">
        <v>0.98</v>
      </c>
      <c r="N219">
        <v>1.5</v>
      </c>
      <c r="O219">
        <v>2.2799999999999998</v>
      </c>
      <c r="P219">
        <v>2.79</v>
      </c>
      <c r="Q219">
        <v>3.83</v>
      </c>
      <c r="R219">
        <v>4.6100000000000003</v>
      </c>
      <c r="S219">
        <v>4.4800000000000004</v>
      </c>
      <c r="T219">
        <v>5.33</v>
      </c>
    </row>
    <row r="220" spans="1:21" x14ac:dyDescent="0.25">
      <c r="A220" t="s">
        <v>813</v>
      </c>
      <c r="B220">
        <v>3.02</v>
      </c>
      <c r="C220">
        <v>3.97</v>
      </c>
      <c r="D220">
        <v>1.86</v>
      </c>
      <c r="E220">
        <v>3.36</v>
      </c>
      <c r="F220">
        <v>4.37</v>
      </c>
      <c r="G220">
        <v>0.91</v>
      </c>
      <c r="H220">
        <v>0.91</v>
      </c>
      <c r="I220">
        <v>0.69</v>
      </c>
      <c r="J220">
        <v>0.44</v>
      </c>
      <c r="K220">
        <v>0.38</v>
      </c>
      <c r="L220">
        <v>0.52</v>
      </c>
      <c r="M220">
        <v>0.47</v>
      </c>
      <c r="N220">
        <v>0.82</v>
      </c>
      <c r="O220">
        <v>1.1000000000000001</v>
      </c>
      <c r="P220">
        <v>1.25</v>
      </c>
      <c r="Q220">
        <v>1.79</v>
      </c>
      <c r="R220">
        <v>4.6100000000000003</v>
      </c>
      <c r="S220">
        <v>4.4800000000000004</v>
      </c>
      <c r="T220">
        <v>5.33</v>
      </c>
    </row>
    <row r="221" spans="1:21" x14ac:dyDescent="0.25">
      <c r="A221" t="s">
        <v>333</v>
      </c>
      <c r="B221" s="2">
        <v>1222.1600000000001</v>
      </c>
      <c r="C221" s="2">
        <v>1495.69</v>
      </c>
      <c r="D221" s="2">
        <v>447.94</v>
      </c>
      <c r="E221" s="2">
        <v>979.93</v>
      </c>
      <c r="F221" s="2">
        <v>1054.33</v>
      </c>
      <c r="G221" s="2">
        <v>176.05</v>
      </c>
      <c r="H221" s="2">
        <v>179.73</v>
      </c>
      <c r="I221">
        <v>-208.42</v>
      </c>
      <c r="J221">
        <v>491.38</v>
      </c>
      <c r="K221" s="2">
        <v>-16.600000000000001</v>
      </c>
      <c r="L221">
        <v>297.7</v>
      </c>
      <c r="M221">
        <v>145.19999999999999</v>
      </c>
      <c r="N221">
        <v>601.29999999999995</v>
      </c>
      <c r="O221" s="2">
        <v>1802.57</v>
      </c>
      <c r="P221" s="2">
        <v>2831.86</v>
      </c>
      <c r="Q221" s="2">
        <v>2071.46</v>
      </c>
      <c r="R221" s="2">
        <v>2503.27</v>
      </c>
      <c r="S221" s="2">
        <v>2857.61</v>
      </c>
      <c r="T221" s="2">
        <v>3200.27</v>
      </c>
      <c r="U221" s="2"/>
    </row>
    <row r="222" spans="1:21" x14ac:dyDescent="0.25">
      <c r="A222" t="s">
        <v>424</v>
      </c>
      <c r="B222">
        <v>9.31</v>
      </c>
      <c r="C222">
        <v>9.99</v>
      </c>
      <c r="D222">
        <v>8.16</v>
      </c>
      <c r="E222">
        <v>7.96</v>
      </c>
      <c r="F222">
        <v>8.35</v>
      </c>
      <c r="G222">
        <v>11.1</v>
      </c>
      <c r="H222">
        <v>13.08</v>
      </c>
      <c r="I222">
        <v>12.49</v>
      </c>
      <c r="J222">
        <v>18.55</v>
      </c>
      <c r="K222">
        <v>18.27</v>
      </c>
      <c r="L222">
        <v>17.14</v>
      </c>
      <c r="M222">
        <v>15.5</v>
      </c>
      <c r="N222">
        <v>16.89</v>
      </c>
      <c r="O222">
        <v>20.52</v>
      </c>
      <c r="P222">
        <v>25.26</v>
      </c>
      <c r="Q222">
        <v>35.06</v>
      </c>
      <c r="R222">
        <v>43.63</v>
      </c>
    </row>
    <row r="223" spans="1:21" x14ac:dyDescent="0.25">
      <c r="A223" t="s">
        <v>814</v>
      </c>
      <c r="B223">
        <v>5.17</v>
      </c>
      <c r="C223">
        <v>5.99</v>
      </c>
      <c r="D223">
        <v>4.1900000000000004</v>
      </c>
      <c r="E223">
        <v>4.01</v>
      </c>
      <c r="F223">
        <v>4.33</v>
      </c>
      <c r="G223">
        <v>-1.1399999999999999</v>
      </c>
      <c r="H223">
        <v>0.87</v>
      </c>
      <c r="I223">
        <v>1.23</v>
      </c>
      <c r="J223">
        <v>-2.3199999999999998</v>
      </c>
      <c r="K223">
        <v>-1.23</v>
      </c>
      <c r="L223">
        <v>-0.88</v>
      </c>
      <c r="M223">
        <v>-1.01</v>
      </c>
      <c r="N223">
        <v>1.76</v>
      </c>
      <c r="O223">
        <v>3.84</v>
      </c>
      <c r="P223">
        <v>8.7899999999999991</v>
      </c>
      <c r="Q223">
        <v>18.170000000000002</v>
      </c>
      <c r="R223">
        <v>28.97</v>
      </c>
    </row>
    <row r="224" spans="1:21" x14ac:dyDescent="0.25">
      <c r="A224" t="s">
        <v>1614</v>
      </c>
      <c r="B224">
        <v>3.92</v>
      </c>
      <c r="C224">
        <v>4.91</v>
      </c>
      <c r="D224">
        <v>4.5</v>
      </c>
      <c r="E224">
        <v>3.3</v>
      </c>
      <c r="F224">
        <v>3.71</v>
      </c>
      <c r="G224">
        <v>0.88</v>
      </c>
      <c r="H224">
        <v>0.98</v>
      </c>
      <c r="I224">
        <v>1.1100000000000001</v>
      </c>
      <c r="J224">
        <v>0.72</v>
      </c>
      <c r="K224">
        <v>1.06</v>
      </c>
      <c r="L224">
        <v>1.1000000000000001</v>
      </c>
      <c r="M224">
        <v>1.1000000000000001</v>
      </c>
      <c r="N224">
        <v>3.11</v>
      </c>
      <c r="O224">
        <v>4.91</v>
      </c>
      <c r="P224">
        <v>8.77</v>
      </c>
      <c r="Q224">
        <v>16.2</v>
      </c>
    </row>
    <row r="225" spans="1:21" x14ac:dyDescent="0.25">
      <c r="A225" t="s">
        <v>17</v>
      </c>
    </row>
    <row r="226" spans="1:21" x14ac:dyDescent="0.25">
      <c r="A226" t="s">
        <v>188</v>
      </c>
    </row>
    <row r="227" spans="1:21" x14ac:dyDescent="0.25">
      <c r="A227" t="s">
        <v>189</v>
      </c>
    </row>
    <row r="228" spans="1:21" x14ac:dyDescent="0.25">
      <c r="A228" t="s">
        <v>190</v>
      </c>
      <c r="C228">
        <v>106.25</v>
      </c>
      <c r="D228">
        <v>100.18</v>
      </c>
      <c r="E228">
        <v>107.85</v>
      </c>
      <c r="F228">
        <v>83.49</v>
      </c>
      <c r="G228">
        <v>123.98</v>
      </c>
      <c r="H228">
        <v>156.66</v>
      </c>
      <c r="I228">
        <v>197.91</v>
      </c>
      <c r="J228">
        <v>265.93</v>
      </c>
      <c r="K228">
        <v>304.89999999999998</v>
      </c>
      <c r="L228">
        <v>299.8</v>
      </c>
      <c r="M228">
        <v>304.3</v>
      </c>
      <c r="N228">
        <v>348.6</v>
      </c>
      <c r="O228">
        <v>398.73</v>
      </c>
      <c r="P228">
        <v>475.8</v>
      </c>
      <c r="Q228">
        <v>588.87</v>
      </c>
      <c r="R228">
        <v>603.12</v>
      </c>
      <c r="S228">
        <v>663.94</v>
      </c>
      <c r="T228">
        <v>441.03</v>
      </c>
    </row>
    <row r="229" spans="1:21" x14ac:dyDescent="0.25">
      <c r="A229" t="s">
        <v>1615</v>
      </c>
      <c r="G229">
        <v>11.35</v>
      </c>
      <c r="H229">
        <v>6.76</v>
      </c>
      <c r="I229">
        <v>10.029999999999999</v>
      </c>
      <c r="J229">
        <v>21.56</v>
      </c>
      <c r="K229">
        <v>10.3</v>
      </c>
      <c r="L229">
        <v>10.7</v>
      </c>
    </row>
    <row r="230" spans="1:21" x14ac:dyDescent="0.25">
      <c r="A230" t="s">
        <v>1616</v>
      </c>
      <c r="D230">
        <v>8.11</v>
      </c>
      <c r="E230">
        <v>3.32</v>
      </c>
      <c r="F230">
        <v>1</v>
      </c>
      <c r="G230">
        <v>224</v>
      </c>
      <c r="H230">
        <v>55.83</v>
      </c>
      <c r="I230">
        <v>17.28</v>
      </c>
      <c r="J230">
        <v>194.27</v>
      </c>
      <c r="K230">
        <v>38.700000000000003</v>
      </c>
      <c r="L230">
        <v>0</v>
      </c>
      <c r="M230">
        <v>0</v>
      </c>
      <c r="N230">
        <v>0</v>
      </c>
    </row>
    <row r="231" spans="1:21" x14ac:dyDescent="0.25">
      <c r="A231" t="s">
        <v>335</v>
      </c>
      <c r="B231">
        <v>155.85</v>
      </c>
      <c r="C231">
        <v>137.1</v>
      </c>
      <c r="D231">
        <v>133.75</v>
      </c>
      <c r="E231">
        <v>113.93</v>
      </c>
      <c r="F231">
        <v>86.69</v>
      </c>
      <c r="G231">
        <v>184.06</v>
      </c>
      <c r="H231">
        <v>242.21</v>
      </c>
      <c r="I231">
        <v>241.54</v>
      </c>
      <c r="J231">
        <v>460.68</v>
      </c>
      <c r="K231">
        <v>552.4</v>
      </c>
      <c r="L231">
        <v>609.79999999999995</v>
      </c>
      <c r="M231">
        <v>597.4</v>
      </c>
      <c r="N231">
        <v>590.79999999999995</v>
      </c>
      <c r="O231" s="2">
        <v>1129.02</v>
      </c>
      <c r="P231" s="2">
        <v>1317.62</v>
      </c>
      <c r="Q231" s="2">
        <v>1545.41</v>
      </c>
      <c r="R231">
        <v>828.9</v>
      </c>
      <c r="T231" s="2"/>
      <c r="U231" s="2"/>
    </row>
    <row r="232" spans="1:21" x14ac:dyDescent="0.25">
      <c r="A232" t="s">
        <v>546</v>
      </c>
      <c r="B232">
        <v>3.92</v>
      </c>
      <c r="C232">
        <v>-12.91</v>
      </c>
      <c r="D232">
        <v>6.1</v>
      </c>
      <c r="E232">
        <v>44.64</v>
      </c>
      <c r="F232">
        <v>19.829999999999998</v>
      </c>
      <c r="G232">
        <v>118.65</v>
      </c>
      <c r="H232">
        <v>-785.16</v>
      </c>
      <c r="I232">
        <v>-39.49</v>
      </c>
      <c r="J232">
        <v>-93.89</v>
      </c>
      <c r="K232">
        <v>50.4</v>
      </c>
      <c r="L232">
        <v>150.80000000000001</v>
      </c>
      <c r="M232">
        <v>-111.9</v>
      </c>
      <c r="N232">
        <v>42.2</v>
      </c>
      <c r="O232">
        <v>-1.33</v>
      </c>
      <c r="P232">
        <v>-372.9</v>
      </c>
      <c r="Q232">
        <v>-626.54</v>
      </c>
      <c r="R232" s="2">
        <v>-1494.79</v>
      </c>
      <c r="S232" s="2">
        <v>-1713.29</v>
      </c>
      <c r="T232" s="2">
        <v>-1924.59</v>
      </c>
    </row>
    <row r="233" spans="1:21" x14ac:dyDescent="0.25">
      <c r="A233" t="s">
        <v>512</v>
      </c>
      <c r="B233">
        <v>8.18</v>
      </c>
      <c r="C233">
        <v>-10.63</v>
      </c>
      <c r="D233">
        <v>18.23</v>
      </c>
      <c r="E233">
        <v>49.27</v>
      </c>
      <c r="F233">
        <v>-8.49</v>
      </c>
      <c r="G233">
        <v>3.53</v>
      </c>
      <c r="H233">
        <v>26.45</v>
      </c>
      <c r="I233">
        <v>24.92</v>
      </c>
      <c r="J233">
        <v>69.16</v>
      </c>
      <c r="K233">
        <v>52.4</v>
      </c>
      <c r="L233">
        <v>44.2</v>
      </c>
      <c r="M233">
        <v>65.900000000000006</v>
      </c>
      <c r="N233">
        <v>109.5</v>
      </c>
      <c r="O233">
        <v>58.3</v>
      </c>
    </row>
    <row r="234" spans="1:21" x14ac:dyDescent="0.25">
      <c r="A234" t="s">
        <v>338</v>
      </c>
      <c r="B234">
        <v>-175.01</v>
      </c>
      <c r="C234">
        <v>55.45</v>
      </c>
      <c r="D234">
        <v>746.59</v>
      </c>
      <c r="E234">
        <v>-723.31</v>
      </c>
      <c r="F234">
        <v>-35.590000000000003</v>
      </c>
      <c r="G234">
        <v>-75.12</v>
      </c>
      <c r="H234">
        <v>-190.78</v>
      </c>
      <c r="I234">
        <v>67.87</v>
      </c>
      <c r="J234">
        <v>-662.89</v>
      </c>
      <c r="K234">
        <v>-649.79999999999995</v>
      </c>
      <c r="L234">
        <v>57.8</v>
      </c>
      <c r="M234">
        <v>129.1</v>
      </c>
      <c r="N234" s="2">
        <v>-1108.3</v>
      </c>
      <c r="O234" s="2">
        <v>-1091.58</v>
      </c>
      <c r="P234" s="2">
        <v>-1055.25</v>
      </c>
      <c r="Q234" s="2">
        <v>-1784.6</v>
      </c>
      <c r="S234" s="2"/>
      <c r="T234" s="2"/>
      <c r="U234" s="2"/>
    </row>
    <row r="235" spans="1:21" x14ac:dyDescent="0.25">
      <c r="A235" t="s">
        <v>141</v>
      </c>
      <c r="B235">
        <v>-123.26</v>
      </c>
      <c r="C235">
        <v>34.17</v>
      </c>
      <c r="D235">
        <v>97.66</v>
      </c>
      <c r="E235">
        <v>-12.08</v>
      </c>
      <c r="F235">
        <v>54.99</v>
      </c>
      <c r="G235">
        <v>-99.04</v>
      </c>
      <c r="H235">
        <v>11.24</v>
      </c>
      <c r="I235">
        <v>-44.32</v>
      </c>
      <c r="J235">
        <v>-409.08</v>
      </c>
      <c r="K235">
        <v>-142.69999999999999</v>
      </c>
      <c r="L235">
        <v>70.599999999999994</v>
      </c>
      <c r="M235">
        <v>93.2</v>
      </c>
      <c r="N235" s="2">
        <v>-1158.2</v>
      </c>
      <c r="O235">
        <v>-622.55999999999995</v>
      </c>
      <c r="P235" s="2">
        <v>-1005.87</v>
      </c>
      <c r="Q235" s="2">
        <v>-1649.44</v>
      </c>
      <c r="R235" s="2">
        <v>-1223.4100000000001</v>
      </c>
      <c r="S235" s="2">
        <v>-1445.71</v>
      </c>
      <c r="T235">
        <v>-669.8</v>
      </c>
      <c r="U235" s="2"/>
    </row>
    <row r="236" spans="1:21" x14ac:dyDescent="0.25">
      <c r="A236" t="s">
        <v>302</v>
      </c>
      <c r="B236">
        <v>-97.19</v>
      </c>
      <c r="C236">
        <v>39.450000000000003</v>
      </c>
      <c r="D236">
        <v>90.59</v>
      </c>
      <c r="E236">
        <v>29.33</v>
      </c>
      <c r="F236">
        <v>-12.16</v>
      </c>
      <c r="G236">
        <v>4.3499999999999996</v>
      </c>
      <c r="H236">
        <v>12.76</v>
      </c>
      <c r="I236">
        <v>29.91</v>
      </c>
      <c r="J236">
        <v>-291.89</v>
      </c>
      <c r="K236">
        <v>-385.9</v>
      </c>
      <c r="L236">
        <v>201.9</v>
      </c>
      <c r="M236">
        <v>-230</v>
      </c>
      <c r="N236">
        <v>-389.8</v>
      </c>
      <c r="O236">
        <v>-567.80999999999995</v>
      </c>
      <c r="P236">
        <v>-705.7</v>
      </c>
      <c r="Q236" s="2">
        <v>-1150.1600000000001</v>
      </c>
      <c r="R236">
        <v>-768.69</v>
      </c>
      <c r="S236">
        <v>-842.9</v>
      </c>
      <c r="T236">
        <v>-326.10000000000002</v>
      </c>
    </row>
    <row r="237" spans="1:21" x14ac:dyDescent="0.25">
      <c r="A237" t="s">
        <v>203</v>
      </c>
      <c r="B237">
        <v>19.46</v>
      </c>
      <c r="C237">
        <v>5.79</v>
      </c>
      <c r="D237">
        <v>-23.21</v>
      </c>
      <c r="E237">
        <v>1.83</v>
      </c>
      <c r="F237">
        <v>12.49</v>
      </c>
      <c r="G237">
        <v>-11.69</v>
      </c>
      <c r="H237">
        <v>-54.14</v>
      </c>
      <c r="I237">
        <v>-41.63</v>
      </c>
      <c r="J237">
        <v>-161.81</v>
      </c>
      <c r="K237">
        <v>-480.4</v>
      </c>
      <c r="L237">
        <v>-93.1</v>
      </c>
      <c r="M237">
        <v>3.4</v>
      </c>
      <c r="N237">
        <v>-242.4</v>
      </c>
      <c r="O237">
        <v>-422.49</v>
      </c>
      <c r="P237">
        <v>-210.74</v>
      </c>
      <c r="Q237">
        <v>-197.13</v>
      </c>
      <c r="R237">
        <v>-77.459999999999994</v>
      </c>
      <c r="S237">
        <v>-63.2</v>
      </c>
      <c r="T237">
        <v>-61.12</v>
      </c>
    </row>
    <row r="238" spans="1:21" x14ac:dyDescent="0.25">
      <c r="A238" t="s">
        <v>158</v>
      </c>
      <c r="B238">
        <v>39.79</v>
      </c>
      <c r="C238">
        <v>-43.87</v>
      </c>
      <c r="D238">
        <v>-105.9</v>
      </c>
      <c r="E238">
        <v>-28.15</v>
      </c>
      <c r="F238">
        <v>-16.61</v>
      </c>
      <c r="G238">
        <v>-6.49</v>
      </c>
      <c r="H238">
        <v>1.66</v>
      </c>
      <c r="I238">
        <v>39.659999999999997</v>
      </c>
      <c r="J238">
        <v>93.16</v>
      </c>
      <c r="K238">
        <v>-87.8</v>
      </c>
      <c r="L238">
        <v>-149.1</v>
      </c>
      <c r="M238">
        <v>181.5</v>
      </c>
      <c r="N238">
        <v>299.3</v>
      </c>
      <c r="O238">
        <v>108.16</v>
      </c>
      <c r="P238">
        <v>466.24</v>
      </c>
      <c r="Q238">
        <v>779.92</v>
      </c>
      <c r="R238">
        <v>461.72</v>
      </c>
      <c r="S238">
        <v>508.67</v>
      </c>
      <c r="T238">
        <v>219.02</v>
      </c>
    </row>
    <row r="239" spans="1:21" x14ac:dyDescent="0.25">
      <c r="A239" t="s">
        <v>1617</v>
      </c>
      <c r="B239">
        <v>-9.6300000000000008</v>
      </c>
      <c r="C239">
        <v>-30.02</v>
      </c>
      <c r="D239">
        <v>-15.2</v>
      </c>
      <c r="E239">
        <v>3.76</v>
      </c>
      <c r="F239">
        <v>-62.36</v>
      </c>
      <c r="G239">
        <v>84.35</v>
      </c>
      <c r="H239">
        <v>-182.89</v>
      </c>
      <c r="I239">
        <v>44.61</v>
      </c>
      <c r="J239">
        <v>77.150000000000006</v>
      </c>
      <c r="K239">
        <v>444.5</v>
      </c>
      <c r="L239">
        <v>9.1999999999999993</v>
      </c>
      <c r="M239">
        <v>37.5</v>
      </c>
      <c r="N239">
        <v>393.3</v>
      </c>
      <c r="O239">
        <v>248.21</v>
      </c>
      <c r="P239">
        <v>533.58000000000004</v>
      </c>
      <c r="Q239">
        <v>950.25</v>
      </c>
      <c r="R239">
        <v>526.91999999999996</v>
      </c>
      <c r="S239">
        <v>427.83</v>
      </c>
      <c r="T239">
        <v>413.71</v>
      </c>
    </row>
    <row r="240" spans="1:21" x14ac:dyDescent="0.25">
      <c r="A240" t="s">
        <v>1610</v>
      </c>
      <c r="B240">
        <v>-5.79</v>
      </c>
      <c r="C240">
        <v>43.56</v>
      </c>
      <c r="D240">
        <v>-33.340000000000003</v>
      </c>
      <c r="E240">
        <v>18.02</v>
      </c>
      <c r="F240">
        <v>-11.94</v>
      </c>
      <c r="G240">
        <v>-46.6</v>
      </c>
      <c r="H240">
        <v>20.59</v>
      </c>
      <c r="I240">
        <v>39.64</v>
      </c>
      <c r="J240">
        <v>29.58</v>
      </c>
      <c r="K240">
        <v>2.5</v>
      </c>
      <c r="L240">
        <v>18.3</v>
      </c>
      <c r="M240">
        <v>43.5</v>
      </c>
      <c r="N240">
        <v>-10.5</v>
      </c>
      <c r="O240">
        <v>-25.59</v>
      </c>
      <c r="P240">
        <v>81.5</v>
      </c>
      <c r="Q240">
        <v>121.47</v>
      </c>
      <c r="R240">
        <v>103.95</v>
      </c>
      <c r="S240">
        <v>84.42</v>
      </c>
      <c r="T240">
        <v>81.63</v>
      </c>
    </row>
    <row r="241" spans="1:21" x14ac:dyDescent="0.25">
      <c r="A241" t="s">
        <v>204</v>
      </c>
      <c r="B241">
        <v>448.04</v>
      </c>
      <c r="C241">
        <v>728.94</v>
      </c>
      <c r="D241" s="2">
        <v>205.35</v>
      </c>
      <c r="E241">
        <v>-358.44</v>
      </c>
      <c r="F241">
        <v>571.11</v>
      </c>
      <c r="G241">
        <v>596.74</v>
      </c>
      <c r="H241">
        <v>360.3</v>
      </c>
      <c r="I241">
        <v>817.29</v>
      </c>
      <c r="J241">
        <v>819.37</v>
      </c>
      <c r="K241" s="2">
        <v>1288.8</v>
      </c>
      <c r="L241" s="2">
        <v>1370.5</v>
      </c>
      <c r="M241" s="2">
        <v>1681.2</v>
      </c>
      <c r="N241" s="2">
        <v>1750.5</v>
      </c>
      <c r="O241" s="2">
        <v>3163.67</v>
      </c>
      <c r="P241" s="2">
        <v>5831.06</v>
      </c>
      <c r="Q241" s="2">
        <v>8678.2999999999993</v>
      </c>
      <c r="R241" s="2">
        <v>10627.93</v>
      </c>
      <c r="S241" s="2">
        <v>12791.67</v>
      </c>
      <c r="T241" s="2">
        <v>11842.98</v>
      </c>
      <c r="U241" s="2"/>
    </row>
    <row r="242" spans="1:21" x14ac:dyDescent="0.25">
      <c r="A242" t="s">
        <v>17</v>
      </c>
    </row>
    <row r="243" spans="1:21" x14ac:dyDescent="0.25">
      <c r="A243" t="s">
        <v>205</v>
      </c>
    </row>
    <row r="244" spans="1:21" x14ac:dyDescent="0.25">
      <c r="A244" t="s">
        <v>206</v>
      </c>
      <c r="B244">
        <v>-66.59</v>
      </c>
      <c r="C244">
        <v>-63.03</v>
      </c>
      <c r="D244">
        <v>-47.5</v>
      </c>
      <c r="E244">
        <v>-44.51</v>
      </c>
      <c r="F244">
        <v>-38.549999999999997</v>
      </c>
      <c r="G244">
        <v>-75.92</v>
      </c>
      <c r="H244">
        <v>-81.92</v>
      </c>
      <c r="I244">
        <v>-106.8</v>
      </c>
      <c r="J244">
        <v>-169.32</v>
      </c>
      <c r="K244">
        <v>-206.2</v>
      </c>
      <c r="L244">
        <v>-336.3</v>
      </c>
      <c r="M244">
        <v>-284.60000000000002</v>
      </c>
      <c r="N244">
        <v>-354.1</v>
      </c>
      <c r="O244">
        <v>-547.73</v>
      </c>
      <c r="P244">
        <v>-686.27</v>
      </c>
      <c r="Q244">
        <v>-913.58</v>
      </c>
      <c r="R244" s="2">
        <v>-1036.2</v>
      </c>
      <c r="S244" s="2">
        <v>-1145</v>
      </c>
      <c r="T244">
        <v>-537.5</v>
      </c>
      <c r="U244">
        <v>-688</v>
      </c>
    </row>
    <row r="245" spans="1:21" x14ac:dyDescent="0.25">
      <c r="A245" t="s">
        <v>1618</v>
      </c>
      <c r="B245">
        <v>1.96</v>
      </c>
      <c r="C245">
        <v>1.7</v>
      </c>
      <c r="D245">
        <v>1.82</v>
      </c>
      <c r="E245">
        <v>1.93</v>
      </c>
      <c r="F245">
        <v>1.6</v>
      </c>
      <c r="G245">
        <v>2.65</v>
      </c>
      <c r="H245">
        <v>3.04</v>
      </c>
      <c r="I245">
        <v>3.6</v>
      </c>
      <c r="J245">
        <v>3.79</v>
      </c>
      <c r="K245">
        <v>3.48</v>
      </c>
      <c r="L245">
        <v>6.11</v>
      </c>
      <c r="M245">
        <v>4.93</v>
      </c>
      <c r="N245">
        <v>4.32</v>
      </c>
      <c r="O245">
        <v>4.6900000000000004</v>
      </c>
      <c r="P245">
        <v>4.07</v>
      </c>
      <c r="Q245">
        <v>3.61</v>
      </c>
      <c r="R245">
        <v>5</v>
      </c>
      <c r="S245">
        <v>5</v>
      </c>
    </row>
    <row r="246" spans="1:21" x14ac:dyDescent="0.25">
      <c r="A246" t="s">
        <v>1619</v>
      </c>
      <c r="B246">
        <v>-17.649999999999999</v>
      </c>
      <c r="C246">
        <v>-16.420000000000002</v>
      </c>
      <c r="D246">
        <v>-8.24</v>
      </c>
      <c r="E246">
        <v>-10.31</v>
      </c>
      <c r="F246">
        <v>-6.59</v>
      </c>
      <c r="G246">
        <v>-11.54</v>
      </c>
      <c r="H246">
        <v>-4.71</v>
      </c>
      <c r="I246">
        <v>-12.71</v>
      </c>
      <c r="J246">
        <v>-17.8</v>
      </c>
      <c r="K246">
        <v>-11.1</v>
      </c>
      <c r="L246">
        <v>-13.9</v>
      </c>
      <c r="M246">
        <v>-7</v>
      </c>
      <c r="N246">
        <v>-4.5</v>
      </c>
      <c r="O246">
        <v>-5.33</v>
      </c>
      <c r="P246">
        <v>-7.64</v>
      </c>
      <c r="Q246">
        <v>-9.4499999999999993</v>
      </c>
      <c r="R246">
        <v>-10</v>
      </c>
      <c r="S246">
        <v>-10</v>
      </c>
      <c r="T246">
        <v>-10</v>
      </c>
    </row>
    <row r="247" spans="1:21" x14ac:dyDescent="0.25">
      <c r="A247" t="s">
        <v>1151</v>
      </c>
      <c r="B247">
        <v>-2.5499999999999998</v>
      </c>
      <c r="C247">
        <v>0</v>
      </c>
      <c r="D247">
        <v>0</v>
      </c>
      <c r="E247">
        <v>0</v>
      </c>
      <c r="F247">
        <v>0</v>
      </c>
      <c r="G247" s="2">
        <v>-2652.82</v>
      </c>
      <c r="H247">
        <v>627.70000000000005</v>
      </c>
      <c r="I247">
        <v>0</v>
      </c>
      <c r="J247" s="2">
        <v>-3554.94</v>
      </c>
      <c r="K247">
        <v>-112.3</v>
      </c>
      <c r="L247" s="2">
        <v>0</v>
      </c>
      <c r="M247">
        <v>-10.4</v>
      </c>
      <c r="N247" s="2">
        <v>2478.6</v>
      </c>
      <c r="O247" s="2">
        <v>-1270.32</v>
      </c>
      <c r="P247">
        <v>0</v>
      </c>
      <c r="Q247">
        <v>0</v>
      </c>
      <c r="S247" s="2"/>
      <c r="T247" s="2"/>
    </row>
    <row r="248" spans="1:21" x14ac:dyDescent="0.25">
      <c r="A248" t="s">
        <v>212</v>
      </c>
      <c r="G248">
        <v>-2.73</v>
      </c>
      <c r="H248">
        <v>-1.68</v>
      </c>
      <c r="I248">
        <v>-0.88</v>
      </c>
      <c r="J248">
        <v>-3.07</v>
      </c>
      <c r="K248">
        <v>1.2</v>
      </c>
      <c r="L248">
        <v>-0.3</v>
      </c>
      <c r="M248">
        <v>1.3</v>
      </c>
      <c r="N248">
        <v>-49.6</v>
      </c>
      <c r="O248">
        <v>5.63</v>
      </c>
      <c r="P248">
        <v>-348.24</v>
      </c>
      <c r="Q248">
        <v>-397.45</v>
      </c>
      <c r="R248">
        <v>-471.94</v>
      </c>
      <c r="S248">
        <v>-556.85</v>
      </c>
      <c r="T248">
        <v>-556.70000000000005</v>
      </c>
    </row>
    <row r="249" spans="1:21" x14ac:dyDescent="0.25">
      <c r="A249" t="s">
        <v>213</v>
      </c>
      <c r="B249">
        <v>74.790000000000006</v>
      </c>
      <c r="C249">
        <v>-368.94</v>
      </c>
      <c r="D249">
        <v>201.69</v>
      </c>
      <c r="E249">
        <v>161.6</v>
      </c>
      <c r="F249">
        <v>39.520000000000003</v>
      </c>
      <c r="G249" s="2">
        <v>-1752.55</v>
      </c>
      <c r="H249">
        <v>558.85</v>
      </c>
      <c r="I249">
        <v>-119.64</v>
      </c>
      <c r="J249" s="2">
        <v>-3745.13</v>
      </c>
      <c r="K249">
        <v>-328.4</v>
      </c>
      <c r="L249" s="2">
        <v>-350.5</v>
      </c>
      <c r="M249">
        <v>-300.7</v>
      </c>
      <c r="N249" s="2">
        <v>2097.8000000000002</v>
      </c>
      <c r="O249" s="2">
        <v>-1674.71</v>
      </c>
      <c r="P249">
        <v>-809.53</v>
      </c>
      <c r="Q249">
        <v>-987.06</v>
      </c>
      <c r="R249" s="2">
        <v>-1352.25</v>
      </c>
      <c r="S249" s="2">
        <v>-1632.76</v>
      </c>
      <c r="T249" s="2">
        <v>-1021.86</v>
      </c>
    </row>
    <row r="250" spans="1:21" x14ac:dyDescent="0.25">
      <c r="A250" t="s">
        <v>17</v>
      </c>
    </row>
    <row r="251" spans="1:21" x14ac:dyDescent="0.25">
      <c r="A251" t="s">
        <v>214</v>
      </c>
    </row>
    <row r="252" spans="1:21" x14ac:dyDescent="0.25">
      <c r="A252" t="s">
        <v>1620</v>
      </c>
      <c r="G252" s="2">
        <v>1892.61</v>
      </c>
      <c r="H252">
        <v>950</v>
      </c>
      <c r="I252">
        <v>0</v>
      </c>
      <c r="J252" s="2">
        <v>3896.1</v>
      </c>
      <c r="K252">
        <v>200</v>
      </c>
      <c r="L252" s="2">
        <v>1295.3</v>
      </c>
      <c r="M252">
        <v>0</v>
      </c>
      <c r="N252" s="2">
        <v>1198.5999999999999</v>
      </c>
      <c r="O252" s="2">
        <v>998.92</v>
      </c>
      <c r="Q252" s="2"/>
      <c r="S252" s="2"/>
    </row>
    <row r="253" spans="1:21" x14ac:dyDescent="0.25">
      <c r="A253" t="s">
        <v>347</v>
      </c>
      <c r="B253">
        <v>-119.45</v>
      </c>
      <c r="C253">
        <v>-122.8</v>
      </c>
      <c r="D253">
        <v>-122.82</v>
      </c>
      <c r="E253">
        <v>-122.29</v>
      </c>
      <c r="F253">
        <v>-119.25</v>
      </c>
      <c r="G253">
        <v>-148.08000000000001</v>
      </c>
      <c r="H253">
        <v>-159.57</v>
      </c>
      <c r="I253">
        <v>-160.57</v>
      </c>
      <c r="J253">
        <v>-191.05</v>
      </c>
      <c r="K253">
        <v>-204.4</v>
      </c>
      <c r="L253">
        <v>-206.8</v>
      </c>
      <c r="M253">
        <v>-207.5</v>
      </c>
      <c r="N253">
        <v>-205.1</v>
      </c>
      <c r="O253">
        <v>-215.84</v>
      </c>
      <c r="P253">
        <v>-232.24</v>
      </c>
      <c r="Q253">
        <v>-263.5</v>
      </c>
      <c r="R253">
        <v>-287.82</v>
      </c>
      <c r="S253">
        <v>-257.75</v>
      </c>
      <c r="T253">
        <v>-198.78</v>
      </c>
    </row>
    <row r="254" spans="1:21" x14ac:dyDescent="0.25">
      <c r="A254" t="s">
        <v>1621</v>
      </c>
      <c r="B254">
        <v>0</v>
      </c>
      <c r="C254">
        <v>0</v>
      </c>
      <c r="D254">
        <v>0</v>
      </c>
      <c r="E254">
        <v>0</v>
      </c>
      <c r="F254">
        <v>-42.88</v>
      </c>
      <c r="G254" s="2">
        <v>1136.48</v>
      </c>
      <c r="H254">
        <v>-300</v>
      </c>
      <c r="I254">
        <v>-250</v>
      </c>
      <c r="J254" s="2">
        <v>3188.01</v>
      </c>
      <c r="K254">
        <v>-65.599999999999994</v>
      </c>
      <c r="L254" s="2">
        <v>-327.2</v>
      </c>
      <c r="M254">
        <v>-109.4</v>
      </c>
      <c r="N254">
        <v>408</v>
      </c>
      <c r="O254" s="2">
        <v>448.11</v>
      </c>
      <c r="P254">
        <v>-33.96</v>
      </c>
      <c r="Q254">
        <v>-50.94</v>
      </c>
      <c r="R254">
        <v>-400</v>
      </c>
    </row>
    <row r="255" spans="1:21" x14ac:dyDescent="0.25">
      <c r="A255" t="s">
        <v>765</v>
      </c>
      <c r="B255">
        <v>-376.29</v>
      </c>
      <c r="C255">
        <v>-64.959999999999994</v>
      </c>
      <c r="D255">
        <v>-260.88</v>
      </c>
      <c r="E255" s="2">
        <v>-181.56</v>
      </c>
      <c r="F255">
        <v>-527.57000000000005</v>
      </c>
      <c r="G255">
        <v>-103.97</v>
      </c>
      <c r="H255">
        <v>-364.27</v>
      </c>
      <c r="I255">
        <v>-25.2</v>
      </c>
      <c r="J255">
        <v>0</v>
      </c>
      <c r="K255">
        <v>-115</v>
      </c>
      <c r="L255">
        <v>-150</v>
      </c>
      <c r="M255">
        <v>-725</v>
      </c>
      <c r="N255" s="2">
        <v>-2040.1</v>
      </c>
      <c r="O255">
        <v>-900.25</v>
      </c>
      <c r="P255" s="2">
        <v>-1286.53</v>
      </c>
      <c r="Q255" s="2">
        <v>-1403</v>
      </c>
      <c r="R255">
        <v>-850</v>
      </c>
      <c r="S255" s="2">
        <v>-700</v>
      </c>
      <c r="T255" s="2">
        <v>-1000</v>
      </c>
      <c r="U255" s="2"/>
    </row>
    <row r="256" spans="1:21" x14ac:dyDescent="0.25">
      <c r="A256" t="s">
        <v>1622</v>
      </c>
      <c r="B256">
        <v>204.96</v>
      </c>
      <c r="C256">
        <v>112.36</v>
      </c>
      <c r="D256">
        <v>80.72</v>
      </c>
      <c r="E256">
        <v>74.22</v>
      </c>
      <c r="F256">
        <v>180.3</v>
      </c>
      <c r="G256">
        <v>100.96</v>
      </c>
      <c r="H256">
        <v>147.28</v>
      </c>
      <c r="I256">
        <v>86.64</v>
      </c>
      <c r="J256">
        <v>84.48</v>
      </c>
      <c r="K256">
        <v>91.3</v>
      </c>
      <c r="L256">
        <v>99.2</v>
      </c>
      <c r="M256">
        <v>87.6</v>
      </c>
      <c r="N256">
        <v>78.7</v>
      </c>
      <c r="O256">
        <v>629.4</v>
      </c>
      <c r="P256">
        <v>60</v>
      </c>
      <c r="Q256">
        <v>60</v>
      </c>
      <c r="R256">
        <v>100</v>
      </c>
      <c r="S256">
        <v>100</v>
      </c>
      <c r="T256">
        <v>100</v>
      </c>
    </row>
    <row r="257" spans="1:21" x14ac:dyDescent="0.25">
      <c r="A257" t="s">
        <v>1623</v>
      </c>
      <c r="K257">
        <v>-227.6</v>
      </c>
      <c r="L257">
        <v>-223.7</v>
      </c>
      <c r="M257">
        <v>-274.89999999999998</v>
      </c>
      <c r="N257">
        <v>-240.7</v>
      </c>
      <c r="O257">
        <v>-419.62</v>
      </c>
      <c r="P257">
        <v>-366.38</v>
      </c>
      <c r="Q257">
        <v>-348.83</v>
      </c>
      <c r="R257">
        <v>-240</v>
      </c>
      <c r="S257">
        <v>-240</v>
      </c>
      <c r="T257">
        <v>-240</v>
      </c>
    </row>
    <row r="258" spans="1:21" x14ac:dyDescent="0.25">
      <c r="A258" t="s">
        <v>218</v>
      </c>
      <c r="B258">
        <v>-309.04000000000002</v>
      </c>
      <c r="C258">
        <v>-114.77</v>
      </c>
      <c r="D258">
        <v>-339.84</v>
      </c>
      <c r="E258" s="2">
        <v>-267.25</v>
      </c>
      <c r="F258">
        <v>-536.24</v>
      </c>
      <c r="G258">
        <v>849.74</v>
      </c>
      <c r="H258">
        <v>-853.95</v>
      </c>
      <c r="I258">
        <v>-596.78</v>
      </c>
      <c r="J258" s="2">
        <v>2790.83</v>
      </c>
      <c r="K258">
        <v>-662.9</v>
      </c>
      <c r="L258">
        <v>-980.2</v>
      </c>
      <c r="M258" s="2">
        <v>-1383</v>
      </c>
      <c r="N258" s="2">
        <v>-2157.8000000000002</v>
      </c>
      <c r="O258" s="2">
        <v>720.68</v>
      </c>
      <c r="P258" s="2">
        <v>-1349.92</v>
      </c>
      <c r="Q258" s="2">
        <v>-1531.21</v>
      </c>
      <c r="R258" s="2">
        <v>-1358.31</v>
      </c>
      <c r="S258" s="2">
        <v>-1083.51</v>
      </c>
      <c r="T258" s="2">
        <v>-1527.51</v>
      </c>
      <c r="U258" s="2"/>
    </row>
    <row r="259" spans="1:21" x14ac:dyDescent="0.25">
      <c r="A259" t="s">
        <v>17</v>
      </c>
    </row>
    <row r="260" spans="1:21" x14ac:dyDescent="0.25">
      <c r="A260" t="s">
        <v>176</v>
      </c>
    </row>
    <row r="261" spans="1:21" x14ac:dyDescent="0.25">
      <c r="A261" t="s">
        <v>220</v>
      </c>
      <c r="B261">
        <v>213.8</v>
      </c>
      <c r="C261">
        <v>245.23</v>
      </c>
      <c r="D261">
        <v>67.2</v>
      </c>
      <c r="E261" s="2">
        <v>-464.09</v>
      </c>
      <c r="F261">
        <v>74.39</v>
      </c>
      <c r="G261">
        <v>-306.07</v>
      </c>
      <c r="H261">
        <v>65.19</v>
      </c>
      <c r="I261">
        <v>100.86</v>
      </c>
      <c r="J261">
        <v>-134.93</v>
      </c>
      <c r="K261">
        <v>297.5</v>
      </c>
      <c r="L261">
        <v>39.799999999999997</v>
      </c>
      <c r="M261">
        <v>-2.5</v>
      </c>
      <c r="N261" s="2">
        <v>1690.5</v>
      </c>
      <c r="O261" s="2">
        <v>2223.35</v>
      </c>
      <c r="P261" s="2">
        <v>3664.58</v>
      </c>
      <c r="Q261" s="2">
        <v>6127.72</v>
      </c>
      <c r="R261" s="2">
        <v>7917.37</v>
      </c>
      <c r="S261" s="2">
        <v>10075.4</v>
      </c>
      <c r="T261" s="2">
        <v>9293.6</v>
      </c>
      <c r="U261" s="2"/>
    </row>
    <row r="262" spans="1:21" x14ac:dyDescent="0.25">
      <c r="A262" t="s">
        <v>221</v>
      </c>
      <c r="B262">
        <v>751.95</v>
      </c>
      <c r="C262">
        <v>965.75</v>
      </c>
      <c r="D262" s="2">
        <v>1210.98</v>
      </c>
      <c r="E262" s="2">
        <v>1278.18</v>
      </c>
      <c r="F262">
        <v>814.09</v>
      </c>
      <c r="G262">
        <v>888.48</v>
      </c>
      <c r="H262">
        <v>582.41</v>
      </c>
      <c r="I262" s="2">
        <v>647.6</v>
      </c>
      <c r="J262" s="2">
        <v>748.47</v>
      </c>
      <c r="K262">
        <v>613.5</v>
      </c>
      <c r="L262">
        <v>911</v>
      </c>
      <c r="M262">
        <v>950.8</v>
      </c>
      <c r="N262">
        <v>948.3</v>
      </c>
      <c r="O262" s="2">
        <v>2590.88</v>
      </c>
      <c r="P262" s="2">
        <v>4893.1000000000004</v>
      </c>
      <c r="Q262" s="2">
        <v>8419.5400000000009</v>
      </c>
      <c r="R262" s="2">
        <v>13429.51</v>
      </c>
      <c r="S262" s="2">
        <v>22301.98</v>
      </c>
      <c r="T262" s="2">
        <v>28991.46</v>
      </c>
      <c r="U262" s="2"/>
    </row>
    <row r="263" spans="1:21" x14ac:dyDescent="0.25">
      <c r="A263" t="s">
        <v>222</v>
      </c>
      <c r="B263">
        <v>965.75</v>
      </c>
      <c r="C263" s="2">
        <v>1210.98</v>
      </c>
      <c r="D263" s="2">
        <v>1278.18</v>
      </c>
      <c r="E263">
        <v>814.09</v>
      </c>
      <c r="F263">
        <v>888.48</v>
      </c>
      <c r="G263">
        <v>582.41</v>
      </c>
      <c r="H263" s="2">
        <v>647.6</v>
      </c>
      <c r="I263" s="2">
        <v>748.47</v>
      </c>
      <c r="J263">
        <v>613.53</v>
      </c>
      <c r="K263">
        <v>911</v>
      </c>
      <c r="L263">
        <v>950.8</v>
      </c>
      <c r="M263">
        <v>948.3</v>
      </c>
      <c r="N263" s="2">
        <v>2638.8</v>
      </c>
      <c r="O263" s="2">
        <v>4773.74</v>
      </c>
      <c r="P263" s="2">
        <v>8259.09</v>
      </c>
      <c r="Q263" s="2">
        <v>14484.64</v>
      </c>
      <c r="R263" s="2">
        <v>20136.41</v>
      </c>
      <c r="S263" s="2">
        <v>28991.46</v>
      </c>
      <c r="T263" s="2">
        <v>38285.07</v>
      </c>
      <c r="U263" s="2"/>
    </row>
    <row r="264" spans="1:21" x14ac:dyDescent="0.25">
      <c r="A264" t="s">
        <v>178</v>
      </c>
    </row>
    <row r="265" spans="1:21" x14ac:dyDescent="0.25">
      <c r="A265" t="s">
        <v>224</v>
      </c>
      <c r="B265">
        <v>0.89</v>
      </c>
      <c r="C265">
        <v>1.4</v>
      </c>
      <c r="D265">
        <v>0.4</v>
      </c>
      <c r="E265">
        <v>-0.69</v>
      </c>
      <c r="F265">
        <v>1.1200000000000001</v>
      </c>
      <c r="G265">
        <v>1.01</v>
      </c>
      <c r="H265">
        <v>0.53</v>
      </c>
      <c r="I265">
        <v>1.22</v>
      </c>
      <c r="J265">
        <v>1.03</v>
      </c>
      <c r="K265">
        <v>1.51</v>
      </c>
      <c r="L265">
        <v>1.59</v>
      </c>
      <c r="M265">
        <v>1.94</v>
      </c>
      <c r="N265">
        <v>2.0099999999999998</v>
      </c>
      <c r="O265">
        <v>3.44</v>
      </c>
      <c r="P265">
        <v>6.2</v>
      </c>
      <c r="Q265">
        <v>8.98</v>
      </c>
      <c r="R265">
        <v>12.21</v>
      </c>
      <c r="S265">
        <v>15.31</v>
      </c>
      <c r="T265">
        <v>14.11</v>
      </c>
    </row>
    <row r="266" spans="1:21" x14ac:dyDescent="0.25">
      <c r="A266" t="s">
        <v>225</v>
      </c>
      <c r="B266">
        <v>356</v>
      </c>
      <c r="C266">
        <v>650</v>
      </c>
      <c r="D266" s="2">
        <v>147</v>
      </c>
      <c r="E266">
        <v>-402.95</v>
      </c>
      <c r="F266">
        <v>532.55999999999995</v>
      </c>
      <c r="G266">
        <v>520.82000000000005</v>
      </c>
      <c r="H266">
        <v>278.38</v>
      </c>
      <c r="I266">
        <v>710.49</v>
      </c>
      <c r="J266">
        <v>650.04</v>
      </c>
      <c r="K266" s="2">
        <v>1082.5999999999999</v>
      </c>
      <c r="L266" s="2">
        <v>1034.2</v>
      </c>
      <c r="M266" s="2">
        <v>1396.6</v>
      </c>
      <c r="N266" s="2">
        <v>1396.4</v>
      </c>
      <c r="O266" s="2">
        <v>2731.17</v>
      </c>
      <c r="P266" s="2">
        <v>5318.99</v>
      </c>
      <c r="Q266" s="2">
        <v>7704.03</v>
      </c>
      <c r="R266" s="2">
        <v>9834.2800000000007</v>
      </c>
      <c r="S266" s="2">
        <v>11439.48</v>
      </c>
      <c r="T266" s="2">
        <v>11382.05</v>
      </c>
      <c r="U266" s="2"/>
    </row>
    <row r="267" spans="1:21" x14ac:dyDescent="0.25">
      <c r="A267" t="s">
        <v>228</v>
      </c>
      <c r="B267">
        <v>11.2</v>
      </c>
      <c r="C267">
        <v>17.96</v>
      </c>
      <c r="D267">
        <v>6.07</v>
      </c>
      <c r="E267">
        <v>-17.510000000000002</v>
      </c>
      <c r="F267">
        <v>22.11</v>
      </c>
      <c r="G267">
        <v>18.170000000000002</v>
      </c>
      <c r="H267">
        <v>10.31</v>
      </c>
      <c r="I267">
        <v>23.93</v>
      </c>
      <c r="J267">
        <v>14.57</v>
      </c>
      <c r="K267">
        <v>18.29</v>
      </c>
      <c r="L267">
        <v>18.78</v>
      </c>
      <c r="M267">
        <v>24.22</v>
      </c>
      <c r="N267">
        <v>17.04</v>
      </c>
      <c r="O267">
        <v>21.84</v>
      </c>
      <c r="P267">
        <v>28.76</v>
      </c>
      <c r="Q267">
        <v>26.52</v>
      </c>
      <c r="R267">
        <v>28.16</v>
      </c>
      <c r="S267">
        <v>28.48</v>
      </c>
      <c r="T267">
        <v>28.83</v>
      </c>
    </row>
    <row r="268" spans="1:21" x14ac:dyDescent="0.25">
      <c r="A268" t="s">
        <v>438</v>
      </c>
      <c r="B268">
        <v>0.77</v>
      </c>
      <c r="C268">
        <v>1.3</v>
      </c>
      <c r="D268">
        <v>0.31</v>
      </c>
      <c r="E268">
        <v>-0.79</v>
      </c>
      <c r="F268">
        <v>1.07</v>
      </c>
      <c r="G268">
        <v>0.88</v>
      </c>
      <c r="H268">
        <v>0.42</v>
      </c>
      <c r="I268">
        <v>1.06</v>
      </c>
      <c r="J268">
        <v>0.82</v>
      </c>
      <c r="K268">
        <v>1.27</v>
      </c>
      <c r="L268">
        <v>1.2</v>
      </c>
      <c r="M268">
        <v>1.61</v>
      </c>
      <c r="N268">
        <v>1.62</v>
      </c>
      <c r="O268">
        <v>2.59</v>
      </c>
      <c r="P268">
        <v>5.45</v>
      </c>
      <c r="Q268">
        <v>7.71</v>
      </c>
      <c r="R268">
        <v>11.71</v>
      </c>
      <c r="S268">
        <v>13.69</v>
      </c>
      <c r="T268">
        <v>13.69</v>
      </c>
    </row>
    <row r="269" spans="1:21" x14ac:dyDescent="0.25">
      <c r="A269" t="s">
        <v>1624</v>
      </c>
      <c r="B269">
        <v>623.04999999999995</v>
      </c>
      <c r="C269">
        <v>673.49</v>
      </c>
      <c r="D269" s="2">
        <v>-541.24</v>
      </c>
      <c r="E269">
        <v>364.87</v>
      </c>
      <c r="F269">
        <v>606.70000000000005</v>
      </c>
      <c r="G269">
        <v>671.87</v>
      </c>
      <c r="H269">
        <v>551.08000000000004</v>
      </c>
      <c r="I269">
        <v>749.41</v>
      </c>
      <c r="J269" s="2">
        <v>1482.26</v>
      </c>
      <c r="K269" s="2">
        <v>1938.6</v>
      </c>
      <c r="L269" s="2">
        <v>1312.7</v>
      </c>
      <c r="M269" s="2">
        <v>1552.1</v>
      </c>
      <c r="N269" s="2">
        <v>2858.8</v>
      </c>
      <c r="O269" s="2">
        <v>4326.96</v>
      </c>
      <c r="P269" s="2">
        <v>6867.57</v>
      </c>
      <c r="Q269" s="2">
        <v>10254.450000000001</v>
      </c>
      <c r="R269" s="2"/>
      <c r="S269" s="2"/>
      <c r="T269" s="2"/>
      <c r="U269" s="2"/>
    </row>
    <row r="270" spans="1:21" x14ac:dyDescent="0.25">
      <c r="A270" t="s">
        <v>17</v>
      </c>
    </row>
    <row r="271" spans="1:21" x14ac:dyDescent="0.25">
      <c r="A271" t="s">
        <v>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B840-068F-482B-A9EE-DD4DD011AC5C}">
  <dimension ref="A1:U253"/>
  <sheetViews>
    <sheetView workbookViewId="0">
      <selection sqref="A1:U253"/>
    </sheetView>
  </sheetViews>
  <sheetFormatPr defaultRowHeight="15" x14ac:dyDescent="0.25"/>
  <sheetData>
    <row r="1" spans="1:21" x14ac:dyDescent="0.25">
      <c r="A1" t="s">
        <v>1625</v>
      </c>
    </row>
    <row r="2" spans="1:21" x14ac:dyDescent="0.25">
      <c r="A2" t="s">
        <v>1626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41668</v>
      </c>
      <c r="C4" s="1">
        <v>42033</v>
      </c>
      <c r="D4" s="1">
        <v>42398</v>
      </c>
      <c r="E4" s="1">
        <v>42769</v>
      </c>
      <c r="F4" s="1">
        <v>43133</v>
      </c>
      <c r="G4" s="1">
        <v>43497</v>
      </c>
      <c r="H4" s="1">
        <v>43861</v>
      </c>
      <c r="I4" s="1">
        <v>44225</v>
      </c>
      <c r="J4" s="1">
        <v>44589</v>
      </c>
      <c r="K4" s="1">
        <v>44950</v>
      </c>
      <c r="L4" s="1">
        <v>45324</v>
      </c>
      <c r="M4" s="1">
        <v>45688</v>
      </c>
      <c r="N4" s="1">
        <v>46052</v>
      </c>
      <c r="O4" s="1">
        <v>46416</v>
      </c>
      <c r="P4" s="1">
        <v>46780</v>
      </c>
      <c r="Q4" s="1">
        <v>47151</v>
      </c>
      <c r="R4" s="1">
        <v>47515</v>
      </c>
      <c r="S4" s="1">
        <v>47879</v>
      </c>
      <c r="T4" s="1">
        <v>48243</v>
      </c>
      <c r="U4" s="1">
        <v>48607</v>
      </c>
    </row>
    <row r="5" spans="1:21" x14ac:dyDescent="0.25">
      <c r="A5" t="s">
        <v>14</v>
      </c>
    </row>
    <row r="6" spans="1:21" x14ac:dyDescent="0.25">
      <c r="A6" t="s">
        <v>15</v>
      </c>
      <c r="G6">
        <v>8.98</v>
      </c>
      <c r="H6">
        <v>7.35</v>
      </c>
      <c r="I6">
        <v>8</v>
      </c>
      <c r="J6">
        <v>6.22</v>
      </c>
      <c r="K6">
        <v>7.61</v>
      </c>
      <c r="L6">
        <v>7.13</v>
      </c>
      <c r="M6">
        <v>8.14</v>
      </c>
      <c r="N6">
        <v>10.3</v>
      </c>
      <c r="O6">
        <v>25.87</v>
      </c>
      <c r="P6">
        <v>30.44</v>
      </c>
      <c r="Q6">
        <v>35.57</v>
      </c>
      <c r="R6">
        <v>41.95</v>
      </c>
      <c r="S6">
        <v>47.57</v>
      </c>
      <c r="T6">
        <v>53.54</v>
      </c>
      <c r="U6">
        <v>61.74</v>
      </c>
    </row>
    <row r="7" spans="1:21" x14ac:dyDescent="0.25">
      <c r="A7" t="s">
        <v>16</v>
      </c>
      <c r="G7" s="2">
        <v>91324</v>
      </c>
      <c r="H7" s="2">
        <v>92501</v>
      </c>
      <c r="I7" s="2">
        <v>94389</v>
      </c>
      <c r="J7" s="2">
        <v>101229</v>
      </c>
      <c r="K7" s="2">
        <v>102301</v>
      </c>
      <c r="L7" s="2">
        <v>88425</v>
      </c>
      <c r="M7" s="2">
        <v>95567</v>
      </c>
      <c r="N7" s="2">
        <v>113538</v>
      </c>
      <c r="O7" s="2">
        <v>193165.32</v>
      </c>
      <c r="P7" s="2">
        <v>233603.72</v>
      </c>
      <c r="Q7" s="2">
        <v>265111.32</v>
      </c>
      <c r="R7" s="2">
        <v>284021</v>
      </c>
      <c r="S7" s="2">
        <v>298633</v>
      </c>
      <c r="T7" s="2">
        <v>328711.67</v>
      </c>
      <c r="U7" s="2">
        <v>349908</v>
      </c>
    </row>
    <row r="8" spans="1:21" x14ac:dyDescent="0.25">
      <c r="A8" t="s">
        <v>17</v>
      </c>
    </row>
    <row r="9" spans="1:21" x14ac:dyDescent="0.25">
      <c r="A9" t="s">
        <v>1627</v>
      </c>
    </row>
    <row r="10" spans="1:21" x14ac:dyDescent="0.25">
      <c r="A10" t="s">
        <v>1628</v>
      </c>
      <c r="D10" s="2">
        <v>35877</v>
      </c>
      <c r="E10" s="2">
        <v>36509</v>
      </c>
      <c r="F10" s="2">
        <v>39218</v>
      </c>
      <c r="G10" s="2">
        <v>43196</v>
      </c>
      <c r="H10" s="2">
        <v>45838</v>
      </c>
      <c r="I10" s="2">
        <v>48355</v>
      </c>
      <c r="J10" s="2">
        <v>61464</v>
      </c>
      <c r="K10" s="2">
        <v>58213</v>
      </c>
      <c r="L10" s="2">
        <v>48916</v>
      </c>
      <c r="M10" s="2">
        <v>48393</v>
      </c>
      <c r="N10" s="2">
        <v>50984</v>
      </c>
      <c r="O10" s="2">
        <v>58671.3</v>
      </c>
      <c r="P10" s="2">
        <v>60827.94</v>
      </c>
      <c r="Q10" s="2">
        <v>62798.6</v>
      </c>
      <c r="R10" s="2">
        <v>67126.509999999995</v>
      </c>
      <c r="S10" s="2">
        <v>68976.009999999995</v>
      </c>
      <c r="T10" s="2">
        <v>70774.45</v>
      </c>
      <c r="U10" s="2">
        <v>72654.45</v>
      </c>
    </row>
    <row r="11" spans="1:21" x14ac:dyDescent="0.25">
      <c r="A11" t="s">
        <v>1629</v>
      </c>
      <c r="D11" s="2">
        <v>14978</v>
      </c>
      <c r="E11" s="2">
        <v>22070</v>
      </c>
      <c r="F11" s="2">
        <v>30917</v>
      </c>
      <c r="G11" s="2">
        <v>36720</v>
      </c>
      <c r="H11" s="2">
        <v>33969</v>
      </c>
      <c r="I11" s="2">
        <v>32588</v>
      </c>
      <c r="J11" s="2">
        <v>34366</v>
      </c>
      <c r="K11" s="2">
        <v>38356</v>
      </c>
      <c r="L11" s="2">
        <v>33885</v>
      </c>
      <c r="M11" s="2">
        <v>43593</v>
      </c>
      <c r="N11" s="2">
        <v>60826</v>
      </c>
      <c r="O11" s="2">
        <v>133868.72</v>
      </c>
      <c r="P11" s="2">
        <v>173291.21</v>
      </c>
      <c r="Q11" s="2">
        <v>205036.19</v>
      </c>
      <c r="R11" s="2">
        <v>226321.67</v>
      </c>
      <c r="S11" s="2">
        <v>244811.21</v>
      </c>
      <c r="T11" s="2">
        <v>257689.52</v>
      </c>
      <c r="U11" s="2">
        <v>277005.81</v>
      </c>
    </row>
    <row r="12" spans="1:21" x14ac:dyDescent="0.25">
      <c r="A12" t="s">
        <v>1630</v>
      </c>
      <c r="M12" s="2">
        <v>9286</v>
      </c>
      <c r="N12" s="2">
        <v>24683</v>
      </c>
      <c r="O12" s="2">
        <v>74566.28</v>
      </c>
      <c r="P12" s="2">
        <v>105235.25</v>
      </c>
      <c r="Q12" s="2">
        <v>127827.9</v>
      </c>
      <c r="R12" s="2">
        <v>155584</v>
      </c>
    </row>
    <row r="13" spans="1:21" x14ac:dyDescent="0.25">
      <c r="A13" t="s">
        <v>1631</v>
      </c>
      <c r="M13" s="2">
        <v>17850</v>
      </c>
      <c r="N13" s="2">
        <v>19512</v>
      </c>
      <c r="O13" s="2">
        <v>40549.269999999997</v>
      </c>
      <c r="P13" s="2">
        <v>48718.39</v>
      </c>
      <c r="Q13" s="2">
        <v>51936.82</v>
      </c>
      <c r="R13" s="2">
        <v>56375.05</v>
      </c>
      <c r="S13" s="2">
        <v>50394.49</v>
      </c>
      <c r="T13" s="2">
        <v>51713.77</v>
      </c>
      <c r="U13" s="2">
        <v>52729.14</v>
      </c>
    </row>
    <row r="14" spans="1:21" x14ac:dyDescent="0.25">
      <c r="A14" t="s">
        <v>1632</v>
      </c>
      <c r="D14" s="2">
        <v>2217</v>
      </c>
      <c r="E14" s="2">
        <v>9097</v>
      </c>
      <c r="F14" s="2">
        <v>15384</v>
      </c>
      <c r="G14" s="2">
        <v>16767</v>
      </c>
      <c r="H14" s="2">
        <v>16842</v>
      </c>
      <c r="I14" s="2">
        <v>16091</v>
      </c>
      <c r="J14" s="2">
        <v>16465</v>
      </c>
      <c r="K14" s="2">
        <v>17958</v>
      </c>
      <c r="L14" s="2">
        <v>16261</v>
      </c>
      <c r="M14" s="2">
        <v>16457</v>
      </c>
      <c r="N14" s="2">
        <v>16631</v>
      </c>
      <c r="O14" s="2">
        <v>19382.61</v>
      </c>
      <c r="P14" s="2">
        <v>21454.560000000001</v>
      </c>
      <c r="Q14" s="2">
        <v>23490.51</v>
      </c>
      <c r="R14" s="2">
        <v>25520.03</v>
      </c>
      <c r="S14" s="2">
        <v>30924.3</v>
      </c>
      <c r="T14" s="2">
        <v>34675.480000000003</v>
      </c>
      <c r="U14" s="2">
        <v>39025.67</v>
      </c>
    </row>
    <row r="15" spans="1:21" x14ac:dyDescent="0.25">
      <c r="A15" t="s">
        <v>1633</v>
      </c>
      <c r="D15">
        <v>382</v>
      </c>
      <c r="E15" s="2">
        <v>1153</v>
      </c>
      <c r="F15" s="2">
        <v>1704</v>
      </c>
      <c r="G15" s="2">
        <v>1676</v>
      </c>
      <c r="H15" s="2">
        <v>1788</v>
      </c>
      <c r="I15" s="2">
        <v>1567</v>
      </c>
      <c r="J15" s="2">
        <v>5388</v>
      </c>
      <c r="K15" s="2">
        <v>5721</v>
      </c>
      <c r="L15" s="2">
        <v>5624</v>
      </c>
      <c r="M15" s="2">
        <v>3581</v>
      </c>
      <c r="N15" s="2">
        <v>1728</v>
      </c>
      <c r="O15">
        <v>716.81</v>
      </c>
      <c r="P15">
        <v>447.06</v>
      </c>
      <c r="Q15">
        <v>311.73</v>
      </c>
      <c r="R15">
        <v>409.91</v>
      </c>
      <c r="S15">
        <v>247.88</v>
      </c>
      <c r="T15">
        <v>247.88</v>
      </c>
      <c r="U15">
        <v>247.88</v>
      </c>
    </row>
    <row r="16" spans="1:21" x14ac:dyDescent="0.25">
      <c r="A16" t="s">
        <v>17</v>
      </c>
    </row>
    <row r="17" spans="1:21" x14ac:dyDescent="0.25">
      <c r="A17" t="s">
        <v>30</v>
      </c>
      <c r="G17">
        <v>31.78</v>
      </c>
      <c r="H17">
        <v>34</v>
      </c>
      <c r="I17">
        <v>33</v>
      </c>
      <c r="J17">
        <v>22</v>
      </c>
      <c r="K17">
        <v>22.9</v>
      </c>
      <c r="L17">
        <v>24.25</v>
      </c>
      <c r="M17">
        <v>22.8</v>
      </c>
      <c r="N17">
        <v>20.399999999999999</v>
      </c>
      <c r="O17">
        <v>19.43</v>
      </c>
      <c r="P17">
        <v>18.54</v>
      </c>
      <c r="Q17">
        <v>18.29</v>
      </c>
      <c r="R17">
        <v>19.02</v>
      </c>
      <c r="S17">
        <v>18.91</v>
      </c>
      <c r="T17">
        <v>19.02</v>
      </c>
      <c r="U17">
        <v>19.39</v>
      </c>
    </row>
    <row r="18" spans="1:21" x14ac:dyDescent="0.25">
      <c r="A18" t="s">
        <v>680</v>
      </c>
      <c r="G18" s="2">
        <v>10296</v>
      </c>
      <c r="H18" s="2">
        <v>11787</v>
      </c>
      <c r="I18" s="2">
        <v>12747</v>
      </c>
      <c r="J18" s="2">
        <v>9660</v>
      </c>
      <c r="K18" s="2">
        <v>10779</v>
      </c>
      <c r="L18" s="2">
        <v>9746</v>
      </c>
      <c r="M18" s="2">
        <v>10722</v>
      </c>
      <c r="N18" s="2">
        <v>12523</v>
      </c>
      <c r="O18" s="2">
        <v>24074.15</v>
      </c>
      <c r="P18" s="2">
        <v>27744.1</v>
      </c>
      <c r="Q18" s="2">
        <v>31736.27</v>
      </c>
      <c r="R18" s="2">
        <v>35199.800000000003</v>
      </c>
      <c r="S18" s="2">
        <v>39322.75</v>
      </c>
      <c r="T18" s="2">
        <v>43000.33</v>
      </c>
      <c r="U18" s="2">
        <v>46788.67</v>
      </c>
    </row>
    <row r="19" spans="1:21" x14ac:dyDescent="0.25">
      <c r="A19" t="s">
        <v>29</v>
      </c>
      <c r="G19" s="2">
        <v>8854</v>
      </c>
      <c r="H19" s="2">
        <v>10148</v>
      </c>
      <c r="I19" s="2">
        <v>10798</v>
      </c>
      <c r="J19" s="2">
        <v>7785</v>
      </c>
      <c r="K19" s="2">
        <v>8637</v>
      </c>
      <c r="L19" s="2">
        <v>7678</v>
      </c>
      <c r="M19" s="2">
        <v>8529</v>
      </c>
      <c r="N19" s="2">
        <v>9991</v>
      </c>
      <c r="O19" s="2">
        <v>21866.32</v>
      </c>
      <c r="P19" s="2">
        <v>25218.92</v>
      </c>
      <c r="Q19" s="2">
        <v>28545.759999999998</v>
      </c>
      <c r="R19" s="2">
        <v>33029.25</v>
      </c>
      <c r="S19" s="2">
        <v>37006</v>
      </c>
      <c r="T19" s="2">
        <v>38622.67</v>
      </c>
      <c r="U19" s="2">
        <v>41986.33</v>
      </c>
    </row>
    <row r="20" spans="1:21" x14ac:dyDescent="0.25">
      <c r="A20" t="s">
        <v>240</v>
      </c>
      <c r="E20">
        <v>9.4</v>
      </c>
      <c r="F20">
        <v>9.6999999999999993</v>
      </c>
      <c r="G20">
        <v>9.6999999999999993</v>
      </c>
      <c r="H20">
        <v>11</v>
      </c>
      <c r="I20">
        <v>8</v>
      </c>
      <c r="J20">
        <v>7.7</v>
      </c>
      <c r="K20">
        <v>8.4</v>
      </c>
      <c r="L20">
        <v>8.9</v>
      </c>
      <c r="M20">
        <v>8.9</v>
      </c>
      <c r="N20">
        <v>8.8000000000000007</v>
      </c>
      <c r="O20">
        <v>11.17</v>
      </c>
      <c r="P20">
        <v>10.8</v>
      </c>
      <c r="Q20">
        <v>10.85</v>
      </c>
      <c r="R20">
        <v>11.33</v>
      </c>
      <c r="S20">
        <v>11.9</v>
      </c>
      <c r="T20">
        <v>11.92</v>
      </c>
      <c r="U20">
        <v>12.28</v>
      </c>
    </row>
    <row r="21" spans="1:21" x14ac:dyDescent="0.25">
      <c r="A21" t="s">
        <v>17</v>
      </c>
    </row>
    <row r="22" spans="1:21" x14ac:dyDescent="0.25">
      <c r="A22" t="s">
        <v>204</v>
      </c>
      <c r="D22" s="2">
        <v>2162</v>
      </c>
      <c r="E22" s="2">
        <v>2367</v>
      </c>
      <c r="F22" s="2">
        <v>6843</v>
      </c>
      <c r="G22" s="2">
        <v>6991</v>
      </c>
      <c r="H22" s="2">
        <v>9291</v>
      </c>
      <c r="I22" s="2">
        <v>11407</v>
      </c>
      <c r="J22" s="2">
        <v>10307</v>
      </c>
      <c r="K22" s="2">
        <v>3565</v>
      </c>
      <c r="L22" s="2">
        <v>8676</v>
      </c>
      <c r="M22" s="2">
        <v>4521</v>
      </c>
      <c r="N22" s="2">
        <v>11185</v>
      </c>
      <c r="O22" s="2">
        <v>19381.439999999999</v>
      </c>
      <c r="P22" s="2">
        <v>24969.58</v>
      </c>
      <c r="Q22" s="2">
        <v>29413.82</v>
      </c>
      <c r="R22" s="2">
        <v>30201.59</v>
      </c>
      <c r="S22" s="2">
        <v>33203.81</v>
      </c>
      <c r="T22" s="2">
        <v>34211.82</v>
      </c>
      <c r="U22" s="2">
        <v>37637.050000000003</v>
      </c>
    </row>
    <row r="23" spans="1:21" x14ac:dyDescent="0.25">
      <c r="A23" t="s">
        <v>36</v>
      </c>
      <c r="D23" s="2">
        <v>1680</v>
      </c>
      <c r="E23" s="2">
        <v>1668</v>
      </c>
      <c r="F23" s="2">
        <v>5631</v>
      </c>
      <c r="G23" s="2">
        <v>5833</v>
      </c>
      <c r="H23" s="2">
        <v>6715</v>
      </c>
      <c r="I23" s="2">
        <v>9325</v>
      </c>
      <c r="J23" s="2">
        <v>7511</v>
      </c>
      <c r="K23">
        <v>562</v>
      </c>
      <c r="L23" s="2">
        <v>5920</v>
      </c>
      <c r="M23" s="2">
        <v>1869</v>
      </c>
      <c r="N23" s="2">
        <v>8552</v>
      </c>
      <c r="O23" s="2">
        <v>14394.13</v>
      </c>
      <c r="P23" s="2">
        <v>20154.07</v>
      </c>
      <c r="Q23" s="2">
        <v>24183.3</v>
      </c>
      <c r="R23" s="2">
        <v>24402.79</v>
      </c>
      <c r="S23" s="2">
        <v>26719.18</v>
      </c>
      <c r="T23" s="2">
        <v>27712.54</v>
      </c>
      <c r="U23" s="2">
        <v>30387.16</v>
      </c>
    </row>
    <row r="24" spans="1:21" x14ac:dyDescent="0.25">
      <c r="A24" t="s">
        <v>17</v>
      </c>
    </row>
    <row r="25" spans="1:21" x14ac:dyDescent="0.25">
      <c r="A25" t="s">
        <v>37</v>
      </c>
    </row>
    <row r="26" spans="1:21" x14ac:dyDescent="0.25">
      <c r="A26" t="s">
        <v>17</v>
      </c>
    </row>
    <row r="27" spans="1:21" x14ac:dyDescent="0.25">
      <c r="A27" t="s">
        <v>252</v>
      </c>
    </row>
    <row r="28" spans="1:21" x14ac:dyDescent="0.25">
      <c r="A28" t="s">
        <v>256</v>
      </c>
    </row>
    <row r="29" spans="1:21" x14ac:dyDescent="0.25">
      <c r="A29" t="s">
        <v>506</v>
      </c>
      <c r="D29">
        <v>13.9</v>
      </c>
      <c r="E29">
        <v>19.41</v>
      </c>
      <c r="F29">
        <v>16.66</v>
      </c>
      <c r="G29">
        <v>20.260000000000002</v>
      </c>
      <c r="H29">
        <v>18.89</v>
      </c>
      <c r="I29">
        <v>18.62</v>
      </c>
      <c r="J29">
        <v>27.07</v>
      </c>
      <c r="K29">
        <v>21.66</v>
      </c>
      <c r="L29">
        <v>20.11</v>
      </c>
      <c r="M29">
        <v>32.89</v>
      </c>
      <c r="N29">
        <v>41.83</v>
      </c>
      <c r="O29">
        <v>47.37</v>
      </c>
      <c r="P29">
        <v>45.43</v>
      </c>
      <c r="Q29">
        <v>50.38</v>
      </c>
      <c r="R29">
        <v>34</v>
      </c>
      <c r="S29">
        <v>48.35</v>
      </c>
      <c r="T29">
        <v>42.99</v>
      </c>
      <c r="U29">
        <v>41.1</v>
      </c>
    </row>
    <row r="30" spans="1:21" x14ac:dyDescent="0.25">
      <c r="A30" t="s">
        <v>611</v>
      </c>
      <c r="E30">
        <v>61.01</v>
      </c>
      <c r="F30">
        <v>65.12</v>
      </c>
      <c r="G30">
        <v>70.52</v>
      </c>
      <c r="H30">
        <v>73.28</v>
      </c>
      <c r="I30">
        <v>69.84</v>
      </c>
      <c r="J30">
        <v>60.93</v>
      </c>
      <c r="K30">
        <v>63.1</v>
      </c>
      <c r="L30">
        <v>67.14</v>
      </c>
      <c r="M30">
        <v>56.35</v>
      </c>
      <c r="N30">
        <v>66.760000000000005</v>
      </c>
      <c r="O30">
        <v>52.92</v>
      </c>
      <c r="P30">
        <v>46.11</v>
      </c>
      <c r="Q30">
        <v>53.93</v>
      </c>
      <c r="R30">
        <v>52.18</v>
      </c>
      <c r="S30">
        <v>50.68</v>
      </c>
      <c r="T30">
        <v>49.43</v>
      </c>
      <c r="U30">
        <v>48.43</v>
      </c>
    </row>
    <row r="31" spans="1:21" x14ac:dyDescent="0.25">
      <c r="A31" t="s">
        <v>1389</v>
      </c>
      <c r="E31">
        <v>102.45</v>
      </c>
      <c r="F31">
        <v>101.66</v>
      </c>
      <c r="G31">
        <v>102.7</v>
      </c>
      <c r="H31">
        <v>113.74</v>
      </c>
      <c r="I31">
        <v>113.69</v>
      </c>
      <c r="J31">
        <v>108.39</v>
      </c>
      <c r="K31">
        <v>105.18</v>
      </c>
      <c r="L31">
        <v>106.84</v>
      </c>
      <c r="M31">
        <v>94.18</v>
      </c>
      <c r="N31">
        <v>104.83</v>
      </c>
      <c r="O31">
        <v>122.66</v>
      </c>
      <c r="P31">
        <v>117.52</v>
      </c>
      <c r="Q31">
        <v>115.37</v>
      </c>
      <c r="R31">
        <v>104.48</v>
      </c>
      <c r="S31">
        <v>103.23</v>
      </c>
      <c r="T31">
        <v>100.1</v>
      </c>
      <c r="U31">
        <v>97.1</v>
      </c>
    </row>
    <row r="32" spans="1:21" x14ac:dyDescent="0.25">
      <c r="A32" t="s">
        <v>963</v>
      </c>
      <c r="D32">
        <v>0.93</v>
      </c>
      <c r="E32">
        <v>0.81</v>
      </c>
      <c r="F32">
        <v>0.88</v>
      </c>
      <c r="G32">
        <v>0.8</v>
      </c>
      <c r="H32">
        <v>0.7</v>
      </c>
      <c r="I32">
        <v>0.8</v>
      </c>
      <c r="J32">
        <v>0.8</v>
      </c>
      <c r="K32">
        <v>0.82</v>
      </c>
      <c r="L32">
        <v>0.74</v>
      </c>
      <c r="M32">
        <v>0.78</v>
      </c>
      <c r="N32">
        <v>0.91</v>
      </c>
      <c r="O32">
        <v>0.98</v>
      </c>
      <c r="P32">
        <v>0.99</v>
      </c>
      <c r="Q32">
        <v>1.03</v>
      </c>
      <c r="R32">
        <v>1.26</v>
      </c>
      <c r="S32">
        <v>1.35</v>
      </c>
      <c r="T32">
        <v>1.45</v>
      </c>
      <c r="U32">
        <v>1.55</v>
      </c>
    </row>
    <row r="33" spans="1:21" x14ac:dyDescent="0.25">
      <c r="A33" t="s">
        <v>17</v>
      </c>
    </row>
    <row r="34" spans="1:21" x14ac:dyDescent="0.25">
      <c r="A34" t="s">
        <v>1634</v>
      </c>
      <c r="M34" s="2">
        <v>9800</v>
      </c>
      <c r="N34" s="2">
        <v>25000</v>
      </c>
      <c r="O34" s="2">
        <v>72854</v>
      </c>
      <c r="P34" s="2">
        <v>103931.74</v>
      </c>
      <c r="Q34" s="2">
        <v>147660.41</v>
      </c>
      <c r="R34" s="2">
        <v>137578.84</v>
      </c>
      <c r="S34" s="2">
        <v>128673.85</v>
      </c>
      <c r="T34" s="2">
        <v>101610.06</v>
      </c>
      <c r="U34" s="2">
        <v>88697.37</v>
      </c>
    </row>
    <row r="35" spans="1:21" x14ac:dyDescent="0.25">
      <c r="A35" t="s">
        <v>1635</v>
      </c>
      <c r="N35" s="2">
        <v>64000</v>
      </c>
      <c r="O35" s="2">
        <v>147680</v>
      </c>
      <c r="P35" s="2">
        <v>161085.67000000001</v>
      </c>
      <c r="Q35" s="2">
        <v>85951.73</v>
      </c>
      <c r="R35" s="2">
        <v>125387.25</v>
      </c>
      <c r="S35" s="2">
        <v>107855.55</v>
      </c>
      <c r="T35" s="2">
        <v>91677.22</v>
      </c>
      <c r="U35" s="2">
        <v>77925.63</v>
      </c>
    </row>
    <row r="36" spans="1:21" x14ac:dyDescent="0.25">
      <c r="A36" t="s">
        <v>1636</v>
      </c>
      <c r="L36" s="2">
        <v>2900</v>
      </c>
      <c r="M36" s="2">
        <v>4100</v>
      </c>
      <c r="N36" s="2">
        <v>43000</v>
      </c>
      <c r="O36" s="2">
        <v>138371.12</v>
      </c>
      <c r="P36" s="2">
        <v>197359.18</v>
      </c>
      <c r="Q36" s="2">
        <v>95501.47</v>
      </c>
      <c r="R36" s="2">
        <v>71125.89</v>
      </c>
      <c r="S36" s="2">
        <v>78161.58</v>
      </c>
      <c r="T36" s="2">
        <v>68228.740000000005</v>
      </c>
      <c r="U36" s="2">
        <v>57457.01</v>
      </c>
    </row>
    <row r="37" spans="1:21" x14ac:dyDescent="0.25">
      <c r="A37" t="s">
        <v>17</v>
      </c>
    </row>
    <row r="38" spans="1:21" x14ac:dyDescent="0.25">
      <c r="A38" t="s">
        <v>1637</v>
      </c>
      <c r="D38">
        <v>559.29999999999995</v>
      </c>
      <c r="E38">
        <v>756</v>
      </c>
      <c r="F38">
        <v>723.99</v>
      </c>
      <c r="G38">
        <v>0</v>
      </c>
      <c r="I38" s="2">
        <v>1363</v>
      </c>
      <c r="J38" s="2">
        <v>1175</v>
      </c>
      <c r="K38" s="2">
        <v>2800</v>
      </c>
      <c r="L38" s="2">
        <v>2087</v>
      </c>
      <c r="M38" s="2">
        <v>2602</v>
      </c>
      <c r="N38" s="2">
        <v>6031</v>
      </c>
      <c r="O38" s="2">
        <v>8754.57</v>
      </c>
      <c r="P38" s="2">
        <v>6995.25</v>
      </c>
      <c r="Q38" s="2">
        <v>7766.73</v>
      </c>
      <c r="R38" s="2">
        <v>7360.34</v>
      </c>
      <c r="S38" s="2">
        <v>10291.91</v>
      </c>
      <c r="T38" s="2">
        <v>11086.4</v>
      </c>
      <c r="U38" s="2">
        <v>11907.42</v>
      </c>
    </row>
    <row r="39" spans="1:21" x14ac:dyDescent="0.25">
      <c r="A39" t="s">
        <v>17</v>
      </c>
    </row>
    <row r="40" spans="1:21" x14ac:dyDescent="0.25">
      <c r="A40" t="s">
        <v>58</v>
      </c>
    </row>
    <row r="41" spans="1:21" x14ac:dyDescent="0.25">
      <c r="A41" t="s">
        <v>1638</v>
      </c>
    </row>
    <row r="42" spans="1:21" x14ac:dyDescent="0.25">
      <c r="A42" t="s">
        <v>60</v>
      </c>
      <c r="D42" s="2">
        <v>14978</v>
      </c>
      <c r="E42" s="2">
        <v>22070</v>
      </c>
      <c r="F42" s="2">
        <v>30917</v>
      </c>
      <c r="G42" s="2">
        <v>36720</v>
      </c>
      <c r="H42" s="2">
        <v>33969</v>
      </c>
      <c r="I42" s="2">
        <v>32588</v>
      </c>
      <c r="J42" s="2">
        <v>34366</v>
      </c>
      <c r="K42" s="2">
        <v>38356</v>
      </c>
      <c r="L42" s="2">
        <v>33885</v>
      </c>
      <c r="M42" s="2">
        <v>43593</v>
      </c>
      <c r="N42" s="2">
        <v>60826</v>
      </c>
      <c r="O42" s="2">
        <v>133868.72</v>
      </c>
      <c r="P42" s="2">
        <v>173291.21</v>
      </c>
      <c r="Q42" s="2">
        <v>205036.19</v>
      </c>
      <c r="R42" s="2">
        <v>226321.67</v>
      </c>
      <c r="S42" s="2">
        <v>244811.21</v>
      </c>
      <c r="T42" s="2">
        <v>257689.52</v>
      </c>
      <c r="U42" s="2">
        <v>277005.81</v>
      </c>
    </row>
    <row r="43" spans="1:21" x14ac:dyDescent="0.25">
      <c r="A43" t="s">
        <v>1639</v>
      </c>
      <c r="D43" s="2">
        <v>12761</v>
      </c>
      <c r="E43" s="2">
        <v>12973</v>
      </c>
      <c r="F43" s="2">
        <v>15533</v>
      </c>
      <c r="G43" s="2">
        <v>19953</v>
      </c>
      <c r="H43" s="2">
        <v>17127</v>
      </c>
      <c r="I43" s="2">
        <v>16497</v>
      </c>
      <c r="J43" s="2">
        <v>17901</v>
      </c>
      <c r="K43" s="2">
        <v>20398</v>
      </c>
      <c r="L43" s="2">
        <v>17624</v>
      </c>
      <c r="M43" s="2">
        <v>27136</v>
      </c>
      <c r="N43" s="2">
        <v>44195</v>
      </c>
      <c r="O43" s="2">
        <v>114339.91</v>
      </c>
      <c r="P43" s="2">
        <v>151967.76</v>
      </c>
      <c r="Q43" s="2">
        <v>181196.97</v>
      </c>
      <c r="R43" s="2">
        <v>197904.86</v>
      </c>
      <c r="S43" s="2">
        <v>213886.91</v>
      </c>
      <c r="T43" s="2">
        <v>223014.04</v>
      </c>
      <c r="U43" s="2">
        <v>237980.14</v>
      </c>
    </row>
    <row r="44" spans="1:21" x14ac:dyDescent="0.25">
      <c r="A44" t="s">
        <v>1640</v>
      </c>
      <c r="M44" s="2">
        <v>9286</v>
      </c>
      <c r="N44" s="2">
        <v>24683</v>
      </c>
      <c r="O44" s="2">
        <v>74566.28</v>
      </c>
      <c r="P44" s="2">
        <v>105235.25</v>
      </c>
      <c r="Q44" s="2">
        <v>127827.9</v>
      </c>
      <c r="R44" s="2">
        <v>155584</v>
      </c>
    </row>
    <row r="45" spans="1:21" x14ac:dyDescent="0.25">
      <c r="A45" t="s">
        <v>1641</v>
      </c>
      <c r="M45" s="2">
        <v>17850</v>
      </c>
      <c r="N45" s="2">
        <v>19512</v>
      </c>
      <c r="O45" s="2">
        <v>40549.269999999997</v>
      </c>
      <c r="P45" s="2">
        <v>48718.39</v>
      </c>
      <c r="Q45" s="2">
        <v>51936.82</v>
      </c>
      <c r="R45" s="2">
        <v>56375.05</v>
      </c>
      <c r="S45" s="2">
        <v>50394.49</v>
      </c>
      <c r="T45" s="2">
        <v>51713.77</v>
      </c>
      <c r="U45" s="2">
        <v>52729.14</v>
      </c>
    </row>
    <row r="46" spans="1:21" x14ac:dyDescent="0.25">
      <c r="A46" t="s">
        <v>1632</v>
      </c>
      <c r="D46" s="2">
        <v>2217</v>
      </c>
      <c r="E46" s="2">
        <v>9097</v>
      </c>
      <c r="F46" s="2">
        <v>15384</v>
      </c>
      <c r="G46" s="2">
        <v>16767</v>
      </c>
      <c r="H46" s="2">
        <v>16842</v>
      </c>
      <c r="I46" s="2">
        <v>16091</v>
      </c>
      <c r="J46" s="2">
        <v>16465</v>
      </c>
      <c r="K46" s="2">
        <v>17958</v>
      </c>
      <c r="L46" s="2">
        <v>16261</v>
      </c>
      <c r="M46" s="2">
        <v>16457</v>
      </c>
      <c r="N46" s="2">
        <v>16631</v>
      </c>
      <c r="O46" s="2">
        <v>19382.61</v>
      </c>
      <c r="P46" s="2">
        <v>21454.560000000001</v>
      </c>
      <c r="Q46" s="2">
        <v>23490.51</v>
      </c>
      <c r="R46" s="2">
        <v>25520.03</v>
      </c>
      <c r="S46" s="2">
        <v>30924.3</v>
      </c>
      <c r="T46" s="2">
        <v>34675.480000000003</v>
      </c>
      <c r="U46" s="2">
        <v>39025.67</v>
      </c>
    </row>
    <row r="47" spans="1:21" x14ac:dyDescent="0.25">
      <c r="A47" t="s">
        <v>116</v>
      </c>
      <c r="D47" s="2">
        <v>1052</v>
      </c>
      <c r="E47" s="2">
        <v>2920</v>
      </c>
      <c r="F47" s="2">
        <v>3068</v>
      </c>
      <c r="G47" s="2">
        <v>4151</v>
      </c>
      <c r="H47" s="2">
        <v>4001</v>
      </c>
      <c r="I47" s="2">
        <v>3776</v>
      </c>
      <c r="J47" s="2">
        <v>3736</v>
      </c>
      <c r="K47" s="2">
        <v>5045</v>
      </c>
      <c r="L47" s="2">
        <v>4286</v>
      </c>
      <c r="M47" s="2">
        <v>5579</v>
      </c>
      <c r="N47" s="2">
        <v>7111</v>
      </c>
      <c r="O47" s="2">
        <v>17219.3</v>
      </c>
      <c r="P47" s="2">
        <v>20473.21</v>
      </c>
      <c r="Q47" s="2">
        <v>24249.29</v>
      </c>
      <c r="R47" s="2">
        <v>28159.29</v>
      </c>
      <c r="S47" s="2">
        <v>33052.33</v>
      </c>
      <c r="T47" s="2">
        <v>37298.92</v>
      </c>
      <c r="U47" s="2">
        <v>41960.4</v>
      </c>
    </row>
    <row r="48" spans="1:21" x14ac:dyDescent="0.25">
      <c r="A48" t="s">
        <v>269</v>
      </c>
      <c r="D48">
        <v>7</v>
      </c>
      <c r="E48">
        <v>13.2</v>
      </c>
      <c r="F48">
        <v>9.9</v>
      </c>
      <c r="G48">
        <v>11.3</v>
      </c>
      <c r="H48">
        <v>11.8</v>
      </c>
      <c r="I48">
        <v>11</v>
      </c>
      <c r="J48">
        <v>10.9</v>
      </c>
      <c r="K48">
        <v>13.2</v>
      </c>
      <c r="L48">
        <v>12.6</v>
      </c>
      <c r="M48">
        <v>12.8</v>
      </c>
      <c r="N48">
        <v>11.7</v>
      </c>
      <c r="O48">
        <v>12.86</v>
      </c>
      <c r="P48">
        <v>11.8</v>
      </c>
      <c r="Q48">
        <v>11.86</v>
      </c>
      <c r="R48">
        <v>12.07</v>
      </c>
      <c r="S48">
        <v>12.47</v>
      </c>
      <c r="T48">
        <v>12.57</v>
      </c>
      <c r="U48">
        <v>12.67</v>
      </c>
    </row>
    <row r="49" spans="1:21" x14ac:dyDescent="0.25">
      <c r="A49" t="s">
        <v>17</v>
      </c>
    </row>
    <row r="50" spans="1:21" x14ac:dyDescent="0.25">
      <c r="A50" t="s">
        <v>1642</v>
      </c>
    </row>
    <row r="51" spans="1:21" x14ac:dyDescent="0.25">
      <c r="A51" t="s">
        <v>60</v>
      </c>
      <c r="D51" s="2">
        <v>35877</v>
      </c>
      <c r="E51" s="2">
        <v>36509</v>
      </c>
      <c r="F51" s="2">
        <v>39218</v>
      </c>
      <c r="G51" s="2">
        <v>43196</v>
      </c>
      <c r="H51" s="2">
        <v>45838</v>
      </c>
      <c r="I51" s="2">
        <v>48355</v>
      </c>
      <c r="J51" s="2">
        <v>61464</v>
      </c>
      <c r="K51" s="2">
        <v>58213</v>
      </c>
      <c r="L51" s="2">
        <v>48916</v>
      </c>
      <c r="M51" s="2">
        <v>48393</v>
      </c>
      <c r="N51" s="2">
        <v>50984</v>
      </c>
      <c r="O51" s="2">
        <v>58671.3</v>
      </c>
      <c r="P51" s="2">
        <v>60827.94</v>
      </c>
      <c r="Q51" s="2">
        <v>62798.6</v>
      </c>
      <c r="R51" s="2">
        <v>67126.509999999995</v>
      </c>
      <c r="S51" s="2">
        <v>68976.009999999995</v>
      </c>
      <c r="T51" s="2">
        <v>70774.45</v>
      </c>
      <c r="U51" s="2">
        <v>72654.45</v>
      </c>
    </row>
    <row r="52" spans="1:21" x14ac:dyDescent="0.25">
      <c r="A52" t="s">
        <v>1643</v>
      </c>
      <c r="D52" s="2">
        <v>25747</v>
      </c>
      <c r="E52" s="2">
        <v>25773</v>
      </c>
      <c r="F52" s="2">
        <v>27507</v>
      </c>
      <c r="G52" s="2">
        <v>30893</v>
      </c>
      <c r="H52" s="2">
        <v>34277</v>
      </c>
      <c r="I52" s="2">
        <v>35396</v>
      </c>
      <c r="J52" s="2">
        <v>45576</v>
      </c>
      <c r="K52" s="2">
        <v>45556</v>
      </c>
      <c r="L52" s="2">
        <v>39814</v>
      </c>
      <c r="M52" s="2">
        <v>40844</v>
      </c>
      <c r="N52" s="2">
        <v>44062</v>
      </c>
      <c r="O52" s="2">
        <v>51744.23</v>
      </c>
      <c r="P52" s="2">
        <v>54175.26</v>
      </c>
      <c r="Q52" s="2">
        <v>56297.57</v>
      </c>
      <c r="R52" s="2">
        <v>62369.37</v>
      </c>
      <c r="S52" s="2">
        <v>60676.41</v>
      </c>
      <c r="T52" s="2">
        <v>62469.33</v>
      </c>
      <c r="U52" s="2">
        <v>64343.43</v>
      </c>
    </row>
    <row r="53" spans="1:21" x14ac:dyDescent="0.25">
      <c r="A53" t="s">
        <v>1582</v>
      </c>
      <c r="D53" s="2">
        <v>10130</v>
      </c>
      <c r="E53" s="2">
        <v>10736</v>
      </c>
      <c r="F53" s="2">
        <v>11711</v>
      </c>
      <c r="G53" s="2">
        <v>12303</v>
      </c>
      <c r="H53" s="2">
        <v>11561</v>
      </c>
      <c r="I53" s="2">
        <v>12959</v>
      </c>
      <c r="J53" s="2">
        <v>15888</v>
      </c>
      <c r="K53" s="2">
        <v>12657</v>
      </c>
      <c r="L53" s="2">
        <v>9102</v>
      </c>
      <c r="M53" s="2">
        <v>7549</v>
      </c>
      <c r="N53" s="2">
        <v>6922</v>
      </c>
      <c r="O53" s="2">
        <v>6927.23</v>
      </c>
      <c r="P53" s="2">
        <v>6652.76</v>
      </c>
      <c r="Q53" s="2">
        <v>6501.03</v>
      </c>
      <c r="R53" s="2">
        <v>4757.1400000000003</v>
      </c>
      <c r="S53" s="2">
        <v>8299.6</v>
      </c>
      <c r="T53" s="2">
        <v>8305.1200000000008</v>
      </c>
      <c r="U53" s="2">
        <v>8311.02</v>
      </c>
    </row>
    <row r="54" spans="1:21" x14ac:dyDescent="0.25">
      <c r="A54" t="s">
        <v>116</v>
      </c>
      <c r="D54" s="2">
        <v>1410</v>
      </c>
      <c r="E54" s="2">
        <v>1751</v>
      </c>
      <c r="F54" s="2">
        <v>2044</v>
      </c>
      <c r="G54" s="2">
        <v>1960</v>
      </c>
      <c r="H54" s="2">
        <v>3138</v>
      </c>
      <c r="I54" s="2">
        <v>3352</v>
      </c>
      <c r="J54" s="2">
        <v>4365</v>
      </c>
      <c r="K54" s="2">
        <v>3824</v>
      </c>
      <c r="L54" s="2">
        <v>3712</v>
      </c>
      <c r="M54" s="2">
        <v>2972</v>
      </c>
      <c r="N54" s="2">
        <v>2833</v>
      </c>
      <c r="O54" s="2">
        <v>4026.23</v>
      </c>
      <c r="P54" s="2">
        <v>4068.59</v>
      </c>
      <c r="Q54" s="2">
        <v>4340.38</v>
      </c>
      <c r="R54" s="2">
        <v>4365.53</v>
      </c>
      <c r="S54" s="2">
        <v>4390.21</v>
      </c>
      <c r="T54" s="2">
        <v>4582.84</v>
      </c>
      <c r="U54" s="2">
        <v>4783.25</v>
      </c>
    </row>
    <row r="55" spans="1:21" x14ac:dyDescent="0.25">
      <c r="A55" t="s">
        <v>269</v>
      </c>
      <c r="D55">
        <v>3.9</v>
      </c>
      <c r="E55">
        <v>4.8</v>
      </c>
      <c r="F55">
        <v>5.2</v>
      </c>
      <c r="G55">
        <v>4.5</v>
      </c>
      <c r="H55">
        <v>6.8</v>
      </c>
      <c r="I55">
        <v>7</v>
      </c>
      <c r="J55">
        <v>7.1</v>
      </c>
      <c r="K55">
        <v>6.6</v>
      </c>
      <c r="L55">
        <v>7.2</v>
      </c>
      <c r="M55">
        <v>6.1</v>
      </c>
      <c r="N55">
        <v>5.6</v>
      </c>
      <c r="O55">
        <v>6.84</v>
      </c>
      <c r="P55">
        <v>6.56</v>
      </c>
      <c r="Q55">
        <v>6.69</v>
      </c>
      <c r="R55">
        <v>6.37</v>
      </c>
      <c r="S55">
        <v>6.03</v>
      </c>
      <c r="T55">
        <v>6.04</v>
      </c>
      <c r="U55">
        <v>6.05</v>
      </c>
    </row>
    <row r="56" spans="1:21" x14ac:dyDescent="0.25">
      <c r="A56" t="s">
        <v>17</v>
      </c>
    </row>
    <row r="57" spans="1:21" x14ac:dyDescent="0.25">
      <c r="A57" t="s">
        <v>1644</v>
      </c>
    </row>
    <row r="58" spans="1:21" x14ac:dyDescent="0.25">
      <c r="A58" t="s">
        <v>60</v>
      </c>
      <c r="D58">
        <v>382</v>
      </c>
      <c r="E58" s="2">
        <v>1153</v>
      </c>
      <c r="F58" s="2">
        <v>1704</v>
      </c>
      <c r="G58" s="2">
        <v>1676</v>
      </c>
      <c r="H58" s="2">
        <v>1788</v>
      </c>
      <c r="I58" s="2">
        <v>1567</v>
      </c>
      <c r="J58" s="2">
        <v>5388</v>
      </c>
      <c r="K58" s="2">
        <v>5721</v>
      </c>
      <c r="L58" s="2">
        <v>5624</v>
      </c>
      <c r="M58" s="2">
        <v>3581</v>
      </c>
      <c r="N58" s="2">
        <v>1728</v>
      </c>
      <c r="O58">
        <v>716.81</v>
      </c>
      <c r="P58">
        <v>447.06</v>
      </c>
      <c r="Q58">
        <v>311.73</v>
      </c>
      <c r="R58">
        <v>409.91</v>
      </c>
      <c r="S58">
        <v>247.88</v>
      </c>
      <c r="T58">
        <v>247.88</v>
      </c>
      <c r="U58">
        <v>247.88</v>
      </c>
    </row>
    <row r="59" spans="1:21" x14ac:dyDescent="0.25">
      <c r="A59" t="s">
        <v>116</v>
      </c>
      <c r="D59">
        <v>-78</v>
      </c>
      <c r="E59">
        <v>-42</v>
      </c>
      <c r="F59">
        <v>13</v>
      </c>
      <c r="G59">
        <v>-111</v>
      </c>
      <c r="H59">
        <v>-43</v>
      </c>
      <c r="I59">
        <v>99</v>
      </c>
      <c r="J59">
        <v>-319</v>
      </c>
      <c r="K59">
        <v>-240</v>
      </c>
      <c r="L59">
        <v>-120</v>
      </c>
      <c r="M59">
        <v>-22</v>
      </c>
      <c r="N59">
        <v>47</v>
      </c>
      <c r="O59">
        <v>17.88</v>
      </c>
      <c r="P59">
        <v>0.55000000000000004</v>
      </c>
      <c r="Q59">
        <v>-1.83</v>
      </c>
      <c r="R59">
        <v>-2.99</v>
      </c>
      <c r="S59">
        <v>5.0999999999999996</v>
      </c>
      <c r="T59">
        <v>5.0999999999999996</v>
      </c>
      <c r="U59">
        <v>5.0999999999999996</v>
      </c>
    </row>
    <row r="60" spans="1:21" x14ac:dyDescent="0.25">
      <c r="A60" t="s">
        <v>17</v>
      </c>
    </row>
    <row r="61" spans="1:21" x14ac:dyDescent="0.25">
      <c r="A61" t="s">
        <v>72</v>
      </c>
    </row>
    <row r="62" spans="1:21" x14ac:dyDescent="0.25">
      <c r="A62" t="s">
        <v>16</v>
      </c>
    </row>
    <row r="63" spans="1:21" x14ac:dyDescent="0.25">
      <c r="A63" t="s">
        <v>73</v>
      </c>
      <c r="D63" s="2">
        <v>26602</v>
      </c>
      <c r="E63" s="2">
        <v>30966</v>
      </c>
      <c r="F63" s="2">
        <v>38528</v>
      </c>
      <c r="G63" s="2">
        <v>42803</v>
      </c>
      <c r="H63" s="2">
        <v>43829</v>
      </c>
      <c r="I63" s="2">
        <v>42009</v>
      </c>
      <c r="J63" s="2">
        <v>46752</v>
      </c>
      <c r="K63" s="2">
        <v>49201</v>
      </c>
      <c r="L63" s="2">
        <v>43986</v>
      </c>
      <c r="M63" s="2">
        <v>51014</v>
      </c>
      <c r="N63" s="2">
        <v>63140</v>
      </c>
    </row>
    <row r="64" spans="1:21" x14ac:dyDescent="0.25">
      <c r="A64" t="s">
        <v>1645</v>
      </c>
      <c r="D64" s="2">
        <v>24309</v>
      </c>
      <c r="E64" s="2">
        <v>31198</v>
      </c>
      <c r="F64" s="2">
        <v>40512</v>
      </c>
      <c r="G64" s="2">
        <v>47818</v>
      </c>
      <c r="H64" s="2">
        <v>48325</v>
      </c>
      <c r="I64" s="2">
        <v>44661</v>
      </c>
      <c r="J64" s="2">
        <v>54445</v>
      </c>
      <c r="K64" s="2">
        <v>53100</v>
      </c>
      <c r="L64" s="2">
        <v>44439</v>
      </c>
      <c r="M64" s="2">
        <v>44553</v>
      </c>
      <c r="N64" s="2">
        <v>50398</v>
      </c>
    </row>
    <row r="65" spans="1:21" x14ac:dyDescent="0.25">
      <c r="A65" t="s">
        <v>17</v>
      </c>
    </row>
    <row r="66" spans="1:21" x14ac:dyDescent="0.25">
      <c r="A66" t="s">
        <v>274</v>
      </c>
    </row>
    <row r="67" spans="1:21" x14ac:dyDescent="0.25">
      <c r="A67" t="s">
        <v>80</v>
      </c>
      <c r="G67" s="2">
        <v>91324</v>
      </c>
      <c r="H67" s="2">
        <v>92501</v>
      </c>
      <c r="I67" s="2">
        <v>94389</v>
      </c>
      <c r="J67" s="2">
        <v>101229</v>
      </c>
      <c r="K67" s="2">
        <v>102301</v>
      </c>
      <c r="L67" s="2">
        <v>88425</v>
      </c>
      <c r="M67" s="2">
        <v>95567</v>
      </c>
      <c r="N67" s="2">
        <v>113538</v>
      </c>
      <c r="O67" s="2">
        <v>193165.32</v>
      </c>
      <c r="P67" s="2">
        <v>233603.72</v>
      </c>
      <c r="Q67" s="2">
        <v>265111.32</v>
      </c>
      <c r="R67" s="2">
        <v>284021</v>
      </c>
      <c r="S67" s="2">
        <v>298633</v>
      </c>
      <c r="T67" s="2">
        <v>328711.67</v>
      </c>
      <c r="U67" s="2">
        <v>349908</v>
      </c>
    </row>
    <row r="68" spans="1:21" x14ac:dyDescent="0.25">
      <c r="A68" t="s">
        <v>1646</v>
      </c>
      <c r="D68" s="2">
        <v>42742</v>
      </c>
      <c r="E68" s="2">
        <v>51057</v>
      </c>
      <c r="F68" s="2">
        <v>60898</v>
      </c>
      <c r="G68" s="2">
        <v>70707</v>
      </c>
      <c r="H68" s="2">
        <v>69918</v>
      </c>
      <c r="I68" s="2">
        <v>67744</v>
      </c>
      <c r="J68" s="2">
        <v>79830</v>
      </c>
      <c r="K68" s="2">
        <v>79250</v>
      </c>
      <c r="L68" s="2">
        <v>64353</v>
      </c>
      <c r="M68" s="2">
        <v>71420</v>
      </c>
      <c r="N68" s="2">
        <v>90405</v>
      </c>
      <c r="O68" s="2">
        <v>148507.18</v>
      </c>
      <c r="P68" s="2">
        <v>185956.29</v>
      </c>
      <c r="Q68" s="2">
        <v>207745.48</v>
      </c>
      <c r="R68" s="2">
        <v>255241</v>
      </c>
    </row>
    <row r="69" spans="1:21" x14ac:dyDescent="0.25">
      <c r="A69" t="s">
        <v>1647</v>
      </c>
      <c r="D69" s="2">
        <v>8169</v>
      </c>
      <c r="E69" s="2">
        <v>11107</v>
      </c>
      <c r="F69" s="2">
        <v>18142</v>
      </c>
      <c r="G69" s="2">
        <v>19914</v>
      </c>
      <c r="H69" s="2">
        <v>22236</v>
      </c>
      <c r="I69" s="2">
        <v>18926</v>
      </c>
      <c r="J69" s="2">
        <v>21367</v>
      </c>
      <c r="K69" s="2">
        <v>23051</v>
      </c>
      <c r="L69" s="2">
        <v>24072</v>
      </c>
      <c r="M69" s="2">
        <v>24147</v>
      </c>
      <c r="N69" s="2">
        <v>23133</v>
      </c>
      <c r="O69" s="2">
        <v>27828.18</v>
      </c>
      <c r="P69" s="2">
        <v>43033.23</v>
      </c>
      <c r="Q69" s="2">
        <v>40682.14</v>
      </c>
      <c r="R69" s="2">
        <v>44007</v>
      </c>
    </row>
    <row r="70" spans="1:21" x14ac:dyDescent="0.25">
      <c r="A70" t="s">
        <v>17</v>
      </c>
    </row>
    <row r="71" spans="1:21" x14ac:dyDescent="0.25">
      <c r="A71" t="s">
        <v>82</v>
      </c>
      <c r="D71" s="2">
        <v>42088</v>
      </c>
      <c r="E71" s="2">
        <v>45835</v>
      </c>
      <c r="F71" s="2">
        <v>54641</v>
      </c>
      <c r="G71" s="2">
        <v>62302</v>
      </c>
      <c r="H71" s="2">
        <v>60938</v>
      </c>
      <c r="I71" s="2">
        <v>65543</v>
      </c>
      <c r="J71" s="2">
        <v>78545</v>
      </c>
      <c r="K71" s="2">
        <v>78874</v>
      </c>
      <c r="L71" s="2">
        <v>66781</v>
      </c>
      <c r="M71" s="2">
        <v>73757</v>
      </c>
      <c r="N71" s="2">
        <v>90379</v>
      </c>
      <c r="O71" s="2">
        <v>156191.64000000001</v>
      </c>
      <c r="P71" s="2">
        <v>190129.06</v>
      </c>
      <c r="Q71" s="2">
        <v>216155.72</v>
      </c>
      <c r="R71" s="2">
        <v>225843.64</v>
      </c>
      <c r="S71" s="2">
        <v>242166.32</v>
      </c>
      <c r="T71" s="2">
        <v>266319.71000000002</v>
      </c>
      <c r="U71" s="2">
        <v>282561.55</v>
      </c>
    </row>
    <row r="72" spans="1:21" x14ac:dyDescent="0.25">
      <c r="A72" t="s">
        <v>443</v>
      </c>
      <c r="D72" s="2">
        <v>37563</v>
      </c>
      <c r="E72" s="2">
        <v>43388</v>
      </c>
      <c r="F72" s="2">
        <v>51433</v>
      </c>
      <c r="G72" s="2">
        <v>57889</v>
      </c>
      <c r="H72" s="2">
        <v>54525</v>
      </c>
      <c r="I72" s="2">
        <v>56431</v>
      </c>
      <c r="J72" s="2">
        <v>67224</v>
      </c>
      <c r="K72" s="2">
        <v>66029</v>
      </c>
      <c r="L72" s="2">
        <v>53116</v>
      </c>
      <c r="M72" s="2">
        <v>60162</v>
      </c>
      <c r="N72" s="2">
        <v>78057</v>
      </c>
      <c r="O72" s="2">
        <v>142129.29</v>
      </c>
      <c r="P72" s="2">
        <v>166081.62</v>
      </c>
      <c r="Q72" s="2">
        <v>182146.87</v>
      </c>
      <c r="R72" s="2">
        <v>214658</v>
      </c>
    </row>
    <row r="73" spans="1:21" x14ac:dyDescent="0.25">
      <c r="A73" t="s">
        <v>444</v>
      </c>
      <c r="D73" s="2">
        <v>4961</v>
      </c>
      <c r="E73" s="2">
        <v>5127</v>
      </c>
      <c r="F73" s="2">
        <v>7070</v>
      </c>
      <c r="G73" s="2">
        <v>7679</v>
      </c>
      <c r="H73" s="2">
        <v>8696</v>
      </c>
      <c r="I73" s="2">
        <v>10099</v>
      </c>
      <c r="J73" s="2">
        <v>12082</v>
      </c>
      <c r="K73" s="2">
        <v>13586</v>
      </c>
      <c r="L73" s="2">
        <v>14240</v>
      </c>
      <c r="M73" s="2">
        <v>14155</v>
      </c>
      <c r="N73" s="2">
        <v>12774</v>
      </c>
      <c r="O73" s="2">
        <v>11145.67</v>
      </c>
      <c r="P73" s="2">
        <v>15959.5</v>
      </c>
      <c r="Q73" s="2">
        <v>17676.5</v>
      </c>
      <c r="R73" s="2">
        <v>23764</v>
      </c>
    </row>
    <row r="74" spans="1:21" x14ac:dyDescent="0.25">
      <c r="A74" t="s">
        <v>17</v>
      </c>
    </row>
    <row r="75" spans="1:21" x14ac:dyDescent="0.25">
      <c r="A75" t="s">
        <v>84</v>
      </c>
      <c r="D75" s="2">
        <v>9307</v>
      </c>
      <c r="E75" s="2">
        <v>17481</v>
      </c>
      <c r="F75" s="2">
        <v>25668</v>
      </c>
      <c r="G75" s="2">
        <v>29022</v>
      </c>
      <c r="H75" s="2">
        <v>31563</v>
      </c>
      <c r="I75" s="2">
        <v>21233</v>
      </c>
      <c r="J75" s="2">
        <v>22684</v>
      </c>
      <c r="K75" s="2">
        <v>23427</v>
      </c>
      <c r="L75" s="2">
        <v>21644</v>
      </c>
      <c r="M75" s="2">
        <v>21810</v>
      </c>
      <c r="N75" s="2">
        <v>23159</v>
      </c>
      <c r="O75" s="2">
        <v>37651.15</v>
      </c>
      <c r="P75" s="2">
        <v>43311.59</v>
      </c>
      <c r="Q75" s="2">
        <v>48916.480000000003</v>
      </c>
      <c r="R75" s="2">
        <v>55842.080000000002</v>
      </c>
      <c r="S75" s="2">
        <v>59302</v>
      </c>
      <c r="T75" s="2">
        <v>62392.14</v>
      </c>
      <c r="U75" s="2">
        <v>67346.58</v>
      </c>
    </row>
    <row r="76" spans="1:21" x14ac:dyDescent="0.25">
      <c r="A76" t="s">
        <v>85</v>
      </c>
      <c r="G76">
        <v>31.78</v>
      </c>
      <c r="H76">
        <v>34</v>
      </c>
      <c r="I76">
        <v>33</v>
      </c>
      <c r="J76">
        <v>22</v>
      </c>
      <c r="K76">
        <v>22.9</v>
      </c>
      <c r="L76">
        <v>24.25</v>
      </c>
      <c r="M76">
        <v>22.8</v>
      </c>
      <c r="N76">
        <v>20.399999999999999</v>
      </c>
      <c r="O76">
        <v>19.43</v>
      </c>
      <c r="P76">
        <v>18.54</v>
      </c>
      <c r="Q76">
        <v>18.29</v>
      </c>
      <c r="R76">
        <v>19.02</v>
      </c>
      <c r="S76">
        <v>18.91</v>
      </c>
      <c r="T76">
        <v>19.02</v>
      </c>
      <c r="U76">
        <v>19.39</v>
      </c>
    </row>
    <row r="77" spans="1:21" x14ac:dyDescent="0.25">
      <c r="A77" t="s">
        <v>17</v>
      </c>
    </row>
    <row r="78" spans="1:21" x14ac:dyDescent="0.25">
      <c r="A78" t="s">
        <v>275</v>
      </c>
      <c r="D78" s="2">
        <v>7082</v>
      </c>
      <c r="E78" s="2">
        <v>11534</v>
      </c>
      <c r="F78" s="2">
        <v>17896</v>
      </c>
      <c r="G78" s="2">
        <v>20168</v>
      </c>
      <c r="H78" s="2">
        <v>21415</v>
      </c>
      <c r="I78" s="2">
        <v>14284</v>
      </c>
      <c r="J78" s="2">
        <v>14899</v>
      </c>
      <c r="K78" s="2">
        <v>14790</v>
      </c>
      <c r="L78" s="2">
        <v>13766</v>
      </c>
      <c r="M78" s="2">
        <v>13281</v>
      </c>
      <c r="N78" s="2">
        <v>13168</v>
      </c>
      <c r="O78" s="2">
        <v>15839.54</v>
      </c>
      <c r="P78" s="2">
        <v>17988.72</v>
      </c>
      <c r="Q78" s="2">
        <v>19696.89</v>
      </c>
      <c r="R78" s="2">
        <v>22685.69</v>
      </c>
      <c r="S78" s="2">
        <v>22296.34</v>
      </c>
      <c r="T78" s="2">
        <v>23769.29</v>
      </c>
      <c r="U78" s="2">
        <v>25359.99</v>
      </c>
    </row>
    <row r="79" spans="1:21" x14ac:dyDescent="0.25">
      <c r="A79" t="s">
        <v>276</v>
      </c>
      <c r="F79" s="2">
        <v>14096</v>
      </c>
      <c r="G79" s="2">
        <v>16052</v>
      </c>
      <c r="H79" s="2">
        <v>16994</v>
      </c>
      <c r="I79" s="2">
        <v>12004</v>
      </c>
      <c r="J79" s="2">
        <v>12628</v>
      </c>
      <c r="K79" s="2">
        <v>12312</v>
      </c>
      <c r="L79" s="2">
        <v>11295</v>
      </c>
      <c r="M79" s="2">
        <v>10653</v>
      </c>
      <c r="N79" s="2">
        <v>10370</v>
      </c>
      <c r="O79" s="2">
        <v>12127.34</v>
      </c>
      <c r="P79" s="2">
        <v>13530.51</v>
      </c>
      <c r="Q79" s="2">
        <v>14886.95</v>
      </c>
      <c r="R79" s="2">
        <v>16268.17</v>
      </c>
      <c r="S79" s="2">
        <v>16328.3</v>
      </c>
      <c r="T79" s="2">
        <v>17325.419999999998</v>
      </c>
      <c r="U79" s="2">
        <v>18376.61</v>
      </c>
    </row>
    <row r="80" spans="1:21" x14ac:dyDescent="0.25">
      <c r="A80" t="s">
        <v>89</v>
      </c>
      <c r="F80" s="2">
        <v>3800</v>
      </c>
      <c r="G80" s="2">
        <v>4116</v>
      </c>
      <c r="H80" s="2">
        <v>4421</v>
      </c>
      <c r="I80" s="2">
        <v>2280</v>
      </c>
      <c r="J80" s="2">
        <v>2271</v>
      </c>
      <c r="K80" s="2">
        <v>2478</v>
      </c>
      <c r="L80" s="2">
        <v>2471</v>
      </c>
      <c r="M80" s="2">
        <v>2628</v>
      </c>
      <c r="N80" s="2">
        <v>2798</v>
      </c>
      <c r="O80" s="2">
        <v>3562.83</v>
      </c>
      <c r="P80" s="2">
        <v>4112.01</v>
      </c>
      <c r="Q80" s="2">
        <v>4763.71</v>
      </c>
      <c r="R80" s="2">
        <v>5487.95</v>
      </c>
      <c r="S80" s="2">
        <v>5968.03</v>
      </c>
      <c r="T80" s="2">
        <v>6443.86</v>
      </c>
      <c r="U80" s="2">
        <v>6983.37</v>
      </c>
    </row>
    <row r="81" spans="1:21" x14ac:dyDescent="0.25">
      <c r="A81" t="s">
        <v>61</v>
      </c>
      <c r="F81">
        <v>4.8099999999999996</v>
      </c>
      <c r="G81">
        <v>4.92</v>
      </c>
      <c r="H81">
        <v>5.21</v>
      </c>
      <c r="I81">
        <v>2.63</v>
      </c>
      <c r="J81">
        <v>2.2400000000000002</v>
      </c>
      <c r="K81">
        <v>2.42</v>
      </c>
      <c r="L81">
        <v>2.79</v>
      </c>
      <c r="M81">
        <v>2.75</v>
      </c>
      <c r="N81">
        <v>2.46</v>
      </c>
      <c r="O81">
        <v>1.84</v>
      </c>
      <c r="P81">
        <v>1.76</v>
      </c>
      <c r="Q81">
        <v>1.79</v>
      </c>
      <c r="R81">
        <v>1.85</v>
      </c>
      <c r="S81">
        <v>1.85</v>
      </c>
      <c r="T81">
        <v>1.88</v>
      </c>
      <c r="U81">
        <v>1.9</v>
      </c>
    </row>
    <row r="82" spans="1:21" x14ac:dyDescent="0.25">
      <c r="A82" t="s">
        <v>17</v>
      </c>
    </row>
    <row r="83" spans="1:21" x14ac:dyDescent="0.25">
      <c r="A83" t="s">
        <v>91</v>
      </c>
      <c r="G83" s="2">
        <v>8854</v>
      </c>
      <c r="H83" s="2">
        <v>10148</v>
      </c>
      <c r="I83" s="2">
        <v>10798</v>
      </c>
      <c r="J83" s="2">
        <v>7785</v>
      </c>
      <c r="K83" s="2">
        <v>8637</v>
      </c>
      <c r="L83" s="2">
        <v>7678</v>
      </c>
      <c r="M83" s="2">
        <v>8529</v>
      </c>
      <c r="N83" s="2">
        <v>9991</v>
      </c>
      <c r="O83" s="2">
        <v>21866.32</v>
      </c>
      <c r="P83" s="2">
        <v>25218.92</v>
      </c>
      <c r="Q83" s="2">
        <v>28545.759999999998</v>
      </c>
      <c r="R83" s="2">
        <v>33029.25</v>
      </c>
      <c r="S83" s="2">
        <v>37006</v>
      </c>
      <c r="T83" s="2">
        <v>38622.67</v>
      </c>
      <c r="U83" s="2">
        <v>41986.33</v>
      </c>
    </row>
    <row r="84" spans="1:21" x14ac:dyDescent="0.25">
      <c r="A84" t="s">
        <v>92</v>
      </c>
      <c r="E84">
        <v>9.4</v>
      </c>
      <c r="F84">
        <v>9.6999999999999993</v>
      </c>
      <c r="G84">
        <v>9.6999999999999993</v>
      </c>
      <c r="H84">
        <v>11</v>
      </c>
      <c r="I84">
        <v>8</v>
      </c>
      <c r="J84">
        <v>7.7</v>
      </c>
      <c r="K84">
        <v>8.4</v>
      </c>
      <c r="L84">
        <v>8.9</v>
      </c>
      <c r="M84">
        <v>8.9</v>
      </c>
      <c r="N84">
        <v>8.8000000000000007</v>
      </c>
      <c r="O84">
        <v>11.17</v>
      </c>
      <c r="P84">
        <v>10.8</v>
      </c>
      <c r="Q84">
        <v>10.85</v>
      </c>
      <c r="R84">
        <v>11.33</v>
      </c>
      <c r="S84">
        <v>11.9</v>
      </c>
      <c r="T84">
        <v>11.92</v>
      </c>
      <c r="U84">
        <v>12.28</v>
      </c>
    </row>
    <row r="85" spans="1:21" x14ac:dyDescent="0.25">
      <c r="A85" t="s">
        <v>17</v>
      </c>
    </row>
    <row r="86" spans="1:21" x14ac:dyDescent="0.25">
      <c r="A86" t="s">
        <v>1648</v>
      </c>
      <c r="D86" s="2">
        <v>2872</v>
      </c>
      <c r="E86" s="2">
        <v>1238</v>
      </c>
      <c r="F86" s="2">
        <v>1634</v>
      </c>
      <c r="G86" s="2">
        <v>1646</v>
      </c>
      <c r="H86" s="2">
        <v>1735</v>
      </c>
      <c r="I86" s="2">
        <v>7734</v>
      </c>
      <c r="J86" s="2">
        <v>1906</v>
      </c>
      <c r="K86" s="2">
        <v>2186</v>
      </c>
      <c r="L86" s="2">
        <v>2470</v>
      </c>
      <c r="M86" s="2">
        <v>2456</v>
      </c>
      <c r="N86" s="2">
        <v>2532</v>
      </c>
      <c r="O86" s="2">
        <v>2697</v>
      </c>
      <c r="P86" s="2">
        <v>2951.99</v>
      </c>
      <c r="Q86" s="2">
        <v>3235.65</v>
      </c>
      <c r="R86" s="2">
        <v>3870.41</v>
      </c>
      <c r="S86" s="2">
        <v>4204.8100000000004</v>
      </c>
      <c r="T86" s="2">
        <v>4377.58</v>
      </c>
      <c r="U86" s="2">
        <v>4802.53</v>
      </c>
    </row>
    <row r="87" spans="1:21" x14ac:dyDescent="0.25">
      <c r="A87" t="s">
        <v>277</v>
      </c>
      <c r="G87" s="2">
        <v>10296</v>
      </c>
      <c r="H87" s="2">
        <v>11787</v>
      </c>
      <c r="I87" s="2">
        <v>12747</v>
      </c>
      <c r="J87" s="2">
        <v>9660</v>
      </c>
      <c r="K87" s="2">
        <v>10779</v>
      </c>
      <c r="L87" s="2">
        <v>9746</v>
      </c>
      <c r="M87" s="2">
        <v>10722</v>
      </c>
      <c r="N87" s="2">
        <v>12523</v>
      </c>
      <c r="O87" s="2">
        <v>24074.15</v>
      </c>
      <c r="P87" s="2">
        <v>27744.1</v>
      </c>
      <c r="Q87" s="2">
        <v>31736.27</v>
      </c>
      <c r="R87" s="2">
        <v>35199.800000000003</v>
      </c>
      <c r="S87" s="2">
        <v>39322.75</v>
      </c>
      <c r="T87" s="2">
        <v>43000.33</v>
      </c>
      <c r="U87" s="2">
        <v>46788.67</v>
      </c>
    </row>
    <row r="88" spans="1:21" x14ac:dyDescent="0.25">
      <c r="A88" t="s">
        <v>481</v>
      </c>
      <c r="D88">
        <v>5.0999999999999996</v>
      </c>
      <c r="E88">
        <v>10.7</v>
      </c>
      <c r="F88">
        <v>11.4</v>
      </c>
      <c r="G88">
        <v>11.3</v>
      </c>
      <c r="H88">
        <v>12.7</v>
      </c>
      <c r="I88">
        <v>10</v>
      </c>
      <c r="J88">
        <v>10</v>
      </c>
      <c r="K88">
        <v>5.6</v>
      </c>
      <c r="L88">
        <v>6.1</v>
      </c>
      <c r="M88">
        <v>6.5</v>
      </c>
      <c r="N88">
        <v>7.2</v>
      </c>
      <c r="O88">
        <v>12.43</v>
      </c>
      <c r="P88">
        <v>11.99</v>
      </c>
      <c r="Q88">
        <v>12.27</v>
      </c>
      <c r="R88">
        <v>12.99</v>
      </c>
      <c r="S88">
        <v>13.27</v>
      </c>
      <c r="T88">
        <v>13.22</v>
      </c>
      <c r="U88">
        <v>13.61</v>
      </c>
    </row>
    <row r="89" spans="1:21" x14ac:dyDescent="0.25">
      <c r="A89" t="s">
        <v>17</v>
      </c>
    </row>
    <row r="90" spans="1:21" x14ac:dyDescent="0.25">
      <c r="A90" t="s">
        <v>1649</v>
      </c>
      <c r="E90" s="2">
        <v>-2104</v>
      </c>
      <c r="F90" s="2">
        <v>-2353</v>
      </c>
      <c r="G90" s="2">
        <v>-2438</v>
      </c>
      <c r="H90" s="2">
        <v>-2820</v>
      </c>
      <c r="I90" s="2">
        <v>-2330</v>
      </c>
      <c r="J90" s="2">
        <v>-1724</v>
      </c>
      <c r="K90" s="2">
        <v>-1465</v>
      </c>
      <c r="L90" s="2">
        <v>-1334</v>
      </c>
      <c r="M90" s="2">
        <v>-1376</v>
      </c>
      <c r="N90" s="2">
        <v>-1398</v>
      </c>
      <c r="O90" s="2">
        <v>-1477.69</v>
      </c>
      <c r="P90" s="2">
        <v>-1541.06</v>
      </c>
      <c r="Q90" s="2">
        <v>-1409.51</v>
      </c>
      <c r="R90" s="2">
        <v>-1279.0899999999999</v>
      </c>
      <c r="S90" s="2">
        <v>-1378.94</v>
      </c>
      <c r="T90" s="2">
        <v>-1191.96</v>
      </c>
      <c r="U90">
        <v>-804.78</v>
      </c>
    </row>
    <row r="91" spans="1:21" x14ac:dyDescent="0.25">
      <c r="A91" t="s">
        <v>100</v>
      </c>
      <c r="G91" s="2">
        <v>6416</v>
      </c>
      <c r="H91" s="2">
        <v>7328</v>
      </c>
      <c r="I91" s="2">
        <v>8176</v>
      </c>
      <c r="J91" s="2">
        <v>8656</v>
      </c>
      <c r="K91" s="2">
        <v>7525</v>
      </c>
      <c r="L91" s="2">
        <v>6344</v>
      </c>
      <c r="M91" s="2">
        <v>5048</v>
      </c>
      <c r="N91" s="2">
        <v>7263</v>
      </c>
      <c r="O91" s="2">
        <v>20253.12</v>
      </c>
      <c r="P91" s="2">
        <v>23702.58</v>
      </c>
      <c r="Q91" s="2">
        <v>26397.4</v>
      </c>
      <c r="R91" s="2">
        <v>31380.5</v>
      </c>
      <c r="S91" s="2">
        <v>36141</v>
      </c>
      <c r="T91" s="2">
        <v>40861</v>
      </c>
      <c r="U91" s="2">
        <v>46049.5</v>
      </c>
    </row>
    <row r="92" spans="1:21" x14ac:dyDescent="0.25">
      <c r="A92" t="s">
        <v>17</v>
      </c>
    </row>
    <row r="93" spans="1:21" x14ac:dyDescent="0.25">
      <c r="A93" t="s">
        <v>101</v>
      </c>
      <c r="E93" s="2">
        <v>-1619</v>
      </c>
      <c r="F93">
        <v>992</v>
      </c>
      <c r="G93" s="2">
        <v>1189</v>
      </c>
      <c r="H93" s="2">
        <v>1239</v>
      </c>
      <c r="I93">
        <v>873</v>
      </c>
      <c r="J93" s="2">
        <v>1137</v>
      </c>
      <c r="K93" s="2">
        <v>1445</v>
      </c>
      <c r="L93" s="2">
        <v>1122</v>
      </c>
      <c r="M93" s="2">
        <v>1288</v>
      </c>
      <c r="N93" s="2">
        <v>1547</v>
      </c>
      <c r="O93" s="2">
        <v>3675.52</v>
      </c>
      <c r="P93" s="2">
        <v>4327.25</v>
      </c>
      <c r="Q93" s="2">
        <v>4864.91</v>
      </c>
      <c r="R93" s="2">
        <v>5714.33</v>
      </c>
      <c r="S93" s="2">
        <v>6504.26</v>
      </c>
      <c r="T93" s="2">
        <v>7353.61</v>
      </c>
      <c r="U93" s="2">
        <v>8287.34</v>
      </c>
    </row>
    <row r="94" spans="1:21" x14ac:dyDescent="0.25">
      <c r="A94" t="s">
        <v>102</v>
      </c>
      <c r="G94">
        <v>18.5</v>
      </c>
      <c r="H94">
        <v>16.899999999999999</v>
      </c>
      <c r="I94">
        <v>18.899999999999999</v>
      </c>
      <c r="J94">
        <v>18.8</v>
      </c>
      <c r="K94">
        <v>20.100000000000001</v>
      </c>
      <c r="L94">
        <v>17.100000000000001</v>
      </c>
      <c r="M94">
        <v>18</v>
      </c>
      <c r="N94">
        <v>18.3</v>
      </c>
      <c r="O94">
        <v>17.940000000000001</v>
      </c>
      <c r="P94">
        <v>18</v>
      </c>
      <c r="Q94">
        <v>18.05</v>
      </c>
      <c r="R94">
        <v>18</v>
      </c>
      <c r="S94">
        <v>18</v>
      </c>
      <c r="T94">
        <v>18</v>
      </c>
      <c r="U94">
        <v>18</v>
      </c>
    </row>
    <row r="95" spans="1:21" x14ac:dyDescent="0.25">
      <c r="A95" t="s">
        <v>17</v>
      </c>
    </row>
    <row r="96" spans="1:21" x14ac:dyDescent="0.25">
      <c r="A96" t="s">
        <v>106</v>
      </c>
      <c r="D96" s="2">
        <v>1053</v>
      </c>
      <c r="E96" s="2">
        <v>3098</v>
      </c>
      <c r="F96" s="2">
        <v>4355</v>
      </c>
      <c r="G96" s="2">
        <v>5227</v>
      </c>
      <c r="H96" s="2">
        <v>6089</v>
      </c>
      <c r="I96" s="2">
        <v>3746</v>
      </c>
      <c r="J96" s="2">
        <v>4924</v>
      </c>
      <c r="K96" s="2">
        <v>5727</v>
      </c>
      <c r="L96" s="2">
        <v>5422</v>
      </c>
      <c r="M96" s="2">
        <v>5865</v>
      </c>
      <c r="N96" s="2">
        <v>7046</v>
      </c>
      <c r="O96" s="2">
        <v>16558.34</v>
      </c>
      <c r="P96" s="2">
        <v>19392.759999999998</v>
      </c>
      <c r="Q96" s="2">
        <v>21595.67</v>
      </c>
      <c r="R96" s="2">
        <v>25101.45</v>
      </c>
      <c r="S96" s="2">
        <v>30706.39</v>
      </c>
      <c r="T96" s="2">
        <v>35903.35</v>
      </c>
      <c r="U96" s="2">
        <v>41924.97</v>
      </c>
    </row>
    <row r="97" spans="1:21" x14ac:dyDescent="0.25">
      <c r="A97" t="s">
        <v>280</v>
      </c>
      <c r="D97">
        <v>2.0699999999999998</v>
      </c>
      <c r="E97">
        <v>4.9800000000000004</v>
      </c>
      <c r="F97">
        <v>5.51</v>
      </c>
      <c r="G97">
        <v>6.25</v>
      </c>
      <c r="H97">
        <v>7.18</v>
      </c>
      <c r="I97">
        <v>4.32</v>
      </c>
      <c r="J97">
        <v>4.87</v>
      </c>
      <c r="K97">
        <v>5.6</v>
      </c>
      <c r="L97">
        <v>6.13</v>
      </c>
      <c r="M97">
        <v>6.14</v>
      </c>
      <c r="N97">
        <v>6.21</v>
      </c>
      <c r="O97">
        <v>8.6300000000000008</v>
      </c>
      <c r="P97">
        <v>8.27</v>
      </c>
      <c r="Q97">
        <v>8.2799999999999994</v>
      </c>
      <c r="R97">
        <v>8.8800000000000008</v>
      </c>
      <c r="S97">
        <v>8.92</v>
      </c>
      <c r="T97">
        <v>9</v>
      </c>
      <c r="U97">
        <v>9.2200000000000006</v>
      </c>
    </row>
    <row r="98" spans="1:21" x14ac:dyDescent="0.25">
      <c r="A98" t="s">
        <v>1376</v>
      </c>
      <c r="D98">
        <v>0</v>
      </c>
      <c r="E98">
        <v>9</v>
      </c>
      <c r="F98">
        <v>-77</v>
      </c>
      <c r="G98">
        <v>129</v>
      </c>
      <c r="H98">
        <v>913</v>
      </c>
      <c r="I98">
        <v>-4</v>
      </c>
      <c r="J98">
        <v>-6</v>
      </c>
      <c r="K98">
        <v>-20</v>
      </c>
      <c r="L98">
        <v>-16</v>
      </c>
      <c r="M98">
        <v>-16</v>
      </c>
      <c r="N98">
        <v>0</v>
      </c>
      <c r="O98">
        <v>2</v>
      </c>
      <c r="P98">
        <v>4</v>
      </c>
      <c r="Q98">
        <v>4</v>
      </c>
      <c r="R98">
        <v>4</v>
      </c>
      <c r="S98">
        <v>4</v>
      </c>
    </row>
    <row r="99" spans="1:21" x14ac:dyDescent="0.25">
      <c r="A99" t="s">
        <v>589</v>
      </c>
      <c r="G99" s="2">
        <v>5227</v>
      </c>
      <c r="H99" s="2">
        <v>6089</v>
      </c>
      <c r="I99" s="2">
        <v>6763</v>
      </c>
      <c r="J99" s="2">
        <v>4924</v>
      </c>
      <c r="K99" s="2">
        <v>5727</v>
      </c>
      <c r="L99" s="2">
        <v>5245</v>
      </c>
      <c r="M99" s="2">
        <v>5865</v>
      </c>
      <c r="N99" s="2">
        <v>7046</v>
      </c>
      <c r="O99" s="2">
        <v>16814.79</v>
      </c>
      <c r="P99" s="2">
        <v>19574.68</v>
      </c>
      <c r="Q99" s="2">
        <v>22341.18</v>
      </c>
      <c r="R99" s="2">
        <v>25069</v>
      </c>
      <c r="S99" s="2">
        <v>27688.5</v>
      </c>
      <c r="T99" s="2">
        <v>30694</v>
      </c>
      <c r="U99" s="2">
        <v>33770.33</v>
      </c>
    </row>
    <row r="100" spans="1:21" x14ac:dyDescent="0.25">
      <c r="A100" t="s">
        <v>17</v>
      </c>
    </row>
    <row r="101" spans="1:21" x14ac:dyDescent="0.25">
      <c r="A101" t="s">
        <v>109</v>
      </c>
      <c r="D101">
        <v>405</v>
      </c>
      <c r="E101">
        <v>470</v>
      </c>
      <c r="F101">
        <v>567</v>
      </c>
      <c r="G101">
        <v>582</v>
      </c>
      <c r="H101">
        <v>751</v>
      </c>
      <c r="I101">
        <v>767</v>
      </c>
      <c r="J101">
        <v>791</v>
      </c>
      <c r="K101">
        <v>753</v>
      </c>
      <c r="L101">
        <v>736</v>
      </c>
      <c r="M101">
        <v>720</v>
      </c>
      <c r="N101">
        <v>684</v>
      </c>
      <c r="O101">
        <v>651.89</v>
      </c>
      <c r="P101">
        <v>640.22</v>
      </c>
      <c r="Q101">
        <v>624.26</v>
      </c>
      <c r="R101">
        <v>602.66999999999996</v>
      </c>
      <c r="S101">
        <v>582.87</v>
      </c>
      <c r="T101">
        <v>580.16</v>
      </c>
      <c r="U101">
        <v>561.71</v>
      </c>
    </row>
    <row r="102" spans="1:21" x14ac:dyDescent="0.25">
      <c r="A102" t="s">
        <v>110</v>
      </c>
      <c r="G102">
        <v>8.98</v>
      </c>
      <c r="H102">
        <v>7.35</v>
      </c>
      <c r="I102">
        <v>8</v>
      </c>
      <c r="J102">
        <v>6.22</v>
      </c>
      <c r="K102">
        <v>7.61</v>
      </c>
      <c r="L102">
        <v>7.13</v>
      </c>
      <c r="M102">
        <v>8.14</v>
      </c>
      <c r="N102">
        <v>10.3</v>
      </c>
      <c r="O102">
        <v>25.87</v>
      </c>
      <c r="P102">
        <v>30.44</v>
      </c>
      <c r="Q102">
        <v>35.57</v>
      </c>
      <c r="R102">
        <v>41.95</v>
      </c>
      <c r="S102">
        <v>47.57</v>
      </c>
      <c r="T102">
        <v>53.54</v>
      </c>
      <c r="U102">
        <v>61.74</v>
      </c>
    </row>
    <row r="103" spans="1:21" x14ac:dyDescent="0.25">
      <c r="A103" t="s">
        <v>17</v>
      </c>
    </row>
    <row r="104" spans="1:21" x14ac:dyDescent="0.25">
      <c r="A104" t="s">
        <v>281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0.33</v>
      </c>
      <c r="J104">
        <v>0.33</v>
      </c>
      <c r="K104">
        <v>1.32</v>
      </c>
      <c r="L104">
        <v>1.48</v>
      </c>
      <c r="M104">
        <v>1.78</v>
      </c>
      <c r="N104">
        <v>2.1</v>
      </c>
      <c r="O104">
        <v>2.54</v>
      </c>
      <c r="P104">
        <v>2.89</v>
      </c>
      <c r="Q104">
        <v>3.32</v>
      </c>
      <c r="R104">
        <v>3.65</v>
      </c>
      <c r="S104">
        <v>4.18</v>
      </c>
      <c r="T104">
        <v>4.87</v>
      </c>
      <c r="U104">
        <v>5.4</v>
      </c>
    </row>
    <row r="105" spans="1:21" x14ac:dyDescent="0.25">
      <c r="A105" t="s">
        <v>17</v>
      </c>
    </row>
    <row r="106" spans="1:21" x14ac:dyDescent="0.25">
      <c r="A106" t="s">
        <v>282</v>
      </c>
    </row>
    <row r="107" spans="1:21" x14ac:dyDescent="0.25">
      <c r="A107" t="s">
        <v>393</v>
      </c>
      <c r="D107" s="2">
        <v>50911</v>
      </c>
      <c r="E107" s="2">
        <v>62164</v>
      </c>
      <c r="F107" s="2">
        <v>79040</v>
      </c>
      <c r="G107" s="2">
        <v>83641</v>
      </c>
      <c r="H107" s="2">
        <v>84815</v>
      </c>
      <c r="I107" s="2">
        <v>86670</v>
      </c>
      <c r="J107" s="2">
        <v>101197</v>
      </c>
      <c r="K107" s="2">
        <v>102301</v>
      </c>
      <c r="L107" s="2">
        <v>88425</v>
      </c>
      <c r="M107" s="2">
        <v>95567</v>
      </c>
      <c r="N107" s="2">
        <v>113538</v>
      </c>
      <c r="O107" s="2">
        <v>192840.84</v>
      </c>
      <c r="P107" s="2">
        <v>230622</v>
      </c>
      <c r="Q107" s="2">
        <v>261955.81</v>
      </c>
      <c r="R107" s="2">
        <v>279447.39</v>
      </c>
      <c r="S107" s="2">
        <v>288373.37</v>
      </c>
      <c r="T107" s="2">
        <v>317954.03000000003</v>
      </c>
      <c r="U107" s="2">
        <v>339900.37</v>
      </c>
    </row>
    <row r="108" spans="1:21" x14ac:dyDescent="0.25">
      <c r="A108" t="s">
        <v>62</v>
      </c>
      <c r="D108" s="2">
        <v>42524</v>
      </c>
      <c r="E108" s="2">
        <v>48515</v>
      </c>
      <c r="F108" s="2">
        <v>58503</v>
      </c>
      <c r="G108" s="2">
        <v>65568</v>
      </c>
      <c r="H108" s="2">
        <v>63221</v>
      </c>
      <c r="I108" s="2">
        <v>66530</v>
      </c>
      <c r="J108" s="2">
        <v>79306</v>
      </c>
      <c r="K108" s="2">
        <v>79615</v>
      </c>
      <c r="L108" s="2">
        <v>67356</v>
      </c>
      <c r="M108" s="2">
        <v>74317</v>
      </c>
      <c r="N108" s="2">
        <v>90831</v>
      </c>
      <c r="O108" s="2">
        <v>146785.22</v>
      </c>
      <c r="P108" s="2">
        <v>184975.22</v>
      </c>
      <c r="Q108" s="2">
        <v>208554.83</v>
      </c>
      <c r="R108" s="2">
        <v>234693.84</v>
      </c>
      <c r="S108" s="2">
        <v>251458.26</v>
      </c>
      <c r="T108" s="2">
        <v>302561.63</v>
      </c>
      <c r="U108" s="2">
        <v>332369.59000000003</v>
      </c>
    </row>
    <row r="109" spans="1:21" x14ac:dyDescent="0.25">
      <c r="A109" t="s">
        <v>61</v>
      </c>
      <c r="D109">
        <v>83.53</v>
      </c>
      <c r="E109">
        <v>78.040000000000006</v>
      </c>
      <c r="F109">
        <v>74.02</v>
      </c>
      <c r="G109">
        <v>78.39</v>
      </c>
      <c r="H109">
        <v>74.540000000000006</v>
      </c>
      <c r="I109">
        <v>76.760000000000005</v>
      </c>
      <c r="J109">
        <v>78.37</v>
      </c>
      <c r="K109">
        <v>77.819999999999993</v>
      </c>
      <c r="L109">
        <v>76.17</v>
      </c>
      <c r="M109">
        <v>77.760000000000005</v>
      </c>
      <c r="N109">
        <v>80</v>
      </c>
      <c r="O109">
        <v>80.5</v>
      </c>
      <c r="P109">
        <v>81.12</v>
      </c>
      <c r="Q109">
        <v>81.69</v>
      </c>
      <c r="R109">
        <v>81.5</v>
      </c>
      <c r="S109">
        <v>81.45</v>
      </c>
      <c r="T109">
        <v>81.39</v>
      </c>
      <c r="U109">
        <v>81.33</v>
      </c>
    </row>
    <row r="110" spans="1:21" x14ac:dyDescent="0.25">
      <c r="A110" t="s">
        <v>63</v>
      </c>
      <c r="D110" s="2">
        <v>8387</v>
      </c>
      <c r="E110" s="2">
        <v>13649</v>
      </c>
      <c r="F110" s="2">
        <v>20537</v>
      </c>
      <c r="G110" s="2">
        <v>25053</v>
      </c>
      <c r="H110" s="2">
        <v>28933</v>
      </c>
      <c r="I110" s="2">
        <v>20140</v>
      </c>
      <c r="J110" s="2">
        <v>21891</v>
      </c>
      <c r="K110" s="2">
        <v>22686</v>
      </c>
      <c r="L110" s="2">
        <v>21069</v>
      </c>
      <c r="M110" s="2">
        <v>21250</v>
      </c>
      <c r="N110" s="2">
        <v>22707</v>
      </c>
      <c r="O110" s="2">
        <v>37517.24</v>
      </c>
      <c r="P110" s="2">
        <v>42620.93</v>
      </c>
      <c r="Q110" s="2">
        <v>48855.22</v>
      </c>
      <c r="R110" s="2">
        <v>51732.34</v>
      </c>
      <c r="S110" s="2">
        <v>56227.95</v>
      </c>
      <c r="T110" s="2">
        <v>62080.99</v>
      </c>
      <c r="U110" s="2">
        <v>67039.53</v>
      </c>
    </row>
    <row r="111" spans="1:21" x14ac:dyDescent="0.25">
      <c r="A111" t="s">
        <v>64</v>
      </c>
      <c r="D111">
        <v>16</v>
      </c>
      <c r="E111">
        <v>22</v>
      </c>
      <c r="F111">
        <v>26</v>
      </c>
      <c r="G111">
        <v>27.6</v>
      </c>
      <c r="H111">
        <v>31.4</v>
      </c>
      <c r="I111">
        <v>11</v>
      </c>
      <c r="J111">
        <v>21.6</v>
      </c>
      <c r="K111">
        <v>22.2</v>
      </c>
      <c r="L111">
        <v>23.8</v>
      </c>
      <c r="M111">
        <v>22.2</v>
      </c>
      <c r="N111">
        <v>20</v>
      </c>
      <c r="O111">
        <v>26.61</v>
      </c>
      <c r="P111">
        <v>32.65</v>
      </c>
      <c r="Q111">
        <v>19.04</v>
      </c>
      <c r="R111">
        <v>18.690000000000001</v>
      </c>
      <c r="S111">
        <v>18.8</v>
      </c>
      <c r="T111">
        <v>18.920000000000002</v>
      </c>
      <c r="U111">
        <v>19.29</v>
      </c>
    </row>
    <row r="112" spans="1:21" x14ac:dyDescent="0.25">
      <c r="A112" t="s">
        <v>87</v>
      </c>
      <c r="D112" s="2">
        <v>8901</v>
      </c>
      <c r="E112" s="2">
        <v>16039</v>
      </c>
      <c r="F112" s="2">
        <v>22953</v>
      </c>
      <c r="G112" s="2">
        <v>25244</v>
      </c>
      <c r="H112" s="2">
        <v>26311</v>
      </c>
      <c r="I112" s="2">
        <v>16455</v>
      </c>
      <c r="J112" s="2">
        <v>17232</v>
      </c>
      <c r="K112" s="2">
        <v>16915</v>
      </c>
      <c r="L112" s="2">
        <v>15658</v>
      </c>
      <c r="M112" s="2">
        <v>15013</v>
      </c>
      <c r="N112" s="2">
        <v>14558</v>
      </c>
      <c r="O112" s="2">
        <v>17647.509999999998</v>
      </c>
      <c r="P112" s="2">
        <v>19790.63</v>
      </c>
      <c r="Q112" s="2">
        <v>21414.080000000002</v>
      </c>
      <c r="R112" s="2">
        <v>22310.36</v>
      </c>
      <c r="S112" s="2">
        <v>23731.599999999999</v>
      </c>
      <c r="T112" s="2">
        <v>25200.01</v>
      </c>
      <c r="U112" s="2">
        <v>26790.15</v>
      </c>
    </row>
    <row r="113" spans="1:21" x14ac:dyDescent="0.25">
      <c r="A113" t="s">
        <v>61</v>
      </c>
      <c r="D113">
        <v>17.48</v>
      </c>
      <c r="E113">
        <v>25.8</v>
      </c>
      <c r="F113">
        <v>29.04</v>
      </c>
      <c r="G113">
        <v>30.18</v>
      </c>
      <c r="H113">
        <v>31.02</v>
      </c>
      <c r="I113">
        <v>18.989999999999998</v>
      </c>
      <c r="J113">
        <v>17.03</v>
      </c>
      <c r="K113">
        <v>16.53</v>
      </c>
      <c r="L113">
        <v>17.71</v>
      </c>
      <c r="M113">
        <v>15.71</v>
      </c>
      <c r="N113">
        <v>12.82</v>
      </c>
      <c r="O113">
        <v>9.18</v>
      </c>
      <c r="P113">
        <v>8.65</v>
      </c>
      <c r="Q113">
        <v>7.49</v>
      </c>
      <c r="R113">
        <v>7.65</v>
      </c>
      <c r="S113">
        <v>7.47</v>
      </c>
      <c r="T113">
        <v>7.57</v>
      </c>
      <c r="U113">
        <v>7.56</v>
      </c>
    </row>
    <row r="114" spans="1:21" x14ac:dyDescent="0.25">
      <c r="A114" t="s">
        <v>648</v>
      </c>
      <c r="D114" s="2">
        <v>7850</v>
      </c>
      <c r="E114" s="2">
        <v>13403</v>
      </c>
      <c r="F114" s="2">
        <v>18569</v>
      </c>
      <c r="G114" s="2">
        <v>20640</v>
      </c>
      <c r="H114" s="2">
        <v>21319</v>
      </c>
      <c r="I114" s="2">
        <v>14000</v>
      </c>
      <c r="J114" s="2">
        <v>14655</v>
      </c>
      <c r="K114" s="2">
        <v>14136</v>
      </c>
      <c r="L114" s="2">
        <v>12857</v>
      </c>
      <c r="M114" s="2">
        <v>11952</v>
      </c>
      <c r="N114" s="2">
        <v>11416</v>
      </c>
      <c r="O114" s="2">
        <v>12500.65</v>
      </c>
      <c r="P114" s="2">
        <v>14545.36</v>
      </c>
      <c r="Q114" s="2">
        <v>15195.46</v>
      </c>
      <c r="R114" s="2">
        <v>15798.7</v>
      </c>
      <c r="S114" s="2">
        <v>16702.669999999998</v>
      </c>
      <c r="T114" s="2">
        <v>18191.57</v>
      </c>
      <c r="U114" s="2">
        <v>19235.45</v>
      </c>
    </row>
    <row r="115" spans="1:21" x14ac:dyDescent="0.25">
      <c r="A115" t="s">
        <v>76</v>
      </c>
      <c r="D115">
        <v>15.42</v>
      </c>
      <c r="E115">
        <v>21.56</v>
      </c>
      <c r="F115">
        <v>23.49</v>
      </c>
      <c r="G115">
        <v>30.18</v>
      </c>
      <c r="H115">
        <v>31.02</v>
      </c>
      <c r="I115">
        <v>16.149999999999999</v>
      </c>
      <c r="J115">
        <v>14.48</v>
      </c>
      <c r="K115">
        <v>13.82</v>
      </c>
      <c r="L115">
        <v>14.54</v>
      </c>
      <c r="M115">
        <v>12.51</v>
      </c>
      <c r="N115">
        <v>10.050000000000001</v>
      </c>
      <c r="O115">
        <v>8.14</v>
      </c>
      <c r="P115">
        <v>7.76</v>
      </c>
      <c r="Q115">
        <v>7.66</v>
      </c>
      <c r="R115">
        <v>7.68</v>
      </c>
      <c r="S115">
        <v>7</v>
      </c>
      <c r="T115">
        <v>7.11</v>
      </c>
      <c r="U115">
        <v>7.11</v>
      </c>
    </row>
    <row r="116" spans="1:21" x14ac:dyDescent="0.25">
      <c r="A116" t="s">
        <v>114</v>
      </c>
      <c r="D116" s="2">
        <v>1051</v>
      </c>
      <c r="E116" s="2">
        <v>2636</v>
      </c>
      <c r="F116" s="2">
        <v>4384</v>
      </c>
      <c r="G116" s="2">
        <v>4604</v>
      </c>
      <c r="H116" s="2">
        <v>4992</v>
      </c>
      <c r="I116" s="2">
        <v>2455</v>
      </c>
      <c r="J116" s="2">
        <v>2577</v>
      </c>
      <c r="K116" s="2">
        <v>2779</v>
      </c>
      <c r="L116" s="2">
        <v>2801</v>
      </c>
      <c r="M116" s="2">
        <v>3061</v>
      </c>
      <c r="N116" s="2">
        <v>3142</v>
      </c>
      <c r="O116" s="2">
        <v>4026.19</v>
      </c>
      <c r="P116" s="2">
        <v>4895.8100000000004</v>
      </c>
      <c r="Q116" s="2">
        <v>5332.38</v>
      </c>
      <c r="R116" s="2">
        <v>5672.32</v>
      </c>
      <c r="S116" s="2">
        <v>6071.27</v>
      </c>
      <c r="T116" s="2">
        <v>7008.43</v>
      </c>
      <c r="U116" s="2">
        <v>7554.69</v>
      </c>
    </row>
    <row r="117" spans="1:21" x14ac:dyDescent="0.25">
      <c r="A117" t="s">
        <v>76</v>
      </c>
      <c r="D117">
        <v>2.06</v>
      </c>
      <c r="E117">
        <v>4.24</v>
      </c>
      <c r="F117">
        <v>5.55</v>
      </c>
      <c r="G117">
        <v>0</v>
      </c>
      <c r="H117">
        <v>0</v>
      </c>
      <c r="I117">
        <v>2.83</v>
      </c>
      <c r="J117">
        <v>2.5499999999999998</v>
      </c>
      <c r="K117">
        <v>2.72</v>
      </c>
      <c r="L117">
        <v>3.17</v>
      </c>
      <c r="M117">
        <v>3.2</v>
      </c>
      <c r="N117">
        <v>2.77</v>
      </c>
    </row>
    <row r="118" spans="1:21" x14ac:dyDescent="0.25">
      <c r="A118" t="s">
        <v>116</v>
      </c>
      <c r="D118">
        <v>-514</v>
      </c>
      <c r="E118" s="2">
        <v>-2390</v>
      </c>
      <c r="F118" s="2">
        <v>-2416</v>
      </c>
      <c r="G118">
        <v>-191</v>
      </c>
      <c r="H118" s="2">
        <v>2622</v>
      </c>
      <c r="I118" s="2">
        <v>3685</v>
      </c>
      <c r="J118" s="2">
        <v>4659</v>
      </c>
      <c r="K118" s="2">
        <v>5771</v>
      </c>
      <c r="L118" s="2">
        <v>5411</v>
      </c>
      <c r="M118" s="2">
        <v>6237</v>
      </c>
      <c r="N118" s="2">
        <v>8149</v>
      </c>
      <c r="O118" s="2">
        <v>20049.47</v>
      </c>
      <c r="P118" s="2">
        <v>22987.02</v>
      </c>
      <c r="Q118" s="2">
        <v>27802.94</v>
      </c>
      <c r="R118" s="2">
        <v>30261.07</v>
      </c>
      <c r="S118" s="2">
        <v>33454.01</v>
      </c>
      <c r="T118" s="2">
        <v>36880.980000000003</v>
      </c>
      <c r="U118" s="2">
        <v>40249.379999999997</v>
      </c>
    </row>
    <row r="119" spans="1:21" x14ac:dyDescent="0.25">
      <c r="A119" t="s">
        <v>269</v>
      </c>
      <c r="D119">
        <v>-1.01</v>
      </c>
      <c r="E119">
        <v>-3.84</v>
      </c>
      <c r="F119">
        <v>-3.06</v>
      </c>
      <c r="G119">
        <v>-0.23</v>
      </c>
      <c r="H119">
        <v>3.09</v>
      </c>
      <c r="I119">
        <v>4.25</v>
      </c>
      <c r="J119">
        <v>4.5999999999999996</v>
      </c>
      <c r="K119">
        <v>5.64</v>
      </c>
      <c r="L119">
        <v>6.12</v>
      </c>
      <c r="M119">
        <v>6.53</v>
      </c>
      <c r="N119">
        <v>7.18</v>
      </c>
      <c r="O119">
        <v>10.43</v>
      </c>
      <c r="P119">
        <v>10.1</v>
      </c>
      <c r="Q119">
        <v>10.57</v>
      </c>
      <c r="R119">
        <v>11</v>
      </c>
      <c r="S119">
        <v>11.27</v>
      </c>
      <c r="T119">
        <v>11.35</v>
      </c>
      <c r="U119">
        <v>11.73</v>
      </c>
    </row>
    <row r="120" spans="1:21" x14ac:dyDescent="0.25">
      <c r="A120" t="s">
        <v>117</v>
      </c>
      <c r="D120" s="2">
        <v>1980</v>
      </c>
      <c r="E120" s="2">
        <v>2450</v>
      </c>
      <c r="F120" s="2">
        <v>6218</v>
      </c>
      <c r="G120" s="2">
        <v>7555</v>
      </c>
      <c r="H120" s="2">
        <v>8765</v>
      </c>
      <c r="I120" s="2">
        <v>7552</v>
      </c>
      <c r="J120" s="2">
        <v>8206</v>
      </c>
      <c r="K120" s="2">
        <v>8927</v>
      </c>
      <c r="L120" s="2">
        <v>8570</v>
      </c>
      <c r="M120" s="2">
        <v>9360</v>
      </c>
      <c r="N120" s="2">
        <v>11178</v>
      </c>
      <c r="O120" s="2">
        <v>21654.59</v>
      </c>
      <c r="P120" s="2">
        <v>24550.9</v>
      </c>
      <c r="Q120" s="2">
        <v>31288.46</v>
      </c>
      <c r="R120" s="2">
        <v>33412.79</v>
      </c>
      <c r="S120" s="2">
        <v>37860.730000000003</v>
      </c>
      <c r="T120" s="2">
        <v>41349.94</v>
      </c>
      <c r="U120" s="2">
        <v>45114.94</v>
      </c>
    </row>
    <row r="121" spans="1:21" x14ac:dyDescent="0.25">
      <c r="A121" t="s">
        <v>286</v>
      </c>
      <c r="D121">
        <v>3.89</v>
      </c>
      <c r="E121">
        <v>3.94</v>
      </c>
      <c r="F121">
        <v>7.87</v>
      </c>
      <c r="G121">
        <v>9.0299999999999994</v>
      </c>
      <c r="H121">
        <v>10.33</v>
      </c>
      <c r="I121">
        <v>8.7100000000000009</v>
      </c>
      <c r="J121">
        <v>8.11</v>
      </c>
      <c r="K121">
        <v>8.73</v>
      </c>
      <c r="L121">
        <v>9.69</v>
      </c>
      <c r="M121">
        <v>9.7899999999999991</v>
      </c>
      <c r="N121">
        <v>9.85</v>
      </c>
      <c r="O121">
        <v>11.87</v>
      </c>
      <c r="P121">
        <v>11.55</v>
      </c>
      <c r="Q121">
        <v>11.93</v>
      </c>
      <c r="R121">
        <v>12.18</v>
      </c>
      <c r="S121">
        <v>12.41</v>
      </c>
      <c r="T121">
        <v>12.22</v>
      </c>
      <c r="U121">
        <v>12.43</v>
      </c>
    </row>
    <row r="122" spans="1:21" x14ac:dyDescent="0.25">
      <c r="A122" t="s">
        <v>1650</v>
      </c>
      <c r="D122">
        <v>772</v>
      </c>
      <c r="E122" s="2">
        <v>2104</v>
      </c>
      <c r="F122" s="2">
        <v>2353</v>
      </c>
      <c r="G122" s="2">
        <v>2170</v>
      </c>
      <c r="H122" s="2">
        <v>2626</v>
      </c>
      <c r="I122" s="2">
        <v>1339</v>
      </c>
      <c r="J122" s="2">
        <v>-1264</v>
      </c>
      <c r="K122" s="2">
        <v>2546</v>
      </c>
      <c r="L122" s="2">
        <v>1324</v>
      </c>
      <c r="M122" s="2">
        <v>1189</v>
      </c>
      <c r="N122">
        <v>886</v>
      </c>
      <c r="O122">
        <v>650.77</v>
      </c>
      <c r="P122" s="2">
        <v>1113.1300000000001</v>
      </c>
      <c r="Q122" s="2">
        <v>1321.69</v>
      </c>
      <c r="R122" s="2">
        <v>1351.49</v>
      </c>
      <c r="S122" s="2">
        <v>1164.21</v>
      </c>
      <c r="T122">
        <v>942.63</v>
      </c>
      <c r="U122">
        <v>724.78</v>
      </c>
    </row>
    <row r="123" spans="1:21" x14ac:dyDescent="0.25">
      <c r="A123" t="s">
        <v>289</v>
      </c>
      <c r="D123">
        <v>680</v>
      </c>
      <c r="E123" s="2">
        <v>1751</v>
      </c>
      <c r="F123" s="2">
        <v>2406</v>
      </c>
      <c r="G123" s="2">
        <v>2488</v>
      </c>
      <c r="H123" s="2">
        <v>2675</v>
      </c>
      <c r="I123" s="2">
        <v>2052</v>
      </c>
      <c r="J123" s="2">
        <v>1542</v>
      </c>
      <c r="K123" s="2">
        <v>1222</v>
      </c>
      <c r="L123" s="2">
        <v>1501</v>
      </c>
      <c r="M123" s="2">
        <v>1394</v>
      </c>
      <c r="N123" s="2">
        <v>1560</v>
      </c>
      <c r="O123" s="2">
        <v>1496.24</v>
      </c>
      <c r="P123" s="2">
        <v>1665.06</v>
      </c>
      <c r="Q123" s="2">
        <v>1650.49</v>
      </c>
      <c r="R123" s="2">
        <v>1683.74</v>
      </c>
      <c r="S123" s="2">
        <v>1673.48</v>
      </c>
      <c r="T123" s="2">
        <v>1663.12</v>
      </c>
      <c r="U123" s="2">
        <v>1652.62</v>
      </c>
    </row>
    <row r="124" spans="1:21" x14ac:dyDescent="0.25">
      <c r="A124" t="s">
        <v>1651</v>
      </c>
      <c r="D124">
        <v>-54</v>
      </c>
      <c r="E124">
        <v>174</v>
      </c>
      <c r="F124">
        <v>-373</v>
      </c>
      <c r="G124">
        <v>-837</v>
      </c>
      <c r="H124">
        <v>-51</v>
      </c>
      <c r="I124" s="2">
        <v>1339</v>
      </c>
      <c r="J124" s="2">
        <v>-1264</v>
      </c>
      <c r="K124" s="2">
        <v>1159</v>
      </c>
      <c r="L124">
        <v>-71</v>
      </c>
      <c r="M124">
        <v>-157</v>
      </c>
      <c r="N124">
        <v>-513</v>
      </c>
    </row>
    <row r="125" spans="1:21" x14ac:dyDescent="0.25">
      <c r="A125" t="s">
        <v>119</v>
      </c>
      <c r="D125" s="2">
        <v>-1286</v>
      </c>
      <c r="E125" s="2">
        <v>-4494</v>
      </c>
      <c r="F125" s="2">
        <v>-4769</v>
      </c>
      <c r="G125" s="2">
        <v>-2361</v>
      </c>
      <c r="H125">
        <v>-4</v>
      </c>
      <c r="I125" s="2">
        <v>2346</v>
      </c>
      <c r="J125" s="2">
        <v>5923</v>
      </c>
      <c r="K125" s="2">
        <v>3225</v>
      </c>
      <c r="L125" s="2">
        <v>4087</v>
      </c>
      <c r="M125" s="2">
        <v>5048</v>
      </c>
      <c r="N125" s="2">
        <v>7263</v>
      </c>
      <c r="O125" s="2">
        <v>19252.52</v>
      </c>
      <c r="P125" s="2">
        <v>22177.29</v>
      </c>
      <c r="Q125" s="2">
        <v>27377.98</v>
      </c>
      <c r="R125" s="2">
        <v>30506.61</v>
      </c>
      <c r="S125" s="2">
        <v>34122.400000000001</v>
      </c>
      <c r="T125" s="2">
        <v>35938.35</v>
      </c>
      <c r="U125" s="2">
        <v>39524.6</v>
      </c>
    </row>
    <row r="126" spans="1:21" x14ac:dyDescent="0.25">
      <c r="A126" t="s">
        <v>120</v>
      </c>
      <c r="D126">
        <v>-118</v>
      </c>
      <c r="E126" s="2">
        <v>-1420</v>
      </c>
      <c r="F126" s="2">
        <v>-1843</v>
      </c>
      <c r="G126">
        <v>-180</v>
      </c>
      <c r="H126" s="2">
        <v>-5533</v>
      </c>
      <c r="I126">
        <v>101</v>
      </c>
      <c r="J126">
        <v>981</v>
      </c>
      <c r="K126">
        <v>803</v>
      </c>
      <c r="L126">
        <v>715</v>
      </c>
      <c r="M126">
        <v>472</v>
      </c>
      <c r="N126" s="2">
        <v>1327</v>
      </c>
      <c r="O126" s="2">
        <v>3146.41</v>
      </c>
      <c r="P126" s="2">
        <v>3989.79</v>
      </c>
      <c r="Q126" s="2">
        <v>4759.17</v>
      </c>
      <c r="R126" s="2">
        <v>5176.25</v>
      </c>
      <c r="S126" s="2">
        <v>5766</v>
      </c>
      <c r="T126" s="2">
        <v>6407.07</v>
      </c>
      <c r="U126" s="2">
        <v>7113.4</v>
      </c>
    </row>
    <row r="127" spans="1:21" x14ac:dyDescent="0.25">
      <c r="A127" t="s">
        <v>489</v>
      </c>
      <c r="D127">
        <v>9.1999999999999993</v>
      </c>
      <c r="E127">
        <v>31.6</v>
      </c>
      <c r="F127">
        <v>38.6</v>
      </c>
      <c r="G127">
        <v>7.6</v>
      </c>
      <c r="H127" s="2">
        <v>138325</v>
      </c>
      <c r="I127">
        <v>4.3099999999999996</v>
      </c>
      <c r="J127">
        <v>16.559999999999999</v>
      </c>
      <c r="K127">
        <v>24.9</v>
      </c>
      <c r="L127">
        <v>17.489999999999998</v>
      </c>
      <c r="M127">
        <v>9.35</v>
      </c>
      <c r="N127">
        <v>18.27</v>
      </c>
      <c r="O127">
        <v>17.59</v>
      </c>
      <c r="P127">
        <v>18.18</v>
      </c>
      <c r="Q127">
        <v>17.98</v>
      </c>
      <c r="R127">
        <v>17.8</v>
      </c>
      <c r="S127">
        <v>17.809999999999999</v>
      </c>
      <c r="T127">
        <v>17.79</v>
      </c>
      <c r="U127">
        <v>18</v>
      </c>
    </row>
    <row r="128" spans="1:21" x14ac:dyDescent="0.25">
      <c r="A128" t="s">
        <v>121</v>
      </c>
      <c r="D128" s="2">
        <v>-1168</v>
      </c>
      <c r="E128" s="2">
        <v>-3074</v>
      </c>
      <c r="F128" s="2">
        <v>-2926</v>
      </c>
      <c r="G128" s="2">
        <v>-2181</v>
      </c>
      <c r="H128" s="2">
        <v>5529</v>
      </c>
      <c r="I128" s="2">
        <v>2245</v>
      </c>
      <c r="J128" s="2">
        <v>4942</v>
      </c>
      <c r="K128" s="2">
        <v>2422</v>
      </c>
      <c r="L128" s="2">
        <v>3372</v>
      </c>
      <c r="M128" s="2">
        <v>4576</v>
      </c>
      <c r="N128" s="2">
        <v>5936</v>
      </c>
      <c r="O128" s="2">
        <v>15677.28</v>
      </c>
      <c r="P128" s="2">
        <v>17934.64</v>
      </c>
      <c r="Q128" s="2">
        <v>22344.09</v>
      </c>
      <c r="R128" s="2">
        <v>24993.1</v>
      </c>
      <c r="S128" s="2">
        <v>28042.07</v>
      </c>
      <c r="T128" s="2">
        <v>29531.279999999999</v>
      </c>
      <c r="U128" s="2">
        <v>32411.200000000001</v>
      </c>
    </row>
    <row r="129" spans="1:21" x14ac:dyDescent="0.25">
      <c r="A129" t="s">
        <v>122</v>
      </c>
      <c r="D129">
        <v>-2.29</v>
      </c>
      <c r="E129">
        <v>-4.9400000000000004</v>
      </c>
      <c r="F129">
        <v>-3.7</v>
      </c>
      <c r="G129">
        <v>-2.61</v>
      </c>
      <c r="H129">
        <v>6.52</v>
      </c>
      <c r="I129">
        <v>2.59</v>
      </c>
      <c r="J129">
        <v>4.88</v>
      </c>
      <c r="K129">
        <v>2.37</v>
      </c>
      <c r="L129">
        <v>3.81</v>
      </c>
      <c r="M129">
        <v>4.79</v>
      </c>
      <c r="N129">
        <v>5.23</v>
      </c>
      <c r="O129">
        <v>8.6</v>
      </c>
      <c r="P129">
        <v>8.5</v>
      </c>
      <c r="Q129">
        <v>8.58</v>
      </c>
      <c r="R129">
        <v>8.17</v>
      </c>
      <c r="S129">
        <v>8.67</v>
      </c>
      <c r="T129">
        <v>8.8800000000000008</v>
      </c>
      <c r="U129">
        <v>9.08</v>
      </c>
    </row>
    <row r="130" spans="1:21" x14ac:dyDescent="0.25">
      <c r="A130" t="s">
        <v>1652</v>
      </c>
      <c r="G130" s="2">
        <v>-2310</v>
      </c>
      <c r="H130" s="2">
        <v>4616</v>
      </c>
      <c r="I130" s="2">
        <v>3250</v>
      </c>
      <c r="J130" s="2">
        <v>5563</v>
      </c>
      <c r="K130" s="2">
        <v>2422</v>
      </c>
      <c r="L130" s="2">
        <v>3195</v>
      </c>
      <c r="M130" s="2">
        <v>4592</v>
      </c>
      <c r="N130" s="2">
        <v>5936</v>
      </c>
      <c r="O130" s="2">
        <v>15689.94</v>
      </c>
      <c r="P130" s="2">
        <v>17982.38</v>
      </c>
      <c r="Q130" s="2">
        <v>21483.360000000001</v>
      </c>
      <c r="R130" s="2">
        <v>23769.25</v>
      </c>
      <c r="S130" s="2">
        <v>26523</v>
      </c>
      <c r="T130" s="2">
        <v>29531.33</v>
      </c>
      <c r="U130" s="2">
        <v>32411</v>
      </c>
    </row>
    <row r="131" spans="1:21" x14ac:dyDescent="0.25">
      <c r="A131" t="s">
        <v>122</v>
      </c>
      <c r="D131">
        <v>-2.17</v>
      </c>
      <c r="E131">
        <v>-1.88</v>
      </c>
      <c r="F131">
        <v>-3.6</v>
      </c>
      <c r="G131">
        <v>-2.76</v>
      </c>
      <c r="H131">
        <v>5.44</v>
      </c>
      <c r="I131">
        <v>3.75</v>
      </c>
      <c r="J131">
        <v>5.5</v>
      </c>
      <c r="K131">
        <v>2.39</v>
      </c>
      <c r="L131">
        <v>3.83</v>
      </c>
      <c r="M131">
        <v>4.8099999999999996</v>
      </c>
      <c r="N131">
        <v>5.23</v>
      </c>
      <c r="O131">
        <v>8.4</v>
      </c>
      <c r="P131">
        <v>8.19</v>
      </c>
      <c r="Q131">
        <v>8.18</v>
      </c>
      <c r="R131">
        <v>8.27</v>
      </c>
      <c r="S131">
        <v>8.5</v>
      </c>
      <c r="T131">
        <v>8.66</v>
      </c>
      <c r="U131">
        <v>8.9</v>
      </c>
    </row>
    <row r="132" spans="1:21" x14ac:dyDescent="0.25">
      <c r="A132" t="s">
        <v>296</v>
      </c>
      <c r="D132">
        <v>405</v>
      </c>
      <c r="E132">
        <v>470</v>
      </c>
      <c r="F132">
        <v>567</v>
      </c>
      <c r="G132">
        <v>582</v>
      </c>
      <c r="H132">
        <v>724</v>
      </c>
      <c r="I132">
        <v>744</v>
      </c>
      <c r="J132">
        <v>762</v>
      </c>
      <c r="K132">
        <v>734</v>
      </c>
      <c r="L132">
        <v>720</v>
      </c>
      <c r="M132">
        <v>705</v>
      </c>
      <c r="N132">
        <v>675</v>
      </c>
      <c r="O132">
        <v>644.37</v>
      </c>
      <c r="P132">
        <v>633.33000000000004</v>
      </c>
      <c r="Q132">
        <v>622.75</v>
      </c>
      <c r="R132">
        <v>612.58000000000004</v>
      </c>
      <c r="S132">
        <v>595.91</v>
      </c>
      <c r="T132">
        <v>576.46</v>
      </c>
      <c r="U132">
        <v>554.64</v>
      </c>
    </row>
    <row r="133" spans="1:21" x14ac:dyDescent="0.25">
      <c r="A133" t="s">
        <v>124</v>
      </c>
      <c r="G133">
        <v>-3.97</v>
      </c>
      <c r="H133">
        <v>6.03</v>
      </c>
      <c r="I133">
        <v>4.22</v>
      </c>
      <c r="J133">
        <v>6.26</v>
      </c>
      <c r="K133">
        <v>3.24</v>
      </c>
      <c r="L133">
        <v>4.3600000000000003</v>
      </c>
      <c r="M133">
        <v>6.38</v>
      </c>
      <c r="N133">
        <v>8.68</v>
      </c>
      <c r="O133">
        <v>24.39</v>
      </c>
      <c r="P133">
        <v>28.83</v>
      </c>
      <c r="Q133">
        <v>34.35</v>
      </c>
      <c r="R133">
        <v>39.380000000000003</v>
      </c>
      <c r="S133">
        <v>45.57</v>
      </c>
      <c r="T133">
        <v>51.53</v>
      </c>
      <c r="U133">
        <v>59.3</v>
      </c>
    </row>
    <row r="134" spans="1:21" x14ac:dyDescent="0.25">
      <c r="A134" t="s">
        <v>17</v>
      </c>
    </row>
    <row r="135" spans="1:21" x14ac:dyDescent="0.25">
      <c r="A135" t="s">
        <v>125</v>
      </c>
    </row>
    <row r="136" spans="1:21" x14ac:dyDescent="0.25">
      <c r="A136" t="s">
        <v>1653</v>
      </c>
      <c r="E136" s="2">
        <v>62122</v>
      </c>
      <c r="F136" s="2">
        <v>78620</v>
      </c>
      <c r="G136" s="2">
        <v>89657</v>
      </c>
      <c r="H136" s="2">
        <v>90712</v>
      </c>
      <c r="I136" s="2">
        <v>81389</v>
      </c>
      <c r="J136" s="2">
        <v>95830</v>
      </c>
      <c r="L136" s="2">
        <v>82801</v>
      </c>
      <c r="M136" s="2">
        <v>91986</v>
      </c>
      <c r="N136" s="2">
        <v>111810</v>
      </c>
      <c r="O136" s="2">
        <v>192793.24</v>
      </c>
      <c r="P136" s="2">
        <v>229901.18</v>
      </c>
      <c r="Q136" s="2">
        <v>264748.07</v>
      </c>
      <c r="R136" s="2">
        <v>282807.02</v>
      </c>
      <c r="S136" s="2">
        <v>297779.55</v>
      </c>
      <c r="T136" s="2">
        <v>295862.15000000002</v>
      </c>
      <c r="U136" s="2">
        <v>300368.95</v>
      </c>
    </row>
    <row r="137" spans="1:21" x14ac:dyDescent="0.25">
      <c r="A137" t="s">
        <v>67</v>
      </c>
      <c r="E137">
        <v>398</v>
      </c>
      <c r="F137">
        <v>835</v>
      </c>
      <c r="G137">
        <v>918</v>
      </c>
      <c r="H137" s="2">
        <v>1262</v>
      </c>
      <c r="I137">
        <v>487</v>
      </c>
      <c r="J137">
        <v>808</v>
      </c>
      <c r="K137">
        <v>931</v>
      </c>
      <c r="L137">
        <v>878</v>
      </c>
      <c r="M137">
        <v>785</v>
      </c>
      <c r="N137">
        <v>723</v>
      </c>
      <c r="O137">
        <v>638.44000000000005</v>
      </c>
      <c r="P137">
        <v>850.03</v>
      </c>
      <c r="Q137">
        <v>954.46</v>
      </c>
      <c r="R137" s="2">
        <v>1085.52</v>
      </c>
      <c r="S137" s="2">
        <v>1002.4</v>
      </c>
      <c r="T137" s="2">
        <v>1035.1099999999999</v>
      </c>
      <c r="U137" s="2">
        <v>1058.81</v>
      </c>
    </row>
    <row r="138" spans="1:21" x14ac:dyDescent="0.25">
      <c r="A138" t="s">
        <v>653</v>
      </c>
      <c r="G138">
        <v>91</v>
      </c>
      <c r="H138">
        <v>129</v>
      </c>
      <c r="I138">
        <v>75</v>
      </c>
      <c r="J138">
        <v>133</v>
      </c>
      <c r="K138">
        <v>152</v>
      </c>
      <c r="L138">
        <v>149</v>
      </c>
      <c r="M138">
        <v>152</v>
      </c>
      <c r="N138">
        <v>157</v>
      </c>
      <c r="O138">
        <v>128.02000000000001</v>
      </c>
      <c r="P138">
        <v>93.99</v>
      </c>
      <c r="Q138">
        <v>66.67</v>
      </c>
      <c r="R138">
        <v>202.43</v>
      </c>
      <c r="S138">
        <v>211.18</v>
      </c>
      <c r="T138">
        <v>217.89</v>
      </c>
      <c r="U138">
        <v>222.71</v>
      </c>
    </row>
    <row r="139" spans="1:21" x14ac:dyDescent="0.25">
      <c r="A139" t="s">
        <v>298</v>
      </c>
      <c r="H139">
        <v>619</v>
      </c>
      <c r="I139">
        <v>776</v>
      </c>
      <c r="K139">
        <v>551</v>
      </c>
      <c r="L139">
        <v>465</v>
      </c>
      <c r="M139">
        <v>414</v>
      </c>
      <c r="N139">
        <v>374</v>
      </c>
      <c r="O139">
        <v>391.21</v>
      </c>
      <c r="P139">
        <v>403.01</v>
      </c>
      <c r="Q139">
        <v>420.97</v>
      </c>
      <c r="R139">
        <v>489.62</v>
      </c>
      <c r="S139">
        <v>511.36</v>
      </c>
      <c r="T139">
        <v>528.13</v>
      </c>
      <c r="U139">
        <v>540.25</v>
      </c>
    </row>
    <row r="140" spans="1:21" x14ac:dyDescent="0.25">
      <c r="A140" t="s">
        <v>114</v>
      </c>
      <c r="H140">
        <v>514</v>
      </c>
      <c r="I140">
        <v>639</v>
      </c>
      <c r="K140">
        <v>228</v>
      </c>
      <c r="L140">
        <v>264</v>
      </c>
      <c r="M140">
        <v>214</v>
      </c>
      <c r="N140">
        <v>192</v>
      </c>
      <c r="O140">
        <v>205.43</v>
      </c>
      <c r="P140">
        <v>223.86</v>
      </c>
      <c r="Q140">
        <v>236.83</v>
      </c>
      <c r="R140">
        <v>267.97000000000003</v>
      </c>
      <c r="S140">
        <v>279.86</v>
      </c>
      <c r="T140">
        <v>289.08999999999997</v>
      </c>
      <c r="U140">
        <v>295.83999999999997</v>
      </c>
    </row>
    <row r="141" spans="1:21" x14ac:dyDescent="0.25">
      <c r="A141" t="s">
        <v>396</v>
      </c>
    </row>
    <row r="142" spans="1:21" x14ac:dyDescent="0.25">
      <c r="A142" t="s">
        <v>126</v>
      </c>
      <c r="D142">
        <v>392</v>
      </c>
      <c r="E142" s="2">
        <v>1653</v>
      </c>
      <c r="F142" s="2">
        <v>3694</v>
      </c>
      <c r="G142" s="2">
        <v>2883</v>
      </c>
      <c r="H142" s="2">
        <v>2081</v>
      </c>
      <c r="I142">
        <v>853</v>
      </c>
      <c r="J142">
        <v>598</v>
      </c>
      <c r="K142">
        <v>414</v>
      </c>
      <c r="L142">
        <v>331</v>
      </c>
      <c r="M142">
        <v>238</v>
      </c>
      <c r="N142">
        <v>162</v>
      </c>
      <c r="O142">
        <v>125.98</v>
      </c>
      <c r="P142">
        <v>150.05000000000001</v>
      </c>
      <c r="Q142">
        <v>132.59</v>
      </c>
      <c r="R142">
        <v>53.37</v>
      </c>
      <c r="S142">
        <v>42.86</v>
      </c>
      <c r="T142">
        <v>28.89</v>
      </c>
      <c r="U142">
        <v>19.98</v>
      </c>
    </row>
    <row r="143" spans="1:21" x14ac:dyDescent="0.25">
      <c r="A143" t="s">
        <v>654</v>
      </c>
      <c r="D143" s="2">
        <v>1577</v>
      </c>
      <c r="E143" s="2">
        <v>2028</v>
      </c>
      <c r="F143" s="2">
        <v>3286</v>
      </c>
      <c r="G143" s="2">
        <v>3255</v>
      </c>
      <c r="H143" s="2">
        <v>2327</v>
      </c>
      <c r="I143" s="2">
        <v>1280</v>
      </c>
      <c r="J143" s="2">
        <v>1043</v>
      </c>
      <c r="K143">
        <v>556</v>
      </c>
      <c r="L143">
        <v>488</v>
      </c>
      <c r="O143">
        <v>294.81</v>
      </c>
      <c r="P143">
        <v>292.57</v>
      </c>
      <c r="Q143">
        <v>258.06</v>
      </c>
      <c r="R143">
        <v>115.83</v>
      </c>
      <c r="S143">
        <v>93.01</v>
      </c>
      <c r="T143">
        <v>62.47</v>
      </c>
      <c r="U143">
        <v>43.04</v>
      </c>
    </row>
    <row r="144" spans="1:21" x14ac:dyDescent="0.25">
      <c r="A144" t="s">
        <v>1654</v>
      </c>
      <c r="D144">
        <v>77</v>
      </c>
      <c r="E144">
        <v>902</v>
      </c>
      <c r="F144">
        <v>325</v>
      </c>
      <c r="G144">
        <v>419</v>
      </c>
      <c r="H144" s="2">
        <v>1160</v>
      </c>
      <c r="I144">
        <v>268</v>
      </c>
      <c r="J144">
        <v>337</v>
      </c>
      <c r="K144" s="2">
        <v>1812</v>
      </c>
      <c r="L144">
        <v>793</v>
      </c>
      <c r="M144">
        <v>830</v>
      </c>
      <c r="N144">
        <v>364</v>
      </c>
    </row>
    <row r="145" spans="1:21" x14ac:dyDescent="0.25">
      <c r="A145" t="s">
        <v>1655</v>
      </c>
      <c r="F145">
        <v>-72</v>
      </c>
      <c r="G145">
        <v>-342</v>
      </c>
      <c r="H145">
        <v>-194</v>
      </c>
      <c r="I145">
        <v>-427</v>
      </c>
      <c r="J145">
        <v>-572</v>
      </c>
      <c r="K145">
        <v>206</v>
      </c>
      <c r="L145">
        <v>-47</v>
      </c>
      <c r="M145">
        <v>-177</v>
      </c>
      <c r="N145">
        <v>-254</v>
      </c>
    </row>
    <row r="146" spans="1:21" x14ac:dyDescent="0.25">
      <c r="A146" t="s">
        <v>1656</v>
      </c>
      <c r="D146">
        <v>-512</v>
      </c>
      <c r="E146" s="2">
        <v>-2158</v>
      </c>
      <c r="F146" s="2">
        <v>-2835</v>
      </c>
      <c r="G146" s="2">
        <v>-1369</v>
      </c>
      <c r="H146" s="2">
        <v>-6772</v>
      </c>
      <c r="I146">
        <v>-772</v>
      </c>
      <c r="J146">
        <v>-156</v>
      </c>
      <c r="K146">
        <v>-642</v>
      </c>
      <c r="L146">
        <v>-407</v>
      </c>
      <c r="M146">
        <v>-816</v>
      </c>
      <c r="N146">
        <v>-220</v>
      </c>
      <c r="O146">
        <v>-286.60000000000002</v>
      </c>
      <c r="P146">
        <v>-252.77</v>
      </c>
      <c r="Q146">
        <v>-298.02</v>
      </c>
      <c r="R146">
        <v>-330.08</v>
      </c>
      <c r="S146">
        <v>-331.7</v>
      </c>
      <c r="T146">
        <v>-329.58</v>
      </c>
      <c r="U146">
        <v>-298.27</v>
      </c>
    </row>
    <row r="147" spans="1:21" x14ac:dyDescent="0.25">
      <c r="A147" t="s">
        <v>17</v>
      </c>
    </row>
    <row r="148" spans="1:21" x14ac:dyDescent="0.25">
      <c r="A148" t="s">
        <v>134</v>
      </c>
    </row>
    <row r="149" spans="1:21" x14ac:dyDescent="0.25">
      <c r="A149" t="s">
        <v>135</v>
      </c>
    </row>
    <row r="150" spans="1:21" x14ac:dyDescent="0.25">
      <c r="A150" t="s">
        <v>136</v>
      </c>
      <c r="D150" s="2">
        <v>23573</v>
      </c>
      <c r="E150" s="2">
        <v>30773</v>
      </c>
      <c r="F150" s="2">
        <v>40328</v>
      </c>
      <c r="G150" s="2">
        <v>36138</v>
      </c>
      <c r="H150" s="2">
        <v>36868</v>
      </c>
      <c r="I150" s="2">
        <v>43567</v>
      </c>
      <c r="J150" s="2">
        <v>45033</v>
      </c>
      <c r="K150" s="2">
        <v>42351</v>
      </c>
      <c r="L150" s="2">
        <v>35984</v>
      </c>
      <c r="M150" s="2">
        <v>36229</v>
      </c>
      <c r="N150" s="2">
        <v>57602</v>
      </c>
      <c r="O150" s="2">
        <v>88260.42</v>
      </c>
      <c r="P150" s="2">
        <v>106257.48</v>
      </c>
      <c r="Q150" s="2">
        <v>128570.86</v>
      </c>
      <c r="R150" s="2">
        <v>149878.95000000001</v>
      </c>
      <c r="S150" s="2">
        <v>153343.57999999999</v>
      </c>
      <c r="T150" s="2">
        <v>168608.49</v>
      </c>
      <c r="U150" s="2">
        <v>187224.83</v>
      </c>
    </row>
    <row r="151" spans="1:21" x14ac:dyDescent="0.25">
      <c r="A151" t="s">
        <v>536</v>
      </c>
      <c r="D151" s="2">
        <v>6322</v>
      </c>
      <c r="E151" s="2">
        <v>9474</v>
      </c>
      <c r="F151" s="2">
        <v>13942</v>
      </c>
      <c r="G151" s="2">
        <v>9676</v>
      </c>
      <c r="H151" s="2">
        <v>9302</v>
      </c>
      <c r="I151" s="2">
        <v>9508</v>
      </c>
      <c r="J151" s="2">
        <v>9477</v>
      </c>
      <c r="K151" s="2">
        <v>8607</v>
      </c>
      <c r="L151" s="2">
        <v>7366</v>
      </c>
      <c r="M151" s="2">
        <v>3633</v>
      </c>
      <c r="N151" s="2">
        <v>11528</v>
      </c>
      <c r="O151" s="2">
        <v>15122.41</v>
      </c>
      <c r="P151" s="2">
        <v>21471.06</v>
      </c>
      <c r="Q151" s="2">
        <v>31484.62</v>
      </c>
      <c r="R151" s="2">
        <v>49598.8</v>
      </c>
      <c r="S151" s="2">
        <v>50654.94</v>
      </c>
      <c r="T151" s="2">
        <v>75147.31</v>
      </c>
      <c r="U151" s="2">
        <v>90114.13</v>
      </c>
    </row>
    <row r="152" spans="1:21" x14ac:dyDescent="0.25">
      <c r="A152" t="s">
        <v>656</v>
      </c>
      <c r="D152" s="2">
        <v>4887</v>
      </c>
      <c r="E152" s="2">
        <v>9420</v>
      </c>
      <c r="F152" s="2">
        <v>11721</v>
      </c>
      <c r="G152" s="2">
        <v>12371</v>
      </c>
      <c r="H152" s="2">
        <v>12484</v>
      </c>
      <c r="I152" s="2">
        <v>10731</v>
      </c>
      <c r="J152" s="2">
        <v>12912</v>
      </c>
      <c r="K152" s="2">
        <v>12482</v>
      </c>
      <c r="L152" s="2">
        <v>9343</v>
      </c>
      <c r="M152" s="2">
        <v>10298</v>
      </c>
      <c r="N152" s="2">
        <v>17585</v>
      </c>
      <c r="O152" s="2">
        <v>30296.26</v>
      </c>
      <c r="P152" s="2">
        <v>35118.21</v>
      </c>
      <c r="Q152" s="2">
        <v>40857.800000000003</v>
      </c>
      <c r="R152" s="2">
        <v>48334.9</v>
      </c>
      <c r="S152" s="2">
        <v>32898.04</v>
      </c>
      <c r="T152" s="2">
        <v>34656.480000000003</v>
      </c>
      <c r="U152" s="2">
        <v>36508.129999999997</v>
      </c>
    </row>
    <row r="153" spans="1:21" x14ac:dyDescent="0.25">
      <c r="A153" t="s">
        <v>1657</v>
      </c>
      <c r="D153" s="2">
        <v>2915</v>
      </c>
      <c r="E153" s="2">
        <v>3222</v>
      </c>
      <c r="F153" s="2">
        <v>3919</v>
      </c>
      <c r="G153" s="2">
        <v>4398</v>
      </c>
      <c r="H153" s="2">
        <v>4895</v>
      </c>
      <c r="I153" s="2">
        <v>5148</v>
      </c>
      <c r="J153" s="2">
        <v>5089</v>
      </c>
      <c r="K153" s="2">
        <v>5281</v>
      </c>
      <c r="L153" s="2">
        <v>4643</v>
      </c>
      <c r="M153" s="2">
        <v>5304</v>
      </c>
      <c r="N153" s="2">
        <v>8458</v>
      </c>
      <c r="O153" s="2">
        <v>13061.76</v>
      </c>
      <c r="P153" s="2">
        <v>16405.97</v>
      </c>
      <c r="Q153" s="2">
        <v>18464.78</v>
      </c>
      <c r="R153" s="2">
        <v>23330.41</v>
      </c>
      <c r="S153" s="2">
        <v>11735.5</v>
      </c>
      <c r="T153" s="2">
        <v>11953.91</v>
      </c>
      <c r="U153" s="2">
        <v>12176.07</v>
      </c>
    </row>
    <row r="154" spans="1:21" x14ac:dyDescent="0.25">
      <c r="A154" t="s">
        <v>340</v>
      </c>
      <c r="D154" s="2">
        <v>1619</v>
      </c>
      <c r="E154" s="2">
        <v>2538</v>
      </c>
      <c r="F154" s="2">
        <v>2678</v>
      </c>
      <c r="G154" s="2">
        <v>3649</v>
      </c>
      <c r="H154" s="2">
        <v>3281</v>
      </c>
      <c r="I154" s="2">
        <v>3403</v>
      </c>
      <c r="J154" s="2">
        <v>5898</v>
      </c>
      <c r="K154" s="2">
        <v>4776</v>
      </c>
      <c r="L154" s="2">
        <v>3622</v>
      </c>
      <c r="M154" s="2">
        <v>6716</v>
      </c>
      <c r="N154" s="2">
        <v>10437</v>
      </c>
      <c r="O154" s="2">
        <v>25278.12</v>
      </c>
      <c r="P154" s="2">
        <v>28927.15</v>
      </c>
      <c r="Q154" s="2">
        <v>34312.699999999997</v>
      </c>
      <c r="R154" s="2">
        <v>44183.49</v>
      </c>
      <c r="S154" s="2">
        <v>33397.72</v>
      </c>
      <c r="T154" s="2">
        <v>35734.370000000003</v>
      </c>
      <c r="U154" s="2">
        <v>37532.25</v>
      </c>
    </row>
    <row r="155" spans="1:21" x14ac:dyDescent="0.25">
      <c r="A155" t="s">
        <v>145</v>
      </c>
      <c r="D155" s="2">
        <v>7830</v>
      </c>
      <c r="E155" s="2">
        <v>4144</v>
      </c>
      <c r="F155" s="2">
        <v>5881</v>
      </c>
      <c r="G155" s="2">
        <v>6044</v>
      </c>
      <c r="H155" s="2">
        <v>6906</v>
      </c>
      <c r="I155" s="2">
        <v>14777</v>
      </c>
      <c r="J155" s="2">
        <v>11657</v>
      </c>
      <c r="K155" s="2">
        <v>11205</v>
      </c>
      <c r="L155" s="2">
        <v>11010</v>
      </c>
      <c r="M155" s="2">
        <v>10278</v>
      </c>
      <c r="N155" s="2">
        <v>9594</v>
      </c>
      <c r="O155" s="2">
        <v>15310.43</v>
      </c>
      <c r="P155" s="2">
        <v>17802.099999999999</v>
      </c>
      <c r="Q155" s="2">
        <v>20598.28</v>
      </c>
      <c r="R155" s="2">
        <v>26787.11</v>
      </c>
      <c r="S155" s="2">
        <v>11965</v>
      </c>
      <c r="T155" s="2">
        <v>11965</v>
      </c>
      <c r="U155" s="2">
        <v>11965</v>
      </c>
    </row>
    <row r="156" spans="1:21" x14ac:dyDescent="0.25">
      <c r="A156" t="s">
        <v>146</v>
      </c>
      <c r="D156" s="2">
        <v>21549</v>
      </c>
      <c r="E156" s="2">
        <v>87433</v>
      </c>
      <c r="F156" s="2">
        <v>83865</v>
      </c>
      <c r="G156" s="2">
        <v>75682</v>
      </c>
      <c r="H156" s="2">
        <v>81993</v>
      </c>
      <c r="I156" s="2">
        <v>79848</v>
      </c>
      <c r="J156" s="2">
        <v>47702</v>
      </c>
      <c r="K156" s="2">
        <v>47260</v>
      </c>
      <c r="L156" s="2">
        <v>46142</v>
      </c>
      <c r="M156" s="2">
        <v>43517</v>
      </c>
      <c r="N156" s="2">
        <v>43684</v>
      </c>
      <c r="O156" s="2">
        <v>50458.99</v>
      </c>
      <c r="P156" s="2">
        <v>53500.35</v>
      </c>
      <c r="Q156" s="2">
        <v>55998.83</v>
      </c>
      <c r="R156" s="2">
        <v>72375.3</v>
      </c>
    </row>
    <row r="157" spans="1:21" x14ac:dyDescent="0.25">
      <c r="A157" t="s">
        <v>409</v>
      </c>
      <c r="D157" s="2">
        <v>1649</v>
      </c>
      <c r="E157" s="2">
        <v>5653</v>
      </c>
      <c r="F157" s="2">
        <v>5390</v>
      </c>
      <c r="G157" s="2">
        <v>5259</v>
      </c>
      <c r="H157" s="2">
        <v>6055</v>
      </c>
      <c r="I157" s="2">
        <v>4833</v>
      </c>
      <c r="J157" s="2">
        <v>5415</v>
      </c>
      <c r="K157" s="2">
        <v>6209</v>
      </c>
      <c r="L157" s="2">
        <v>6432</v>
      </c>
      <c r="M157" s="2">
        <v>6336</v>
      </c>
      <c r="N157" s="2">
        <v>6676</v>
      </c>
      <c r="O157" s="2">
        <v>9819.7099999999991</v>
      </c>
      <c r="P157" s="2">
        <v>11638.84</v>
      </c>
      <c r="Q157" s="2">
        <v>13372.35</v>
      </c>
      <c r="R157" s="2">
        <v>17483.05</v>
      </c>
      <c r="S157" s="2">
        <v>16719.099999999999</v>
      </c>
      <c r="T157" s="2">
        <v>20705.32</v>
      </c>
      <c r="U157" s="2">
        <v>23023.64</v>
      </c>
    </row>
    <row r="158" spans="1:21" x14ac:dyDescent="0.25">
      <c r="A158" t="s">
        <v>496</v>
      </c>
      <c r="D158" s="2">
        <v>8406</v>
      </c>
      <c r="E158" s="2">
        <v>38910</v>
      </c>
      <c r="F158" s="2">
        <v>39920</v>
      </c>
      <c r="G158" s="2">
        <v>40089</v>
      </c>
      <c r="H158" s="2">
        <v>41691</v>
      </c>
      <c r="I158" s="2">
        <v>20028</v>
      </c>
      <c r="J158" s="2">
        <v>19770</v>
      </c>
      <c r="K158" s="2">
        <v>19676</v>
      </c>
      <c r="L158" s="2">
        <v>19700</v>
      </c>
      <c r="M158" s="2">
        <v>19120</v>
      </c>
      <c r="N158" s="2">
        <v>19547</v>
      </c>
      <c r="O158" s="2">
        <v>20837.71</v>
      </c>
      <c r="P158" s="2">
        <v>19444.310000000001</v>
      </c>
      <c r="Q158" s="2">
        <v>19443.64</v>
      </c>
      <c r="R158" s="2">
        <v>19448</v>
      </c>
      <c r="S158" s="2">
        <v>19448</v>
      </c>
      <c r="T158" s="2">
        <v>19448</v>
      </c>
      <c r="U158" s="2">
        <v>19448</v>
      </c>
    </row>
    <row r="159" spans="1:21" x14ac:dyDescent="0.25">
      <c r="A159" t="s">
        <v>312</v>
      </c>
      <c r="D159" s="2">
        <v>16983</v>
      </c>
      <c r="E159" s="2">
        <v>73963</v>
      </c>
      <c r="F159" s="2">
        <v>68185</v>
      </c>
      <c r="G159" s="2">
        <v>62359</v>
      </c>
      <c r="H159" s="2">
        <v>59798</v>
      </c>
      <c r="I159" s="2">
        <v>29143</v>
      </c>
      <c r="J159" s="2">
        <v>27231</v>
      </c>
      <c r="K159" s="2">
        <v>26144</v>
      </c>
      <c r="L159" s="2">
        <v>25401</v>
      </c>
      <c r="M159" s="2">
        <v>24108</v>
      </c>
      <c r="N159" s="2">
        <v>24080</v>
      </c>
      <c r="O159" s="2">
        <v>23527.56</v>
      </c>
      <c r="P159" s="2">
        <v>23041.02</v>
      </c>
      <c r="Q159" s="2">
        <v>22612.51</v>
      </c>
      <c r="R159" s="2">
        <v>22235.11</v>
      </c>
    </row>
    <row r="160" spans="1:21" x14ac:dyDescent="0.25">
      <c r="A160" t="s">
        <v>497</v>
      </c>
      <c r="D160" s="2">
        <v>8577</v>
      </c>
      <c r="E160" s="2">
        <v>35053</v>
      </c>
      <c r="F160" s="2">
        <v>28265</v>
      </c>
      <c r="G160" s="2">
        <v>22270</v>
      </c>
      <c r="H160" s="2">
        <v>18107</v>
      </c>
      <c r="I160" s="2">
        <v>9115</v>
      </c>
      <c r="J160" s="2">
        <v>7461</v>
      </c>
      <c r="K160" s="2">
        <v>6468</v>
      </c>
      <c r="L160" s="2">
        <v>5701</v>
      </c>
      <c r="M160" s="2">
        <v>4988</v>
      </c>
      <c r="N160" s="2">
        <v>4533</v>
      </c>
      <c r="O160" s="2">
        <v>4100.47</v>
      </c>
      <c r="P160" s="2">
        <v>3661.14</v>
      </c>
      <c r="Q160" s="2">
        <v>3337.96</v>
      </c>
      <c r="R160" s="2">
        <v>2451.23</v>
      </c>
      <c r="S160" s="2">
        <v>3107.46</v>
      </c>
      <c r="T160" s="2">
        <v>3199.25</v>
      </c>
      <c r="U160" s="2">
        <v>3136.23</v>
      </c>
    </row>
    <row r="161" spans="1:21" x14ac:dyDescent="0.25">
      <c r="A161" t="s">
        <v>1658</v>
      </c>
      <c r="D161">
        <v>114</v>
      </c>
      <c r="E161" s="2">
        <v>3802</v>
      </c>
      <c r="F161" s="2">
        <v>4163</v>
      </c>
      <c r="G161" s="2">
        <v>1005</v>
      </c>
      <c r="H161">
        <v>864</v>
      </c>
      <c r="I161" s="2">
        <v>1334</v>
      </c>
      <c r="J161" s="2">
        <v>1839</v>
      </c>
      <c r="K161" s="2">
        <v>1518</v>
      </c>
      <c r="L161" s="2">
        <v>1316</v>
      </c>
      <c r="M161" s="2">
        <v>1496</v>
      </c>
      <c r="N161" s="2">
        <v>1730</v>
      </c>
      <c r="O161" s="2">
        <v>2706.67</v>
      </c>
      <c r="P161" s="2">
        <v>2745.5</v>
      </c>
      <c r="Q161" s="2">
        <v>2805.4</v>
      </c>
      <c r="R161" s="2">
        <v>2881.13</v>
      </c>
      <c r="S161" s="2">
        <v>3005.67</v>
      </c>
      <c r="T161" s="2">
        <v>3087.33</v>
      </c>
      <c r="U161" s="2">
        <v>3169</v>
      </c>
    </row>
    <row r="162" spans="1:21" x14ac:dyDescent="0.25">
      <c r="A162" t="s">
        <v>1659</v>
      </c>
      <c r="D162" s="2">
        <v>2177</v>
      </c>
      <c r="E162" s="2">
        <v>2651</v>
      </c>
      <c r="F162" s="2">
        <v>3724</v>
      </c>
      <c r="G162" s="2">
        <v>4224</v>
      </c>
      <c r="H162" s="2">
        <v>4848</v>
      </c>
      <c r="I162" s="2">
        <v>5339</v>
      </c>
      <c r="J162" s="2">
        <v>5522</v>
      </c>
      <c r="K162" s="2">
        <v>5638</v>
      </c>
      <c r="L162" s="2">
        <v>5877</v>
      </c>
      <c r="M162" s="2">
        <v>5927</v>
      </c>
      <c r="N162" s="2">
        <v>5822</v>
      </c>
      <c r="O162" s="2">
        <v>8525.5</v>
      </c>
      <c r="P162" s="2">
        <v>9094.91</v>
      </c>
      <c r="Q162" s="2">
        <v>10090.379999999999</v>
      </c>
      <c r="R162" s="2">
        <v>11883.02</v>
      </c>
      <c r="S162" s="2">
        <v>8842.15</v>
      </c>
      <c r="T162" s="2">
        <v>9069.06</v>
      </c>
      <c r="U162" s="2">
        <v>9296.18</v>
      </c>
    </row>
    <row r="163" spans="1:21" x14ac:dyDescent="0.25">
      <c r="A163" t="s">
        <v>17</v>
      </c>
    </row>
    <row r="164" spans="1:21" x14ac:dyDescent="0.25">
      <c r="A164" t="s">
        <v>154</v>
      </c>
      <c r="D164">
        <v>626</v>
      </c>
      <c r="E164" s="2">
        <v>1364</v>
      </c>
      <c r="F164" s="2">
        <v>2403</v>
      </c>
      <c r="G164" s="2">
        <v>2835</v>
      </c>
      <c r="H164" s="2">
        <v>10428</v>
      </c>
      <c r="I164" s="2">
        <v>7184</v>
      </c>
      <c r="J164" s="2">
        <v>6985</v>
      </c>
      <c r="K164" s="2">
        <v>7311</v>
      </c>
      <c r="L164" s="2">
        <v>7116</v>
      </c>
      <c r="M164" s="2">
        <v>5650</v>
      </c>
      <c r="N164" s="2">
        <v>5376</v>
      </c>
      <c r="O164" s="2">
        <v>5733.54</v>
      </c>
      <c r="P164" s="2">
        <v>6244.64</v>
      </c>
      <c r="Q164" s="2">
        <v>6307.61</v>
      </c>
      <c r="R164" s="2">
        <v>6550</v>
      </c>
      <c r="S164" s="2">
        <v>6956.67</v>
      </c>
      <c r="T164" s="2">
        <v>7363.33</v>
      </c>
      <c r="U164" s="2">
        <v>7770</v>
      </c>
    </row>
    <row r="165" spans="1:21" x14ac:dyDescent="0.25">
      <c r="A165" t="s">
        <v>155</v>
      </c>
      <c r="D165" s="2">
        <v>45122</v>
      </c>
      <c r="E165" s="2">
        <v>118206</v>
      </c>
      <c r="F165" s="2">
        <v>124193</v>
      </c>
      <c r="G165" s="2">
        <v>111820</v>
      </c>
      <c r="H165" s="2">
        <v>118861</v>
      </c>
      <c r="I165" s="2">
        <v>123415</v>
      </c>
      <c r="J165" s="2">
        <v>92735</v>
      </c>
      <c r="K165" s="2">
        <v>89611</v>
      </c>
      <c r="L165" s="2">
        <v>82126</v>
      </c>
      <c r="M165" s="2">
        <v>79746</v>
      </c>
      <c r="N165" s="2">
        <v>101286</v>
      </c>
      <c r="O165" s="2">
        <v>137594.34</v>
      </c>
      <c r="P165" s="2">
        <v>156021.70000000001</v>
      </c>
      <c r="Q165" s="2">
        <v>179828.16</v>
      </c>
      <c r="R165" s="2">
        <v>198895.06</v>
      </c>
      <c r="S165" s="2">
        <v>199766.85</v>
      </c>
      <c r="T165" s="2">
        <v>231480.78</v>
      </c>
      <c r="U165" s="2">
        <v>253067.88</v>
      </c>
    </row>
    <row r="166" spans="1:21" x14ac:dyDescent="0.25">
      <c r="A166" t="s">
        <v>17</v>
      </c>
    </row>
    <row r="167" spans="1:21" x14ac:dyDescent="0.25">
      <c r="A167" t="s">
        <v>156</v>
      </c>
    </row>
    <row r="168" spans="1:21" x14ac:dyDescent="0.25">
      <c r="A168" t="s">
        <v>157</v>
      </c>
      <c r="D168" s="2">
        <v>25310</v>
      </c>
      <c r="E168" s="2">
        <v>38135</v>
      </c>
      <c r="F168" s="2">
        <v>45839</v>
      </c>
      <c r="G168" s="2">
        <v>44972</v>
      </c>
      <c r="H168" s="2">
        <v>52456</v>
      </c>
      <c r="I168" s="2">
        <v>54132</v>
      </c>
      <c r="J168" s="2">
        <v>56219</v>
      </c>
      <c r="K168" s="2">
        <v>51654</v>
      </c>
      <c r="L168" s="2">
        <v>48354</v>
      </c>
      <c r="M168" s="2">
        <v>46527</v>
      </c>
      <c r="N168" s="2">
        <v>63269</v>
      </c>
      <c r="O168" s="2">
        <v>89831.44</v>
      </c>
      <c r="P168" s="2">
        <v>102799.77</v>
      </c>
      <c r="Q168" s="2">
        <v>115658.84</v>
      </c>
      <c r="R168" s="2">
        <v>114028.49</v>
      </c>
      <c r="S168" s="2">
        <v>112371.79</v>
      </c>
      <c r="T168" s="2">
        <v>114243.32</v>
      </c>
      <c r="U168" s="2">
        <v>117508.68</v>
      </c>
    </row>
    <row r="169" spans="1:21" x14ac:dyDescent="0.25">
      <c r="A169" t="s">
        <v>313</v>
      </c>
      <c r="D169" s="2">
        <v>2981</v>
      </c>
      <c r="E169" s="2">
        <v>6329</v>
      </c>
      <c r="F169" s="2">
        <v>7873</v>
      </c>
      <c r="G169" s="2">
        <v>4320</v>
      </c>
      <c r="H169" s="2">
        <v>7737</v>
      </c>
      <c r="I169" s="2">
        <v>6357</v>
      </c>
      <c r="J169" s="2">
        <v>5823</v>
      </c>
      <c r="K169" s="2">
        <v>6573</v>
      </c>
      <c r="L169" s="2">
        <v>6982</v>
      </c>
      <c r="M169" s="2">
        <v>5204</v>
      </c>
      <c r="N169" s="2">
        <v>7990</v>
      </c>
      <c r="O169" s="2">
        <v>8222.6200000000008</v>
      </c>
      <c r="P169" s="2">
        <v>7991.92</v>
      </c>
      <c r="Q169" s="2">
        <v>7673.36</v>
      </c>
      <c r="R169" s="2">
        <v>8481</v>
      </c>
      <c r="S169" s="2">
        <v>8481</v>
      </c>
      <c r="T169" s="2">
        <v>8481</v>
      </c>
      <c r="U169" s="2">
        <v>8481</v>
      </c>
    </row>
    <row r="170" spans="1:21" x14ac:dyDescent="0.25">
      <c r="A170" t="s">
        <v>158</v>
      </c>
      <c r="D170" s="2">
        <v>12881</v>
      </c>
      <c r="E170" s="2">
        <v>14422</v>
      </c>
      <c r="F170" s="2">
        <v>18334</v>
      </c>
      <c r="G170" s="2">
        <v>19213</v>
      </c>
      <c r="H170" s="2">
        <v>20065</v>
      </c>
      <c r="I170" s="2">
        <v>21572</v>
      </c>
      <c r="J170" s="2">
        <v>27143</v>
      </c>
      <c r="K170" s="2">
        <v>18598</v>
      </c>
      <c r="L170" s="2">
        <v>19226</v>
      </c>
      <c r="M170" s="2">
        <v>20832</v>
      </c>
      <c r="N170" s="2">
        <v>33630</v>
      </c>
      <c r="O170" s="2">
        <v>53972.83</v>
      </c>
      <c r="P170" s="2">
        <v>74190.320000000007</v>
      </c>
      <c r="Q170" s="2">
        <v>86830.86</v>
      </c>
      <c r="R170" s="2">
        <v>107385.45</v>
      </c>
      <c r="S170" s="2">
        <v>75658.87</v>
      </c>
      <c r="T170" s="2">
        <v>79234.09</v>
      </c>
      <c r="U170" s="2">
        <v>82182.210000000006</v>
      </c>
    </row>
    <row r="171" spans="1:21" x14ac:dyDescent="0.25">
      <c r="A171" t="s">
        <v>1660</v>
      </c>
      <c r="D171" s="2">
        <v>4217</v>
      </c>
      <c r="E171" s="2">
        <v>7119</v>
      </c>
      <c r="F171" s="2">
        <v>8026</v>
      </c>
      <c r="G171" s="2">
        <v>8495</v>
      </c>
      <c r="H171" s="2">
        <v>9773</v>
      </c>
      <c r="I171" s="2">
        <v>7166</v>
      </c>
      <c r="J171" s="2">
        <v>7578</v>
      </c>
      <c r="K171" s="2">
        <v>8874</v>
      </c>
      <c r="L171" s="2">
        <v>6828</v>
      </c>
      <c r="M171" s="2">
        <v>6597</v>
      </c>
      <c r="N171" s="2">
        <v>8315</v>
      </c>
      <c r="O171" s="2">
        <v>11461.69</v>
      </c>
      <c r="P171" s="2">
        <v>15379.77</v>
      </c>
      <c r="Q171" s="2">
        <v>17627.63</v>
      </c>
      <c r="R171" s="2">
        <v>24933.200000000001</v>
      </c>
      <c r="S171" s="2">
        <v>10738</v>
      </c>
      <c r="T171" s="2">
        <v>10738</v>
      </c>
      <c r="U171" s="2">
        <v>10738</v>
      </c>
    </row>
    <row r="172" spans="1:21" x14ac:dyDescent="0.25">
      <c r="A172" t="s">
        <v>417</v>
      </c>
      <c r="D172" s="2">
        <v>3632</v>
      </c>
      <c r="E172" s="2">
        <v>10265</v>
      </c>
      <c r="F172" s="2">
        <v>11606</v>
      </c>
      <c r="G172" s="2">
        <v>12944</v>
      </c>
      <c r="H172" s="2">
        <v>14881</v>
      </c>
      <c r="I172" s="2">
        <v>13201</v>
      </c>
      <c r="J172" s="2">
        <v>14261</v>
      </c>
      <c r="K172" s="2">
        <v>15542</v>
      </c>
      <c r="L172" s="2">
        <v>15318</v>
      </c>
      <c r="M172" s="2">
        <v>13673</v>
      </c>
      <c r="N172" s="2">
        <v>13334</v>
      </c>
      <c r="O172" s="2">
        <v>15495.98</v>
      </c>
      <c r="P172" s="2">
        <v>16910.72</v>
      </c>
      <c r="Q172" s="2">
        <v>18942.060000000001</v>
      </c>
      <c r="R172" s="2">
        <v>19037.3</v>
      </c>
      <c r="S172" s="2">
        <v>15479.97</v>
      </c>
      <c r="T172" s="2">
        <v>15790.23</v>
      </c>
      <c r="U172" s="2">
        <v>16107.47</v>
      </c>
    </row>
    <row r="173" spans="1:21" x14ac:dyDescent="0.25">
      <c r="A173" t="s">
        <v>1661</v>
      </c>
      <c r="D173" s="2">
        <v>18240</v>
      </c>
      <c r="E173" s="2">
        <v>60831</v>
      </c>
      <c r="F173" s="2">
        <v>60485</v>
      </c>
      <c r="G173" s="2">
        <v>66594</v>
      </c>
      <c r="H173" s="2">
        <v>62621</v>
      </c>
      <c r="I173" s="2">
        <v>61258</v>
      </c>
      <c r="J173" s="2">
        <v>38096</v>
      </c>
      <c r="K173" s="2">
        <v>40982</v>
      </c>
      <c r="L173" s="2">
        <v>35904</v>
      </c>
      <c r="M173" s="2">
        <v>34606</v>
      </c>
      <c r="N173" s="2">
        <v>40487</v>
      </c>
      <c r="O173" s="2">
        <v>44499.75</v>
      </c>
      <c r="P173" s="2">
        <v>44296.75</v>
      </c>
      <c r="Q173" s="2">
        <v>54609</v>
      </c>
      <c r="R173" s="2">
        <v>117605.8</v>
      </c>
    </row>
    <row r="174" spans="1:21" x14ac:dyDescent="0.25">
      <c r="A174" t="s">
        <v>315</v>
      </c>
      <c r="D174" s="2">
        <v>10650</v>
      </c>
      <c r="E174" s="2">
        <v>43061</v>
      </c>
      <c r="F174" s="2">
        <v>43998</v>
      </c>
      <c r="G174" s="2">
        <v>49201</v>
      </c>
      <c r="H174" s="2">
        <v>44319</v>
      </c>
      <c r="I174" s="2">
        <v>32865</v>
      </c>
      <c r="J174" s="2">
        <v>21131</v>
      </c>
      <c r="K174" s="2">
        <v>23015</v>
      </c>
      <c r="L174" s="2">
        <v>19012</v>
      </c>
      <c r="M174" s="2">
        <v>19363</v>
      </c>
      <c r="N174" s="2">
        <v>23513</v>
      </c>
      <c r="O174" s="2">
        <v>25261.46</v>
      </c>
      <c r="P174" s="2">
        <v>24522.85</v>
      </c>
      <c r="Q174" s="2">
        <v>27304.48</v>
      </c>
      <c r="R174" s="2">
        <v>37438.9</v>
      </c>
      <c r="S174" s="2">
        <v>25095.59</v>
      </c>
      <c r="T174" s="2">
        <v>24868.17</v>
      </c>
      <c r="U174" s="2">
        <v>24638.32</v>
      </c>
    </row>
    <row r="175" spans="1:21" x14ac:dyDescent="0.25">
      <c r="A175" t="s">
        <v>420</v>
      </c>
      <c r="D175" s="2">
        <v>4089</v>
      </c>
      <c r="E175" s="2">
        <v>8431</v>
      </c>
      <c r="F175" s="2">
        <v>9210</v>
      </c>
      <c r="G175" s="2">
        <v>11066</v>
      </c>
      <c r="H175" s="2">
        <v>12919</v>
      </c>
      <c r="I175" s="2">
        <v>12391</v>
      </c>
      <c r="J175" s="2">
        <v>13312</v>
      </c>
      <c r="K175" s="2">
        <v>14744</v>
      </c>
      <c r="L175" s="2">
        <v>13827</v>
      </c>
      <c r="M175" s="2">
        <v>12292</v>
      </c>
      <c r="N175" s="2">
        <v>13596</v>
      </c>
      <c r="O175" s="2">
        <v>15753.65</v>
      </c>
      <c r="P175" s="2">
        <v>16642.650000000001</v>
      </c>
      <c r="Q175" s="2">
        <v>17618.37</v>
      </c>
      <c r="R175" s="2">
        <v>20696.02</v>
      </c>
      <c r="S175" s="2">
        <v>15685.51</v>
      </c>
      <c r="T175" s="2">
        <v>15999.89</v>
      </c>
      <c r="U175" s="2">
        <v>16321.35</v>
      </c>
    </row>
    <row r="176" spans="1:21" x14ac:dyDescent="0.25">
      <c r="A176" t="s">
        <v>502</v>
      </c>
      <c r="D176" s="2">
        <v>3501</v>
      </c>
      <c r="E176" s="2">
        <v>9339</v>
      </c>
      <c r="F176" s="2">
        <v>7277</v>
      </c>
      <c r="G176" s="2">
        <v>6327</v>
      </c>
      <c r="H176" s="2">
        <v>5383</v>
      </c>
      <c r="I176" s="2">
        <v>3923</v>
      </c>
      <c r="J176" s="2">
        <v>3653</v>
      </c>
      <c r="K176" s="2">
        <v>3223</v>
      </c>
      <c r="L176" s="2">
        <v>3065</v>
      </c>
      <c r="M176" s="2">
        <v>2951</v>
      </c>
      <c r="N176" s="2">
        <v>3378</v>
      </c>
      <c r="O176" s="2">
        <v>4203.58</v>
      </c>
      <c r="P176" s="2">
        <v>4173</v>
      </c>
      <c r="Q176" s="2">
        <v>4139.7</v>
      </c>
      <c r="R176" s="2">
        <v>4922.17</v>
      </c>
      <c r="S176" s="2">
        <v>4175</v>
      </c>
      <c r="T176" s="2">
        <v>4175</v>
      </c>
      <c r="U176" s="2">
        <v>4175</v>
      </c>
    </row>
    <row r="177" spans="1:21" x14ac:dyDescent="0.25">
      <c r="A177" t="s">
        <v>167</v>
      </c>
      <c r="D177" s="2">
        <v>43550</v>
      </c>
      <c r="E177" s="2">
        <v>98966</v>
      </c>
      <c r="F177" s="2">
        <v>106324</v>
      </c>
      <c r="G177" s="2">
        <v>111566</v>
      </c>
      <c r="H177" s="2">
        <v>115077</v>
      </c>
      <c r="I177" s="2">
        <v>115390</v>
      </c>
      <c r="J177" s="2">
        <v>94315</v>
      </c>
      <c r="K177" s="2">
        <v>92636</v>
      </c>
      <c r="L177" s="2">
        <v>84258</v>
      </c>
      <c r="M177" s="2">
        <v>81133</v>
      </c>
      <c r="N177" s="2">
        <v>103756</v>
      </c>
      <c r="O177" s="2">
        <v>135037.47</v>
      </c>
      <c r="P177" s="2">
        <v>146472.85</v>
      </c>
      <c r="Q177" s="2">
        <v>162149.26999999999</v>
      </c>
      <c r="R177" s="2">
        <v>170551.86</v>
      </c>
      <c r="S177" s="2">
        <v>155543.67000000001</v>
      </c>
      <c r="T177" s="2">
        <v>159286.39000000001</v>
      </c>
      <c r="U177" s="2">
        <v>162643.35</v>
      </c>
    </row>
    <row r="178" spans="1:21" x14ac:dyDescent="0.25">
      <c r="A178" t="s">
        <v>911</v>
      </c>
      <c r="D178" s="2">
        <v>1466</v>
      </c>
      <c r="E178" s="2">
        <v>19009</v>
      </c>
      <c r="F178" s="2">
        <v>17485</v>
      </c>
      <c r="G178" s="2">
        <v>2138</v>
      </c>
      <c r="H178" s="2">
        <v>3784</v>
      </c>
      <c r="I178" s="2">
        <v>8025</v>
      </c>
      <c r="J178" s="2">
        <v>-1580</v>
      </c>
      <c r="K178" s="2">
        <v>-3025</v>
      </c>
      <c r="L178" s="2">
        <v>-2132</v>
      </c>
      <c r="M178" s="2">
        <v>-1387</v>
      </c>
      <c r="N178" s="2">
        <v>-2470</v>
      </c>
      <c r="O178" s="2">
        <v>2265.4899999999998</v>
      </c>
      <c r="P178" s="2">
        <v>9054.1299999999992</v>
      </c>
      <c r="Q178" s="2">
        <v>16271.8</v>
      </c>
      <c r="R178" s="2">
        <v>31483.87</v>
      </c>
      <c r="S178" s="2">
        <v>38742.42</v>
      </c>
      <c r="T178" s="2">
        <v>72067.679999999993</v>
      </c>
      <c r="U178" s="2">
        <v>93521.9</v>
      </c>
    </row>
    <row r="179" spans="1:21" x14ac:dyDescent="0.25">
      <c r="A179" t="s">
        <v>1662</v>
      </c>
      <c r="D179">
        <v>106</v>
      </c>
      <c r="E179">
        <v>231</v>
      </c>
      <c r="F179">
        <v>384</v>
      </c>
      <c r="G179" s="2">
        <v>1196</v>
      </c>
      <c r="H179">
        <v>629</v>
      </c>
      <c r="I179">
        <v>472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21" x14ac:dyDescent="0.25">
      <c r="A180" t="s">
        <v>171</v>
      </c>
      <c r="D180" s="2">
        <v>5727</v>
      </c>
      <c r="E180" s="2">
        <v>20199</v>
      </c>
      <c r="F180" s="2">
        <v>19889</v>
      </c>
      <c r="G180" s="2">
        <v>16114</v>
      </c>
      <c r="H180" s="2">
        <v>16091</v>
      </c>
      <c r="I180" s="2">
        <v>16849</v>
      </c>
      <c r="J180" s="2">
        <v>7898</v>
      </c>
      <c r="K180" s="2">
        <v>8424</v>
      </c>
      <c r="L180" s="2">
        <v>8926</v>
      </c>
      <c r="M180" s="2">
        <v>9119</v>
      </c>
      <c r="N180" s="2">
        <v>9457</v>
      </c>
      <c r="O180" s="2">
        <v>9659.52</v>
      </c>
      <c r="P180" s="2">
        <v>10215.11</v>
      </c>
      <c r="Q180" s="2">
        <v>10847.86</v>
      </c>
      <c r="R180" s="2">
        <v>11756.3</v>
      </c>
      <c r="S180" s="2">
        <v>11675.7</v>
      </c>
      <c r="T180" s="2">
        <v>12273.45</v>
      </c>
      <c r="U180" s="2">
        <v>12890.27</v>
      </c>
    </row>
    <row r="181" spans="1:21" x14ac:dyDescent="0.25">
      <c r="A181" t="s">
        <v>1663</v>
      </c>
      <c r="D181">
        <v>0</v>
      </c>
      <c r="E181" s="2">
        <v>5766</v>
      </c>
      <c r="F181" s="2">
        <v>5766</v>
      </c>
      <c r="G181" s="2">
        <v>4823</v>
      </c>
      <c r="H181" s="2">
        <v>4729</v>
      </c>
      <c r="I181" s="2">
        <v>5074</v>
      </c>
      <c r="J181">
        <v>105</v>
      </c>
      <c r="K181">
        <v>97</v>
      </c>
      <c r="L181">
        <v>95</v>
      </c>
      <c r="M181">
        <v>95</v>
      </c>
      <c r="N181">
        <v>0</v>
      </c>
      <c r="O181">
        <v>0</v>
      </c>
      <c r="P181">
        <v>0</v>
      </c>
      <c r="R181">
        <v>0</v>
      </c>
      <c r="S181">
        <v>0</v>
      </c>
    </row>
    <row r="182" spans="1:21" x14ac:dyDescent="0.25">
      <c r="A182" t="s">
        <v>1664</v>
      </c>
      <c r="D182" s="2">
        <v>1466</v>
      </c>
      <c r="E182" s="2">
        <v>13243</v>
      </c>
      <c r="F182" s="2">
        <v>11719</v>
      </c>
      <c r="G182" s="2">
        <v>-5765</v>
      </c>
      <c r="H182" s="2">
        <v>-1574</v>
      </c>
      <c r="I182" s="2">
        <v>2951</v>
      </c>
      <c r="J182" s="2">
        <v>-1685</v>
      </c>
      <c r="K182" s="2">
        <v>-3122</v>
      </c>
      <c r="L182" s="2">
        <v>-2227</v>
      </c>
      <c r="M182" s="2">
        <v>-1482</v>
      </c>
      <c r="N182" s="2">
        <v>-2470</v>
      </c>
      <c r="O182" s="2">
        <v>1934.8</v>
      </c>
      <c r="P182" s="2">
        <v>7225.6</v>
      </c>
      <c r="Q182" s="2">
        <v>15018</v>
      </c>
      <c r="R182" s="2">
        <v>28343.200000000001</v>
      </c>
      <c r="S182" s="2">
        <v>44223</v>
      </c>
      <c r="T182" s="2">
        <v>72194.33</v>
      </c>
      <c r="U182" s="2">
        <v>90424.67</v>
      </c>
    </row>
    <row r="183" spans="1:21" x14ac:dyDescent="0.25">
      <c r="A183" t="s">
        <v>1665</v>
      </c>
      <c r="D183">
        <v>0</v>
      </c>
      <c r="E183">
        <v>752</v>
      </c>
      <c r="F183" s="2">
        <v>1440</v>
      </c>
      <c r="G183">
        <v>63</v>
      </c>
      <c r="H183">
        <v>65</v>
      </c>
      <c r="I183">
        <v>305</v>
      </c>
      <c r="J183">
        <v>0</v>
      </c>
      <c r="K183" s="2">
        <v>3813</v>
      </c>
      <c r="L183" s="2">
        <v>5900</v>
      </c>
      <c r="M183" s="2">
        <v>8502</v>
      </c>
      <c r="N183" s="2">
        <v>14533</v>
      </c>
      <c r="O183" s="2">
        <v>22402.44</v>
      </c>
      <c r="P183" s="2">
        <v>31151.02</v>
      </c>
      <c r="Q183" s="2">
        <v>41145.46</v>
      </c>
      <c r="R183" s="2">
        <v>53714.27</v>
      </c>
      <c r="S183" s="2">
        <v>61193.27</v>
      </c>
      <c r="T183" s="2">
        <v>72279.679999999993</v>
      </c>
      <c r="U183" s="2">
        <v>84187.1</v>
      </c>
    </row>
    <row r="184" spans="1:21" x14ac:dyDescent="0.25">
      <c r="A184" t="s">
        <v>1666</v>
      </c>
      <c r="D184" s="2">
        <v>-3937</v>
      </c>
      <c r="E184" s="2">
        <v>-5609</v>
      </c>
      <c r="F184" s="2">
        <v>-6860</v>
      </c>
      <c r="G184" s="2">
        <v>-21349</v>
      </c>
      <c r="H184" s="2">
        <v>-16891</v>
      </c>
      <c r="I184" s="2">
        <v>-13751</v>
      </c>
      <c r="J184" s="2">
        <v>-8188</v>
      </c>
      <c r="K184" s="2">
        <v>-6732</v>
      </c>
      <c r="L184" s="2">
        <v>-4453</v>
      </c>
      <c r="M184" s="2">
        <v>-1160</v>
      </c>
      <c r="N184" s="2">
        <v>3325</v>
      </c>
      <c r="O184" s="2">
        <v>16891.62</v>
      </c>
      <c r="P184" s="2">
        <v>32225.39</v>
      </c>
      <c r="Q184" s="2">
        <v>53207.09</v>
      </c>
      <c r="R184" s="2">
        <v>75752.22</v>
      </c>
      <c r="S184" s="2">
        <v>106156.48</v>
      </c>
      <c r="T184" s="2">
        <v>132959.62</v>
      </c>
      <c r="U184" s="2">
        <v>162480.35999999999</v>
      </c>
    </row>
    <row r="185" spans="1:21" x14ac:dyDescent="0.25">
      <c r="A185" t="s">
        <v>1667</v>
      </c>
      <c r="D185">
        <v>-324</v>
      </c>
      <c r="E185">
        <v>-595</v>
      </c>
      <c r="F185">
        <v>130</v>
      </c>
      <c r="G185">
        <v>-467</v>
      </c>
      <c r="H185">
        <v>-709</v>
      </c>
      <c r="I185">
        <v>-314</v>
      </c>
      <c r="J185">
        <v>-431</v>
      </c>
      <c r="K185" s="2">
        <v>-1001</v>
      </c>
      <c r="L185">
        <v>-800</v>
      </c>
      <c r="M185">
        <v>-939</v>
      </c>
      <c r="N185">
        <v>-719</v>
      </c>
      <c r="O185">
        <v>-658.6</v>
      </c>
      <c r="P185">
        <v>-590.4</v>
      </c>
      <c r="Q185">
        <v>-522.20000000000005</v>
      </c>
      <c r="R185">
        <v>-377.75</v>
      </c>
      <c r="S185">
        <v>-759</v>
      </c>
      <c r="T185">
        <v>-759</v>
      </c>
      <c r="U185">
        <v>-759</v>
      </c>
    </row>
    <row r="186" spans="1:21" x14ac:dyDescent="0.25">
      <c r="A186" t="s">
        <v>1668</v>
      </c>
      <c r="D186" s="2">
        <v>45122</v>
      </c>
      <c r="E186" s="2">
        <v>118206</v>
      </c>
      <c r="F186" s="2">
        <v>124193</v>
      </c>
      <c r="G186" s="2">
        <v>111820</v>
      </c>
      <c r="H186" s="2">
        <v>118861</v>
      </c>
      <c r="I186" s="2">
        <v>123415</v>
      </c>
      <c r="J186" s="2">
        <v>92735</v>
      </c>
      <c r="K186" s="2">
        <v>89611</v>
      </c>
      <c r="L186" s="2">
        <v>82126</v>
      </c>
      <c r="M186" s="2">
        <v>79746</v>
      </c>
      <c r="N186" s="2">
        <v>101286</v>
      </c>
      <c r="O186" s="2">
        <v>137594.34</v>
      </c>
      <c r="P186" s="2">
        <v>156021.70000000001</v>
      </c>
      <c r="Q186" s="2">
        <v>179828.16</v>
      </c>
      <c r="R186" s="2">
        <v>198895.06</v>
      </c>
      <c r="S186" s="2">
        <v>199766.85</v>
      </c>
      <c r="T186" s="2">
        <v>231480.78</v>
      </c>
      <c r="U186" s="2">
        <v>253067.88</v>
      </c>
    </row>
    <row r="187" spans="1:21" x14ac:dyDescent="0.25">
      <c r="A187" t="s">
        <v>17</v>
      </c>
    </row>
    <row r="188" spans="1:21" x14ac:dyDescent="0.25">
      <c r="A188" t="s">
        <v>176</v>
      </c>
    </row>
    <row r="189" spans="1:21" x14ac:dyDescent="0.25">
      <c r="A189" t="s">
        <v>177</v>
      </c>
      <c r="D189" s="2">
        <v>7309</v>
      </c>
      <c r="E189" s="2">
        <v>37941</v>
      </c>
      <c r="F189" s="2">
        <v>35742</v>
      </c>
      <c r="G189" s="2">
        <v>43845</v>
      </c>
      <c r="H189" s="2">
        <v>44546</v>
      </c>
      <c r="I189" s="2">
        <v>30939</v>
      </c>
      <c r="J189" s="2">
        <v>18484</v>
      </c>
      <c r="K189" s="2">
        <v>21871</v>
      </c>
      <c r="L189" s="2">
        <v>19457</v>
      </c>
      <c r="M189" s="2">
        <v>21692</v>
      </c>
      <c r="N189" s="2">
        <v>20702</v>
      </c>
      <c r="O189" s="2">
        <v>17296.669999999998</v>
      </c>
      <c r="P189" s="2">
        <v>8285.99</v>
      </c>
      <c r="Q189" s="2">
        <v>-5434.55</v>
      </c>
      <c r="R189" s="2">
        <v>-15390.01</v>
      </c>
      <c r="S189" s="2">
        <v>-28679.66</v>
      </c>
      <c r="T189" s="2">
        <v>-41798.14</v>
      </c>
      <c r="U189" s="2">
        <v>-56994.81</v>
      </c>
    </row>
    <row r="190" spans="1:21" x14ac:dyDescent="0.25">
      <c r="A190" t="s">
        <v>609</v>
      </c>
      <c r="H190" s="2">
        <v>52056</v>
      </c>
      <c r="I190" s="2">
        <v>47984</v>
      </c>
      <c r="J190" s="2">
        <v>26954</v>
      </c>
      <c r="K190" s="2">
        <v>29588</v>
      </c>
      <c r="L190" s="2">
        <v>25994</v>
      </c>
      <c r="M190" s="2">
        <v>24788</v>
      </c>
      <c r="N190" s="2">
        <v>31763</v>
      </c>
      <c r="O190" s="2">
        <v>33734.699999999997</v>
      </c>
      <c r="P190" s="2">
        <v>33284.21</v>
      </c>
      <c r="Q190" s="2">
        <v>36148.81</v>
      </c>
      <c r="R190" s="2">
        <v>41712.720000000001</v>
      </c>
      <c r="S190" s="2">
        <v>30653.439999999999</v>
      </c>
      <c r="T190" s="2">
        <v>33460.51</v>
      </c>
      <c r="U190" s="2">
        <v>33230.65</v>
      </c>
    </row>
    <row r="191" spans="1:21" x14ac:dyDescent="0.25">
      <c r="A191" t="s">
        <v>1669</v>
      </c>
    </row>
    <row r="192" spans="1:21" x14ac:dyDescent="0.25">
      <c r="A192" t="s">
        <v>1670</v>
      </c>
      <c r="D192">
        <v>405</v>
      </c>
      <c r="E192">
        <v>792</v>
      </c>
      <c r="F192">
        <v>794</v>
      </c>
      <c r="G192">
        <v>719</v>
      </c>
      <c r="H192">
        <v>743</v>
      </c>
      <c r="I192">
        <v>753</v>
      </c>
      <c r="J192">
        <v>757</v>
      </c>
      <c r="K192">
        <v>716</v>
      </c>
      <c r="L192">
        <v>705</v>
      </c>
      <c r="M192">
        <v>696</v>
      </c>
      <c r="N192">
        <v>652</v>
      </c>
      <c r="O192">
        <v>646.04</v>
      </c>
      <c r="P192">
        <v>637.24</v>
      </c>
      <c r="Q192">
        <v>621.88</v>
      </c>
      <c r="R192">
        <v>605.54</v>
      </c>
      <c r="S192">
        <v>586.77</v>
      </c>
      <c r="T192">
        <v>566.14</v>
      </c>
      <c r="U192">
        <v>543.13</v>
      </c>
    </row>
    <row r="193" spans="1:21" x14ac:dyDescent="0.25">
      <c r="A193" t="s">
        <v>1671</v>
      </c>
      <c r="D193" s="2">
        <v>1572</v>
      </c>
      <c r="E193" s="2">
        <v>19240</v>
      </c>
      <c r="F193" s="2">
        <v>17869</v>
      </c>
      <c r="G193">
        <v>254</v>
      </c>
      <c r="H193" s="2">
        <v>3784</v>
      </c>
      <c r="I193" s="2">
        <v>8025</v>
      </c>
      <c r="J193" s="2">
        <v>-1580</v>
      </c>
      <c r="K193" s="2">
        <v>-3025</v>
      </c>
      <c r="L193" s="2">
        <v>-2132</v>
      </c>
      <c r="M193" s="2">
        <v>-1387</v>
      </c>
      <c r="N193" s="2">
        <v>-2470</v>
      </c>
      <c r="O193" s="2">
        <v>3103.85</v>
      </c>
      <c r="P193" s="2">
        <v>10153.83</v>
      </c>
      <c r="Q193" s="2">
        <v>22951.59</v>
      </c>
      <c r="R193" s="2">
        <v>22292.66</v>
      </c>
      <c r="S193" s="2">
        <v>34959.22</v>
      </c>
      <c r="T193" s="2">
        <v>72447.820000000007</v>
      </c>
      <c r="U193" s="2">
        <v>84229.77</v>
      </c>
    </row>
    <row r="194" spans="1:21" x14ac:dyDescent="0.25">
      <c r="A194" t="s">
        <v>178</v>
      </c>
    </row>
    <row r="195" spans="1:21" x14ac:dyDescent="0.25">
      <c r="A195" t="s">
        <v>179</v>
      </c>
      <c r="E195">
        <v>-1.43</v>
      </c>
      <c r="F195">
        <v>-2.35</v>
      </c>
      <c r="G195">
        <v>-1.96</v>
      </c>
      <c r="H195">
        <v>4</v>
      </c>
      <c r="I195">
        <v>2.68</v>
      </c>
      <c r="J195">
        <v>5.15</v>
      </c>
      <c r="K195">
        <v>2.68</v>
      </c>
      <c r="L195">
        <v>3.95</v>
      </c>
      <c r="M195">
        <v>5.67</v>
      </c>
      <c r="N195">
        <v>6.56</v>
      </c>
      <c r="O195">
        <v>12.36</v>
      </c>
      <c r="P195">
        <v>11.76</v>
      </c>
      <c r="Q195">
        <v>10.64</v>
      </c>
      <c r="R195">
        <v>9.7200000000000006</v>
      </c>
      <c r="S195">
        <v>10.48</v>
      </c>
      <c r="T195">
        <v>10.63</v>
      </c>
      <c r="U195">
        <v>10.76</v>
      </c>
    </row>
    <row r="196" spans="1:21" x14ac:dyDescent="0.25">
      <c r="A196" t="s">
        <v>424</v>
      </c>
      <c r="D196">
        <v>3.88</v>
      </c>
      <c r="E196">
        <v>28.67</v>
      </c>
      <c r="F196">
        <v>21.35</v>
      </c>
      <c r="G196">
        <v>-7.85</v>
      </c>
      <c r="H196">
        <v>-1.26</v>
      </c>
      <c r="I196">
        <v>3.85</v>
      </c>
      <c r="J196">
        <v>-2.13</v>
      </c>
      <c r="K196">
        <v>-4.1500000000000004</v>
      </c>
      <c r="L196">
        <v>-3.03</v>
      </c>
      <c r="M196">
        <v>-2.06</v>
      </c>
      <c r="N196">
        <v>-3.61</v>
      </c>
      <c r="O196">
        <v>3.49</v>
      </c>
      <c r="P196">
        <v>14.2</v>
      </c>
      <c r="Q196">
        <v>29.4</v>
      </c>
      <c r="R196">
        <v>21.83</v>
      </c>
      <c r="S196">
        <v>59.98</v>
      </c>
      <c r="T196">
        <v>124.88</v>
      </c>
      <c r="U196">
        <v>149.94999999999999</v>
      </c>
    </row>
    <row r="197" spans="1:21" x14ac:dyDescent="0.25">
      <c r="A197" t="s">
        <v>17</v>
      </c>
    </row>
    <row r="198" spans="1:21" x14ac:dyDescent="0.25">
      <c r="A198" t="s">
        <v>188</v>
      </c>
    </row>
    <row r="199" spans="1:21" x14ac:dyDescent="0.25">
      <c r="A199" t="s">
        <v>189</v>
      </c>
    </row>
    <row r="200" spans="1:21" x14ac:dyDescent="0.25">
      <c r="A200" t="s">
        <v>121</v>
      </c>
      <c r="D200" s="2">
        <v>-1168</v>
      </c>
      <c r="E200" s="2">
        <v>-3074</v>
      </c>
      <c r="F200" s="2">
        <v>-2926</v>
      </c>
      <c r="G200" s="2">
        <v>-2181</v>
      </c>
      <c r="H200" s="2">
        <v>5529</v>
      </c>
      <c r="I200" s="2">
        <v>2245</v>
      </c>
      <c r="J200" s="2">
        <v>4942</v>
      </c>
      <c r="K200" s="2">
        <v>2422</v>
      </c>
      <c r="L200" s="2">
        <v>3372</v>
      </c>
      <c r="M200" s="2">
        <v>4576</v>
      </c>
      <c r="N200" s="2">
        <v>5936</v>
      </c>
      <c r="O200" s="2">
        <v>15677.28</v>
      </c>
      <c r="P200" s="2">
        <v>17934.64</v>
      </c>
      <c r="Q200" s="2">
        <v>22344.09</v>
      </c>
      <c r="R200" s="2">
        <v>24993.1</v>
      </c>
      <c r="S200" s="2">
        <v>28042.07</v>
      </c>
      <c r="T200" s="2">
        <v>29531.279999999999</v>
      </c>
      <c r="U200" s="2">
        <v>32411.200000000001</v>
      </c>
    </row>
    <row r="201" spans="1:21" x14ac:dyDescent="0.25">
      <c r="A201" t="s">
        <v>190</v>
      </c>
      <c r="D201" s="2">
        <v>2872</v>
      </c>
      <c r="E201" s="2">
        <v>4938</v>
      </c>
      <c r="F201" s="2">
        <v>8634</v>
      </c>
      <c r="G201" s="2">
        <v>7746</v>
      </c>
      <c r="H201" s="2">
        <v>6143</v>
      </c>
      <c r="I201" s="2">
        <v>3867</v>
      </c>
      <c r="J201" s="2">
        <v>3547</v>
      </c>
      <c r="K201" s="2">
        <v>3156</v>
      </c>
      <c r="L201" s="2">
        <v>3303</v>
      </c>
      <c r="M201" s="2">
        <v>3123</v>
      </c>
      <c r="N201" s="2">
        <v>3029</v>
      </c>
      <c r="O201" s="2">
        <v>2967.12</v>
      </c>
      <c r="P201" s="2">
        <v>3528.22</v>
      </c>
      <c r="Q201" s="2">
        <v>3922.66</v>
      </c>
      <c r="R201" s="2">
        <v>3546.97</v>
      </c>
      <c r="S201" s="2">
        <v>4134.28</v>
      </c>
      <c r="T201" s="2">
        <v>4468.9399999999996</v>
      </c>
      <c r="U201" s="2">
        <v>4865.54</v>
      </c>
    </row>
    <row r="202" spans="1:21" x14ac:dyDescent="0.25">
      <c r="A202" t="s">
        <v>61</v>
      </c>
      <c r="D202">
        <v>5.64</v>
      </c>
      <c r="E202">
        <v>7.94</v>
      </c>
      <c r="F202">
        <v>10.92</v>
      </c>
      <c r="G202">
        <v>9.26</v>
      </c>
      <c r="H202">
        <v>7.24</v>
      </c>
      <c r="I202">
        <v>4.46</v>
      </c>
      <c r="J202">
        <v>3.51</v>
      </c>
      <c r="K202">
        <v>3.09</v>
      </c>
      <c r="L202">
        <v>3.74</v>
      </c>
      <c r="M202">
        <v>3.27</v>
      </c>
      <c r="N202">
        <v>2.67</v>
      </c>
      <c r="O202">
        <v>1.99</v>
      </c>
      <c r="P202">
        <v>1.98</v>
      </c>
      <c r="Q202">
        <v>1.93</v>
      </c>
      <c r="R202">
        <v>2.0699999999999998</v>
      </c>
      <c r="S202">
        <v>2.04</v>
      </c>
      <c r="T202">
        <v>2.0699999999999998</v>
      </c>
      <c r="U202">
        <v>2.09</v>
      </c>
    </row>
    <row r="203" spans="1:21" x14ac:dyDescent="0.25">
      <c r="A203" t="s">
        <v>1672</v>
      </c>
      <c r="D203">
        <v>59</v>
      </c>
      <c r="E203">
        <v>268</v>
      </c>
      <c r="F203">
        <v>183</v>
      </c>
      <c r="G203">
        <v>146</v>
      </c>
    </row>
    <row r="204" spans="1:21" x14ac:dyDescent="0.25">
      <c r="A204" t="s">
        <v>402</v>
      </c>
      <c r="D204" s="2">
        <v>1969</v>
      </c>
      <c r="E204" s="2">
        <v>3681</v>
      </c>
      <c r="F204" s="2">
        <v>6980</v>
      </c>
      <c r="G204" s="2">
        <v>6138</v>
      </c>
      <c r="H204" s="2">
        <v>4408</v>
      </c>
      <c r="I204" s="2">
        <v>2133</v>
      </c>
      <c r="J204" s="2">
        <v>1641</v>
      </c>
      <c r="K204">
        <v>970</v>
      </c>
      <c r="L204">
        <v>833</v>
      </c>
      <c r="M204">
        <v>667</v>
      </c>
      <c r="N204">
        <v>497</v>
      </c>
      <c r="O204">
        <v>416.24</v>
      </c>
      <c r="P204">
        <v>445.53</v>
      </c>
      <c r="Q204">
        <v>406.6</v>
      </c>
      <c r="R204">
        <v>413.46</v>
      </c>
      <c r="S204">
        <v>258.14999999999998</v>
      </c>
      <c r="T204">
        <v>81.27</v>
      </c>
      <c r="U204">
        <v>54.89</v>
      </c>
    </row>
    <row r="205" spans="1:21" x14ac:dyDescent="0.25">
      <c r="A205" t="s">
        <v>400</v>
      </c>
      <c r="E205">
        <v>398</v>
      </c>
      <c r="F205">
        <v>835</v>
      </c>
      <c r="G205">
        <v>918</v>
      </c>
      <c r="H205" s="2">
        <v>1262</v>
      </c>
      <c r="I205">
        <v>487</v>
      </c>
      <c r="J205">
        <v>808</v>
      </c>
      <c r="K205">
        <v>931</v>
      </c>
      <c r="L205">
        <v>878</v>
      </c>
      <c r="M205">
        <v>785</v>
      </c>
      <c r="N205">
        <v>723</v>
      </c>
      <c r="O205">
        <v>638.44000000000005</v>
      </c>
      <c r="P205">
        <v>850.03</v>
      </c>
      <c r="Q205">
        <v>954.46</v>
      </c>
      <c r="R205" s="2">
        <v>1085.52</v>
      </c>
      <c r="S205" s="2">
        <v>1002.4</v>
      </c>
      <c r="T205" s="2">
        <v>1035.1099999999999</v>
      </c>
      <c r="U205" s="2">
        <v>1058.81</v>
      </c>
    </row>
    <row r="206" spans="1:21" x14ac:dyDescent="0.25">
      <c r="A206" t="s">
        <v>546</v>
      </c>
      <c r="D206">
        <v>-205</v>
      </c>
      <c r="E206" s="2">
        <v>-2052</v>
      </c>
      <c r="F206" s="2">
        <v>-2605</v>
      </c>
      <c r="G206" s="2">
        <v>-1331</v>
      </c>
      <c r="H206" s="2">
        <v>-6339</v>
      </c>
      <c r="I206">
        <v>-399</v>
      </c>
      <c r="J206">
        <v>-365</v>
      </c>
      <c r="K206">
        <v>-717</v>
      </c>
      <c r="L206">
        <v>-91</v>
      </c>
      <c r="M206">
        <v>-208</v>
      </c>
      <c r="N206">
        <v>-60</v>
      </c>
      <c r="O206">
        <v>-495.38</v>
      </c>
      <c r="P206">
        <v>-402.4</v>
      </c>
      <c r="Q206">
        <v>-335.5</v>
      </c>
      <c r="R206">
        <v>-705.62</v>
      </c>
      <c r="S206">
        <v>45</v>
      </c>
      <c r="T206">
        <v>45</v>
      </c>
      <c r="U206">
        <v>45</v>
      </c>
    </row>
    <row r="207" spans="1:21" x14ac:dyDescent="0.25">
      <c r="A207" t="s">
        <v>212</v>
      </c>
      <c r="D207">
        <v>178</v>
      </c>
      <c r="E207">
        <v>173</v>
      </c>
      <c r="F207">
        <v>590</v>
      </c>
      <c r="G207">
        <v>394</v>
      </c>
      <c r="H207">
        <v>938</v>
      </c>
      <c r="I207" s="2">
        <v>4035</v>
      </c>
      <c r="J207" s="2">
        <v>1053</v>
      </c>
      <c r="K207">
        <v>961</v>
      </c>
      <c r="L207">
        <v>609</v>
      </c>
      <c r="M207">
        <v>453</v>
      </c>
      <c r="N207">
        <v>714</v>
      </c>
      <c r="O207" s="2">
        <v>-1623.49</v>
      </c>
      <c r="P207">
        <v>517.74</v>
      </c>
      <c r="Q207">
        <v>-391.5</v>
      </c>
      <c r="R207" s="2">
        <v>-2710.77</v>
      </c>
      <c r="S207" s="2">
        <v>-1271</v>
      </c>
      <c r="T207" s="2">
        <v>-1271</v>
      </c>
      <c r="U207" s="2">
        <v>-1271</v>
      </c>
    </row>
    <row r="208" spans="1:21" x14ac:dyDescent="0.25">
      <c r="A208" t="s">
        <v>338</v>
      </c>
      <c r="D208">
        <v>119</v>
      </c>
      <c r="E208" s="2">
        <v>1845</v>
      </c>
      <c r="F208" s="2">
        <v>2151</v>
      </c>
      <c r="G208" s="2">
        <v>1083</v>
      </c>
      <c r="H208" s="2">
        <v>1758</v>
      </c>
      <c r="I208" s="2">
        <v>1390</v>
      </c>
      <c r="J208" s="2">
        <v>1922</v>
      </c>
      <c r="K208" s="2">
        <v>-3188</v>
      </c>
      <c r="L208">
        <v>605</v>
      </c>
      <c r="M208" s="2">
        <v>-4208</v>
      </c>
      <c r="N208">
        <v>843</v>
      </c>
      <c r="O208" s="2">
        <v>2209.3000000000002</v>
      </c>
      <c r="P208" s="2">
        <v>2914.43</v>
      </c>
      <c r="Q208" s="2">
        <v>2764.6</v>
      </c>
      <c r="R208" s="2">
        <v>1406.14</v>
      </c>
      <c r="S208">
        <v>424.54</v>
      </c>
      <c r="T208">
        <v>440.74</v>
      </c>
      <c r="U208">
        <v>255.17</v>
      </c>
    </row>
    <row r="209" spans="1:21" x14ac:dyDescent="0.25">
      <c r="A209" t="s">
        <v>141</v>
      </c>
      <c r="D209">
        <v>187</v>
      </c>
      <c r="E209" s="2">
        <v>-1935</v>
      </c>
      <c r="F209" s="2">
        <v>-1590</v>
      </c>
      <c r="G209" s="2">
        <v>-1104</v>
      </c>
      <c r="H209">
        <v>-286</v>
      </c>
      <c r="I209">
        <v>-396</v>
      </c>
      <c r="J209" s="2">
        <v>-2193</v>
      </c>
      <c r="K209">
        <v>113</v>
      </c>
      <c r="L209" s="2">
        <v>2977</v>
      </c>
      <c r="M209" s="2">
        <v>-1295</v>
      </c>
      <c r="N209" s="2">
        <v>-7022</v>
      </c>
      <c r="O209" s="2">
        <v>-6938.63</v>
      </c>
      <c r="P209" s="2">
        <v>-4457.49</v>
      </c>
      <c r="Q209" s="2">
        <v>-3826.66</v>
      </c>
      <c r="R209" s="2">
        <v>-2778.9</v>
      </c>
      <c r="S209" s="2">
        <v>-2242.5700000000002</v>
      </c>
      <c r="T209" s="2">
        <v>-1233.77</v>
      </c>
      <c r="U209" s="2">
        <v>-1851.65</v>
      </c>
    </row>
    <row r="210" spans="1:21" x14ac:dyDescent="0.25">
      <c r="A210" t="s">
        <v>1673</v>
      </c>
      <c r="J210">
        <v>-241</v>
      </c>
      <c r="K210">
        <v>-461</v>
      </c>
      <c r="L210">
        <v>309</v>
      </c>
      <c r="M210">
        <v>-951</v>
      </c>
      <c r="N210" s="2">
        <v>-2740</v>
      </c>
      <c r="O210" s="2">
        <v>-5331.18</v>
      </c>
      <c r="P210" s="2">
        <v>-3548.62</v>
      </c>
      <c r="Q210" s="2">
        <v>-3535.9</v>
      </c>
      <c r="R210" s="2">
        <v>-2124.27</v>
      </c>
      <c r="S210">
        <v>-339.29</v>
      </c>
      <c r="T210">
        <v>-340.36</v>
      </c>
      <c r="U210">
        <v>-340.68</v>
      </c>
    </row>
    <row r="211" spans="1:21" x14ac:dyDescent="0.25">
      <c r="A211" t="s">
        <v>340</v>
      </c>
      <c r="D211">
        <v>-5</v>
      </c>
      <c r="E211" s="2">
        <v>1076</v>
      </c>
      <c r="F211">
        <v>-325</v>
      </c>
      <c r="G211" s="2">
        <v>-1445</v>
      </c>
      <c r="H211">
        <v>311</v>
      </c>
      <c r="I211">
        <v>-243</v>
      </c>
      <c r="J211" s="2">
        <v>-2514</v>
      </c>
      <c r="K211">
        <v>875</v>
      </c>
      <c r="L211">
        <v>975</v>
      </c>
      <c r="M211" s="2">
        <v>-3515</v>
      </c>
      <c r="N211" s="2">
        <v>-3987</v>
      </c>
      <c r="O211" s="2">
        <v>-10643.54</v>
      </c>
      <c r="P211" s="2">
        <v>-5061.1400000000003</v>
      </c>
      <c r="Q211" s="2">
        <v>-4060.23</v>
      </c>
      <c r="R211" s="2">
        <v>-3062.43</v>
      </c>
      <c r="S211" s="2">
        <v>-2026.31</v>
      </c>
      <c r="T211" s="2">
        <v>-1140.08</v>
      </c>
      <c r="U211" s="2">
        <v>-1797.88</v>
      </c>
    </row>
    <row r="212" spans="1:21" x14ac:dyDescent="0.25">
      <c r="A212" t="s">
        <v>158</v>
      </c>
      <c r="D212">
        <v>-374</v>
      </c>
      <c r="E212">
        <v>751</v>
      </c>
      <c r="F212" s="2">
        <v>3779</v>
      </c>
      <c r="G212">
        <v>952</v>
      </c>
      <c r="H212">
        <v>894</v>
      </c>
      <c r="I212" s="2">
        <v>1598</v>
      </c>
      <c r="J212" s="2">
        <v>5742</v>
      </c>
      <c r="K212" s="2">
        <v>-8546</v>
      </c>
      <c r="L212">
        <v>-498</v>
      </c>
      <c r="M212" s="2">
        <v>1703</v>
      </c>
      <c r="N212" s="2">
        <v>12665</v>
      </c>
      <c r="O212" s="2">
        <v>16592.96</v>
      </c>
      <c r="P212" s="2">
        <v>28717.95</v>
      </c>
      <c r="Q212" s="2">
        <v>10136.02</v>
      </c>
      <c r="R212" s="2">
        <v>7320.81</v>
      </c>
      <c r="S212" s="2">
        <v>4318.18</v>
      </c>
      <c r="T212" s="2">
        <v>1561.27</v>
      </c>
      <c r="U212" s="2">
        <v>2948.12</v>
      </c>
    </row>
    <row r="213" spans="1:21" x14ac:dyDescent="0.25">
      <c r="A213" t="s">
        <v>760</v>
      </c>
      <c r="D213">
        <v>-207</v>
      </c>
      <c r="E213">
        <v>654</v>
      </c>
      <c r="F213">
        <v>587</v>
      </c>
      <c r="G213" s="2">
        <v>1098</v>
      </c>
      <c r="H213">
        <v>-124</v>
      </c>
      <c r="O213" s="2">
        <v>-2026</v>
      </c>
    </row>
    <row r="214" spans="1:21" x14ac:dyDescent="0.25">
      <c r="A214" t="s">
        <v>161</v>
      </c>
      <c r="D214">
        <v>867</v>
      </c>
      <c r="E214" s="2">
        <v>1933</v>
      </c>
      <c r="F214" s="2">
        <v>2748</v>
      </c>
      <c r="G214" s="2">
        <v>3418</v>
      </c>
      <c r="H214" s="2">
        <v>3727</v>
      </c>
      <c r="I214" s="2">
        <v>2815</v>
      </c>
      <c r="J214" s="2">
        <v>2597</v>
      </c>
      <c r="K214" s="2">
        <v>3209</v>
      </c>
      <c r="L214" s="2">
        <v>-1022</v>
      </c>
      <c r="M214" s="2">
        <v>-2497</v>
      </c>
      <c r="N214">
        <v>-39</v>
      </c>
      <c r="O214" s="2">
        <v>2492.5700000000002</v>
      </c>
      <c r="P214" s="2">
        <v>2679.15</v>
      </c>
      <c r="Q214" s="2">
        <v>3797.98</v>
      </c>
      <c r="R214">
        <v>894.96</v>
      </c>
      <c r="S214">
        <v>915.92</v>
      </c>
      <c r="T214">
        <v>936.96</v>
      </c>
      <c r="U214">
        <v>958.05</v>
      </c>
    </row>
    <row r="215" spans="1:21" x14ac:dyDescent="0.25">
      <c r="A215" t="s">
        <v>514</v>
      </c>
      <c r="H215" s="2">
        <v>-1559</v>
      </c>
      <c r="I215" s="2">
        <v>-1656</v>
      </c>
      <c r="J215" s="2">
        <v>-1469</v>
      </c>
      <c r="K215" s="2">
        <v>1622</v>
      </c>
      <c r="L215" s="2">
        <v>-2136</v>
      </c>
      <c r="M215" s="2">
        <v>2347</v>
      </c>
      <c r="N215" s="2">
        <v>1966</v>
      </c>
      <c r="O215">
        <v>-518.5</v>
      </c>
      <c r="P215" s="2">
        <v>5352.68</v>
      </c>
      <c r="Q215" s="2">
        <v>1195.6199999999999</v>
      </c>
      <c r="R215">
        <v>-553.48</v>
      </c>
    </row>
    <row r="216" spans="1:21" x14ac:dyDescent="0.25">
      <c r="A216" t="s">
        <v>204</v>
      </c>
      <c r="D216" s="2">
        <v>2162</v>
      </c>
      <c r="E216" s="2">
        <v>2367</v>
      </c>
      <c r="F216" s="2">
        <v>6843</v>
      </c>
      <c r="G216" s="2">
        <v>6991</v>
      </c>
      <c r="H216" s="2">
        <v>9291</v>
      </c>
      <c r="I216" s="2">
        <v>11407</v>
      </c>
      <c r="J216" s="2">
        <v>10307</v>
      </c>
      <c r="K216" s="2">
        <v>3565</v>
      </c>
      <c r="L216" s="2">
        <v>8676</v>
      </c>
      <c r="M216" s="2">
        <v>4521</v>
      </c>
      <c r="N216" s="2">
        <v>11185</v>
      </c>
      <c r="O216" s="2">
        <v>19381.439999999999</v>
      </c>
      <c r="P216" s="2">
        <v>24969.58</v>
      </c>
      <c r="Q216" s="2">
        <v>29413.82</v>
      </c>
      <c r="R216" s="2">
        <v>30201.59</v>
      </c>
      <c r="S216" s="2">
        <v>33203.81</v>
      </c>
      <c r="T216" s="2">
        <v>34211.82</v>
      </c>
      <c r="U216" s="2">
        <v>37637.050000000003</v>
      </c>
    </row>
    <row r="217" spans="1:21" x14ac:dyDescent="0.25">
      <c r="A217" t="s">
        <v>17</v>
      </c>
    </row>
    <row r="218" spans="1:21" x14ac:dyDescent="0.25">
      <c r="A218" t="s">
        <v>205</v>
      </c>
    </row>
    <row r="219" spans="1:21" x14ac:dyDescent="0.25">
      <c r="A219" t="s">
        <v>206</v>
      </c>
      <c r="D219">
        <v>-482</v>
      </c>
      <c r="E219">
        <v>-699</v>
      </c>
      <c r="F219" s="2">
        <v>-1212</v>
      </c>
      <c r="G219" s="2">
        <v>-1158</v>
      </c>
      <c r="H219" s="2">
        <v>-2576</v>
      </c>
      <c r="I219" s="2">
        <v>-2082</v>
      </c>
      <c r="J219" s="2">
        <v>-2796</v>
      </c>
      <c r="K219" s="2">
        <v>-3003</v>
      </c>
      <c r="L219" s="2">
        <v>-2756</v>
      </c>
      <c r="M219" s="2">
        <v>-2652</v>
      </c>
      <c r="N219" s="2">
        <v>-2633</v>
      </c>
      <c r="O219" s="2">
        <v>-4503.1000000000004</v>
      </c>
      <c r="P219" s="2">
        <v>-4851.1899999999996</v>
      </c>
      <c r="Q219" s="2">
        <v>-5180.6499999999996</v>
      </c>
      <c r="R219" s="2">
        <v>-5793.17</v>
      </c>
      <c r="S219" s="2">
        <v>-6321.75</v>
      </c>
      <c r="T219" s="2">
        <v>-6761.67</v>
      </c>
      <c r="U219" s="2">
        <v>-7121</v>
      </c>
    </row>
    <row r="220" spans="1:21" x14ac:dyDescent="0.25">
      <c r="A220" t="s">
        <v>61</v>
      </c>
      <c r="D220">
        <v>0.95</v>
      </c>
      <c r="E220">
        <v>1.1200000000000001</v>
      </c>
      <c r="F220">
        <v>1.53</v>
      </c>
      <c r="G220">
        <v>1.38</v>
      </c>
      <c r="H220">
        <v>3.04</v>
      </c>
      <c r="I220">
        <v>2.4</v>
      </c>
      <c r="J220">
        <v>2.76</v>
      </c>
      <c r="K220">
        <v>2.94</v>
      </c>
      <c r="L220">
        <v>3.12</v>
      </c>
      <c r="M220">
        <v>2.78</v>
      </c>
      <c r="N220">
        <v>2.3199999999999998</v>
      </c>
      <c r="O220">
        <v>2.39</v>
      </c>
      <c r="P220">
        <v>2.1</v>
      </c>
      <c r="Q220">
        <v>2.0499999999999998</v>
      </c>
      <c r="R220">
        <v>2.15</v>
      </c>
      <c r="S220">
        <v>2.15</v>
      </c>
      <c r="T220">
        <v>2.15</v>
      </c>
      <c r="U220">
        <v>2.15</v>
      </c>
    </row>
    <row r="221" spans="1:21" x14ac:dyDescent="0.25">
      <c r="A221" t="s">
        <v>431</v>
      </c>
      <c r="D221">
        <v>-27</v>
      </c>
      <c r="E221">
        <v>-778</v>
      </c>
      <c r="F221" s="2">
        <v>-4389</v>
      </c>
      <c r="G221">
        <v>-925</v>
      </c>
      <c r="H221">
        <v>-181</v>
      </c>
      <c r="I221">
        <v>-338</v>
      </c>
      <c r="J221">
        <v>-414</v>
      </c>
      <c r="K221">
        <v>-108</v>
      </c>
      <c r="L221">
        <v>-172</v>
      </c>
      <c r="M221">
        <v>-125</v>
      </c>
      <c r="N221">
        <v>-197</v>
      </c>
      <c r="O221">
        <v>-335</v>
      </c>
      <c r="P221">
        <v>-167.5</v>
      </c>
      <c r="Q221">
        <v>-335</v>
      </c>
      <c r="R221">
        <v>-335</v>
      </c>
      <c r="S221">
        <v>-335</v>
      </c>
      <c r="T221">
        <v>-335</v>
      </c>
      <c r="U221">
        <v>-335</v>
      </c>
    </row>
    <row r="222" spans="1:21" x14ac:dyDescent="0.25">
      <c r="A222" t="s">
        <v>1674</v>
      </c>
      <c r="D222">
        <v>7</v>
      </c>
      <c r="E222" s="2">
        <v>1173</v>
      </c>
      <c r="F222" s="2">
        <v>3878</v>
      </c>
      <c r="G222" s="2">
        <v>6612</v>
      </c>
      <c r="H222">
        <v>497</v>
      </c>
      <c r="I222">
        <v>169</v>
      </c>
      <c r="J222">
        <v>513</v>
      </c>
      <c r="K222">
        <v>116</v>
      </c>
      <c r="L222">
        <v>226</v>
      </c>
      <c r="M222">
        <v>382</v>
      </c>
      <c r="N222">
        <v>246</v>
      </c>
      <c r="O222">
        <v>90</v>
      </c>
      <c r="P222">
        <v>45</v>
      </c>
      <c r="Q222">
        <v>90</v>
      </c>
      <c r="R222">
        <v>90</v>
      </c>
      <c r="S222">
        <v>90</v>
      </c>
      <c r="T222">
        <v>90</v>
      </c>
      <c r="U222">
        <v>90</v>
      </c>
    </row>
    <row r="223" spans="1:21" x14ac:dyDescent="0.25">
      <c r="A223" t="s">
        <v>1675</v>
      </c>
      <c r="D223">
        <v>0</v>
      </c>
      <c r="E223">
        <v>-207</v>
      </c>
      <c r="F223">
        <v>-369</v>
      </c>
      <c r="G223">
        <v>-339</v>
      </c>
      <c r="H223">
        <v>-335</v>
      </c>
    </row>
    <row r="224" spans="1:21" x14ac:dyDescent="0.25">
      <c r="A224" t="s">
        <v>1676</v>
      </c>
      <c r="D224">
        <v>0</v>
      </c>
      <c r="E224" s="2">
        <v>-37609</v>
      </c>
      <c r="F224">
        <v>-658</v>
      </c>
      <c r="G224">
        <v>-912</v>
      </c>
      <c r="H224" s="2">
        <v>-2463</v>
      </c>
      <c r="I224">
        <v>-424</v>
      </c>
      <c r="J224">
        <v>-16</v>
      </c>
      <c r="K224">
        <v>-70</v>
      </c>
      <c r="L224">
        <v>-126</v>
      </c>
      <c r="M224">
        <v>0</v>
      </c>
      <c r="N224">
        <v>-84</v>
      </c>
    </row>
    <row r="225" spans="1:21" x14ac:dyDescent="0.25">
      <c r="A225" t="s">
        <v>1677</v>
      </c>
      <c r="D225">
        <v>8</v>
      </c>
      <c r="E225" s="2">
        <v>6873</v>
      </c>
      <c r="F225">
        <v>0</v>
      </c>
      <c r="G225">
        <v>142</v>
      </c>
      <c r="H225">
        <v>-3</v>
      </c>
      <c r="I225" s="2">
        <v>2187</v>
      </c>
      <c r="J225" s="2">
        <v>3957</v>
      </c>
      <c r="K225">
        <v>0</v>
      </c>
      <c r="L225">
        <v>0</v>
      </c>
      <c r="M225">
        <v>0</v>
      </c>
      <c r="N225">
        <v>533</v>
      </c>
    </row>
    <row r="226" spans="1:21" x14ac:dyDescent="0.25">
      <c r="A226" t="s">
        <v>212</v>
      </c>
      <c r="D226">
        <v>85</v>
      </c>
      <c r="E226">
        <v>-13</v>
      </c>
      <c r="F226">
        <v>-125</v>
      </c>
      <c r="G226">
        <v>-31</v>
      </c>
      <c r="H226">
        <v>40</v>
      </c>
      <c r="I226">
        <v>28</v>
      </c>
      <c r="J226">
        <v>62</v>
      </c>
      <c r="K226">
        <v>41</v>
      </c>
      <c r="L226">
        <v>45</v>
      </c>
      <c r="M226">
        <v>180</v>
      </c>
      <c r="N226">
        <v>80</v>
      </c>
      <c r="O226">
        <v>43</v>
      </c>
      <c r="P226">
        <v>14.33</v>
      </c>
      <c r="Q226">
        <v>21.5</v>
      </c>
      <c r="R226">
        <v>43</v>
      </c>
      <c r="S226">
        <v>43</v>
      </c>
      <c r="T226">
        <v>43</v>
      </c>
      <c r="U226">
        <v>43</v>
      </c>
    </row>
    <row r="227" spans="1:21" x14ac:dyDescent="0.25">
      <c r="A227" t="s">
        <v>213</v>
      </c>
      <c r="D227">
        <v>-321</v>
      </c>
      <c r="E227" s="2">
        <v>-31236</v>
      </c>
      <c r="F227" s="2">
        <v>-2875</v>
      </c>
      <c r="G227" s="2">
        <v>3389</v>
      </c>
      <c r="H227" s="2">
        <v>-4686</v>
      </c>
      <c r="I227">
        <v>-460</v>
      </c>
      <c r="J227" s="2">
        <v>1306</v>
      </c>
      <c r="K227" s="2">
        <v>-3024</v>
      </c>
      <c r="L227" s="2">
        <v>-2783</v>
      </c>
      <c r="M227" s="2">
        <v>-2215</v>
      </c>
      <c r="N227" s="2">
        <v>-2055</v>
      </c>
      <c r="O227" s="2">
        <v>-4601.7</v>
      </c>
      <c r="P227" s="2">
        <v>-4774.4799999999996</v>
      </c>
      <c r="Q227" s="2">
        <v>-3449.36</v>
      </c>
      <c r="R227" s="2">
        <v>-5454.11</v>
      </c>
      <c r="S227" s="2">
        <v>-6645.57</v>
      </c>
      <c r="T227" s="2">
        <v>-6829.1</v>
      </c>
      <c r="U227" s="2">
        <v>-7188.17</v>
      </c>
    </row>
    <row r="228" spans="1:21" x14ac:dyDescent="0.25">
      <c r="A228" t="s">
        <v>17</v>
      </c>
    </row>
    <row r="229" spans="1:21" x14ac:dyDescent="0.25">
      <c r="A229" t="s">
        <v>214</v>
      </c>
    </row>
    <row r="230" spans="1:21" x14ac:dyDescent="0.25">
      <c r="A230" t="s">
        <v>347</v>
      </c>
      <c r="D230">
        <v>0</v>
      </c>
      <c r="E230">
        <v>0</v>
      </c>
      <c r="F230">
        <v>0</v>
      </c>
      <c r="G230" s="2">
        <v>-2134</v>
      </c>
      <c r="H230">
        <v>0</v>
      </c>
      <c r="I230">
        <v>0</v>
      </c>
      <c r="J230" s="2">
        <v>-2240</v>
      </c>
      <c r="K230">
        <v>-964</v>
      </c>
      <c r="L230" s="2">
        <v>-1072</v>
      </c>
      <c r="M230" s="2">
        <v>-1275</v>
      </c>
      <c r="N230" s="2">
        <v>-1459</v>
      </c>
      <c r="O230" s="2">
        <v>-1607.22</v>
      </c>
      <c r="P230" s="2">
        <v>-1772.71</v>
      </c>
      <c r="Q230" s="2">
        <v>-2018.01</v>
      </c>
      <c r="R230" s="2">
        <v>-2263.9899999999998</v>
      </c>
      <c r="S230" s="2">
        <v>-2531.52</v>
      </c>
      <c r="T230" s="2">
        <v>-2728.14</v>
      </c>
      <c r="U230" s="2">
        <v>-2890.46</v>
      </c>
    </row>
    <row r="231" spans="1:21" x14ac:dyDescent="0.25">
      <c r="A231" t="s">
        <v>215</v>
      </c>
      <c r="D231">
        <v>2</v>
      </c>
      <c r="E231" s="2">
        <v>4586</v>
      </c>
      <c r="F231">
        <v>132</v>
      </c>
      <c r="G231">
        <v>805</v>
      </c>
      <c r="H231">
        <v>658</v>
      </c>
      <c r="I231">
        <v>452</v>
      </c>
      <c r="J231">
        <v>334</v>
      </c>
      <c r="K231">
        <v>5</v>
      </c>
      <c r="L231">
        <v>10</v>
      </c>
      <c r="M231">
        <v>1</v>
      </c>
      <c r="N231">
        <v>5</v>
      </c>
      <c r="O231">
        <v>27</v>
      </c>
      <c r="P231">
        <v>53</v>
      </c>
      <c r="Q231">
        <v>6</v>
      </c>
      <c r="R231">
        <v>6</v>
      </c>
      <c r="S231">
        <v>6</v>
      </c>
      <c r="T231">
        <v>6</v>
      </c>
      <c r="U231">
        <v>6</v>
      </c>
    </row>
    <row r="232" spans="1:21" x14ac:dyDescent="0.25">
      <c r="A232" t="s">
        <v>1678</v>
      </c>
      <c r="D232" s="2">
        <v>-5950</v>
      </c>
      <c r="E232" s="2">
        <v>-16960</v>
      </c>
      <c r="F232" s="2">
        <v>-12258</v>
      </c>
      <c r="G232" s="2">
        <v>-11451</v>
      </c>
      <c r="H232" s="2">
        <v>-22117</v>
      </c>
      <c r="I232" s="2">
        <v>-20919</v>
      </c>
      <c r="J232" s="2">
        <v>-26723</v>
      </c>
      <c r="K232" s="2">
        <v>-9825</v>
      </c>
      <c r="L232" s="2">
        <v>-11246</v>
      </c>
      <c r="M232" s="2">
        <v>-10570</v>
      </c>
      <c r="N232" s="2">
        <v>-8522</v>
      </c>
      <c r="O232" s="2">
        <v>-5451.18</v>
      </c>
      <c r="P232" s="2">
        <v>-4816.53</v>
      </c>
      <c r="Q232" s="2">
        <v>-4846.49</v>
      </c>
      <c r="R232" s="2">
        <v>-9277.5499999999993</v>
      </c>
      <c r="S232" s="2">
        <v>-1381.5</v>
      </c>
      <c r="T232" s="2">
        <v>-1753.5</v>
      </c>
      <c r="U232" s="2">
        <v>-1753.5</v>
      </c>
    </row>
    <row r="233" spans="1:21" x14ac:dyDescent="0.25">
      <c r="A233" t="s">
        <v>1679</v>
      </c>
      <c r="D233">
        <v>-490</v>
      </c>
      <c r="E233" s="2">
        <v>29897</v>
      </c>
      <c r="F233" s="2">
        <v>2157</v>
      </c>
      <c r="G233" s="2">
        <v>1594</v>
      </c>
      <c r="H233" s="2">
        <v>-1636</v>
      </c>
      <c r="I233" s="2">
        <v>-4528</v>
      </c>
      <c r="J233" s="2">
        <v>-6298</v>
      </c>
      <c r="K233" s="2">
        <v>2654</v>
      </c>
      <c r="L233" s="2">
        <v>-3471</v>
      </c>
      <c r="M233" s="2">
        <v>-1312</v>
      </c>
      <c r="N233" s="2">
        <v>6482</v>
      </c>
      <c r="O233" s="2">
        <v>2688.33</v>
      </c>
      <c r="P233">
        <v>-624.19000000000005</v>
      </c>
      <c r="Q233">
        <v>-658.93</v>
      </c>
      <c r="R233">
        <v>-319.68</v>
      </c>
      <c r="S233">
        <v>-322.08999999999997</v>
      </c>
      <c r="T233">
        <v>-325.13</v>
      </c>
      <c r="U233">
        <v>-328.78</v>
      </c>
    </row>
    <row r="234" spans="1:21" x14ac:dyDescent="0.25">
      <c r="A234" t="s">
        <v>1680</v>
      </c>
      <c r="D234" s="2">
        <v>5460</v>
      </c>
      <c r="E234" s="2">
        <v>46857</v>
      </c>
      <c r="F234" s="2">
        <v>14415</v>
      </c>
      <c r="G234" s="2">
        <v>13045</v>
      </c>
      <c r="H234" s="2">
        <v>20481</v>
      </c>
      <c r="I234" s="2">
        <v>16391</v>
      </c>
      <c r="J234" s="2">
        <v>20425</v>
      </c>
      <c r="K234" s="2">
        <v>12479</v>
      </c>
      <c r="L234" s="2">
        <v>7775</v>
      </c>
      <c r="M234" s="2">
        <v>9258</v>
      </c>
      <c r="N234" s="2">
        <v>15004</v>
      </c>
      <c r="O234" s="2">
        <v>7519.2</v>
      </c>
      <c r="P234" s="2">
        <v>4692.8100000000004</v>
      </c>
      <c r="Q234" s="2">
        <v>19363.09</v>
      </c>
      <c r="R234" s="2">
        <v>19537.12</v>
      </c>
      <c r="S234" s="2">
        <v>2118.81</v>
      </c>
      <c r="T234" s="2">
        <v>2856.75</v>
      </c>
      <c r="U234" s="2">
        <v>2849.44</v>
      </c>
    </row>
    <row r="235" spans="1:21" x14ac:dyDescent="0.25">
      <c r="A235" t="s">
        <v>522</v>
      </c>
      <c r="D235">
        <v>-8</v>
      </c>
      <c r="E235" s="2">
        <v>-1283</v>
      </c>
      <c r="F235">
        <v>-54</v>
      </c>
      <c r="G235">
        <v>-151</v>
      </c>
      <c r="H235">
        <v>-71</v>
      </c>
      <c r="I235">
        <v>-270</v>
      </c>
      <c r="J235" s="2">
        <v>-6567</v>
      </c>
      <c r="K235">
        <v>-39</v>
      </c>
      <c r="L235">
        <v>-109</v>
      </c>
      <c r="M235">
        <v>-64</v>
      </c>
      <c r="N235">
        <v>-88</v>
      </c>
      <c r="O235">
        <v>63</v>
      </c>
      <c r="P235">
        <v>412.67</v>
      </c>
      <c r="Q235">
        <v>424.33</v>
      </c>
      <c r="R235">
        <v>514.04</v>
      </c>
      <c r="S235">
        <v>-2</v>
      </c>
      <c r="T235">
        <v>-2</v>
      </c>
      <c r="U235">
        <v>-2</v>
      </c>
    </row>
    <row r="236" spans="1:21" x14ac:dyDescent="0.25">
      <c r="A236" t="s">
        <v>218</v>
      </c>
      <c r="D236">
        <v>-496</v>
      </c>
      <c r="E236" s="2">
        <v>31785</v>
      </c>
      <c r="F236">
        <v>403</v>
      </c>
      <c r="G236" s="2">
        <v>-14329</v>
      </c>
      <c r="H236" s="2">
        <v>-4604</v>
      </c>
      <c r="I236" s="2">
        <v>-5950</v>
      </c>
      <c r="J236" s="2">
        <v>-16609</v>
      </c>
      <c r="K236" s="2">
        <v>-1625</v>
      </c>
      <c r="L236" s="2">
        <v>-7094</v>
      </c>
      <c r="M236" s="2">
        <v>-5815</v>
      </c>
      <c r="N236" s="2">
        <v>-1464</v>
      </c>
      <c r="O236" s="2">
        <v>-8926.2800000000007</v>
      </c>
      <c r="P236" s="2">
        <v>-11550.78</v>
      </c>
      <c r="Q236" s="2">
        <v>-9447.69</v>
      </c>
      <c r="R236" s="2">
        <v>-10631.21</v>
      </c>
      <c r="S236" s="2">
        <v>-13482.31</v>
      </c>
      <c r="T236" s="2">
        <v>-14479.99</v>
      </c>
      <c r="U236" s="2">
        <v>-15470.39</v>
      </c>
    </row>
    <row r="237" spans="1:21" x14ac:dyDescent="0.25">
      <c r="A237" t="s">
        <v>17</v>
      </c>
    </row>
    <row r="238" spans="1:21" x14ac:dyDescent="0.25">
      <c r="A238" t="s">
        <v>176</v>
      </c>
    </row>
    <row r="239" spans="1:21" x14ac:dyDescent="0.25">
      <c r="A239" t="s">
        <v>1681</v>
      </c>
      <c r="D239">
        <v>557.29999999999995</v>
      </c>
      <c r="E239" s="2">
        <v>-3830</v>
      </c>
      <c r="F239">
        <v>591.99</v>
      </c>
      <c r="G239">
        <v>-805</v>
      </c>
      <c r="I239" s="2">
        <v>1156.52</v>
      </c>
      <c r="J239" s="2">
        <v>1092.46</v>
      </c>
      <c r="K239" s="2">
        <v>3763.88</v>
      </c>
      <c r="L239" s="2">
        <v>3142.6</v>
      </c>
      <c r="M239" s="2">
        <v>3855.9</v>
      </c>
      <c r="N239" s="2">
        <v>7443.5</v>
      </c>
      <c r="O239" s="2">
        <v>10569.65</v>
      </c>
      <c r="P239" s="2">
        <v>9092.43</v>
      </c>
      <c r="Q239" s="2">
        <v>10659.33</v>
      </c>
      <c r="R239" s="2">
        <v>17713.39</v>
      </c>
    </row>
    <row r="240" spans="1:21" x14ac:dyDescent="0.25">
      <c r="A240" t="s">
        <v>1682</v>
      </c>
      <c r="D240">
        <v>559.29999999999995</v>
      </c>
      <c r="E240">
        <v>756</v>
      </c>
      <c r="F240">
        <v>723.99</v>
      </c>
      <c r="G240">
        <v>0</v>
      </c>
      <c r="I240" s="2">
        <v>1363</v>
      </c>
      <c r="J240" s="2">
        <v>1175</v>
      </c>
      <c r="K240" s="2">
        <v>2800</v>
      </c>
      <c r="L240" s="2">
        <v>2087</v>
      </c>
      <c r="M240" s="2">
        <v>2602</v>
      </c>
      <c r="N240" s="2">
        <v>6031</v>
      </c>
      <c r="O240" s="2">
        <v>8754.57</v>
      </c>
      <c r="P240" s="2">
        <v>6995.25</v>
      </c>
      <c r="Q240" s="2">
        <v>7766.73</v>
      </c>
      <c r="R240" s="2">
        <v>7360.34</v>
      </c>
      <c r="S240" s="2">
        <v>10291.91</v>
      </c>
      <c r="T240" s="2">
        <v>11086.4</v>
      </c>
      <c r="U240" s="2">
        <v>11907.42</v>
      </c>
    </row>
    <row r="241" spans="1:21" x14ac:dyDescent="0.25">
      <c r="A241" t="s">
        <v>1683</v>
      </c>
      <c r="D241">
        <v>0</v>
      </c>
      <c r="E241">
        <v>0</v>
      </c>
      <c r="F241">
        <v>0</v>
      </c>
      <c r="G241" s="2">
        <v>-2134</v>
      </c>
      <c r="H241">
        <v>0</v>
      </c>
      <c r="I241">
        <v>0</v>
      </c>
      <c r="J241" s="2">
        <v>-2240</v>
      </c>
      <c r="K241">
        <v>-964</v>
      </c>
      <c r="L241" s="2">
        <v>-1072</v>
      </c>
      <c r="M241" s="2">
        <v>-1275</v>
      </c>
      <c r="N241" s="2">
        <v>-1459</v>
      </c>
      <c r="O241" s="2">
        <v>-1607.22</v>
      </c>
      <c r="P241" s="2">
        <v>-1772.71</v>
      </c>
      <c r="Q241" s="2">
        <v>-2018.01</v>
      </c>
      <c r="R241" s="2">
        <v>-2263.9899999999998</v>
      </c>
      <c r="S241" s="2">
        <v>-2531.52</v>
      </c>
      <c r="T241" s="2">
        <v>-2728.14</v>
      </c>
      <c r="U241" s="2">
        <v>-2890.46</v>
      </c>
    </row>
    <row r="242" spans="1:21" x14ac:dyDescent="0.25">
      <c r="A242" t="s">
        <v>219</v>
      </c>
      <c r="D242">
        <v>-167</v>
      </c>
      <c r="E242">
        <v>24</v>
      </c>
      <c r="F242">
        <v>175</v>
      </c>
      <c r="G242">
        <v>-189</v>
      </c>
      <c r="H242">
        <v>-90</v>
      </c>
      <c r="I242">
        <v>36</v>
      </c>
      <c r="J242">
        <v>-106</v>
      </c>
      <c r="K242">
        <v>-104</v>
      </c>
      <c r="L242">
        <v>-186</v>
      </c>
      <c r="M242">
        <v>-179</v>
      </c>
      <c r="N242">
        <v>221</v>
      </c>
      <c r="O242">
        <v>-37.44</v>
      </c>
      <c r="P242">
        <v>-36</v>
      </c>
      <c r="Q242">
        <v>-61.5</v>
      </c>
      <c r="R242">
        <v>-35</v>
      </c>
      <c r="S242">
        <v>-35</v>
      </c>
      <c r="T242">
        <v>-35</v>
      </c>
      <c r="U242">
        <v>-35</v>
      </c>
    </row>
    <row r="243" spans="1:21" x14ac:dyDescent="0.25">
      <c r="A243" t="s">
        <v>766</v>
      </c>
      <c r="D243">
        <v>2</v>
      </c>
      <c r="E243" s="2">
        <v>3171</v>
      </c>
      <c r="F243" s="2">
        <v>-1700</v>
      </c>
      <c r="G243" s="2">
        <v>-13638</v>
      </c>
      <c r="H243" s="2">
        <v>-2897</v>
      </c>
      <c r="I243" s="2">
        <v>-1152</v>
      </c>
      <c r="J243" s="2">
        <v>-1504</v>
      </c>
      <c r="K243" s="2">
        <v>-3276</v>
      </c>
      <c r="L243" s="2">
        <v>-2442</v>
      </c>
      <c r="M243" s="2">
        <v>-3164</v>
      </c>
      <c r="N243" s="2">
        <v>-6399</v>
      </c>
      <c r="O243" s="2">
        <v>-9536.7800000000007</v>
      </c>
      <c r="P243" s="2">
        <v>-9104.7199999999993</v>
      </c>
      <c r="Q243" s="2">
        <v>-11269.17</v>
      </c>
      <c r="R243" s="2">
        <v>-11439.81</v>
      </c>
      <c r="S243" s="2">
        <v>-10840.7</v>
      </c>
      <c r="T243" s="2">
        <v>-12039.25</v>
      </c>
      <c r="U243" s="2">
        <v>-13277.71</v>
      </c>
    </row>
    <row r="244" spans="1:21" x14ac:dyDescent="0.25">
      <c r="A244" t="s">
        <v>220</v>
      </c>
      <c r="D244" s="2">
        <v>1178</v>
      </c>
      <c r="E244" s="2">
        <v>2940</v>
      </c>
      <c r="F244" s="2">
        <v>4546</v>
      </c>
      <c r="G244" s="2">
        <v>-4138</v>
      </c>
      <c r="H244">
        <v>-89</v>
      </c>
      <c r="I244" s="2">
        <v>5033</v>
      </c>
      <c r="J244" s="2">
        <v>-5102</v>
      </c>
      <c r="K244" s="2">
        <v>-1188</v>
      </c>
      <c r="L244" s="2">
        <v>-1387</v>
      </c>
      <c r="M244" s="2">
        <v>-3688</v>
      </c>
      <c r="N244" s="2">
        <v>7887</v>
      </c>
      <c r="O244" s="2">
        <v>4558.6000000000004</v>
      </c>
      <c r="P244" s="2">
        <v>8400.42</v>
      </c>
      <c r="Q244" s="2">
        <v>14237.49</v>
      </c>
      <c r="R244" s="2">
        <v>12782.15</v>
      </c>
      <c r="S244" s="2">
        <v>13064.26</v>
      </c>
      <c r="T244" s="2">
        <v>12891.07</v>
      </c>
      <c r="U244" s="2">
        <v>14966.82</v>
      </c>
    </row>
    <row r="245" spans="1:21" x14ac:dyDescent="0.25">
      <c r="A245" t="s">
        <v>221</v>
      </c>
      <c r="D245" s="2">
        <v>5398</v>
      </c>
      <c r="E245" s="2">
        <v>6892</v>
      </c>
      <c r="F245" s="2">
        <v>9832</v>
      </c>
      <c r="G245" s="2">
        <v>14378</v>
      </c>
      <c r="H245" s="2">
        <v>10240</v>
      </c>
      <c r="I245" s="2">
        <v>10151</v>
      </c>
      <c r="J245" s="2">
        <v>15184</v>
      </c>
      <c r="K245" s="2">
        <v>10082</v>
      </c>
      <c r="L245" s="2">
        <v>8894</v>
      </c>
      <c r="M245" s="2">
        <v>7507</v>
      </c>
      <c r="N245" s="2">
        <v>3819</v>
      </c>
      <c r="O245" s="2">
        <v>14529.44</v>
      </c>
      <c r="P245" s="2">
        <v>18747.14</v>
      </c>
      <c r="Q245" s="2">
        <v>25032.05</v>
      </c>
      <c r="R245" s="2">
        <v>44577.27</v>
      </c>
      <c r="S245" s="2">
        <v>44795.199999999997</v>
      </c>
      <c r="T245" s="2">
        <v>59065.87</v>
      </c>
      <c r="U245" s="2">
        <v>75743.289999999994</v>
      </c>
    </row>
    <row r="246" spans="1:21" x14ac:dyDescent="0.25">
      <c r="A246" t="s">
        <v>222</v>
      </c>
      <c r="D246" s="2">
        <v>6576</v>
      </c>
      <c r="E246" s="2">
        <v>9832</v>
      </c>
      <c r="F246" s="2">
        <v>14378</v>
      </c>
      <c r="G246" s="2">
        <v>10240</v>
      </c>
      <c r="H246" s="2">
        <v>10151</v>
      </c>
      <c r="I246" s="2">
        <v>15184</v>
      </c>
      <c r="J246" s="2">
        <v>10082</v>
      </c>
      <c r="K246" s="2">
        <v>8894</v>
      </c>
      <c r="L246" s="2">
        <v>7507</v>
      </c>
      <c r="M246" s="2">
        <v>3819</v>
      </c>
      <c r="N246" s="2">
        <v>11706</v>
      </c>
      <c r="O246" s="2">
        <v>23791.73</v>
      </c>
      <c r="P246" s="2">
        <v>33718.31</v>
      </c>
      <c r="Q246" s="2">
        <v>52009.17</v>
      </c>
      <c r="R246" s="2">
        <v>79652.73</v>
      </c>
      <c r="S246" s="2">
        <v>59012.87</v>
      </c>
      <c r="T246" s="2">
        <v>75690.289999999994</v>
      </c>
      <c r="U246" s="2">
        <v>94964.51</v>
      </c>
    </row>
    <row r="247" spans="1:21" x14ac:dyDescent="0.25">
      <c r="A247" t="s">
        <v>178</v>
      </c>
    </row>
    <row r="248" spans="1:21" x14ac:dyDescent="0.25">
      <c r="A248" t="s">
        <v>224</v>
      </c>
      <c r="D248">
        <v>5.34</v>
      </c>
      <c r="E248">
        <v>5.04</v>
      </c>
      <c r="F248">
        <v>12.07</v>
      </c>
      <c r="G248">
        <v>12.01</v>
      </c>
      <c r="H248">
        <v>12.83</v>
      </c>
      <c r="I248">
        <v>15.33</v>
      </c>
      <c r="J248">
        <v>13.53</v>
      </c>
      <c r="K248">
        <v>4.8600000000000003</v>
      </c>
      <c r="L248">
        <v>12.05</v>
      </c>
      <c r="M248">
        <v>6.41</v>
      </c>
      <c r="N248">
        <v>16.57</v>
      </c>
      <c r="O248">
        <v>28.68</v>
      </c>
      <c r="P248">
        <v>30.39</v>
      </c>
      <c r="Q248">
        <v>47.55</v>
      </c>
      <c r="R248">
        <v>49.7</v>
      </c>
    </row>
    <row r="249" spans="1:21" x14ac:dyDescent="0.25">
      <c r="A249" t="s">
        <v>178</v>
      </c>
    </row>
    <row r="250" spans="1:21" x14ac:dyDescent="0.25">
      <c r="A250" t="s">
        <v>225</v>
      </c>
      <c r="D250" s="2">
        <v>1680</v>
      </c>
      <c r="E250" s="2">
        <v>1668</v>
      </c>
      <c r="F250" s="2">
        <v>5631</v>
      </c>
      <c r="G250" s="2">
        <v>5833</v>
      </c>
      <c r="H250" s="2">
        <v>6715</v>
      </c>
      <c r="I250" s="2">
        <v>9325</v>
      </c>
      <c r="J250" s="2">
        <v>7511</v>
      </c>
      <c r="K250">
        <v>562</v>
      </c>
      <c r="L250" s="2">
        <v>5920</v>
      </c>
      <c r="M250" s="2">
        <v>1869</v>
      </c>
      <c r="N250" s="2">
        <v>8552</v>
      </c>
      <c r="O250" s="2">
        <v>14394.13</v>
      </c>
      <c r="P250" s="2">
        <v>20154.07</v>
      </c>
      <c r="Q250" s="2">
        <v>24183.3</v>
      </c>
      <c r="R250" s="2">
        <v>24402.79</v>
      </c>
      <c r="S250" s="2">
        <v>26719.18</v>
      </c>
      <c r="T250" s="2">
        <v>27712.54</v>
      </c>
      <c r="U250" s="2">
        <v>30387.16</v>
      </c>
    </row>
    <row r="251" spans="1:21" x14ac:dyDescent="0.25">
      <c r="A251" t="s">
        <v>355</v>
      </c>
      <c r="G251" s="2">
        <v>13612</v>
      </c>
      <c r="H251" s="2">
        <v>8886</v>
      </c>
      <c r="I251" s="2">
        <v>10547</v>
      </c>
      <c r="J251" s="2">
        <v>8187</v>
      </c>
      <c r="K251" s="2">
        <v>1533</v>
      </c>
      <c r="L251" s="2">
        <v>5607</v>
      </c>
      <c r="M251" s="2">
        <v>3097</v>
      </c>
      <c r="N251" s="2">
        <v>11508</v>
      </c>
      <c r="O251" s="2">
        <v>18420.47</v>
      </c>
      <c r="P251" s="2">
        <v>21586.26</v>
      </c>
      <c r="Q251" s="2">
        <v>28197.33</v>
      </c>
      <c r="R251" s="2">
        <v>24772.400000000001</v>
      </c>
      <c r="S251" s="2">
        <v>27153.77</v>
      </c>
      <c r="T251" s="2">
        <v>27978.959999999999</v>
      </c>
      <c r="U251" s="2">
        <v>31045.33</v>
      </c>
    </row>
    <row r="252" spans="1:21" x14ac:dyDescent="0.25">
      <c r="A252" t="s">
        <v>17</v>
      </c>
    </row>
    <row r="253" spans="1:21" x14ac:dyDescent="0.25">
      <c r="A253" t="s">
        <v>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B654-FF57-43A2-AC13-B602356CE25B}">
  <dimension ref="A1:U232"/>
  <sheetViews>
    <sheetView workbookViewId="0">
      <selection sqref="A1:U232"/>
    </sheetView>
  </sheetViews>
  <sheetFormatPr defaultRowHeight="15" x14ac:dyDescent="0.25"/>
  <sheetData>
    <row r="1" spans="1:21" x14ac:dyDescent="0.25">
      <c r="A1" t="s">
        <v>1684</v>
      </c>
    </row>
    <row r="2" spans="1:21" x14ac:dyDescent="0.25">
      <c r="A2" t="s">
        <v>1685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41729</v>
      </c>
      <c r="C4" s="1">
        <v>42094</v>
      </c>
      <c r="D4" s="1">
        <v>42460</v>
      </c>
      <c r="E4" s="1">
        <v>42825</v>
      </c>
      <c r="F4" s="1">
        <v>43190</v>
      </c>
      <c r="G4" s="1">
        <v>43555</v>
      </c>
      <c r="H4" s="1">
        <v>43921</v>
      </c>
      <c r="I4" s="1">
        <v>44286</v>
      </c>
      <c r="J4" s="1">
        <v>44651</v>
      </c>
      <c r="K4" s="1">
        <v>45016</v>
      </c>
      <c r="L4" s="1">
        <v>45382</v>
      </c>
      <c r="M4" s="1">
        <v>45747</v>
      </c>
      <c r="N4" s="1">
        <v>46112</v>
      </c>
      <c r="O4" s="1">
        <v>46477</v>
      </c>
      <c r="P4" s="1">
        <v>46843</v>
      </c>
      <c r="Q4" s="1">
        <v>47208</v>
      </c>
      <c r="R4" s="1">
        <v>47573</v>
      </c>
      <c r="S4" s="1">
        <v>47938</v>
      </c>
      <c r="T4" s="1">
        <v>48304</v>
      </c>
      <c r="U4" s="1">
        <v>48669</v>
      </c>
    </row>
    <row r="5" spans="1:21" x14ac:dyDescent="0.25">
      <c r="A5" t="s">
        <v>14</v>
      </c>
    </row>
    <row r="6" spans="1:21" x14ac:dyDescent="0.25">
      <c r="A6" t="s">
        <v>15</v>
      </c>
      <c r="I6">
        <v>0.2</v>
      </c>
      <c r="J6">
        <v>0.65</v>
      </c>
      <c r="K6">
        <v>0.64</v>
      </c>
      <c r="L6">
        <v>2.0499999999999998</v>
      </c>
      <c r="M6">
        <v>1.63</v>
      </c>
      <c r="N6">
        <v>1.77</v>
      </c>
      <c r="O6">
        <v>2.2400000000000002</v>
      </c>
      <c r="P6">
        <v>3.1</v>
      </c>
      <c r="Q6">
        <v>4.01</v>
      </c>
      <c r="R6">
        <v>6.7</v>
      </c>
      <c r="S6">
        <v>10.31</v>
      </c>
      <c r="T6">
        <v>13.87</v>
      </c>
      <c r="U6">
        <v>19.489999999999998</v>
      </c>
    </row>
    <row r="7" spans="1:21" x14ac:dyDescent="0.25">
      <c r="A7" t="s">
        <v>16</v>
      </c>
      <c r="I7" s="2">
        <v>2027</v>
      </c>
      <c r="J7" s="2">
        <v>2703</v>
      </c>
      <c r="K7" s="2">
        <v>2679</v>
      </c>
      <c r="L7" s="2">
        <v>3233</v>
      </c>
      <c r="M7" s="2">
        <v>4007</v>
      </c>
      <c r="N7" s="2">
        <v>4920</v>
      </c>
      <c r="O7" s="2">
        <v>6078.27</v>
      </c>
      <c r="P7" s="2">
        <v>8253.4699999999993</v>
      </c>
      <c r="Q7" s="2">
        <v>10737.78</v>
      </c>
      <c r="R7" s="2">
        <v>17541.12</v>
      </c>
      <c r="S7" s="2">
        <v>26858.65</v>
      </c>
      <c r="T7" s="2">
        <v>30951.67</v>
      </c>
      <c r="U7" s="2">
        <v>35683.5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1686</v>
      </c>
      <c r="I10">
        <v>714</v>
      </c>
      <c r="J10" s="2">
        <v>1141</v>
      </c>
      <c r="K10" s="2">
        <v>1004</v>
      </c>
      <c r="L10" s="2">
        <v>1431</v>
      </c>
      <c r="M10" s="2">
        <v>1839</v>
      </c>
      <c r="N10" s="2">
        <v>2307</v>
      </c>
      <c r="O10" s="2">
        <v>2895.02</v>
      </c>
      <c r="P10" s="2">
        <v>3446.84</v>
      </c>
      <c r="Q10" s="2">
        <v>4032.76</v>
      </c>
      <c r="R10" s="2">
        <v>4330.1499999999996</v>
      </c>
      <c r="S10" s="2">
        <v>4419.43</v>
      </c>
      <c r="T10" s="2">
        <v>4531.58</v>
      </c>
      <c r="U10" s="2">
        <v>5555.4</v>
      </c>
    </row>
    <row r="11" spans="1:21" x14ac:dyDescent="0.25">
      <c r="A11" t="s">
        <v>1687</v>
      </c>
      <c r="I11" s="2">
        <v>1313</v>
      </c>
      <c r="J11" s="2">
        <v>1562</v>
      </c>
      <c r="K11" s="2">
        <v>1675</v>
      </c>
      <c r="L11" s="2">
        <v>1802</v>
      </c>
      <c r="M11" s="2">
        <v>2168</v>
      </c>
      <c r="N11" s="2">
        <v>2613</v>
      </c>
      <c r="O11" s="2">
        <v>3033.28</v>
      </c>
      <c r="P11" s="2">
        <v>3730.09</v>
      </c>
      <c r="Q11" s="2">
        <v>4502.3</v>
      </c>
      <c r="R11" s="2">
        <v>5576.94</v>
      </c>
      <c r="S11" s="2">
        <v>6750.74</v>
      </c>
      <c r="T11" s="2">
        <v>7546.92</v>
      </c>
      <c r="U11" s="2">
        <v>9420.1200000000008</v>
      </c>
    </row>
    <row r="12" spans="1:21" x14ac:dyDescent="0.25">
      <c r="A12" t="s">
        <v>1688</v>
      </c>
      <c r="O12">
        <v>95</v>
      </c>
      <c r="P12" s="2">
        <v>1081.3800000000001</v>
      </c>
      <c r="Q12" s="2">
        <v>2009.32</v>
      </c>
      <c r="R12" s="2">
        <v>5395.17</v>
      </c>
      <c r="S12" s="2">
        <v>13864.8</v>
      </c>
    </row>
    <row r="13" spans="1:21" x14ac:dyDescent="0.25">
      <c r="A13" t="s">
        <v>17</v>
      </c>
    </row>
    <row r="14" spans="1:21" x14ac:dyDescent="0.25">
      <c r="A14" t="s">
        <v>378</v>
      </c>
      <c r="I14" s="2">
        <v>1882</v>
      </c>
      <c r="J14" s="2">
        <v>2572</v>
      </c>
      <c r="K14" s="2">
        <v>2573</v>
      </c>
      <c r="L14" s="2">
        <v>3131</v>
      </c>
      <c r="M14" s="2">
        <v>3920</v>
      </c>
      <c r="N14" s="2">
        <v>4832</v>
      </c>
      <c r="O14" s="2">
        <v>5900.68</v>
      </c>
      <c r="P14" s="2">
        <v>7436.27</v>
      </c>
      <c r="Q14" s="2">
        <v>9192.2199999999993</v>
      </c>
      <c r="R14" s="2">
        <v>13211.5</v>
      </c>
      <c r="S14" s="2">
        <v>19811.68</v>
      </c>
      <c r="T14" s="2">
        <v>24805.19</v>
      </c>
      <c r="U14" s="2">
        <v>32676.01</v>
      </c>
    </row>
    <row r="15" spans="1:21" x14ac:dyDescent="0.25">
      <c r="A15" t="s">
        <v>445</v>
      </c>
      <c r="I15">
        <v>92.95</v>
      </c>
      <c r="J15">
        <v>95.19</v>
      </c>
      <c r="K15">
        <v>96.49</v>
      </c>
      <c r="L15">
        <v>95.24</v>
      </c>
      <c r="M15">
        <v>97.8</v>
      </c>
      <c r="N15">
        <v>98.2</v>
      </c>
      <c r="O15">
        <v>97.25</v>
      </c>
      <c r="P15">
        <v>91.1</v>
      </c>
      <c r="Q15">
        <v>87.14</v>
      </c>
      <c r="R15">
        <v>78.17</v>
      </c>
      <c r="S15">
        <v>71.010000000000005</v>
      </c>
      <c r="T15">
        <v>68.98</v>
      </c>
      <c r="U15">
        <v>72.650000000000006</v>
      </c>
    </row>
    <row r="16" spans="1:21" x14ac:dyDescent="0.25">
      <c r="A16" t="s">
        <v>721</v>
      </c>
      <c r="I16">
        <v>814</v>
      </c>
      <c r="J16">
        <v>995</v>
      </c>
      <c r="K16" s="2">
        <v>1133</v>
      </c>
      <c r="L16" s="2">
        <v>1979</v>
      </c>
      <c r="M16" s="2">
        <v>2071</v>
      </c>
      <c r="N16" s="2">
        <v>2776</v>
      </c>
      <c r="O16" s="2">
        <v>3183.66</v>
      </c>
      <c r="P16" s="2">
        <v>3555.19</v>
      </c>
      <c r="Q16" s="2">
        <v>4047.66</v>
      </c>
      <c r="R16" s="2">
        <v>5455.78</v>
      </c>
      <c r="S16" s="2">
        <v>5878.22</v>
      </c>
      <c r="T16" s="2">
        <v>7110.71</v>
      </c>
      <c r="U16" s="2">
        <v>7824.12</v>
      </c>
    </row>
    <row r="17" spans="1:21" x14ac:dyDescent="0.25">
      <c r="A17" t="s">
        <v>1584</v>
      </c>
      <c r="I17" s="2">
        <v>1578</v>
      </c>
      <c r="J17" s="2">
        <v>1841</v>
      </c>
      <c r="K17" s="2">
        <v>1790</v>
      </c>
      <c r="L17" s="2">
        <v>1723</v>
      </c>
      <c r="M17" s="2">
        <v>2049</v>
      </c>
      <c r="N17" s="2">
        <v>2717</v>
      </c>
      <c r="O17" s="2">
        <v>3198.64</v>
      </c>
      <c r="P17" s="2">
        <v>3730.15</v>
      </c>
      <c r="Q17" s="2">
        <v>4338.28</v>
      </c>
      <c r="R17" s="2">
        <v>5612.73</v>
      </c>
      <c r="S17" s="2">
        <v>6688.07</v>
      </c>
      <c r="T17" s="2">
        <v>7314.05</v>
      </c>
      <c r="U17" s="2">
        <v>7915.69</v>
      </c>
    </row>
    <row r="18" spans="1:21" x14ac:dyDescent="0.25">
      <c r="A18" t="s">
        <v>29</v>
      </c>
      <c r="I18">
        <v>783</v>
      </c>
      <c r="J18">
        <v>731</v>
      </c>
      <c r="K18">
        <v>783</v>
      </c>
      <c r="L18" s="2">
        <v>1408</v>
      </c>
      <c r="M18" s="2">
        <v>1871</v>
      </c>
      <c r="N18" s="2">
        <v>2115</v>
      </c>
      <c r="O18" s="2">
        <v>2687.54</v>
      </c>
      <c r="P18" s="2">
        <v>3637.42</v>
      </c>
      <c r="Q18" s="2">
        <v>4742.24</v>
      </c>
      <c r="R18" s="2">
        <v>8277.23</v>
      </c>
      <c r="S18" s="2">
        <v>13422.46</v>
      </c>
      <c r="T18" s="2">
        <v>17491</v>
      </c>
      <c r="U18" s="2">
        <v>24760</v>
      </c>
    </row>
    <row r="19" spans="1:21" x14ac:dyDescent="0.25">
      <c r="A19" t="s">
        <v>240</v>
      </c>
      <c r="I19">
        <v>15</v>
      </c>
      <c r="J19">
        <v>27.04</v>
      </c>
      <c r="K19">
        <v>29.23</v>
      </c>
      <c r="L19">
        <v>43.55</v>
      </c>
      <c r="M19">
        <v>46.69</v>
      </c>
      <c r="N19">
        <v>42.99</v>
      </c>
      <c r="O19">
        <v>44.61</v>
      </c>
      <c r="P19">
        <v>45.73</v>
      </c>
      <c r="Q19">
        <v>44.59</v>
      </c>
      <c r="R19">
        <v>46.52</v>
      </c>
      <c r="S19">
        <v>49.16</v>
      </c>
      <c r="T19">
        <v>48.49</v>
      </c>
      <c r="U19">
        <v>55.05</v>
      </c>
    </row>
    <row r="20" spans="1:21" x14ac:dyDescent="0.25">
      <c r="A20" t="s">
        <v>528</v>
      </c>
      <c r="I20">
        <v>207</v>
      </c>
      <c r="J20">
        <v>663</v>
      </c>
      <c r="K20">
        <v>657</v>
      </c>
      <c r="L20" s="2">
        <v>2143.23</v>
      </c>
      <c r="M20" s="2">
        <v>1737</v>
      </c>
      <c r="N20" s="2">
        <v>1889</v>
      </c>
      <c r="O20" s="2">
        <v>2411.1799999999998</v>
      </c>
      <c r="P20" s="2">
        <v>3329.45</v>
      </c>
      <c r="Q20" s="2">
        <v>4252.26</v>
      </c>
      <c r="R20" s="2">
        <v>6670.42</v>
      </c>
      <c r="S20" s="2">
        <v>11325.75</v>
      </c>
      <c r="T20" s="2">
        <v>15068</v>
      </c>
      <c r="U20" s="2">
        <v>21484</v>
      </c>
    </row>
    <row r="21" spans="1:21" x14ac:dyDescent="0.25">
      <c r="A21" t="s">
        <v>17</v>
      </c>
    </row>
    <row r="22" spans="1:21" x14ac:dyDescent="0.25">
      <c r="A22" t="s">
        <v>242</v>
      </c>
      <c r="I22">
        <v>-104</v>
      </c>
      <c r="J22">
        <v>-34</v>
      </c>
      <c r="K22">
        <v>-64</v>
      </c>
      <c r="L22">
        <v>-92</v>
      </c>
      <c r="M22">
        <v>-219</v>
      </c>
      <c r="N22">
        <v>-545</v>
      </c>
      <c r="O22">
        <v>-543.54999999999995</v>
      </c>
      <c r="P22">
        <v>-594.71</v>
      </c>
      <c r="Q22">
        <v>-652.54</v>
      </c>
      <c r="R22">
        <v>-603.57000000000005</v>
      </c>
      <c r="S22">
        <v>-762.83</v>
      </c>
      <c r="T22">
        <v>-456.5</v>
      </c>
      <c r="U22">
        <v>-232</v>
      </c>
    </row>
    <row r="23" spans="1:21" x14ac:dyDescent="0.25">
      <c r="A23" t="s">
        <v>243</v>
      </c>
      <c r="I23" s="2">
        <v>1030</v>
      </c>
      <c r="J23">
        <v>346</v>
      </c>
      <c r="K23">
        <v>606</v>
      </c>
      <c r="L23">
        <v>907</v>
      </c>
      <c r="M23">
        <v>99</v>
      </c>
      <c r="N23">
        <v>882</v>
      </c>
      <c r="O23" s="2">
        <v>1850.76</v>
      </c>
      <c r="P23" s="2">
        <v>2764.44</v>
      </c>
      <c r="Q23" s="2">
        <v>4336.8999999999996</v>
      </c>
      <c r="R23" s="2">
        <v>6305.9</v>
      </c>
      <c r="S23" s="2">
        <v>8259.9599999999991</v>
      </c>
      <c r="T23" s="2">
        <v>13590.76</v>
      </c>
      <c r="U23" s="2">
        <v>21521.72</v>
      </c>
    </row>
    <row r="24" spans="1:21" x14ac:dyDescent="0.25">
      <c r="A24" t="s">
        <v>17</v>
      </c>
    </row>
    <row r="25" spans="1:21" x14ac:dyDescent="0.25">
      <c r="A25" t="s">
        <v>37</v>
      </c>
    </row>
    <row r="26" spans="1:21" x14ac:dyDescent="0.25">
      <c r="A26" t="s">
        <v>17</v>
      </c>
    </row>
    <row r="27" spans="1:21" x14ac:dyDescent="0.25">
      <c r="A27" t="s">
        <v>38</v>
      </c>
    </row>
    <row r="28" spans="1:21" x14ac:dyDescent="0.25">
      <c r="A28" t="s">
        <v>1689</v>
      </c>
      <c r="I28">
        <v>915</v>
      </c>
      <c r="J28" s="2">
        <v>1030</v>
      </c>
      <c r="K28" s="2">
        <v>1030</v>
      </c>
      <c r="N28" s="2">
        <v>1660</v>
      </c>
      <c r="O28" s="2">
        <v>1776.4</v>
      </c>
      <c r="P28" s="2">
        <v>2465.33</v>
      </c>
      <c r="Q28" s="2">
        <v>2025.59</v>
      </c>
      <c r="R28" s="2">
        <v>2194.75</v>
      </c>
      <c r="S28" s="2">
        <v>2531.35</v>
      </c>
      <c r="T28" s="2">
        <v>2684.59</v>
      </c>
      <c r="U28" s="2">
        <v>3574.62</v>
      </c>
    </row>
    <row r="29" spans="1:21" x14ac:dyDescent="0.25">
      <c r="A29" t="s">
        <v>1690</v>
      </c>
      <c r="O29" s="2">
        <v>30400</v>
      </c>
      <c r="P29" s="2">
        <v>30400</v>
      </c>
    </row>
    <row r="30" spans="1:21" x14ac:dyDescent="0.25">
      <c r="A30" t="s">
        <v>1691</v>
      </c>
      <c r="N30" s="2">
        <v>2071</v>
      </c>
      <c r="O30" s="2">
        <v>2413.25</v>
      </c>
      <c r="P30" s="2">
        <v>6625.29</v>
      </c>
      <c r="Q30" s="2">
        <v>2700.7</v>
      </c>
      <c r="R30" s="2">
        <v>2950.59</v>
      </c>
      <c r="S30" s="2">
        <v>3223.6</v>
      </c>
    </row>
    <row r="31" spans="1:21" x14ac:dyDescent="0.25">
      <c r="A31" t="s">
        <v>841</v>
      </c>
      <c r="J31" s="2">
        <v>6329</v>
      </c>
      <c r="L31" s="2">
        <v>7096</v>
      </c>
      <c r="M31" s="2">
        <v>8330</v>
      </c>
      <c r="N31" s="2">
        <v>9584</v>
      </c>
      <c r="O31" s="2">
        <v>9634</v>
      </c>
      <c r="P31" s="2">
        <v>20696</v>
      </c>
      <c r="Q31" s="2">
        <v>18728</v>
      </c>
    </row>
    <row r="32" spans="1:21" x14ac:dyDescent="0.25">
      <c r="A32" t="s">
        <v>17</v>
      </c>
    </row>
    <row r="33" spans="1:17" x14ac:dyDescent="0.25">
      <c r="A33" t="s">
        <v>58</v>
      </c>
    </row>
    <row r="34" spans="1:17" x14ac:dyDescent="0.25">
      <c r="A34" t="s">
        <v>16</v>
      </c>
    </row>
    <row r="35" spans="1:17" x14ac:dyDescent="0.25">
      <c r="A35" t="s">
        <v>1692</v>
      </c>
      <c r="I35" s="2">
        <v>1579</v>
      </c>
      <c r="J35" s="2">
        <v>2219</v>
      </c>
      <c r="K35" s="2">
        <v>2025</v>
      </c>
      <c r="L35" s="2">
        <v>2509</v>
      </c>
      <c r="M35" s="2">
        <v>3184</v>
      </c>
      <c r="N35" s="2">
        <v>3421</v>
      </c>
      <c r="O35" s="2">
        <v>4322.47</v>
      </c>
      <c r="P35" s="2">
        <v>5672.35</v>
      </c>
      <c r="Q35" s="2">
        <v>8283.07</v>
      </c>
    </row>
    <row r="36" spans="1:17" x14ac:dyDescent="0.25">
      <c r="A36" t="s">
        <v>1693</v>
      </c>
      <c r="I36">
        <v>448</v>
      </c>
      <c r="J36">
        <v>484</v>
      </c>
      <c r="K36">
        <v>654</v>
      </c>
      <c r="L36">
        <v>724</v>
      </c>
      <c r="M36">
        <v>823</v>
      </c>
      <c r="N36" s="2">
        <v>1499</v>
      </c>
      <c r="O36" s="2">
        <v>1622.81</v>
      </c>
      <c r="P36" s="2">
        <v>1909.08</v>
      </c>
      <c r="Q36" s="2">
        <v>1934.04</v>
      </c>
    </row>
    <row r="37" spans="1:17" x14ac:dyDescent="0.25">
      <c r="A37" t="s">
        <v>17</v>
      </c>
    </row>
    <row r="38" spans="1:17" x14ac:dyDescent="0.25">
      <c r="A38" t="s">
        <v>72</v>
      </c>
    </row>
    <row r="39" spans="1:17" x14ac:dyDescent="0.25">
      <c r="A39" t="s">
        <v>16</v>
      </c>
    </row>
    <row r="40" spans="1:17" x14ac:dyDescent="0.25">
      <c r="A40" t="s">
        <v>73</v>
      </c>
      <c r="I40">
        <v>843</v>
      </c>
      <c r="J40" s="2">
        <v>1243</v>
      </c>
      <c r="K40" s="2">
        <v>1088</v>
      </c>
      <c r="L40" s="2">
        <v>1413</v>
      </c>
      <c r="M40" s="2">
        <v>1716</v>
      </c>
      <c r="N40" s="2">
        <v>1761</v>
      </c>
    </row>
    <row r="41" spans="1:17" x14ac:dyDescent="0.25">
      <c r="A41" t="s">
        <v>1694</v>
      </c>
      <c r="I41">
        <v>428</v>
      </c>
      <c r="J41">
        <v>476</v>
      </c>
      <c r="K41">
        <v>657</v>
      </c>
      <c r="L41">
        <v>697</v>
      </c>
      <c r="M41">
        <v>749</v>
      </c>
      <c r="N41">
        <v>874</v>
      </c>
    </row>
    <row r="42" spans="1:17" x14ac:dyDescent="0.25">
      <c r="A42" t="s">
        <v>586</v>
      </c>
      <c r="N42">
        <v>825</v>
      </c>
    </row>
    <row r="43" spans="1:17" x14ac:dyDescent="0.25">
      <c r="A43" t="s">
        <v>736</v>
      </c>
      <c r="I43">
        <v>306</v>
      </c>
      <c r="J43">
        <v>431</v>
      </c>
      <c r="K43">
        <v>359</v>
      </c>
      <c r="L43">
        <v>522</v>
      </c>
      <c r="M43">
        <v>629</v>
      </c>
      <c r="N43">
        <v>695</v>
      </c>
    </row>
    <row r="44" spans="1:17" x14ac:dyDescent="0.25">
      <c r="A44" t="s">
        <v>1695</v>
      </c>
      <c r="I44">
        <v>213</v>
      </c>
      <c r="J44">
        <v>226</v>
      </c>
      <c r="K44">
        <v>241</v>
      </c>
      <c r="L44">
        <v>308</v>
      </c>
      <c r="M44">
        <v>324</v>
      </c>
      <c r="N44">
        <v>392</v>
      </c>
      <c r="O44">
        <v>444.38</v>
      </c>
      <c r="P44">
        <v>840</v>
      </c>
    </row>
    <row r="45" spans="1:17" x14ac:dyDescent="0.25">
      <c r="A45" t="s">
        <v>791</v>
      </c>
      <c r="I45">
        <v>237</v>
      </c>
      <c r="J45">
        <v>327</v>
      </c>
      <c r="K45">
        <v>334</v>
      </c>
      <c r="L45">
        <v>293</v>
      </c>
      <c r="M45">
        <v>589</v>
      </c>
      <c r="N45">
        <v>373</v>
      </c>
      <c r="O45">
        <v>740.63</v>
      </c>
      <c r="P45">
        <v>420</v>
      </c>
    </row>
    <row r="46" spans="1:17" x14ac:dyDescent="0.25">
      <c r="A46" t="s">
        <v>17</v>
      </c>
    </row>
    <row r="47" spans="1:17" x14ac:dyDescent="0.25">
      <c r="A47" t="s">
        <v>258</v>
      </c>
    </row>
    <row r="48" spans="1:17" x14ac:dyDescent="0.25">
      <c r="A48" t="s">
        <v>16</v>
      </c>
    </row>
    <row r="49" spans="1:21" x14ac:dyDescent="0.25">
      <c r="A49" t="s">
        <v>1686</v>
      </c>
      <c r="I49">
        <v>714</v>
      </c>
      <c r="J49" s="2">
        <v>1141</v>
      </c>
      <c r="K49" s="2">
        <v>1004</v>
      </c>
      <c r="L49" s="2">
        <v>1431</v>
      </c>
      <c r="M49" s="2">
        <v>1839</v>
      </c>
      <c r="N49" s="2">
        <v>2307</v>
      </c>
      <c r="O49" s="2">
        <v>2895.02</v>
      </c>
      <c r="P49" s="2">
        <v>3446.84</v>
      </c>
      <c r="Q49" s="2">
        <v>4032.76</v>
      </c>
      <c r="R49" s="2">
        <v>4330.1499999999996</v>
      </c>
      <c r="S49" s="2">
        <v>4419.43</v>
      </c>
      <c r="T49" s="2">
        <v>4531.58</v>
      </c>
      <c r="U49" s="2">
        <v>5555.4</v>
      </c>
    </row>
    <row r="50" spans="1:21" x14ac:dyDescent="0.25">
      <c r="A50" t="s">
        <v>1687</v>
      </c>
      <c r="I50" s="2">
        <v>1313</v>
      </c>
      <c r="J50" s="2">
        <v>1562</v>
      </c>
      <c r="K50" s="2">
        <v>1675</v>
      </c>
      <c r="L50" s="2">
        <v>1802</v>
      </c>
      <c r="M50" s="2">
        <v>2168</v>
      </c>
      <c r="N50" s="2">
        <v>2613</v>
      </c>
      <c r="O50" s="2">
        <v>3033.28</v>
      </c>
      <c r="P50" s="2">
        <v>3730.09</v>
      </c>
      <c r="Q50" s="2">
        <v>4502.3</v>
      </c>
      <c r="R50" s="2">
        <v>5576.94</v>
      </c>
      <c r="S50" s="2">
        <v>6750.74</v>
      </c>
      <c r="T50" s="2">
        <v>7546.92</v>
      </c>
      <c r="U50" s="2">
        <v>9420.1200000000008</v>
      </c>
    </row>
    <row r="51" spans="1:21" x14ac:dyDescent="0.25">
      <c r="A51" t="s">
        <v>1688</v>
      </c>
      <c r="O51">
        <v>95</v>
      </c>
      <c r="P51" s="2">
        <v>1081.3800000000001</v>
      </c>
      <c r="Q51" s="2">
        <v>2009.32</v>
      </c>
      <c r="R51" s="2">
        <v>5395.17</v>
      </c>
      <c r="S51" s="2">
        <v>13864.8</v>
      </c>
    </row>
    <row r="52" spans="1:21" x14ac:dyDescent="0.25">
      <c r="A52" t="s">
        <v>17</v>
      </c>
    </row>
    <row r="53" spans="1:21" x14ac:dyDescent="0.25">
      <c r="A53" t="s">
        <v>79</v>
      </c>
    </row>
    <row r="54" spans="1:21" x14ac:dyDescent="0.25">
      <c r="A54" t="s">
        <v>80</v>
      </c>
      <c r="I54" s="2">
        <v>2027</v>
      </c>
      <c r="J54" s="2">
        <v>2703</v>
      </c>
      <c r="K54" s="2">
        <v>2679</v>
      </c>
      <c r="L54" s="2">
        <v>3233</v>
      </c>
      <c r="M54" s="2">
        <v>4007</v>
      </c>
      <c r="N54" s="2">
        <v>4920</v>
      </c>
      <c r="O54" s="2">
        <v>6078.27</v>
      </c>
      <c r="P54" s="2">
        <v>8253.4699999999993</v>
      </c>
      <c r="Q54" s="2">
        <v>10737.78</v>
      </c>
      <c r="R54" s="2">
        <v>17541.12</v>
      </c>
      <c r="S54" s="2">
        <v>26858.65</v>
      </c>
      <c r="T54" s="2">
        <v>30951.67</v>
      </c>
      <c r="U54" s="2">
        <v>35683.5</v>
      </c>
    </row>
    <row r="55" spans="1:21" x14ac:dyDescent="0.25">
      <c r="A55" t="s">
        <v>17</v>
      </c>
    </row>
    <row r="56" spans="1:21" x14ac:dyDescent="0.25">
      <c r="A56" t="s">
        <v>82</v>
      </c>
      <c r="I56">
        <v>145</v>
      </c>
      <c r="J56">
        <v>131</v>
      </c>
      <c r="K56">
        <v>106</v>
      </c>
      <c r="L56">
        <v>154</v>
      </c>
      <c r="M56">
        <v>121</v>
      </c>
      <c r="N56">
        <v>121</v>
      </c>
      <c r="O56">
        <v>201.28</v>
      </c>
      <c r="P56">
        <v>866.23</v>
      </c>
      <c r="Q56" s="2">
        <v>1611.08</v>
      </c>
      <c r="R56" s="2">
        <v>3923.33</v>
      </c>
      <c r="S56" s="2">
        <v>7216.37</v>
      </c>
      <c r="T56" s="2">
        <v>11092.14</v>
      </c>
      <c r="U56" s="2">
        <v>12406.37</v>
      </c>
    </row>
    <row r="57" spans="1:21" x14ac:dyDescent="0.25">
      <c r="A57" t="s">
        <v>83</v>
      </c>
      <c r="I57">
        <v>7.15</v>
      </c>
      <c r="J57">
        <v>4.8499999999999996</v>
      </c>
      <c r="K57">
        <v>3.96</v>
      </c>
      <c r="L57">
        <v>4.76</v>
      </c>
      <c r="M57">
        <v>3.02</v>
      </c>
      <c r="N57">
        <v>2.46</v>
      </c>
      <c r="O57">
        <v>3.83</v>
      </c>
      <c r="P57">
        <v>9.7899999999999991</v>
      </c>
      <c r="Q57">
        <v>18.36</v>
      </c>
      <c r="R57">
        <v>27.55</v>
      </c>
      <c r="S57">
        <v>30.37</v>
      </c>
      <c r="T57">
        <v>27.22</v>
      </c>
      <c r="U57">
        <v>27.58</v>
      </c>
    </row>
    <row r="58" spans="1:21" x14ac:dyDescent="0.25">
      <c r="A58" t="s">
        <v>84</v>
      </c>
      <c r="I58" s="2">
        <v>1882</v>
      </c>
      <c r="J58" s="2">
        <v>2572</v>
      </c>
      <c r="K58" s="2">
        <v>2573</v>
      </c>
      <c r="L58" s="2">
        <v>3079</v>
      </c>
      <c r="M58" s="2">
        <v>3886</v>
      </c>
      <c r="N58" s="2">
        <v>4799</v>
      </c>
      <c r="O58" s="2">
        <v>5788.46</v>
      </c>
      <c r="P58" s="2">
        <v>7325.83</v>
      </c>
      <c r="Q58" s="2">
        <v>9171.49</v>
      </c>
      <c r="R58" s="2">
        <v>13751.04</v>
      </c>
      <c r="S58" s="2">
        <v>18444.32</v>
      </c>
      <c r="T58" s="2">
        <v>24785.69</v>
      </c>
      <c r="U58" s="2">
        <v>32676.01</v>
      </c>
    </row>
    <row r="59" spans="1:21" x14ac:dyDescent="0.25">
      <c r="A59" t="s">
        <v>85</v>
      </c>
      <c r="L59">
        <v>95.2</v>
      </c>
      <c r="M59">
        <v>97</v>
      </c>
      <c r="N59">
        <v>97.5</v>
      </c>
      <c r="O59">
        <v>97.05</v>
      </c>
      <c r="P59">
        <v>92.03</v>
      </c>
      <c r="Q59">
        <v>87.9</v>
      </c>
      <c r="R59">
        <v>81.94</v>
      </c>
      <c r="S59">
        <v>78.209999999999994</v>
      </c>
      <c r="T59">
        <v>68.92</v>
      </c>
      <c r="U59">
        <v>72.650000000000006</v>
      </c>
    </row>
    <row r="60" spans="1:21" x14ac:dyDescent="0.25">
      <c r="A60" t="s">
        <v>17</v>
      </c>
    </row>
    <row r="61" spans="1:21" x14ac:dyDescent="0.25">
      <c r="A61" t="s">
        <v>275</v>
      </c>
      <c r="I61" s="2">
        <v>1643</v>
      </c>
      <c r="J61" s="2">
        <v>1939</v>
      </c>
      <c r="K61" s="2">
        <v>1902</v>
      </c>
      <c r="L61" s="2">
        <v>2968</v>
      </c>
      <c r="M61" s="2">
        <v>3055</v>
      </c>
      <c r="N61" s="2">
        <v>3899</v>
      </c>
      <c r="O61" s="2">
        <v>4536.05</v>
      </c>
      <c r="P61" s="2">
        <v>5106.0600000000004</v>
      </c>
      <c r="Q61" s="2">
        <v>5896.14</v>
      </c>
      <c r="R61" s="2">
        <v>8227.7000000000007</v>
      </c>
      <c r="S61" s="2">
        <v>9675.7199999999993</v>
      </c>
      <c r="T61" s="2">
        <v>9560.85</v>
      </c>
      <c r="U61" s="2">
        <v>11370.89</v>
      </c>
    </row>
    <row r="62" spans="1:21" x14ac:dyDescent="0.25">
      <c r="A62" t="s">
        <v>83</v>
      </c>
      <c r="I62">
        <v>81.06</v>
      </c>
      <c r="J62">
        <v>71.739999999999995</v>
      </c>
      <c r="K62">
        <v>71</v>
      </c>
      <c r="L62">
        <v>91.8</v>
      </c>
      <c r="M62">
        <v>76.239999999999995</v>
      </c>
      <c r="N62">
        <v>79.25</v>
      </c>
      <c r="O62">
        <v>76.16</v>
      </c>
      <c r="P62">
        <v>69.099999999999994</v>
      </c>
      <c r="Q62">
        <v>63.43</v>
      </c>
      <c r="R62">
        <v>55.17</v>
      </c>
      <c r="S62">
        <v>47.18</v>
      </c>
      <c r="T62">
        <v>27.58</v>
      </c>
      <c r="U62">
        <v>25.28</v>
      </c>
    </row>
    <row r="63" spans="1:21" x14ac:dyDescent="0.25">
      <c r="A63" t="s">
        <v>89</v>
      </c>
      <c r="I63">
        <v>814</v>
      </c>
      <c r="J63">
        <v>995</v>
      </c>
      <c r="K63" s="2">
        <v>1133</v>
      </c>
      <c r="L63" s="2">
        <v>1979</v>
      </c>
      <c r="M63" s="2">
        <v>2071</v>
      </c>
      <c r="N63" s="2">
        <v>2776</v>
      </c>
      <c r="O63" s="2">
        <v>3183.66</v>
      </c>
      <c r="P63" s="2">
        <v>3555.19</v>
      </c>
      <c r="Q63" s="2">
        <v>4047.66</v>
      </c>
      <c r="R63" s="2">
        <v>5455.78</v>
      </c>
      <c r="S63" s="2">
        <v>5878.22</v>
      </c>
      <c r="T63" s="2">
        <v>7110.71</v>
      </c>
      <c r="U63" s="2">
        <v>7824.12</v>
      </c>
    </row>
    <row r="64" spans="1:21" x14ac:dyDescent="0.25">
      <c r="A64" t="s">
        <v>61</v>
      </c>
      <c r="I64">
        <v>40.159999999999997</v>
      </c>
      <c r="J64">
        <v>36.81</v>
      </c>
      <c r="K64">
        <v>42.29</v>
      </c>
      <c r="L64">
        <v>61.21</v>
      </c>
      <c r="M64">
        <v>51.68</v>
      </c>
      <c r="N64">
        <v>56.42</v>
      </c>
      <c r="O64">
        <v>52.49</v>
      </c>
      <c r="P64">
        <v>43.75</v>
      </c>
      <c r="Q64">
        <v>36.799999999999997</v>
      </c>
      <c r="R64">
        <v>30.34</v>
      </c>
      <c r="S64">
        <v>21.22</v>
      </c>
      <c r="T64">
        <v>19.920000000000002</v>
      </c>
      <c r="U64">
        <v>17.399999999999999</v>
      </c>
    </row>
    <row r="65" spans="1:21" x14ac:dyDescent="0.25">
      <c r="A65" t="s">
        <v>276</v>
      </c>
      <c r="I65">
        <v>826</v>
      </c>
      <c r="J65">
        <v>897</v>
      </c>
      <c r="K65">
        <v>762</v>
      </c>
      <c r="L65">
        <v>983</v>
      </c>
      <c r="M65">
        <v>984</v>
      </c>
      <c r="N65" s="2">
        <v>1115</v>
      </c>
      <c r="O65" s="2">
        <v>1288.93</v>
      </c>
      <c r="P65" s="2">
        <v>1477</v>
      </c>
      <c r="Q65" s="2">
        <v>1672.17</v>
      </c>
      <c r="R65" s="2">
        <v>2091.61</v>
      </c>
      <c r="S65" s="2">
        <v>2377.73</v>
      </c>
      <c r="T65" s="2">
        <v>2450.14</v>
      </c>
      <c r="U65" s="2">
        <v>3546.77</v>
      </c>
    </row>
    <row r="66" spans="1:21" x14ac:dyDescent="0.25">
      <c r="A66" t="s">
        <v>61</v>
      </c>
      <c r="I66">
        <v>40.75</v>
      </c>
      <c r="J66">
        <v>33.19</v>
      </c>
      <c r="K66">
        <v>28.44</v>
      </c>
      <c r="L66">
        <v>30.41</v>
      </c>
      <c r="M66">
        <v>24.56</v>
      </c>
      <c r="N66">
        <v>22.66</v>
      </c>
      <c r="O66">
        <v>21.52</v>
      </c>
      <c r="P66">
        <v>25.49</v>
      </c>
      <c r="Q66">
        <v>20.83</v>
      </c>
      <c r="R66">
        <v>32.5</v>
      </c>
      <c r="S66">
        <v>34.86</v>
      </c>
      <c r="T66">
        <v>10.5</v>
      </c>
      <c r="U66">
        <v>14.67</v>
      </c>
    </row>
    <row r="67" spans="1:21" x14ac:dyDescent="0.25">
      <c r="A67" t="s">
        <v>1696</v>
      </c>
      <c r="I67">
        <v>3</v>
      </c>
      <c r="J67">
        <v>21</v>
      </c>
      <c r="K67">
        <v>0</v>
      </c>
      <c r="N67">
        <v>0</v>
      </c>
    </row>
    <row r="68" spans="1:21" x14ac:dyDescent="0.25">
      <c r="A68" t="s">
        <v>1697</v>
      </c>
      <c r="I68">
        <v>3</v>
      </c>
      <c r="J68">
        <v>47</v>
      </c>
      <c r="K68">
        <v>7</v>
      </c>
      <c r="L68">
        <v>6</v>
      </c>
      <c r="M68">
        <v>0</v>
      </c>
      <c r="N68">
        <v>8</v>
      </c>
      <c r="O68">
        <v>9.1</v>
      </c>
      <c r="P68">
        <v>14</v>
      </c>
      <c r="Q68">
        <v>28</v>
      </c>
    </row>
    <row r="69" spans="1:21" x14ac:dyDescent="0.25">
      <c r="A69" t="s">
        <v>17</v>
      </c>
    </row>
    <row r="70" spans="1:21" x14ac:dyDescent="0.25">
      <c r="A70" t="s">
        <v>91</v>
      </c>
      <c r="I70">
        <v>239</v>
      </c>
      <c r="J70">
        <v>633</v>
      </c>
      <c r="K70">
        <v>671</v>
      </c>
      <c r="L70">
        <v>111</v>
      </c>
      <c r="M70">
        <v>831</v>
      </c>
      <c r="N70">
        <v>900</v>
      </c>
      <c r="O70" s="2">
        <v>1324.38</v>
      </c>
      <c r="P70" s="2">
        <v>2292.79</v>
      </c>
      <c r="Q70" s="2">
        <v>3270.45</v>
      </c>
      <c r="R70" s="2">
        <v>5997.29</v>
      </c>
      <c r="S70" s="2">
        <v>10317.870000000001</v>
      </c>
      <c r="T70" s="2">
        <v>15175.51</v>
      </c>
      <c r="U70" s="2">
        <v>21198.26</v>
      </c>
    </row>
    <row r="71" spans="1:21" x14ac:dyDescent="0.25">
      <c r="A71" t="s">
        <v>92</v>
      </c>
      <c r="I71">
        <v>11.79</v>
      </c>
      <c r="J71">
        <v>23.42</v>
      </c>
      <c r="K71">
        <v>25.05</v>
      </c>
      <c r="L71">
        <v>3.43</v>
      </c>
      <c r="M71">
        <v>20.74</v>
      </c>
      <c r="N71">
        <v>18.29</v>
      </c>
      <c r="O71">
        <v>22.95</v>
      </c>
      <c r="P71">
        <v>28.91</v>
      </c>
      <c r="Q71">
        <v>31.55</v>
      </c>
      <c r="R71">
        <v>33.299999999999997</v>
      </c>
      <c r="S71">
        <v>37.53</v>
      </c>
      <c r="T71">
        <v>42.17</v>
      </c>
      <c r="U71">
        <v>47.13</v>
      </c>
    </row>
    <row r="72" spans="1:21" x14ac:dyDescent="0.25">
      <c r="A72" t="s">
        <v>17</v>
      </c>
    </row>
    <row r="73" spans="1:21" x14ac:dyDescent="0.25">
      <c r="A73" t="s">
        <v>93</v>
      </c>
      <c r="I73">
        <v>201</v>
      </c>
      <c r="J73">
        <v>185</v>
      </c>
      <c r="K73">
        <v>170</v>
      </c>
      <c r="L73">
        <v>162</v>
      </c>
      <c r="M73">
        <v>95.9</v>
      </c>
      <c r="N73">
        <v>150</v>
      </c>
      <c r="O73">
        <v>278</v>
      </c>
      <c r="P73">
        <v>280.58</v>
      </c>
      <c r="Q73">
        <v>370.05</v>
      </c>
      <c r="R73">
        <v>478.77</v>
      </c>
      <c r="S73">
        <v>612.59</v>
      </c>
      <c r="T73">
        <v>309.27</v>
      </c>
      <c r="U73">
        <v>313</v>
      </c>
    </row>
    <row r="74" spans="1:21" x14ac:dyDescent="0.25">
      <c r="A74" t="s">
        <v>127</v>
      </c>
      <c r="I74">
        <v>11</v>
      </c>
      <c r="J74">
        <v>9</v>
      </c>
      <c r="K74">
        <v>5</v>
      </c>
      <c r="L74">
        <v>4</v>
      </c>
      <c r="M74">
        <v>87.1</v>
      </c>
      <c r="N74">
        <v>99</v>
      </c>
      <c r="O74">
        <v>3.4</v>
      </c>
      <c r="P74">
        <v>9.4</v>
      </c>
    </row>
    <row r="75" spans="1:21" x14ac:dyDescent="0.25">
      <c r="A75" t="s">
        <v>277</v>
      </c>
      <c r="I75">
        <v>440</v>
      </c>
      <c r="J75">
        <v>818</v>
      </c>
      <c r="K75">
        <v>841</v>
      </c>
      <c r="L75">
        <v>273</v>
      </c>
      <c r="M75" s="2">
        <v>1053.5</v>
      </c>
      <c r="N75" s="2">
        <v>1149</v>
      </c>
      <c r="O75" s="2">
        <v>1398.84</v>
      </c>
      <c r="P75" s="2">
        <v>2281.58</v>
      </c>
      <c r="Q75" s="2">
        <v>4669.9399999999996</v>
      </c>
      <c r="R75" s="2">
        <v>7258</v>
      </c>
      <c r="S75" s="2">
        <v>14090.31</v>
      </c>
    </row>
    <row r="76" spans="1:21" x14ac:dyDescent="0.25">
      <c r="A76" t="s">
        <v>17</v>
      </c>
    </row>
    <row r="77" spans="1:21" x14ac:dyDescent="0.25">
      <c r="A77" t="s">
        <v>482</v>
      </c>
      <c r="I77">
        <v>-458</v>
      </c>
      <c r="J77">
        <v>-153</v>
      </c>
      <c r="K77">
        <v>0</v>
      </c>
      <c r="L77">
        <v>-101</v>
      </c>
      <c r="M77">
        <v>111</v>
      </c>
      <c r="N77">
        <v>-257</v>
      </c>
      <c r="O77">
        <v>-330.48</v>
      </c>
      <c r="P77">
        <v>-182.81</v>
      </c>
      <c r="Q77">
        <v>-227.41</v>
      </c>
      <c r="R77">
        <v>-228</v>
      </c>
    </row>
    <row r="78" spans="1:21" x14ac:dyDescent="0.25">
      <c r="A78" t="s">
        <v>1698</v>
      </c>
      <c r="I78">
        <v>2</v>
      </c>
      <c r="J78">
        <v>2</v>
      </c>
      <c r="K78">
        <v>42</v>
      </c>
      <c r="L78">
        <v>110</v>
      </c>
      <c r="M78">
        <v>116</v>
      </c>
      <c r="N78">
        <v>111</v>
      </c>
      <c r="O78">
        <v>117.46</v>
      </c>
      <c r="P78">
        <v>144.09</v>
      </c>
      <c r="Q78">
        <v>184.64</v>
      </c>
      <c r="R78">
        <v>242.44</v>
      </c>
      <c r="S78">
        <v>329.13</v>
      </c>
      <c r="T78">
        <v>485.83</v>
      </c>
      <c r="U78">
        <v>665</v>
      </c>
    </row>
    <row r="79" spans="1:21" x14ac:dyDescent="0.25">
      <c r="A79" t="s">
        <v>1699</v>
      </c>
      <c r="I79">
        <v>-476</v>
      </c>
      <c r="J79">
        <v>-141</v>
      </c>
      <c r="K79">
        <v>45</v>
      </c>
      <c r="L79">
        <v>20</v>
      </c>
      <c r="M79">
        <v>237</v>
      </c>
      <c r="N79">
        <v>-14</v>
      </c>
      <c r="O79">
        <v>-258</v>
      </c>
      <c r="P79">
        <v>-230.86</v>
      </c>
      <c r="Q79">
        <v>-184</v>
      </c>
      <c r="R79">
        <v>-256</v>
      </c>
      <c r="S79">
        <v>-256</v>
      </c>
    </row>
    <row r="80" spans="1:21" x14ac:dyDescent="0.25">
      <c r="A80" t="s">
        <v>1275</v>
      </c>
      <c r="I80">
        <v>20</v>
      </c>
      <c r="J80">
        <v>-10</v>
      </c>
      <c r="K80">
        <v>-3</v>
      </c>
      <c r="L80">
        <v>-11</v>
      </c>
      <c r="M80">
        <v>-10</v>
      </c>
      <c r="N80">
        <v>-132</v>
      </c>
      <c r="O80">
        <v>-6</v>
      </c>
      <c r="P80">
        <v>-6</v>
      </c>
      <c r="Q80">
        <v>-6</v>
      </c>
      <c r="R80">
        <v>-12</v>
      </c>
      <c r="S80">
        <v>-12</v>
      </c>
    </row>
    <row r="81" spans="1:21" x14ac:dyDescent="0.25">
      <c r="A81" t="s">
        <v>17</v>
      </c>
    </row>
    <row r="82" spans="1:21" x14ac:dyDescent="0.25">
      <c r="A82" t="s">
        <v>100</v>
      </c>
      <c r="I82">
        <v>697</v>
      </c>
      <c r="J82">
        <v>786</v>
      </c>
      <c r="K82">
        <v>671</v>
      </c>
      <c r="L82">
        <v>212</v>
      </c>
      <c r="M82">
        <v>720</v>
      </c>
      <c r="N82" s="2">
        <v>1157</v>
      </c>
      <c r="O82" s="2">
        <v>1623.34</v>
      </c>
      <c r="P82" s="2">
        <v>2590.5300000000002</v>
      </c>
      <c r="Q82" s="2">
        <v>3322</v>
      </c>
      <c r="R82" s="2">
        <v>5441.59</v>
      </c>
      <c r="S82" s="2">
        <v>9640.5400000000009</v>
      </c>
      <c r="T82" s="2">
        <v>13554.66</v>
      </c>
    </row>
    <row r="83" spans="1:21" x14ac:dyDescent="0.25">
      <c r="A83" t="s">
        <v>1700</v>
      </c>
      <c r="I83">
        <v>34.39</v>
      </c>
      <c r="J83">
        <v>29.08</v>
      </c>
      <c r="K83">
        <v>25.05</v>
      </c>
      <c r="L83">
        <v>6.56</v>
      </c>
      <c r="M83">
        <v>17.97</v>
      </c>
      <c r="N83">
        <v>23.52</v>
      </c>
      <c r="O83">
        <v>30.44</v>
      </c>
      <c r="P83">
        <v>37.74</v>
      </c>
      <c r="Q83">
        <v>38.4</v>
      </c>
      <c r="R83">
        <v>39.4</v>
      </c>
      <c r="S83">
        <v>38.4</v>
      </c>
    </row>
    <row r="84" spans="1:21" x14ac:dyDescent="0.25">
      <c r="A84" t="s">
        <v>17</v>
      </c>
    </row>
    <row r="85" spans="1:21" x14ac:dyDescent="0.25">
      <c r="A85" t="s">
        <v>101</v>
      </c>
      <c r="I85">
        <v>153</v>
      </c>
      <c r="J85">
        <v>110</v>
      </c>
      <c r="K85">
        <v>147</v>
      </c>
      <c r="L85">
        <v>-94</v>
      </c>
      <c r="M85">
        <v>-72</v>
      </c>
      <c r="N85">
        <v>253</v>
      </c>
      <c r="O85">
        <v>222.4</v>
      </c>
      <c r="P85">
        <v>429.01</v>
      </c>
      <c r="Q85">
        <v>587.73</v>
      </c>
      <c r="R85" s="2">
        <v>1012.06</v>
      </c>
      <c r="S85" s="2">
        <v>1772.25</v>
      </c>
      <c r="T85" s="2">
        <v>2506.5100000000002</v>
      </c>
      <c r="U85" s="2">
        <v>3192.89</v>
      </c>
    </row>
    <row r="86" spans="1:21" x14ac:dyDescent="0.25">
      <c r="A86" t="s">
        <v>102</v>
      </c>
      <c r="I86">
        <v>21.95</v>
      </c>
      <c r="J86">
        <v>13.99</v>
      </c>
      <c r="K86">
        <v>21.91</v>
      </c>
      <c r="N86">
        <v>21.87</v>
      </c>
      <c r="O86">
        <v>13.57</v>
      </c>
      <c r="P86">
        <v>14</v>
      </c>
      <c r="Q86">
        <v>16.079999999999998</v>
      </c>
      <c r="R86">
        <v>15.57</v>
      </c>
      <c r="S86">
        <v>15.94</v>
      </c>
      <c r="T86">
        <v>16.75</v>
      </c>
      <c r="U86">
        <v>15.5</v>
      </c>
    </row>
    <row r="87" spans="1:21" x14ac:dyDescent="0.25">
      <c r="A87" t="s">
        <v>17</v>
      </c>
    </row>
    <row r="88" spans="1:21" x14ac:dyDescent="0.25">
      <c r="A88" t="s">
        <v>1701</v>
      </c>
      <c r="I88">
        <v>156</v>
      </c>
      <c r="J88">
        <v>127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1" x14ac:dyDescent="0.25">
      <c r="A89" t="s">
        <v>106</v>
      </c>
      <c r="I89">
        <v>388</v>
      </c>
      <c r="J89">
        <v>549</v>
      </c>
      <c r="K89">
        <v>524</v>
      </c>
      <c r="L89">
        <v>306</v>
      </c>
      <c r="M89">
        <v>792</v>
      </c>
      <c r="N89">
        <v>904</v>
      </c>
      <c r="O89" s="2">
        <v>1392.64</v>
      </c>
      <c r="P89" s="2">
        <v>2171.85</v>
      </c>
      <c r="Q89" s="2">
        <v>3127.77</v>
      </c>
      <c r="R89" s="2">
        <v>5739.67</v>
      </c>
      <c r="S89" s="2">
        <v>9907.93</v>
      </c>
      <c r="T89" s="2">
        <v>13155</v>
      </c>
      <c r="U89" s="2">
        <v>18670</v>
      </c>
    </row>
    <row r="90" spans="1:21" x14ac:dyDescent="0.25">
      <c r="A90" t="s">
        <v>107</v>
      </c>
      <c r="I90">
        <v>19.14</v>
      </c>
      <c r="J90">
        <v>20.309999999999999</v>
      </c>
      <c r="K90">
        <v>19.559999999999999</v>
      </c>
      <c r="L90">
        <v>9.4600000000000009</v>
      </c>
      <c r="M90">
        <v>19.77</v>
      </c>
      <c r="N90">
        <v>18.37</v>
      </c>
      <c r="O90">
        <v>23.41</v>
      </c>
      <c r="P90">
        <v>26.04</v>
      </c>
      <c r="Q90">
        <v>27.9</v>
      </c>
      <c r="R90">
        <v>29.9</v>
      </c>
      <c r="S90">
        <v>33.94</v>
      </c>
      <c r="T90">
        <v>36.5</v>
      </c>
      <c r="U90">
        <v>41.51</v>
      </c>
    </row>
    <row r="91" spans="1:21" x14ac:dyDescent="0.25">
      <c r="A91" t="s">
        <v>17</v>
      </c>
    </row>
    <row r="92" spans="1:21" x14ac:dyDescent="0.25">
      <c r="A92" t="s">
        <v>108</v>
      </c>
      <c r="I92" s="2">
        <v>1025.23</v>
      </c>
      <c r="J92" s="2">
        <v>1025.23</v>
      </c>
      <c r="K92" s="2">
        <v>1025.23</v>
      </c>
      <c r="L92" s="2">
        <v>1027.44</v>
      </c>
      <c r="M92" s="2">
        <v>1050</v>
      </c>
      <c r="N92" s="2">
        <v>1061</v>
      </c>
      <c r="O92" s="2">
        <v>1068.5999999999999</v>
      </c>
      <c r="P92" s="2">
        <v>1078.08</v>
      </c>
      <c r="Q92" s="2">
        <v>1095.4100000000001</v>
      </c>
      <c r="R92" s="2">
        <v>1099.32</v>
      </c>
      <c r="S92" s="2">
        <v>1113.17</v>
      </c>
      <c r="T92" s="2">
        <v>1059.25</v>
      </c>
    </row>
    <row r="93" spans="1:21" x14ac:dyDescent="0.25">
      <c r="A93" t="s">
        <v>888</v>
      </c>
      <c r="I93">
        <v>0.38</v>
      </c>
      <c r="J93">
        <v>0.54</v>
      </c>
      <c r="K93">
        <v>0.51</v>
      </c>
      <c r="L93">
        <v>0.3</v>
      </c>
      <c r="M93">
        <v>0.75</v>
      </c>
      <c r="N93">
        <v>0.85</v>
      </c>
      <c r="O93">
        <v>1.32</v>
      </c>
      <c r="P93">
        <v>1.94</v>
      </c>
      <c r="Q93">
        <v>2.75</v>
      </c>
      <c r="R93">
        <v>5.09</v>
      </c>
      <c r="S93">
        <v>8.81</v>
      </c>
      <c r="T93">
        <v>12.32</v>
      </c>
      <c r="U93">
        <v>16.940000000000001</v>
      </c>
    </row>
    <row r="94" spans="1:21" x14ac:dyDescent="0.25">
      <c r="A94" t="s">
        <v>17</v>
      </c>
    </row>
    <row r="95" spans="1:21" x14ac:dyDescent="0.25">
      <c r="A95" t="s">
        <v>109</v>
      </c>
      <c r="I95" s="2">
        <v>1025.23</v>
      </c>
      <c r="J95" s="2">
        <v>1025.23</v>
      </c>
      <c r="K95" s="2">
        <v>1027.51</v>
      </c>
      <c r="L95" s="2">
        <v>1044.5</v>
      </c>
      <c r="M95" s="2">
        <v>1063</v>
      </c>
      <c r="N95" s="2">
        <v>1068</v>
      </c>
      <c r="O95" s="2">
        <v>1076.51</v>
      </c>
      <c r="P95" s="2">
        <v>1199.1099999999999</v>
      </c>
      <c r="Q95" s="2">
        <v>1085.48</v>
      </c>
      <c r="R95" s="2">
        <v>1082.3599999999999</v>
      </c>
      <c r="S95" s="2">
        <v>1095.98</v>
      </c>
      <c r="T95" s="2">
        <v>1062.94</v>
      </c>
      <c r="U95" s="2">
        <v>1102.32</v>
      </c>
    </row>
    <row r="96" spans="1:21" x14ac:dyDescent="0.25">
      <c r="A96" t="s">
        <v>110</v>
      </c>
      <c r="I96">
        <v>0.38</v>
      </c>
      <c r="J96">
        <v>0.54</v>
      </c>
      <c r="K96">
        <v>0.51</v>
      </c>
      <c r="L96">
        <v>0.28999999999999998</v>
      </c>
      <c r="M96">
        <v>0.75</v>
      </c>
      <c r="N96">
        <v>0.85</v>
      </c>
      <c r="O96">
        <v>1.26</v>
      </c>
      <c r="P96">
        <v>1.88</v>
      </c>
      <c r="Q96">
        <v>2.74</v>
      </c>
      <c r="R96">
        <v>4.7300000000000004</v>
      </c>
      <c r="S96">
        <v>8.7100000000000009</v>
      </c>
      <c r="T96">
        <v>10.86</v>
      </c>
    </row>
    <row r="97" spans="1:21" x14ac:dyDescent="0.25">
      <c r="A97" t="s">
        <v>17</v>
      </c>
    </row>
    <row r="98" spans="1:21" x14ac:dyDescent="0.25">
      <c r="A98" t="s">
        <v>487</v>
      </c>
      <c r="K98">
        <v>0</v>
      </c>
      <c r="L98">
        <v>0</v>
      </c>
      <c r="M98">
        <v>0</v>
      </c>
      <c r="N98">
        <v>0</v>
      </c>
      <c r="O98">
        <v>0</v>
      </c>
      <c r="P98">
        <v>0.11</v>
      </c>
      <c r="Q98">
        <v>0.28999999999999998</v>
      </c>
      <c r="R98">
        <v>1.01</v>
      </c>
      <c r="S98">
        <v>2.02</v>
      </c>
    </row>
    <row r="99" spans="1:21" x14ac:dyDescent="0.25">
      <c r="A99" t="s">
        <v>17</v>
      </c>
    </row>
    <row r="100" spans="1:21" x14ac:dyDescent="0.25">
      <c r="A100" t="s">
        <v>111</v>
      </c>
    </row>
    <row r="101" spans="1:21" x14ac:dyDescent="0.25">
      <c r="A101" t="s">
        <v>62</v>
      </c>
      <c r="L101">
        <v>102</v>
      </c>
      <c r="M101">
        <v>87</v>
      </c>
      <c r="N101">
        <v>88</v>
      </c>
      <c r="O101">
        <v>158.6</v>
      </c>
      <c r="P101">
        <v>729.68</v>
      </c>
      <c r="Q101" s="2">
        <v>1512.6</v>
      </c>
      <c r="R101" s="2">
        <v>3635.13</v>
      </c>
      <c r="S101" s="2">
        <v>7824.27</v>
      </c>
      <c r="T101" s="2">
        <v>11023.32</v>
      </c>
      <c r="U101" s="2">
        <v>12299.51</v>
      </c>
    </row>
    <row r="102" spans="1:21" x14ac:dyDescent="0.25">
      <c r="A102" t="s">
        <v>63</v>
      </c>
      <c r="I102" s="2">
        <v>1882</v>
      </c>
      <c r="J102" s="2">
        <v>2572</v>
      </c>
      <c r="K102" s="2">
        <v>2573</v>
      </c>
      <c r="L102" s="2">
        <v>3131</v>
      </c>
      <c r="M102" s="2">
        <v>3920</v>
      </c>
      <c r="N102" s="2">
        <v>4832</v>
      </c>
      <c r="O102" s="2">
        <v>5900.68</v>
      </c>
      <c r="P102" s="2">
        <v>7436.27</v>
      </c>
      <c r="Q102" s="2">
        <v>9192.2199999999993</v>
      </c>
      <c r="R102" s="2">
        <v>13211.5</v>
      </c>
      <c r="S102" s="2">
        <v>19811.68</v>
      </c>
      <c r="T102" s="2">
        <v>24805.19</v>
      </c>
      <c r="U102" s="2">
        <v>32676.01</v>
      </c>
    </row>
    <row r="103" spans="1:21" x14ac:dyDescent="0.25">
      <c r="A103" t="s">
        <v>64</v>
      </c>
      <c r="I103">
        <v>92.95</v>
      </c>
      <c r="J103">
        <v>95.19</v>
      </c>
      <c r="K103">
        <v>96.49</v>
      </c>
      <c r="L103">
        <v>95.24</v>
      </c>
      <c r="M103">
        <v>97.8</v>
      </c>
      <c r="N103">
        <v>98.2</v>
      </c>
      <c r="O103">
        <v>97.25</v>
      </c>
      <c r="P103">
        <v>91.1</v>
      </c>
      <c r="Q103">
        <v>87.14</v>
      </c>
      <c r="R103">
        <v>78.17</v>
      </c>
      <c r="S103">
        <v>71.010000000000005</v>
      </c>
      <c r="T103">
        <v>68.98</v>
      </c>
      <c r="U103">
        <v>72.650000000000006</v>
      </c>
    </row>
    <row r="104" spans="1:21" x14ac:dyDescent="0.25">
      <c r="A104" t="s">
        <v>1702</v>
      </c>
      <c r="I104" s="2">
        <v>1578</v>
      </c>
      <c r="J104" s="2">
        <v>1841</v>
      </c>
      <c r="K104" s="2">
        <v>1790</v>
      </c>
      <c r="L104" s="2">
        <v>1723</v>
      </c>
      <c r="M104" s="2">
        <v>2049</v>
      </c>
      <c r="N104" s="2">
        <v>2717</v>
      </c>
      <c r="O104" s="2">
        <v>3198.64</v>
      </c>
      <c r="P104" s="2">
        <v>3730.15</v>
      </c>
      <c r="Q104" s="2">
        <v>4338.28</v>
      </c>
      <c r="R104" s="2">
        <v>5612.73</v>
      </c>
      <c r="S104" s="2">
        <v>6688.07</v>
      </c>
      <c r="T104" s="2">
        <v>7314.05</v>
      </c>
      <c r="U104" s="2">
        <v>7915.69</v>
      </c>
    </row>
    <row r="105" spans="1:21" x14ac:dyDescent="0.25">
      <c r="A105" t="s">
        <v>114</v>
      </c>
      <c r="L105" s="2">
        <v>1128</v>
      </c>
      <c r="M105" s="2">
        <v>1340</v>
      </c>
      <c r="N105" s="2">
        <v>1911</v>
      </c>
      <c r="O105" s="2">
        <v>2237.11</v>
      </c>
      <c r="P105" s="2">
        <v>2659.41</v>
      </c>
      <c r="Q105" s="2">
        <v>3108.49</v>
      </c>
      <c r="R105" s="2">
        <v>4161.41</v>
      </c>
      <c r="S105" s="2">
        <v>4913.54</v>
      </c>
      <c r="T105" s="2">
        <v>5338.57</v>
      </c>
      <c r="U105" s="2">
        <v>4992.28</v>
      </c>
    </row>
    <row r="106" spans="1:21" x14ac:dyDescent="0.25">
      <c r="A106" t="s">
        <v>298</v>
      </c>
      <c r="L106">
        <v>595</v>
      </c>
      <c r="M106">
        <v>709</v>
      </c>
      <c r="N106">
        <v>806</v>
      </c>
      <c r="O106">
        <v>867.36</v>
      </c>
      <c r="P106" s="2">
        <v>1037.94</v>
      </c>
      <c r="Q106" s="2">
        <v>1235.31</v>
      </c>
      <c r="R106" s="2">
        <v>1571.12</v>
      </c>
      <c r="S106" s="2">
        <v>1982.4</v>
      </c>
      <c r="T106" s="2">
        <v>1975.47</v>
      </c>
      <c r="U106" s="2">
        <v>2923.41</v>
      </c>
    </row>
    <row r="107" spans="1:21" x14ac:dyDescent="0.25">
      <c r="A107" t="s">
        <v>116</v>
      </c>
      <c r="I107">
        <v>783</v>
      </c>
      <c r="J107">
        <v>731</v>
      </c>
      <c r="K107">
        <v>783</v>
      </c>
      <c r="L107" s="2">
        <v>1408</v>
      </c>
      <c r="M107" s="2">
        <v>1871</v>
      </c>
      <c r="N107" s="2">
        <v>2115</v>
      </c>
      <c r="O107" s="2">
        <v>2687.54</v>
      </c>
      <c r="P107" s="2">
        <v>3637.42</v>
      </c>
      <c r="Q107" s="2">
        <v>4742.24</v>
      </c>
      <c r="R107" s="2">
        <v>8277.23</v>
      </c>
      <c r="S107" s="2">
        <v>13422.46</v>
      </c>
      <c r="T107" s="2">
        <v>17491</v>
      </c>
      <c r="U107" s="2">
        <v>24760</v>
      </c>
    </row>
    <row r="108" spans="1:21" x14ac:dyDescent="0.25">
      <c r="A108" t="s">
        <v>269</v>
      </c>
      <c r="I108">
        <v>15</v>
      </c>
      <c r="J108">
        <v>27.04</v>
      </c>
      <c r="K108">
        <v>29.23</v>
      </c>
      <c r="L108">
        <v>43.55</v>
      </c>
      <c r="M108">
        <v>46.69</v>
      </c>
      <c r="N108">
        <v>42.99</v>
      </c>
      <c r="O108">
        <v>44.61</v>
      </c>
      <c r="P108">
        <v>45.73</v>
      </c>
      <c r="Q108">
        <v>44.59</v>
      </c>
      <c r="R108">
        <v>46.52</v>
      </c>
      <c r="S108">
        <v>49.16</v>
      </c>
      <c r="T108">
        <v>48.49</v>
      </c>
      <c r="U108">
        <v>55.05</v>
      </c>
    </row>
    <row r="109" spans="1:21" x14ac:dyDescent="0.25">
      <c r="A109" t="s">
        <v>398</v>
      </c>
      <c r="L109">
        <v>110</v>
      </c>
      <c r="M109">
        <v>116</v>
      </c>
      <c r="N109">
        <v>111</v>
      </c>
    </row>
    <row r="110" spans="1:21" x14ac:dyDescent="0.25">
      <c r="A110" t="s">
        <v>120</v>
      </c>
      <c r="L110">
        <v>205</v>
      </c>
      <c r="M110">
        <v>260</v>
      </c>
      <c r="N110">
        <v>333</v>
      </c>
      <c r="O110">
        <v>422.2</v>
      </c>
      <c r="P110">
        <v>574.66999999999996</v>
      </c>
      <c r="Q110">
        <v>728.77</v>
      </c>
      <c r="R110" s="2">
        <v>1230.82</v>
      </c>
      <c r="S110" s="2">
        <v>2244.98</v>
      </c>
      <c r="T110" s="2">
        <v>2909.31</v>
      </c>
      <c r="U110" s="2">
        <v>3940.92</v>
      </c>
    </row>
    <row r="111" spans="1:21" x14ac:dyDescent="0.25">
      <c r="A111" t="s">
        <v>119</v>
      </c>
      <c r="I111">
        <v>650</v>
      </c>
      <c r="J111">
        <v>829</v>
      </c>
      <c r="K111">
        <v>671</v>
      </c>
      <c r="L111">
        <v>212</v>
      </c>
      <c r="M111" s="2">
        <v>1997</v>
      </c>
      <c r="N111" s="2">
        <v>2222</v>
      </c>
      <c r="O111" s="2">
        <v>2800.28</v>
      </c>
      <c r="P111" s="2">
        <v>3730.26</v>
      </c>
      <c r="Q111" s="2">
        <v>4778.13</v>
      </c>
      <c r="R111" s="2">
        <v>8231.7800000000007</v>
      </c>
      <c r="S111" s="2">
        <v>14179.56</v>
      </c>
      <c r="T111" s="2">
        <v>17977</v>
      </c>
      <c r="U111" s="2">
        <v>25425</v>
      </c>
    </row>
    <row r="112" spans="1:21" x14ac:dyDescent="0.25">
      <c r="A112" t="s">
        <v>117</v>
      </c>
      <c r="I112">
        <v>984</v>
      </c>
      <c r="J112">
        <v>916</v>
      </c>
      <c r="K112">
        <v>953</v>
      </c>
      <c r="L112" s="2">
        <v>1570</v>
      </c>
      <c r="M112" s="2">
        <v>2054</v>
      </c>
      <c r="N112" s="2">
        <v>2364</v>
      </c>
      <c r="O112" s="2">
        <v>2930.64</v>
      </c>
      <c r="P112" s="2">
        <v>3891.25</v>
      </c>
      <c r="Q112" s="2">
        <v>5380.9</v>
      </c>
      <c r="R112" s="2">
        <v>8545.7800000000007</v>
      </c>
      <c r="S112" s="2">
        <v>13606.56</v>
      </c>
      <c r="T112" s="2">
        <v>17800</v>
      </c>
      <c r="U112" s="2">
        <v>25073</v>
      </c>
    </row>
    <row r="113" spans="1:21" x14ac:dyDescent="0.25">
      <c r="A113" t="s">
        <v>1703</v>
      </c>
      <c r="I113">
        <v>21.71</v>
      </c>
      <c r="J113">
        <v>30.26</v>
      </c>
      <c r="K113">
        <v>31.39</v>
      </c>
      <c r="L113">
        <v>8.44</v>
      </c>
      <c r="M113">
        <v>26.29</v>
      </c>
      <c r="N113">
        <v>23.35</v>
      </c>
      <c r="O113">
        <v>48.55</v>
      </c>
      <c r="P113">
        <v>47.09</v>
      </c>
      <c r="Q113">
        <v>47.12</v>
      </c>
      <c r="R113">
        <v>46.48</v>
      </c>
      <c r="S113">
        <v>48.66</v>
      </c>
      <c r="T113">
        <v>49.35</v>
      </c>
      <c r="U113">
        <v>55.75</v>
      </c>
    </row>
    <row r="114" spans="1:21" x14ac:dyDescent="0.25">
      <c r="A114" t="s">
        <v>121</v>
      </c>
      <c r="I114">
        <v>207</v>
      </c>
      <c r="J114">
        <v>663</v>
      </c>
      <c r="K114">
        <v>657</v>
      </c>
      <c r="L114" s="2">
        <v>1324</v>
      </c>
      <c r="M114" s="2">
        <v>1737</v>
      </c>
      <c r="N114" s="2">
        <v>1889</v>
      </c>
      <c r="O114" s="2">
        <v>2411.1799999999998</v>
      </c>
      <c r="P114" s="2">
        <v>3329.45</v>
      </c>
      <c r="Q114" s="2">
        <v>4252.26</v>
      </c>
      <c r="R114" s="2">
        <v>6670.42</v>
      </c>
      <c r="S114" s="2">
        <v>11325.75</v>
      </c>
      <c r="T114" s="2">
        <v>15068</v>
      </c>
      <c r="U114" s="2">
        <v>21484</v>
      </c>
    </row>
    <row r="115" spans="1:21" x14ac:dyDescent="0.25">
      <c r="A115" t="s">
        <v>121</v>
      </c>
      <c r="I115">
        <v>207</v>
      </c>
      <c r="J115">
        <v>663</v>
      </c>
      <c r="K115">
        <v>657</v>
      </c>
      <c r="L115" s="2">
        <v>2143.23</v>
      </c>
      <c r="M115" s="2">
        <v>1737</v>
      </c>
      <c r="N115" s="2">
        <v>1889</v>
      </c>
      <c r="O115" s="2">
        <v>2411.1799999999998</v>
      </c>
      <c r="P115" s="2">
        <v>3329.45</v>
      </c>
      <c r="Q115" s="2">
        <v>4252.26</v>
      </c>
      <c r="R115" s="2">
        <v>6670.42</v>
      </c>
      <c r="S115" s="2">
        <v>11325.75</v>
      </c>
      <c r="T115" s="2">
        <v>15068</v>
      </c>
      <c r="U115" s="2">
        <v>21484</v>
      </c>
    </row>
    <row r="116" spans="1:21" x14ac:dyDescent="0.25">
      <c r="A116" t="s">
        <v>1704</v>
      </c>
      <c r="I116">
        <v>10.210000000000001</v>
      </c>
      <c r="J116">
        <v>24.53</v>
      </c>
      <c r="K116">
        <v>24.52</v>
      </c>
      <c r="L116">
        <v>40.950000000000003</v>
      </c>
      <c r="M116">
        <v>43.35</v>
      </c>
      <c r="N116">
        <v>38.39</v>
      </c>
      <c r="O116">
        <v>39.71</v>
      </c>
      <c r="P116">
        <v>40.18</v>
      </c>
      <c r="Q116">
        <v>38.99</v>
      </c>
      <c r="R116">
        <v>38.36</v>
      </c>
      <c r="S116">
        <v>40.32</v>
      </c>
      <c r="T116">
        <v>41.74</v>
      </c>
      <c r="U116">
        <v>47.77</v>
      </c>
    </row>
    <row r="117" spans="1:21" x14ac:dyDescent="0.25">
      <c r="A117" t="s">
        <v>123</v>
      </c>
      <c r="L117" s="2">
        <v>1044.5</v>
      </c>
      <c r="M117" s="2">
        <v>1063</v>
      </c>
      <c r="N117" s="2">
        <v>1068</v>
      </c>
      <c r="O117" s="2">
        <v>1076.06</v>
      </c>
      <c r="P117" s="2">
        <v>1212.6500000000001</v>
      </c>
      <c r="Q117" s="2">
        <v>1087.3599999999999</v>
      </c>
      <c r="R117" s="2">
        <v>1083.17</v>
      </c>
      <c r="S117" s="2">
        <v>1090.4000000000001</v>
      </c>
      <c r="T117" s="2">
        <v>1079.97</v>
      </c>
      <c r="U117" s="2">
        <v>1102.1099999999999</v>
      </c>
    </row>
    <row r="118" spans="1:21" x14ac:dyDescent="0.25">
      <c r="A118" t="s">
        <v>124</v>
      </c>
      <c r="I118">
        <v>0.2</v>
      </c>
      <c r="J118">
        <v>0.65</v>
      </c>
      <c r="K118">
        <v>0.64</v>
      </c>
      <c r="L118">
        <v>2.0499999999999998</v>
      </c>
      <c r="M118">
        <v>1.63</v>
      </c>
      <c r="N118">
        <v>1.77</v>
      </c>
      <c r="O118">
        <v>2.2400000000000002</v>
      </c>
      <c r="P118">
        <v>3.1</v>
      </c>
      <c r="Q118">
        <v>4.01</v>
      </c>
      <c r="R118">
        <v>6.7</v>
      </c>
      <c r="S118">
        <v>10.31</v>
      </c>
      <c r="T118">
        <v>13.87</v>
      </c>
      <c r="U118">
        <v>19.489999999999998</v>
      </c>
    </row>
    <row r="119" spans="1:21" x14ac:dyDescent="0.25">
      <c r="A119" t="s">
        <v>297</v>
      </c>
      <c r="L119">
        <v>1.29</v>
      </c>
      <c r="M119">
        <v>1.65</v>
      </c>
      <c r="N119">
        <v>1.78</v>
      </c>
      <c r="O119">
        <v>2.21</v>
      </c>
      <c r="P119">
        <v>2.95</v>
      </c>
      <c r="Q119">
        <v>4.0999999999999996</v>
      </c>
      <c r="R119">
        <v>5.98</v>
      </c>
      <c r="S119">
        <v>10.18</v>
      </c>
      <c r="T119">
        <v>11.65</v>
      </c>
    </row>
    <row r="120" spans="1:21" x14ac:dyDescent="0.25">
      <c r="A120" t="s">
        <v>17</v>
      </c>
    </row>
    <row r="121" spans="1:21" x14ac:dyDescent="0.25">
      <c r="A121" t="s">
        <v>125</v>
      </c>
    </row>
    <row r="122" spans="1:21" x14ac:dyDescent="0.25">
      <c r="A122" t="s">
        <v>67</v>
      </c>
      <c r="I122">
        <v>41</v>
      </c>
      <c r="J122">
        <v>30</v>
      </c>
      <c r="K122">
        <v>60</v>
      </c>
      <c r="L122" s="2">
        <v>1037</v>
      </c>
      <c r="M122">
        <v>820</v>
      </c>
      <c r="N122" s="2">
        <v>1052</v>
      </c>
      <c r="O122" s="2">
        <v>1173.6099999999999</v>
      </c>
      <c r="P122" s="2">
        <v>1372.11</v>
      </c>
      <c r="Q122" s="2">
        <v>1694.44</v>
      </c>
      <c r="R122" s="2">
        <v>1814.84</v>
      </c>
      <c r="S122" s="2">
        <v>1855.86</v>
      </c>
      <c r="T122" s="2">
        <v>2077.6</v>
      </c>
      <c r="U122" s="2">
        <v>3562.06</v>
      </c>
    </row>
    <row r="123" spans="1:21" x14ac:dyDescent="0.25">
      <c r="A123" t="s">
        <v>126</v>
      </c>
      <c r="I123">
        <v>2</v>
      </c>
      <c r="J123">
        <v>1</v>
      </c>
      <c r="K123">
        <v>12</v>
      </c>
      <c r="L123">
        <v>39</v>
      </c>
      <c r="M123">
        <v>26</v>
      </c>
      <c r="N123">
        <v>29</v>
      </c>
      <c r="O123">
        <v>32.25</v>
      </c>
      <c r="P123">
        <v>37.35</v>
      </c>
      <c r="Q123">
        <v>34.54</v>
      </c>
      <c r="R123">
        <v>44.63</v>
      </c>
      <c r="S123">
        <v>50.27</v>
      </c>
      <c r="T123">
        <v>38.979999999999997</v>
      </c>
    </row>
    <row r="124" spans="1:21" x14ac:dyDescent="0.25">
      <c r="A124" t="s">
        <v>284</v>
      </c>
      <c r="I124">
        <v>29</v>
      </c>
      <c r="J124">
        <v>7</v>
      </c>
      <c r="K124">
        <v>102</v>
      </c>
      <c r="L124">
        <v>301</v>
      </c>
      <c r="M124">
        <v>218</v>
      </c>
      <c r="N124">
        <v>261</v>
      </c>
      <c r="O124">
        <v>352.15</v>
      </c>
      <c r="P124">
        <v>375.82</v>
      </c>
      <c r="Q124">
        <v>384.47</v>
      </c>
      <c r="R124">
        <v>322.70999999999998</v>
      </c>
      <c r="S124">
        <v>359.62</v>
      </c>
      <c r="T124">
        <v>349.21</v>
      </c>
    </row>
    <row r="125" spans="1:21" x14ac:dyDescent="0.25">
      <c r="A125" t="s">
        <v>114</v>
      </c>
      <c r="I125">
        <v>23</v>
      </c>
      <c r="J125">
        <v>18</v>
      </c>
      <c r="K125">
        <v>212</v>
      </c>
      <c r="L125">
        <v>728</v>
      </c>
      <c r="M125">
        <v>576</v>
      </c>
      <c r="N125">
        <v>762</v>
      </c>
      <c r="O125">
        <v>783.19</v>
      </c>
      <c r="P125">
        <v>731.85</v>
      </c>
      <c r="Q125">
        <v>742.51</v>
      </c>
      <c r="R125" s="2">
        <v>1109.8599999999999</v>
      </c>
      <c r="S125" s="2">
        <v>1250.96</v>
      </c>
      <c r="T125">
        <v>954.66</v>
      </c>
    </row>
    <row r="126" spans="1:21" x14ac:dyDescent="0.25">
      <c r="A126" t="s">
        <v>130</v>
      </c>
      <c r="I126">
        <v>74</v>
      </c>
      <c r="J126">
        <v>30</v>
      </c>
      <c r="K126">
        <v>-20</v>
      </c>
      <c r="L126">
        <v>-299</v>
      </c>
      <c r="M126">
        <v>-332</v>
      </c>
      <c r="N126">
        <v>-80</v>
      </c>
      <c r="O126">
        <v>-190.55</v>
      </c>
      <c r="P126">
        <v>-185.93</v>
      </c>
      <c r="Q126">
        <v>-210.83</v>
      </c>
      <c r="R126">
        <v>-343.08</v>
      </c>
      <c r="S126">
        <v>-318.14999999999998</v>
      </c>
      <c r="T126">
        <v>-402.8</v>
      </c>
      <c r="U126">
        <v>-748.03</v>
      </c>
    </row>
    <row r="127" spans="1:21" x14ac:dyDescent="0.25">
      <c r="A127" t="s">
        <v>17</v>
      </c>
    </row>
    <row r="128" spans="1:21" x14ac:dyDescent="0.25">
      <c r="A128" t="s">
        <v>134</v>
      </c>
    </row>
    <row r="129" spans="1:21" x14ac:dyDescent="0.25">
      <c r="A129" t="s">
        <v>135</v>
      </c>
    </row>
    <row r="130" spans="1:21" x14ac:dyDescent="0.25">
      <c r="A130" t="s">
        <v>136</v>
      </c>
      <c r="J130" s="2">
        <v>3092</v>
      </c>
      <c r="K130" s="2">
        <v>3537</v>
      </c>
      <c r="L130" s="2">
        <v>4197</v>
      </c>
      <c r="M130" s="2">
        <v>4830</v>
      </c>
      <c r="N130" s="2">
        <v>6236</v>
      </c>
      <c r="O130" s="2">
        <v>8162.93</v>
      </c>
      <c r="P130" s="2">
        <v>10978.81</v>
      </c>
      <c r="Q130" s="2">
        <v>14572.87</v>
      </c>
      <c r="R130" s="2">
        <v>21697.87</v>
      </c>
      <c r="S130" s="2">
        <v>33920.93</v>
      </c>
      <c r="T130" s="2">
        <v>42812.91</v>
      </c>
      <c r="U130" s="2">
        <v>70742.66</v>
      </c>
    </row>
    <row r="131" spans="1:21" x14ac:dyDescent="0.25">
      <c r="A131" t="s">
        <v>137</v>
      </c>
      <c r="J131" s="2">
        <v>1635</v>
      </c>
      <c r="K131" s="2">
        <v>2215</v>
      </c>
      <c r="L131" s="2">
        <v>2923</v>
      </c>
      <c r="M131" s="2">
        <v>2825</v>
      </c>
      <c r="N131" s="2">
        <v>3601</v>
      </c>
      <c r="O131" s="2">
        <v>4992.25</v>
      </c>
      <c r="P131" s="2">
        <v>7445.77</v>
      </c>
      <c r="Q131" s="2">
        <v>10705.22</v>
      </c>
      <c r="R131" s="2">
        <v>15711.33</v>
      </c>
      <c r="S131" s="2">
        <v>26760.080000000002</v>
      </c>
      <c r="T131" s="2">
        <v>45640.71</v>
      </c>
      <c r="U131" s="2">
        <v>63590.37</v>
      </c>
    </row>
    <row r="132" spans="1:21" x14ac:dyDescent="0.25">
      <c r="A132" t="s">
        <v>139</v>
      </c>
      <c r="J132" s="2">
        <v>1004</v>
      </c>
      <c r="K132" s="2">
        <v>1554</v>
      </c>
      <c r="L132" s="2">
        <v>1923</v>
      </c>
      <c r="M132" s="2">
        <v>2085</v>
      </c>
      <c r="N132" s="2">
        <v>2751</v>
      </c>
      <c r="O132" s="2">
        <v>3906.95</v>
      </c>
      <c r="P132" s="2">
        <v>5859.52</v>
      </c>
      <c r="Q132" s="2">
        <v>8048.15</v>
      </c>
      <c r="R132" s="2">
        <v>12604.89</v>
      </c>
      <c r="S132" s="2">
        <v>18098.23</v>
      </c>
      <c r="T132" s="2">
        <v>18709.88</v>
      </c>
      <c r="U132" s="2">
        <v>19949.650000000001</v>
      </c>
    </row>
    <row r="133" spans="1:21" x14ac:dyDescent="0.25">
      <c r="A133" t="s">
        <v>140</v>
      </c>
      <c r="J133">
        <v>631</v>
      </c>
      <c r="K133">
        <v>661</v>
      </c>
      <c r="L133" s="2">
        <v>1000</v>
      </c>
      <c r="M133">
        <v>740</v>
      </c>
      <c r="N133">
        <v>850</v>
      </c>
      <c r="O133">
        <v>975.3</v>
      </c>
      <c r="P133" s="2">
        <v>1168.6099999999999</v>
      </c>
      <c r="Q133" s="2">
        <v>1432.2</v>
      </c>
      <c r="R133" s="2">
        <v>2504.38</v>
      </c>
      <c r="S133" s="2">
        <v>3676.3</v>
      </c>
      <c r="T133" s="2">
        <v>14915.62</v>
      </c>
      <c r="U133" s="2">
        <v>43640.71</v>
      </c>
    </row>
    <row r="134" spans="1:21" x14ac:dyDescent="0.25">
      <c r="A134" t="s">
        <v>141</v>
      </c>
      <c r="J134" s="2">
        <v>1124</v>
      </c>
      <c r="K134">
        <v>999</v>
      </c>
      <c r="L134">
        <v>781</v>
      </c>
      <c r="M134" s="2">
        <v>1107</v>
      </c>
      <c r="N134" s="2">
        <v>1300</v>
      </c>
      <c r="O134" s="2">
        <v>1741.29</v>
      </c>
      <c r="P134" s="2">
        <v>2218.52</v>
      </c>
      <c r="Q134" s="2">
        <v>2848.05</v>
      </c>
      <c r="R134" s="2">
        <v>4198.95</v>
      </c>
      <c r="S134" s="2">
        <v>6563.82</v>
      </c>
      <c r="T134" s="2">
        <v>7353.11</v>
      </c>
      <c r="U134" s="2">
        <v>4441.62</v>
      </c>
    </row>
    <row r="135" spans="1:21" x14ac:dyDescent="0.25">
      <c r="A135" t="s">
        <v>1129</v>
      </c>
      <c r="J135">
        <v>166</v>
      </c>
      <c r="K135">
        <v>154</v>
      </c>
      <c r="L135">
        <v>336</v>
      </c>
      <c r="M135">
        <v>642</v>
      </c>
      <c r="N135">
        <v>977</v>
      </c>
      <c r="O135">
        <v>967.72</v>
      </c>
      <c r="P135" s="2">
        <v>1034.99</v>
      </c>
      <c r="Q135" s="2">
        <v>1170.71</v>
      </c>
      <c r="R135" s="2">
        <v>1549.17</v>
      </c>
      <c r="S135" s="2">
        <v>2109.87</v>
      </c>
      <c r="T135" s="2">
        <v>1474.3</v>
      </c>
      <c r="U135" s="2">
        <v>2352.6799999999998</v>
      </c>
    </row>
    <row r="136" spans="1:21" x14ac:dyDescent="0.25">
      <c r="A136" t="s">
        <v>1705</v>
      </c>
      <c r="J136">
        <v>167</v>
      </c>
      <c r="K136">
        <v>169</v>
      </c>
      <c r="L136">
        <v>157</v>
      </c>
      <c r="M136">
        <v>256</v>
      </c>
      <c r="N136">
        <v>358</v>
      </c>
      <c r="O136">
        <v>432.52</v>
      </c>
      <c r="P136">
        <v>514.47</v>
      </c>
      <c r="Q136">
        <v>455.04</v>
      </c>
      <c r="R136">
        <v>443.18</v>
      </c>
      <c r="S136">
        <v>451.63</v>
      </c>
      <c r="T136">
        <v>360</v>
      </c>
      <c r="U136">
        <v>358</v>
      </c>
    </row>
    <row r="137" spans="1:21" x14ac:dyDescent="0.25">
      <c r="A137" t="s">
        <v>146</v>
      </c>
      <c r="J137" s="2">
        <v>3418</v>
      </c>
      <c r="K137" s="2">
        <v>3329</v>
      </c>
      <c r="L137" s="2">
        <v>3730</v>
      </c>
      <c r="M137" s="2">
        <v>4102</v>
      </c>
      <c r="N137" s="2">
        <v>4467</v>
      </c>
      <c r="O137" s="2">
        <v>4916.87</v>
      </c>
      <c r="P137" s="2">
        <v>5286.2</v>
      </c>
      <c r="Q137" s="2">
        <v>5492.91</v>
      </c>
      <c r="R137" s="2">
        <v>5198.68</v>
      </c>
      <c r="S137" s="2">
        <v>5637.5</v>
      </c>
      <c r="T137" s="2">
        <v>5541.55</v>
      </c>
      <c r="U137" s="2">
        <v>4807.59</v>
      </c>
    </row>
    <row r="138" spans="1:21" x14ac:dyDescent="0.25">
      <c r="A138" t="s">
        <v>1706</v>
      </c>
      <c r="J138">
        <v>188</v>
      </c>
      <c r="K138">
        <v>185</v>
      </c>
      <c r="L138">
        <v>215</v>
      </c>
      <c r="M138">
        <v>394</v>
      </c>
      <c r="N138">
        <v>772</v>
      </c>
      <c r="O138" s="2">
        <v>1024.77</v>
      </c>
      <c r="P138" s="2">
        <v>1298.82</v>
      </c>
      <c r="Q138" s="2">
        <v>1719.38</v>
      </c>
      <c r="R138" s="2">
        <v>1833.3</v>
      </c>
      <c r="S138" s="2">
        <v>2394.0700000000002</v>
      </c>
      <c r="T138" s="2">
        <v>1937.36</v>
      </c>
      <c r="U138" s="2">
        <v>1282.77</v>
      </c>
    </row>
    <row r="139" spans="1:21" x14ac:dyDescent="0.25">
      <c r="A139" t="s">
        <v>1707</v>
      </c>
      <c r="J139">
        <v>229</v>
      </c>
      <c r="K139">
        <v>206</v>
      </c>
      <c r="L139">
        <v>205</v>
      </c>
      <c r="M139">
        <v>320</v>
      </c>
      <c r="N139">
        <v>379</v>
      </c>
      <c r="O139">
        <v>406.88</v>
      </c>
      <c r="P139">
        <v>414.25</v>
      </c>
      <c r="Q139">
        <v>426.83</v>
      </c>
      <c r="R139">
        <v>467.33</v>
      </c>
      <c r="S139">
        <v>487</v>
      </c>
      <c r="T139">
        <v>557</v>
      </c>
      <c r="U139">
        <v>792</v>
      </c>
    </row>
    <row r="140" spans="1:21" x14ac:dyDescent="0.25">
      <c r="A140" t="s">
        <v>1708</v>
      </c>
      <c r="J140">
        <v>736</v>
      </c>
      <c r="K140">
        <v>723</v>
      </c>
      <c r="L140">
        <v>741</v>
      </c>
      <c r="M140">
        <v>565</v>
      </c>
      <c r="N140">
        <v>387</v>
      </c>
      <c r="O140">
        <v>597.87</v>
      </c>
      <c r="P140">
        <v>650.07000000000005</v>
      </c>
      <c r="Q140">
        <v>684.83</v>
      </c>
      <c r="R140">
        <v>566.5</v>
      </c>
      <c r="S140">
        <v>567.75</v>
      </c>
      <c r="T140">
        <v>408</v>
      </c>
      <c r="U140">
        <v>457</v>
      </c>
    </row>
    <row r="141" spans="1:21" x14ac:dyDescent="0.25">
      <c r="A141" t="s">
        <v>1129</v>
      </c>
      <c r="J141">
        <v>100</v>
      </c>
      <c r="K141">
        <v>116</v>
      </c>
      <c r="L141">
        <v>240</v>
      </c>
      <c r="M141">
        <v>346</v>
      </c>
      <c r="N141">
        <v>320</v>
      </c>
      <c r="O141">
        <v>371.38</v>
      </c>
      <c r="P141">
        <v>369.59</v>
      </c>
      <c r="Q141">
        <v>416.52</v>
      </c>
      <c r="R141">
        <v>521.47</v>
      </c>
      <c r="S141">
        <v>695.71</v>
      </c>
      <c r="T141">
        <v>299</v>
      </c>
      <c r="U141">
        <v>320</v>
      </c>
    </row>
    <row r="142" spans="1:21" x14ac:dyDescent="0.25">
      <c r="A142" t="s">
        <v>311</v>
      </c>
      <c r="J142">
        <v>135</v>
      </c>
      <c r="K142">
        <v>139</v>
      </c>
      <c r="L142">
        <v>282</v>
      </c>
      <c r="M142">
        <v>401</v>
      </c>
      <c r="N142">
        <v>375</v>
      </c>
      <c r="O142">
        <v>412.6</v>
      </c>
      <c r="P142">
        <v>415.29</v>
      </c>
      <c r="Q142">
        <v>411.4</v>
      </c>
      <c r="R142">
        <v>402.33</v>
      </c>
      <c r="S142">
        <v>402.33</v>
      </c>
      <c r="T142">
        <v>407</v>
      </c>
      <c r="U142">
        <v>375</v>
      </c>
    </row>
    <row r="143" spans="1:21" x14ac:dyDescent="0.25">
      <c r="A143" t="s">
        <v>496</v>
      </c>
      <c r="J143" s="2">
        <v>1636</v>
      </c>
      <c r="K143" s="2">
        <v>1620</v>
      </c>
      <c r="L143" s="2">
        <v>1625</v>
      </c>
      <c r="M143" s="2">
        <v>1620</v>
      </c>
      <c r="N143" s="2">
        <v>1623</v>
      </c>
      <c r="O143" s="2">
        <v>1628.01</v>
      </c>
      <c r="P143" s="2">
        <v>1619.7</v>
      </c>
      <c r="Q143" s="2">
        <v>1590.31</v>
      </c>
      <c r="R143" s="2">
        <v>1623.2</v>
      </c>
      <c r="S143" s="2">
        <v>1623.22</v>
      </c>
      <c r="T143" s="2">
        <v>1624</v>
      </c>
      <c r="U143" s="2">
        <v>1623</v>
      </c>
    </row>
    <row r="144" spans="1:21" x14ac:dyDescent="0.25">
      <c r="A144" t="s">
        <v>1709</v>
      </c>
      <c r="J144">
        <v>205</v>
      </c>
      <c r="K144">
        <v>138</v>
      </c>
      <c r="L144">
        <v>152</v>
      </c>
      <c r="M144">
        <v>151</v>
      </c>
      <c r="N144">
        <v>230</v>
      </c>
      <c r="O144">
        <v>245.55</v>
      </c>
      <c r="P144">
        <v>294.92</v>
      </c>
      <c r="Q144">
        <v>220.06</v>
      </c>
      <c r="R144">
        <v>222.38</v>
      </c>
      <c r="S144">
        <v>264.67</v>
      </c>
      <c r="T144">
        <v>157.19</v>
      </c>
      <c r="U144">
        <v>71.819999999999993</v>
      </c>
    </row>
    <row r="145" spans="1:21" x14ac:dyDescent="0.25">
      <c r="A145" t="s">
        <v>541</v>
      </c>
      <c r="J145">
        <v>289</v>
      </c>
      <c r="K145">
        <v>318</v>
      </c>
      <c r="L145">
        <v>510</v>
      </c>
      <c r="M145">
        <v>651</v>
      </c>
      <c r="N145">
        <v>632</v>
      </c>
      <c r="O145" s="2">
        <v>1102.67</v>
      </c>
      <c r="P145" s="2">
        <v>1486.67</v>
      </c>
      <c r="Q145" s="2">
        <v>2578</v>
      </c>
      <c r="R145" s="2">
        <v>4502</v>
      </c>
      <c r="S145" s="2">
        <v>5506</v>
      </c>
    </row>
    <row r="146" spans="1:21" x14ac:dyDescent="0.25">
      <c r="A146" t="s">
        <v>312</v>
      </c>
      <c r="J146" s="2">
        <v>1841</v>
      </c>
      <c r="K146" s="2">
        <v>1758</v>
      </c>
      <c r="L146" s="2">
        <v>1777</v>
      </c>
      <c r="M146" s="2">
        <v>1771</v>
      </c>
      <c r="N146" s="2">
        <v>1853</v>
      </c>
      <c r="O146" s="2">
        <v>1853</v>
      </c>
    </row>
    <row r="147" spans="1:21" x14ac:dyDescent="0.25">
      <c r="A147" t="s">
        <v>78</v>
      </c>
      <c r="J147">
        <v>189</v>
      </c>
      <c r="K147">
        <v>202</v>
      </c>
      <c r="L147">
        <v>270</v>
      </c>
      <c r="M147">
        <v>305</v>
      </c>
      <c r="N147">
        <v>312</v>
      </c>
      <c r="O147">
        <v>298.3</v>
      </c>
      <c r="P147">
        <v>286.5</v>
      </c>
      <c r="Q147">
        <v>278.14</v>
      </c>
      <c r="R147">
        <v>257.25</v>
      </c>
      <c r="S147">
        <v>227.75</v>
      </c>
      <c r="T147">
        <v>117.5</v>
      </c>
      <c r="U147">
        <v>-183</v>
      </c>
    </row>
    <row r="148" spans="1:21" x14ac:dyDescent="0.25">
      <c r="A148" t="s">
        <v>155</v>
      </c>
      <c r="J148" s="2">
        <v>6510</v>
      </c>
      <c r="K148" s="2">
        <v>6866</v>
      </c>
      <c r="L148" s="2">
        <v>7927</v>
      </c>
      <c r="M148" s="2">
        <v>8932</v>
      </c>
      <c r="N148" s="2">
        <v>10703</v>
      </c>
      <c r="O148" s="2">
        <v>13120.99</v>
      </c>
      <c r="P148" s="2">
        <v>16489.099999999999</v>
      </c>
      <c r="Q148" s="2">
        <v>21336.93</v>
      </c>
      <c r="R148" s="2">
        <v>28328.42</v>
      </c>
      <c r="S148" s="2">
        <v>38427.25</v>
      </c>
      <c r="T148" s="2">
        <v>48354.45</v>
      </c>
      <c r="U148" s="2">
        <v>75550.25</v>
      </c>
    </row>
    <row r="149" spans="1:21" x14ac:dyDescent="0.25">
      <c r="A149" t="s">
        <v>17</v>
      </c>
    </row>
    <row r="150" spans="1:21" x14ac:dyDescent="0.25">
      <c r="A150" t="s">
        <v>156</v>
      </c>
    </row>
    <row r="151" spans="1:21" x14ac:dyDescent="0.25">
      <c r="A151" t="s">
        <v>157</v>
      </c>
      <c r="J151" s="2">
        <v>1395</v>
      </c>
      <c r="K151" s="2">
        <v>1363</v>
      </c>
      <c r="L151" s="2">
        <v>1505</v>
      </c>
      <c r="M151">
        <v>929</v>
      </c>
      <c r="N151" s="2">
        <v>1040</v>
      </c>
      <c r="O151" s="2">
        <v>1410.15</v>
      </c>
      <c r="P151" s="2">
        <v>1801.02</v>
      </c>
      <c r="Q151" s="2">
        <v>2053.2399999999998</v>
      </c>
      <c r="R151" s="2">
        <v>2303.04</v>
      </c>
      <c r="S151" s="2">
        <v>2522.9</v>
      </c>
      <c r="T151" s="2">
        <v>1363.99</v>
      </c>
      <c r="U151" s="2">
        <v>1749.67</v>
      </c>
    </row>
    <row r="152" spans="1:21" x14ac:dyDescent="0.25">
      <c r="A152" t="s">
        <v>606</v>
      </c>
      <c r="J152">
        <v>642</v>
      </c>
      <c r="K152">
        <v>589</v>
      </c>
      <c r="L152">
        <v>298</v>
      </c>
      <c r="M152">
        <v>140</v>
      </c>
      <c r="N152">
        <v>154</v>
      </c>
      <c r="O152">
        <v>187.02</v>
      </c>
      <c r="P152">
        <v>193.37</v>
      </c>
      <c r="Q152">
        <v>232.09</v>
      </c>
      <c r="R152">
        <v>336.15</v>
      </c>
      <c r="S152">
        <v>458.51</v>
      </c>
      <c r="T152">
        <v>281.07</v>
      </c>
      <c r="U152">
        <v>449.7</v>
      </c>
    </row>
    <row r="153" spans="1:21" x14ac:dyDescent="0.25">
      <c r="A153" t="s">
        <v>1710</v>
      </c>
      <c r="J153">
        <v>129</v>
      </c>
      <c r="K153">
        <v>162</v>
      </c>
      <c r="L153">
        <v>147</v>
      </c>
      <c r="M153">
        <v>124</v>
      </c>
      <c r="N153">
        <v>106</v>
      </c>
      <c r="O153">
        <v>122.85</v>
      </c>
      <c r="P153">
        <v>125.67</v>
      </c>
      <c r="Q153">
        <v>142.38</v>
      </c>
      <c r="R153">
        <v>160.06</v>
      </c>
      <c r="S153">
        <v>223.45</v>
      </c>
      <c r="T153">
        <v>101.5</v>
      </c>
      <c r="U153">
        <v>106</v>
      </c>
    </row>
    <row r="154" spans="1:21" x14ac:dyDescent="0.25">
      <c r="A154" t="s">
        <v>202</v>
      </c>
      <c r="J154">
        <v>31</v>
      </c>
      <c r="K154">
        <v>26</v>
      </c>
      <c r="L154">
        <v>27</v>
      </c>
      <c r="M154">
        <v>30</v>
      </c>
      <c r="N154">
        <v>39</v>
      </c>
      <c r="O154">
        <v>41.92</v>
      </c>
      <c r="P154">
        <v>40.119999999999997</v>
      </c>
      <c r="Q154">
        <v>40.380000000000003</v>
      </c>
      <c r="R154">
        <v>40</v>
      </c>
      <c r="S154">
        <v>40</v>
      </c>
      <c r="T154">
        <v>39.5</v>
      </c>
      <c r="U154">
        <v>39</v>
      </c>
    </row>
    <row r="155" spans="1:21" x14ac:dyDescent="0.25">
      <c r="A155" t="s">
        <v>1136</v>
      </c>
      <c r="J155">
        <v>334</v>
      </c>
      <c r="K155">
        <v>293</v>
      </c>
      <c r="L155">
        <v>198</v>
      </c>
      <c r="M155">
        <v>209</v>
      </c>
      <c r="N155">
        <v>294</v>
      </c>
      <c r="O155">
        <v>393.18</v>
      </c>
      <c r="P155">
        <v>693.98</v>
      </c>
      <c r="Q155">
        <v>774.69</v>
      </c>
      <c r="R155">
        <v>353.48</v>
      </c>
      <c r="S155">
        <v>435.09</v>
      </c>
      <c r="T155">
        <v>497.42</v>
      </c>
      <c r="U155">
        <v>707.97</v>
      </c>
    </row>
    <row r="156" spans="1:21" x14ac:dyDescent="0.25">
      <c r="A156" t="s">
        <v>78</v>
      </c>
      <c r="J156">
        <v>259</v>
      </c>
      <c r="K156">
        <v>293</v>
      </c>
      <c r="L156">
        <v>835</v>
      </c>
      <c r="M156">
        <v>426</v>
      </c>
      <c r="N156">
        <v>447</v>
      </c>
      <c r="O156">
        <v>640.11</v>
      </c>
      <c r="P156">
        <v>633.13</v>
      </c>
      <c r="Q156">
        <v>588.57000000000005</v>
      </c>
      <c r="R156">
        <v>508</v>
      </c>
      <c r="S156">
        <v>508</v>
      </c>
      <c r="T156">
        <v>444.5</v>
      </c>
      <c r="U156">
        <v>447</v>
      </c>
    </row>
    <row r="157" spans="1:21" x14ac:dyDescent="0.25">
      <c r="A157" t="s">
        <v>164</v>
      </c>
      <c r="J157" s="2">
        <v>1567</v>
      </c>
      <c r="K157" s="2">
        <v>1452</v>
      </c>
      <c r="L157" s="2">
        <v>1127</v>
      </c>
      <c r="M157" s="2">
        <v>1164</v>
      </c>
      <c r="N157" s="2">
        <v>1377</v>
      </c>
      <c r="O157" s="2">
        <v>1410.81</v>
      </c>
      <c r="P157" s="2">
        <v>1505.81</v>
      </c>
      <c r="Q157" s="2">
        <v>1475.93</v>
      </c>
      <c r="R157" s="2">
        <v>1630.75</v>
      </c>
      <c r="S157" s="2">
        <v>1880.96</v>
      </c>
      <c r="T157" s="2">
        <v>1349</v>
      </c>
      <c r="U157" s="2">
        <v>1377</v>
      </c>
    </row>
    <row r="158" spans="1:21" x14ac:dyDescent="0.25">
      <c r="A158" t="s">
        <v>1711</v>
      </c>
      <c r="J158">
        <v>230</v>
      </c>
      <c r="K158">
        <v>193</v>
      </c>
      <c r="L158">
        <v>194</v>
      </c>
      <c r="M158">
        <v>316</v>
      </c>
      <c r="N158">
        <v>393</v>
      </c>
      <c r="O158">
        <v>410.75</v>
      </c>
      <c r="P158">
        <v>415.83</v>
      </c>
      <c r="Q158">
        <v>412.25</v>
      </c>
      <c r="R158">
        <v>405.8</v>
      </c>
      <c r="S158">
        <v>405.8</v>
      </c>
      <c r="T158">
        <v>395</v>
      </c>
      <c r="U158">
        <v>393</v>
      </c>
    </row>
    <row r="159" spans="1:21" x14ac:dyDescent="0.25">
      <c r="A159" t="s">
        <v>1712</v>
      </c>
      <c r="J159">
        <v>158</v>
      </c>
      <c r="K159">
        <v>152</v>
      </c>
      <c r="L159">
        <v>20</v>
      </c>
      <c r="M159">
        <v>26</v>
      </c>
      <c r="N159">
        <v>32</v>
      </c>
      <c r="O159">
        <v>33.28</v>
      </c>
      <c r="P159">
        <v>34.68</v>
      </c>
      <c r="Q159">
        <v>36.96</v>
      </c>
      <c r="R159">
        <v>45.64</v>
      </c>
      <c r="S159">
        <v>58.4</v>
      </c>
      <c r="T159">
        <v>31</v>
      </c>
      <c r="U159">
        <v>32</v>
      </c>
    </row>
    <row r="160" spans="1:21" x14ac:dyDescent="0.25">
      <c r="A160" t="s">
        <v>501</v>
      </c>
      <c r="J160">
        <v>279</v>
      </c>
      <c r="K160">
        <v>262</v>
      </c>
      <c r="L160">
        <v>135</v>
      </c>
      <c r="M160">
        <v>41</v>
      </c>
      <c r="N160">
        <v>39</v>
      </c>
      <c r="O160">
        <v>25.62</v>
      </c>
      <c r="P160">
        <v>25.66</v>
      </c>
      <c r="Q160">
        <v>27.95</v>
      </c>
      <c r="R160">
        <v>36.619999999999997</v>
      </c>
      <c r="S160">
        <v>49.41</v>
      </c>
      <c r="T160">
        <v>22.5</v>
      </c>
      <c r="U160">
        <v>39</v>
      </c>
    </row>
    <row r="161" spans="1:21" x14ac:dyDescent="0.25">
      <c r="A161" t="s">
        <v>1713</v>
      </c>
      <c r="J161">
        <v>792</v>
      </c>
      <c r="K161">
        <v>807</v>
      </c>
      <c r="L161">
        <v>717</v>
      </c>
      <c r="M161">
        <v>702</v>
      </c>
      <c r="N161">
        <v>752</v>
      </c>
      <c r="O161">
        <v>761.57</v>
      </c>
      <c r="P161">
        <v>790.51</v>
      </c>
      <c r="Q161">
        <v>800.82</v>
      </c>
      <c r="R161">
        <v>925.2</v>
      </c>
      <c r="S161" s="2">
        <v>1116.53</v>
      </c>
      <c r="T161">
        <v>736</v>
      </c>
      <c r="U161">
        <v>752</v>
      </c>
    </row>
    <row r="162" spans="1:21" x14ac:dyDescent="0.25">
      <c r="A162" t="s">
        <v>78</v>
      </c>
      <c r="J162">
        <v>108</v>
      </c>
      <c r="K162">
        <v>38</v>
      </c>
      <c r="L162">
        <v>61</v>
      </c>
      <c r="M162">
        <v>79</v>
      </c>
      <c r="N162">
        <v>161</v>
      </c>
      <c r="O162">
        <v>164.27</v>
      </c>
      <c r="P162">
        <v>148.44</v>
      </c>
      <c r="Q162">
        <v>152.16999999999999</v>
      </c>
      <c r="R162">
        <v>157.75</v>
      </c>
      <c r="S162">
        <v>157.75</v>
      </c>
      <c r="T162">
        <v>164.5</v>
      </c>
      <c r="U162">
        <v>161</v>
      </c>
    </row>
    <row r="163" spans="1:21" x14ac:dyDescent="0.25">
      <c r="A163" t="s">
        <v>167</v>
      </c>
      <c r="J163" s="2">
        <v>2962</v>
      </c>
      <c r="K163" s="2">
        <v>2815</v>
      </c>
      <c r="L163" s="2">
        <v>2632</v>
      </c>
      <c r="M163" s="2">
        <v>2093</v>
      </c>
      <c r="N163" s="2">
        <v>2417</v>
      </c>
      <c r="O163" s="2">
        <v>2770.88</v>
      </c>
      <c r="P163" s="2">
        <v>3202.58</v>
      </c>
      <c r="Q163" s="2">
        <v>3512.74</v>
      </c>
      <c r="R163" s="2">
        <v>4069.89</v>
      </c>
      <c r="S163" s="2">
        <v>4008.77</v>
      </c>
      <c r="T163" s="2">
        <v>2712.99</v>
      </c>
      <c r="U163" s="2">
        <v>3126.67</v>
      </c>
    </row>
    <row r="164" spans="1:21" x14ac:dyDescent="0.25">
      <c r="A164" t="s">
        <v>170</v>
      </c>
      <c r="J164" s="2">
        <v>3548</v>
      </c>
      <c r="K164" s="2">
        <v>4051</v>
      </c>
      <c r="L164" s="2">
        <v>5295</v>
      </c>
      <c r="M164" s="2">
        <v>6839</v>
      </c>
      <c r="N164" s="2">
        <v>8286</v>
      </c>
      <c r="O164" s="2">
        <v>10405.049999999999</v>
      </c>
      <c r="P164" s="2">
        <v>13322.43</v>
      </c>
      <c r="Q164" s="2">
        <v>17257.939999999999</v>
      </c>
      <c r="R164" s="2">
        <v>24722.400000000001</v>
      </c>
      <c r="S164" s="2">
        <v>33475.89</v>
      </c>
      <c r="T164" s="2">
        <v>45631.5</v>
      </c>
      <c r="U164" s="2">
        <v>72424</v>
      </c>
    </row>
    <row r="165" spans="1:21" x14ac:dyDescent="0.25">
      <c r="A165" t="s">
        <v>171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</row>
    <row r="166" spans="1:21" x14ac:dyDescent="0.25">
      <c r="A166" t="s">
        <v>172</v>
      </c>
      <c r="J166" s="2">
        <v>1214</v>
      </c>
      <c r="K166" s="2">
        <v>1216</v>
      </c>
      <c r="L166" s="2">
        <v>2171</v>
      </c>
      <c r="M166" s="2">
        <v>2922</v>
      </c>
      <c r="N166" s="2">
        <v>3467</v>
      </c>
      <c r="O166" s="2">
        <v>3927.62</v>
      </c>
      <c r="P166" s="2">
        <v>4176.66</v>
      </c>
      <c r="Q166" s="2">
        <v>5166.01</v>
      </c>
      <c r="R166" s="2">
        <v>6172.76</v>
      </c>
      <c r="S166" s="2">
        <v>6776.04</v>
      </c>
      <c r="T166" s="2">
        <v>6115.66</v>
      </c>
      <c r="U166" s="2">
        <v>8958.32</v>
      </c>
    </row>
    <row r="167" spans="1:21" x14ac:dyDescent="0.25">
      <c r="A167" t="s">
        <v>173</v>
      </c>
      <c r="J167" s="2">
        <v>1933</v>
      </c>
      <c r="K167" s="2">
        <v>2457</v>
      </c>
      <c r="L167" s="2">
        <v>2751</v>
      </c>
      <c r="M167" s="2">
        <v>3543</v>
      </c>
      <c r="N167" s="2">
        <v>4447</v>
      </c>
      <c r="O167" s="2">
        <v>5965.94</v>
      </c>
      <c r="P167" s="2">
        <v>8142.37</v>
      </c>
      <c r="Q167" s="2">
        <v>11505.05</v>
      </c>
      <c r="R167" s="2">
        <v>17799.560000000001</v>
      </c>
      <c r="S167" s="2">
        <v>27880.87</v>
      </c>
      <c r="T167" s="2">
        <v>39134.300000000003</v>
      </c>
      <c r="U167" s="2">
        <v>63093.26</v>
      </c>
    </row>
    <row r="168" spans="1:21" x14ac:dyDescent="0.25">
      <c r="A168" t="s">
        <v>174</v>
      </c>
      <c r="J168">
        <v>399</v>
      </c>
      <c r="K168">
        <v>376</v>
      </c>
      <c r="L168">
        <v>371</v>
      </c>
      <c r="M168">
        <v>372</v>
      </c>
      <c r="N168">
        <v>370</v>
      </c>
      <c r="O168">
        <v>359.33</v>
      </c>
      <c r="P168">
        <v>374.25</v>
      </c>
      <c r="Q168">
        <v>374.67</v>
      </c>
      <c r="R168">
        <v>375.5</v>
      </c>
      <c r="S168">
        <v>375.5</v>
      </c>
      <c r="T168">
        <v>379.5</v>
      </c>
      <c r="U168">
        <v>370</v>
      </c>
    </row>
    <row r="169" spans="1:21" x14ac:dyDescent="0.25">
      <c r="A169" t="s">
        <v>326</v>
      </c>
      <c r="J169" s="2">
        <v>6510</v>
      </c>
      <c r="K169" s="2">
        <v>6866</v>
      </c>
      <c r="L169" s="2">
        <v>7927</v>
      </c>
      <c r="M169" s="2">
        <v>8932</v>
      </c>
      <c r="N169" s="2">
        <v>10703</v>
      </c>
      <c r="O169" s="2">
        <v>13158.73</v>
      </c>
      <c r="P169" s="2">
        <v>16439.330000000002</v>
      </c>
      <c r="Q169" s="2">
        <v>20197.43</v>
      </c>
      <c r="R169" s="2">
        <v>28028.26</v>
      </c>
      <c r="S169" s="2">
        <v>39405.120000000003</v>
      </c>
      <c r="T169" s="2">
        <v>48344.45</v>
      </c>
      <c r="U169" s="2">
        <v>75550.25</v>
      </c>
    </row>
    <row r="170" spans="1:21" x14ac:dyDescent="0.25">
      <c r="A170" t="s">
        <v>17</v>
      </c>
    </row>
    <row r="171" spans="1:21" x14ac:dyDescent="0.25">
      <c r="A171" t="s">
        <v>176</v>
      </c>
    </row>
    <row r="172" spans="1:21" x14ac:dyDescent="0.25">
      <c r="A172" t="s">
        <v>505</v>
      </c>
      <c r="J172" s="2">
        <v>-1374</v>
      </c>
      <c r="K172" s="2">
        <v>-1996</v>
      </c>
      <c r="L172" s="2">
        <v>-2702</v>
      </c>
      <c r="M172" s="2">
        <v>-2479</v>
      </c>
      <c r="N172" s="2">
        <v>-3169</v>
      </c>
      <c r="O172" s="2">
        <v>-4733.91</v>
      </c>
      <c r="P172" s="2">
        <v>-7529.63</v>
      </c>
      <c r="Q172" s="2">
        <v>-12351.72</v>
      </c>
      <c r="R172" s="2">
        <v>-19368.82</v>
      </c>
      <c r="S172" s="2">
        <v>-17155.95</v>
      </c>
    </row>
    <row r="173" spans="1:21" x14ac:dyDescent="0.25">
      <c r="A173" t="s">
        <v>609</v>
      </c>
      <c r="J173">
        <v>261</v>
      </c>
      <c r="K173">
        <v>219</v>
      </c>
      <c r="L173">
        <v>221</v>
      </c>
      <c r="M173">
        <v>346</v>
      </c>
      <c r="N173">
        <v>432</v>
      </c>
      <c r="O173">
        <v>461.51</v>
      </c>
      <c r="P173">
        <v>461.22</v>
      </c>
      <c r="Q173">
        <v>464</v>
      </c>
      <c r="R173">
        <v>464</v>
      </c>
      <c r="S173">
        <v>464</v>
      </c>
    </row>
    <row r="174" spans="1:21" x14ac:dyDescent="0.25">
      <c r="A174" t="s">
        <v>611</v>
      </c>
      <c r="J174">
        <v>151.78</v>
      </c>
      <c r="K174">
        <v>136.11000000000001</v>
      </c>
      <c r="L174">
        <v>88.42</v>
      </c>
      <c r="M174">
        <v>100.84</v>
      </c>
      <c r="N174">
        <v>96.44</v>
      </c>
      <c r="O174">
        <v>96.58</v>
      </c>
      <c r="P174">
        <v>96.88</v>
      </c>
      <c r="Q174">
        <v>92.52</v>
      </c>
      <c r="R174">
        <v>69.25</v>
      </c>
      <c r="S174">
        <v>60.78</v>
      </c>
      <c r="T174">
        <v>37.21</v>
      </c>
      <c r="U174">
        <v>36.049999999999997</v>
      </c>
    </row>
    <row r="175" spans="1:21" x14ac:dyDescent="0.25">
      <c r="A175" t="s">
        <v>179</v>
      </c>
      <c r="K175">
        <v>7.83</v>
      </c>
      <c r="L175">
        <v>4.1399999999999997</v>
      </c>
      <c r="M175">
        <v>9.4</v>
      </c>
      <c r="N175">
        <v>9.2100000000000009</v>
      </c>
      <c r="O175">
        <v>9.4700000000000006</v>
      </c>
      <c r="P175">
        <v>12.1</v>
      </c>
      <c r="Q175">
        <v>14.7</v>
      </c>
      <c r="R175">
        <v>22.6</v>
      </c>
      <c r="S175">
        <v>32.6</v>
      </c>
    </row>
    <row r="176" spans="1:21" x14ac:dyDescent="0.25">
      <c r="A176" t="s">
        <v>180</v>
      </c>
      <c r="K176">
        <v>13.79</v>
      </c>
      <c r="L176">
        <v>6.55</v>
      </c>
      <c r="M176">
        <v>13.05</v>
      </c>
      <c r="N176">
        <v>11.95</v>
      </c>
      <c r="O176">
        <v>13.76</v>
      </c>
      <c r="P176">
        <v>15.86</v>
      </c>
      <c r="Q176">
        <v>20.29</v>
      </c>
      <c r="R176">
        <v>26.56</v>
      </c>
      <c r="S176">
        <v>34.79</v>
      </c>
    </row>
    <row r="177" spans="1:21" x14ac:dyDescent="0.25">
      <c r="A177" t="s">
        <v>178</v>
      </c>
    </row>
    <row r="178" spans="1:21" x14ac:dyDescent="0.25">
      <c r="A178" t="s">
        <v>186</v>
      </c>
      <c r="J178">
        <v>2.2200000000000002</v>
      </c>
      <c r="K178">
        <v>2.6</v>
      </c>
      <c r="L178">
        <v>2.79</v>
      </c>
      <c r="M178">
        <v>5.2</v>
      </c>
      <c r="N178">
        <v>6</v>
      </c>
      <c r="O178">
        <v>5.99</v>
      </c>
      <c r="P178">
        <v>7.36</v>
      </c>
      <c r="Q178">
        <v>8.09</v>
      </c>
    </row>
    <row r="179" spans="1:21" x14ac:dyDescent="0.25">
      <c r="A179" t="s">
        <v>757</v>
      </c>
      <c r="J179">
        <v>1.98</v>
      </c>
      <c r="K179">
        <v>2.36</v>
      </c>
      <c r="L179">
        <v>2.46</v>
      </c>
      <c r="M179">
        <v>4.2300000000000004</v>
      </c>
      <c r="N179">
        <v>4.71</v>
      </c>
      <c r="O179">
        <v>2.94</v>
      </c>
      <c r="P179">
        <v>3.21</v>
      </c>
      <c r="Q179">
        <v>2.75</v>
      </c>
    </row>
    <row r="180" spans="1:21" x14ac:dyDescent="0.25">
      <c r="A180" t="s">
        <v>813</v>
      </c>
      <c r="J180">
        <v>1.17</v>
      </c>
      <c r="K180">
        <v>1.63</v>
      </c>
      <c r="L180">
        <v>1.94</v>
      </c>
      <c r="M180">
        <v>3.04</v>
      </c>
      <c r="N180">
        <v>3.46</v>
      </c>
    </row>
    <row r="181" spans="1:21" x14ac:dyDescent="0.25">
      <c r="A181" t="s">
        <v>812</v>
      </c>
      <c r="K181">
        <v>2.52</v>
      </c>
      <c r="L181">
        <v>3.63</v>
      </c>
      <c r="M181">
        <v>4.24</v>
      </c>
      <c r="N181">
        <v>4.09</v>
      </c>
      <c r="O181">
        <v>3.49</v>
      </c>
      <c r="P181">
        <v>3.74</v>
      </c>
      <c r="Q181">
        <v>4.28</v>
      </c>
      <c r="R181">
        <v>5.24</v>
      </c>
      <c r="S181">
        <v>7.7</v>
      </c>
    </row>
    <row r="182" spans="1:21" x14ac:dyDescent="0.25">
      <c r="A182" t="s">
        <v>424</v>
      </c>
      <c r="J182">
        <v>3.46</v>
      </c>
      <c r="K182">
        <v>3.94</v>
      </c>
      <c r="L182">
        <v>5.07</v>
      </c>
      <c r="M182">
        <v>6.43</v>
      </c>
      <c r="N182">
        <v>7.76</v>
      </c>
      <c r="O182">
        <v>9.68</v>
      </c>
      <c r="P182">
        <v>12.61</v>
      </c>
      <c r="Q182">
        <v>17.03</v>
      </c>
      <c r="R182">
        <v>22.76</v>
      </c>
      <c r="S182">
        <v>32.909999999999997</v>
      </c>
      <c r="T182">
        <v>42.93</v>
      </c>
      <c r="U182">
        <v>65.7</v>
      </c>
    </row>
    <row r="183" spans="1:21" x14ac:dyDescent="0.25">
      <c r="A183" t="s">
        <v>334</v>
      </c>
      <c r="K183">
        <v>2.2400000000000002</v>
      </c>
      <c r="L183">
        <v>3.38</v>
      </c>
      <c r="M183">
        <v>4.79</v>
      </c>
      <c r="N183">
        <v>6.05</v>
      </c>
      <c r="O183">
        <v>7.78</v>
      </c>
      <c r="P183">
        <v>11.35</v>
      </c>
      <c r="Q183">
        <v>16.64</v>
      </c>
      <c r="R183">
        <v>25.55</v>
      </c>
      <c r="S183">
        <v>38.85</v>
      </c>
    </row>
    <row r="184" spans="1:21" x14ac:dyDescent="0.25">
      <c r="A184" t="s">
        <v>329</v>
      </c>
      <c r="K184">
        <v>2.16</v>
      </c>
      <c r="L184">
        <v>2.81</v>
      </c>
      <c r="M184">
        <v>2.67</v>
      </c>
      <c r="N184">
        <v>3.38</v>
      </c>
    </row>
    <row r="185" spans="1:21" x14ac:dyDescent="0.25">
      <c r="A185" t="s">
        <v>1714</v>
      </c>
      <c r="J185">
        <v>0.42</v>
      </c>
      <c r="K185">
        <v>0.39</v>
      </c>
      <c r="L185">
        <v>0.41</v>
      </c>
      <c r="M185">
        <v>0.45</v>
      </c>
      <c r="N185">
        <v>0.46</v>
      </c>
    </row>
    <row r="186" spans="1:21" x14ac:dyDescent="0.25">
      <c r="A186" t="s">
        <v>17</v>
      </c>
    </row>
    <row r="187" spans="1:21" x14ac:dyDescent="0.25">
      <c r="A187" t="s">
        <v>188</v>
      </c>
    </row>
    <row r="188" spans="1:21" x14ac:dyDescent="0.25">
      <c r="A188" t="s">
        <v>189</v>
      </c>
    </row>
    <row r="189" spans="1:21" x14ac:dyDescent="0.25">
      <c r="A189" t="s">
        <v>121</v>
      </c>
      <c r="I189">
        <v>388</v>
      </c>
      <c r="J189">
        <v>549</v>
      </c>
      <c r="K189">
        <v>524</v>
      </c>
      <c r="L189">
        <v>306</v>
      </c>
      <c r="M189">
        <v>792</v>
      </c>
      <c r="N189">
        <v>904</v>
      </c>
      <c r="O189" s="2">
        <v>1392.64</v>
      </c>
      <c r="P189" s="2">
        <v>2171.85</v>
      </c>
      <c r="Q189" s="2">
        <v>3127.77</v>
      </c>
      <c r="R189" s="2">
        <v>5739.67</v>
      </c>
      <c r="S189" s="2">
        <v>9907.93</v>
      </c>
      <c r="T189" s="2">
        <v>13155</v>
      </c>
      <c r="U189" s="2">
        <v>18670</v>
      </c>
    </row>
    <row r="190" spans="1:21" x14ac:dyDescent="0.25">
      <c r="A190" t="s">
        <v>190</v>
      </c>
      <c r="I190">
        <v>201</v>
      </c>
      <c r="J190">
        <v>185</v>
      </c>
      <c r="K190">
        <v>170</v>
      </c>
      <c r="L190">
        <v>162</v>
      </c>
      <c r="M190">
        <v>95.9</v>
      </c>
      <c r="N190">
        <v>150</v>
      </c>
      <c r="O190">
        <v>278</v>
      </c>
      <c r="P190">
        <v>280.58</v>
      </c>
      <c r="Q190">
        <v>370.05</v>
      </c>
      <c r="R190">
        <v>478.77</v>
      </c>
      <c r="S190">
        <v>612.59</v>
      </c>
      <c r="T190">
        <v>309.27</v>
      </c>
      <c r="U190">
        <v>313</v>
      </c>
    </row>
    <row r="191" spans="1:21" x14ac:dyDescent="0.25">
      <c r="A191" t="s">
        <v>1715</v>
      </c>
      <c r="I191">
        <v>54</v>
      </c>
      <c r="J191">
        <v>26</v>
      </c>
      <c r="K191">
        <v>79</v>
      </c>
      <c r="L191" s="2">
        <v>1037</v>
      </c>
      <c r="M191">
        <v>820</v>
      </c>
      <c r="N191" s="2">
        <v>1052</v>
      </c>
      <c r="O191" s="2">
        <v>1193.77</v>
      </c>
      <c r="P191" s="2">
        <v>1327.28</v>
      </c>
      <c r="Q191" s="2">
        <v>1471.71</v>
      </c>
      <c r="R191" s="2">
        <v>1508.24</v>
      </c>
      <c r="S191" s="2">
        <v>1868.14</v>
      </c>
      <c r="T191" s="2">
        <v>1342.85</v>
      </c>
    </row>
    <row r="192" spans="1:21" x14ac:dyDescent="0.25">
      <c r="A192" t="s">
        <v>546</v>
      </c>
      <c r="I192">
        <v>-33</v>
      </c>
      <c r="J192">
        <v>-76</v>
      </c>
      <c r="K192">
        <v>-34</v>
      </c>
      <c r="L192">
        <v>-273</v>
      </c>
      <c r="M192">
        <v>-218</v>
      </c>
      <c r="N192">
        <v>15</v>
      </c>
      <c r="O192">
        <v>-90.75</v>
      </c>
      <c r="P192">
        <v>-88</v>
      </c>
      <c r="Q192">
        <v>-132</v>
      </c>
    </row>
    <row r="193" spans="1:21" x14ac:dyDescent="0.25">
      <c r="A193" t="s">
        <v>338</v>
      </c>
    </row>
    <row r="194" spans="1:21" x14ac:dyDescent="0.25">
      <c r="A194" t="s">
        <v>141</v>
      </c>
      <c r="I194">
        <v>19</v>
      </c>
      <c r="J194">
        <v>-219</v>
      </c>
      <c r="K194">
        <v>125</v>
      </c>
      <c r="L194">
        <v>218</v>
      </c>
      <c r="M194">
        <v>-331</v>
      </c>
      <c r="N194">
        <v>-201</v>
      </c>
      <c r="O194">
        <v>-323.87</v>
      </c>
      <c r="P194">
        <v>-454.91</v>
      </c>
      <c r="Q194">
        <v>-561.79999999999995</v>
      </c>
      <c r="R194" s="2">
        <v>-1010.28</v>
      </c>
      <c r="S194" s="2">
        <v>-1872.7</v>
      </c>
      <c r="T194">
        <v>-535.4</v>
      </c>
      <c r="U194">
        <v>-561.04</v>
      </c>
    </row>
    <row r="195" spans="1:21" x14ac:dyDescent="0.25">
      <c r="A195" t="s">
        <v>688</v>
      </c>
      <c r="I195">
        <v>-31</v>
      </c>
      <c r="J195">
        <v>-158</v>
      </c>
      <c r="K195">
        <v>-2</v>
      </c>
      <c r="L195">
        <v>-307</v>
      </c>
      <c r="M195">
        <v>-412</v>
      </c>
      <c r="N195">
        <v>-309</v>
      </c>
      <c r="O195">
        <v>-189.78</v>
      </c>
      <c r="P195">
        <v>-91.97</v>
      </c>
      <c r="Q195">
        <v>-160.19999999999999</v>
      </c>
      <c r="R195">
        <v>-179.42</v>
      </c>
      <c r="S195">
        <v>-200.95</v>
      </c>
      <c r="T195">
        <v>-225.06</v>
      </c>
      <c r="U195">
        <v>-252.07</v>
      </c>
    </row>
    <row r="196" spans="1:21" x14ac:dyDescent="0.25">
      <c r="A196" t="s">
        <v>166</v>
      </c>
      <c r="I196">
        <v>-9</v>
      </c>
      <c r="J196">
        <v>101</v>
      </c>
      <c r="K196">
        <v>3</v>
      </c>
      <c r="L196">
        <v>495</v>
      </c>
      <c r="M196">
        <v>-381</v>
      </c>
      <c r="N196">
        <v>-79</v>
      </c>
      <c r="O196">
        <v>285</v>
      </c>
      <c r="P196">
        <v>0</v>
      </c>
    </row>
    <row r="197" spans="1:21" x14ac:dyDescent="0.25">
      <c r="A197" t="s">
        <v>203</v>
      </c>
      <c r="I197">
        <v>-53</v>
      </c>
      <c r="J197">
        <v>-41</v>
      </c>
      <c r="K197">
        <v>-1</v>
      </c>
      <c r="L197">
        <v>-61</v>
      </c>
      <c r="M197">
        <v>-140</v>
      </c>
      <c r="N197">
        <v>-117</v>
      </c>
      <c r="O197">
        <v>-10.67</v>
      </c>
      <c r="P197">
        <v>-69.34</v>
      </c>
      <c r="Q197">
        <v>-45.38</v>
      </c>
      <c r="R197">
        <v>-51.27</v>
      </c>
      <c r="S197">
        <v>-59.15</v>
      </c>
    </row>
    <row r="198" spans="1:21" x14ac:dyDescent="0.25">
      <c r="A198" t="s">
        <v>160</v>
      </c>
      <c r="I198">
        <v>144</v>
      </c>
      <c r="J198">
        <v>127</v>
      </c>
      <c r="K198">
        <v>-138</v>
      </c>
      <c r="L198">
        <v>-292</v>
      </c>
      <c r="M198">
        <v>-152</v>
      </c>
      <c r="N198">
        <v>24</v>
      </c>
      <c r="O198">
        <v>37.35</v>
      </c>
      <c r="P198">
        <v>22.6</v>
      </c>
      <c r="Q198">
        <v>50.95</v>
      </c>
      <c r="R198">
        <v>136.93</v>
      </c>
      <c r="S198">
        <v>114.57</v>
      </c>
      <c r="T198">
        <v>42.63</v>
      </c>
      <c r="U198">
        <v>34.549999999999997</v>
      </c>
    </row>
    <row r="199" spans="1:21" x14ac:dyDescent="0.25">
      <c r="A199" t="s">
        <v>1136</v>
      </c>
      <c r="I199">
        <v>950</v>
      </c>
      <c r="J199">
        <v>-51</v>
      </c>
      <c r="K199">
        <v>-37</v>
      </c>
      <c r="L199">
        <v>-190</v>
      </c>
      <c r="M199">
        <v>-4</v>
      </c>
      <c r="N199">
        <v>135</v>
      </c>
      <c r="O199">
        <v>-62.52</v>
      </c>
      <c r="P199">
        <v>23.36</v>
      </c>
      <c r="Q199">
        <v>174.94</v>
      </c>
      <c r="R199">
        <v>399.4</v>
      </c>
      <c r="S199">
        <v>864.8</v>
      </c>
      <c r="T199">
        <v>67.73</v>
      </c>
      <c r="U199">
        <v>75.849999999999994</v>
      </c>
    </row>
    <row r="200" spans="1:21" x14ac:dyDescent="0.25">
      <c r="A200" t="s">
        <v>1716</v>
      </c>
      <c r="I200">
        <v>-50</v>
      </c>
      <c r="J200">
        <v>112</v>
      </c>
      <c r="K200">
        <v>35</v>
      </c>
      <c r="L200">
        <v>-30</v>
      </c>
      <c r="M200">
        <v>-6</v>
      </c>
      <c r="N200">
        <v>-11</v>
      </c>
      <c r="O200">
        <v>-3</v>
      </c>
      <c r="P200">
        <v>0</v>
      </c>
    </row>
    <row r="201" spans="1:21" x14ac:dyDescent="0.25">
      <c r="A201" t="s">
        <v>202</v>
      </c>
      <c r="I201">
        <v>40</v>
      </c>
      <c r="J201">
        <v>-59</v>
      </c>
      <c r="K201">
        <v>-58</v>
      </c>
      <c r="L201">
        <v>-28</v>
      </c>
      <c r="M201">
        <v>-39</v>
      </c>
      <c r="N201">
        <v>-44</v>
      </c>
      <c r="O201">
        <v>-11</v>
      </c>
      <c r="P201">
        <v>0</v>
      </c>
    </row>
    <row r="202" spans="1:21" x14ac:dyDescent="0.25">
      <c r="A202" t="s">
        <v>204</v>
      </c>
      <c r="I202" s="2">
        <v>1233</v>
      </c>
      <c r="J202">
        <v>458</v>
      </c>
      <c r="K202">
        <v>739</v>
      </c>
      <c r="L202" s="2">
        <v>1090</v>
      </c>
      <c r="M202">
        <v>397</v>
      </c>
      <c r="N202" s="2">
        <v>1524</v>
      </c>
      <c r="O202" s="2">
        <v>2449.87</v>
      </c>
      <c r="P202" s="2">
        <v>3020.38</v>
      </c>
      <c r="Q202" s="2">
        <v>3865.74</v>
      </c>
      <c r="R202" s="2">
        <v>5768.73</v>
      </c>
      <c r="S202" s="2">
        <v>9171.06</v>
      </c>
      <c r="T202" s="2">
        <v>14131.03</v>
      </c>
      <c r="U202" s="2">
        <v>21901.72</v>
      </c>
    </row>
    <row r="203" spans="1:21" x14ac:dyDescent="0.25">
      <c r="A203" t="s">
        <v>17</v>
      </c>
    </row>
    <row r="204" spans="1:21" x14ac:dyDescent="0.25">
      <c r="A204" t="s">
        <v>205</v>
      </c>
    </row>
    <row r="205" spans="1:21" x14ac:dyDescent="0.25">
      <c r="A205" t="s">
        <v>213</v>
      </c>
      <c r="I205">
        <v>-340</v>
      </c>
      <c r="J205">
        <v>-619</v>
      </c>
      <c r="K205">
        <v>-138</v>
      </c>
      <c r="L205">
        <v>-516</v>
      </c>
      <c r="M205">
        <v>-35</v>
      </c>
      <c r="N205">
        <v>-325</v>
      </c>
      <c r="O205">
        <v>-732.84</v>
      </c>
      <c r="P205">
        <v>-796.76</v>
      </c>
      <c r="Q205">
        <v>-964.55</v>
      </c>
      <c r="R205" s="2">
        <v>-1394.42</v>
      </c>
      <c r="S205" s="2">
        <v>-1765.09</v>
      </c>
      <c r="T205" s="2">
        <v>-6061.5</v>
      </c>
      <c r="U205" s="2">
        <v>-14808.39</v>
      </c>
    </row>
    <row r="206" spans="1:21" x14ac:dyDescent="0.25">
      <c r="A206" t="s">
        <v>672</v>
      </c>
      <c r="I206">
        <v>-235</v>
      </c>
      <c r="J206">
        <v>-750</v>
      </c>
      <c r="K206" s="2">
        <v>-1111</v>
      </c>
      <c r="L206">
        <v>-765</v>
      </c>
      <c r="M206">
        <v>-680</v>
      </c>
      <c r="N206" s="2">
        <v>-1140</v>
      </c>
      <c r="O206" s="2">
        <v>-1902.63</v>
      </c>
      <c r="P206" s="2">
        <v>-2312.2800000000002</v>
      </c>
      <c r="Q206" s="2">
        <v>-4302.0600000000004</v>
      </c>
      <c r="R206" s="2">
        <v>-3365.95</v>
      </c>
      <c r="S206" s="2">
        <v>-3931.42</v>
      </c>
      <c r="T206" s="2">
        <v>-6559.44</v>
      </c>
      <c r="U206" s="2">
        <v>-14485.39</v>
      </c>
    </row>
    <row r="207" spans="1:21" x14ac:dyDescent="0.25">
      <c r="A207" t="s">
        <v>209</v>
      </c>
      <c r="I207">
        <v>110</v>
      </c>
      <c r="J207">
        <v>245</v>
      </c>
      <c r="K207" s="2">
        <v>1081</v>
      </c>
      <c r="L207">
        <v>425</v>
      </c>
      <c r="M207">
        <v>940</v>
      </c>
      <c r="N207" s="2">
        <v>1030</v>
      </c>
      <c r="O207" s="2">
        <v>1079.23</v>
      </c>
      <c r="P207" s="2">
        <v>1280.1099999999999</v>
      </c>
      <c r="Q207" s="2">
        <v>1942.89</v>
      </c>
      <c r="R207" s="2">
        <v>1516.38</v>
      </c>
      <c r="S207" s="2">
        <v>1743.84</v>
      </c>
      <c r="T207" s="2">
        <v>2005.41</v>
      </c>
    </row>
    <row r="208" spans="1:21" x14ac:dyDescent="0.25">
      <c r="A208" t="s">
        <v>1717</v>
      </c>
      <c r="I208">
        <v>-50</v>
      </c>
      <c r="J208">
        <v>-39</v>
      </c>
      <c r="K208">
        <v>-15</v>
      </c>
      <c r="L208">
        <v>-33</v>
      </c>
      <c r="M208">
        <v>1</v>
      </c>
      <c r="N208">
        <v>360</v>
      </c>
      <c r="O208">
        <v>-138.44</v>
      </c>
      <c r="P208">
        <v>-224.5</v>
      </c>
      <c r="Q208">
        <v>-200.67</v>
      </c>
      <c r="R208">
        <v>-10</v>
      </c>
      <c r="S208">
        <v>-10</v>
      </c>
      <c r="T208">
        <v>-10</v>
      </c>
      <c r="U208">
        <v>-10</v>
      </c>
    </row>
    <row r="209" spans="1:21" x14ac:dyDescent="0.25">
      <c r="A209" t="s">
        <v>1718</v>
      </c>
      <c r="I209">
        <v>-61</v>
      </c>
      <c r="J209">
        <v>-41</v>
      </c>
      <c r="K209">
        <v>-29</v>
      </c>
      <c r="L209">
        <v>-51</v>
      </c>
      <c r="M209">
        <v>-20</v>
      </c>
      <c r="N209">
        <v>-30</v>
      </c>
      <c r="O209">
        <v>-56.9</v>
      </c>
      <c r="P209">
        <v>-114.05</v>
      </c>
      <c r="Q209">
        <v>-43.59</v>
      </c>
      <c r="R209">
        <v>-64.400000000000006</v>
      </c>
      <c r="S209">
        <v>-97.12</v>
      </c>
      <c r="T209">
        <v>-43.2</v>
      </c>
      <c r="U209">
        <v>-80.69</v>
      </c>
    </row>
    <row r="210" spans="1:21" x14ac:dyDescent="0.25">
      <c r="A210" t="s">
        <v>206</v>
      </c>
      <c r="I210">
        <v>-104</v>
      </c>
      <c r="J210">
        <v>-34</v>
      </c>
      <c r="K210">
        <v>-64</v>
      </c>
      <c r="L210">
        <v>-92</v>
      </c>
      <c r="M210">
        <v>-219</v>
      </c>
      <c r="N210">
        <v>-545</v>
      </c>
      <c r="O210">
        <v>-543.54999999999995</v>
      </c>
      <c r="P210">
        <v>-594.71</v>
      </c>
      <c r="Q210">
        <v>-652.54</v>
      </c>
      <c r="R210">
        <v>-603.57000000000005</v>
      </c>
      <c r="S210">
        <v>-762.83</v>
      </c>
      <c r="T210">
        <v>-456.5</v>
      </c>
      <c r="U210">
        <v>-232</v>
      </c>
    </row>
    <row r="211" spans="1:21" x14ac:dyDescent="0.25">
      <c r="A211" t="s">
        <v>762</v>
      </c>
      <c r="I211">
        <v>-125</v>
      </c>
      <c r="J211">
        <v>-505</v>
      </c>
      <c r="K211">
        <v>-30</v>
      </c>
      <c r="L211">
        <v>-340</v>
      </c>
      <c r="M211">
        <v>260</v>
      </c>
      <c r="N211">
        <v>-110</v>
      </c>
      <c r="O211">
        <v>-121</v>
      </c>
    </row>
    <row r="212" spans="1:21" x14ac:dyDescent="0.25">
      <c r="A212" t="s">
        <v>17</v>
      </c>
    </row>
    <row r="213" spans="1:21" x14ac:dyDescent="0.25">
      <c r="A213" t="s">
        <v>214</v>
      </c>
    </row>
    <row r="214" spans="1:21" x14ac:dyDescent="0.25">
      <c r="A214" t="s">
        <v>1719</v>
      </c>
      <c r="I214">
        <v>0</v>
      </c>
      <c r="J214">
        <v>13</v>
      </c>
      <c r="K214">
        <v>-40</v>
      </c>
      <c r="L214">
        <v>0</v>
      </c>
      <c r="M214">
        <v>0</v>
      </c>
      <c r="N214">
        <v>0</v>
      </c>
      <c r="O214">
        <v>30</v>
      </c>
    </row>
    <row r="215" spans="1:21" x14ac:dyDescent="0.25">
      <c r="A215" t="s">
        <v>212</v>
      </c>
      <c r="I215">
        <v>-39</v>
      </c>
      <c r="J215">
        <v>-45</v>
      </c>
      <c r="K215">
        <v>-2</v>
      </c>
      <c r="L215">
        <v>-50</v>
      </c>
      <c r="M215">
        <v>-82</v>
      </c>
      <c r="N215">
        <v>-19</v>
      </c>
      <c r="O215">
        <v>-655.4</v>
      </c>
      <c r="P215">
        <v>-792</v>
      </c>
      <c r="Q215" s="2">
        <v>-1188</v>
      </c>
    </row>
    <row r="216" spans="1:21" x14ac:dyDescent="0.25">
      <c r="A216" t="s">
        <v>1720</v>
      </c>
      <c r="L216">
        <v>-158</v>
      </c>
      <c r="M216">
        <v>-120</v>
      </c>
      <c r="N216">
        <v>-529</v>
      </c>
      <c r="O216">
        <v>-319.18</v>
      </c>
      <c r="P216">
        <v>-353.27</v>
      </c>
      <c r="Q216">
        <v>-433.95</v>
      </c>
      <c r="R216">
        <v>-528.4</v>
      </c>
      <c r="S216">
        <v>-609.62</v>
      </c>
    </row>
    <row r="217" spans="1:21" x14ac:dyDescent="0.25">
      <c r="A217" t="s">
        <v>218</v>
      </c>
      <c r="I217">
        <v>-789</v>
      </c>
      <c r="J217">
        <v>-32</v>
      </c>
      <c r="K217">
        <v>-42</v>
      </c>
      <c r="L217">
        <v>-208</v>
      </c>
      <c r="M217">
        <v>-202</v>
      </c>
      <c r="N217">
        <v>-548</v>
      </c>
      <c r="O217">
        <v>-536.4</v>
      </c>
      <c r="P217">
        <v>-531.41</v>
      </c>
      <c r="Q217">
        <v>-647.61</v>
      </c>
      <c r="R217" s="2">
        <v>-1460.63</v>
      </c>
      <c r="S217" s="2">
        <v>-1382.46</v>
      </c>
      <c r="T217" s="2">
        <v>-2356.13</v>
      </c>
      <c r="U217" s="2">
        <v>-3629.06</v>
      </c>
    </row>
    <row r="218" spans="1:21" x14ac:dyDescent="0.25">
      <c r="A218" t="s">
        <v>17</v>
      </c>
    </row>
    <row r="219" spans="1:21" x14ac:dyDescent="0.25">
      <c r="A219" t="s">
        <v>176</v>
      </c>
    </row>
    <row r="220" spans="1:21" x14ac:dyDescent="0.25">
      <c r="A220" t="s">
        <v>219</v>
      </c>
      <c r="I220">
        <v>1</v>
      </c>
      <c r="J220">
        <v>-17</v>
      </c>
      <c r="K220">
        <v>-9</v>
      </c>
      <c r="L220">
        <v>3</v>
      </c>
      <c r="M220">
        <v>2</v>
      </c>
      <c r="N220">
        <v>15</v>
      </c>
      <c r="O220">
        <v>-2.46</v>
      </c>
      <c r="P220">
        <v>-2.67</v>
      </c>
      <c r="Q220">
        <v>0</v>
      </c>
    </row>
    <row r="221" spans="1:21" x14ac:dyDescent="0.25">
      <c r="A221" t="s">
        <v>220</v>
      </c>
      <c r="I221">
        <v>105</v>
      </c>
      <c r="J221">
        <v>-210</v>
      </c>
      <c r="K221">
        <v>550</v>
      </c>
      <c r="L221">
        <v>369</v>
      </c>
      <c r="M221">
        <v>162</v>
      </c>
      <c r="N221">
        <v>666</v>
      </c>
      <c r="O221" s="2">
        <v>1332.75</v>
      </c>
      <c r="P221" s="2">
        <v>2162.1799999999998</v>
      </c>
      <c r="Q221" s="2">
        <v>3338.86</v>
      </c>
      <c r="R221" s="2">
        <v>3981.44</v>
      </c>
      <c r="S221" s="2">
        <v>7058.41</v>
      </c>
      <c r="T221" s="2">
        <v>3358.28</v>
      </c>
      <c r="U221" s="2">
        <v>3464.27</v>
      </c>
    </row>
    <row r="222" spans="1:21" x14ac:dyDescent="0.25">
      <c r="A222" t="s">
        <v>221</v>
      </c>
      <c r="I222" s="2">
        <v>1109</v>
      </c>
      <c r="J222" s="2">
        <v>1214</v>
      </c>
      <c r="K222" s="2">
        <v>1004</v>
      </c>
      <c r="L222" s="2">
        <v>1554</v>
      </c>
      <c r="M222" s="2">
        <v>1923</v>
      </c>
      <c r="N222" s="2">
        <v>2085</v>
      </c>
      <c r="O222" s="2">
        <v>2793.58</v>
      </c>
      <c r="P222" s="2">
        <v>4880.3900000000003</v>
      </c>
      <c r="Q222" s="2">
        <v>6399.54</v>
      </c>
      <c r="R222" s="2">
        <v>9563.86</v>
      </c>
      <c r="S222" s="2">
        <v>13400.37</v>
      </c>
      <c r="T222" s="2">
        <v>12996.48</v>
      </c>
      <c r="U222" s="2">
        <v>16485.39</v>
      </c>
    </row>
    <row r="223" spans="1:21" x14ac:dyDescent="0.25">
      <c r="A223" t="s">
        <v>222</v>
      </c>
      <c r="I223" s="2">
        <v>1214</v>
      </c>
      <c r="J223" s="2">
        <v>1004</v>
      </c>
      <c r="K223" s="2">
        <v>1554</v>
      </c>
      <c r="L223" s="2">
        <v>1923</v>
      </c>
      <c r="M223" s="2">
        <v>2085</v>
      </c>
      <c r="N223" s="2">
        <v>2751</v>
      </c>
      <c r="O223" s="2">
        <v>4052.03</v>
      </c>
      <c r="P223" s="2">
        <v>6710.55</v>
      </c>
      <c r="Q223" s="2">
        <v>9087.42</v>
      </c>
      <c r="R223" s="2">
        <v>11047.17</v>
      </c>
      <c r="S223" s="2">
        <v>17074</v>
      </c>
      <c r="T223" s="2">
        <v>18709.88</v>
      </c>
      <c r="U223" s="2">
        <v>19949.650000000001</v>
      </c>
    </row>
    <row r="224" spans="1:21" x14ac:dyDescent="0.25">
      <c r="A224" t="s">
        <v>178</v>
      </c>
    </row>
    <row r="225" spans="1:21" x14ac:dyDescent="0.25">
      <c r="A225" t="s">
        <v>355</v>
      </c>
      <c r="I225" s="2">
        <v>1030</v>
      </c>
      <c r="J225">
        <v>346</v>
      </c>
      <c r="K225">
        <v>606</v>
      </c>
      <c r="L225">
        <v>907</v>
      </c>
      <c r="M225">
        <v>99</v>
      </c>
      <c r="N225">
        <v>882</v>
      </c>
      <c r="O225" s="2">
        <v>1850.76</v>
      </c>
      <c r="P225" s="2">
        <v>2764.44</v>
      </c>
      <c r="Q225" s="2">
        <v>4336.8999999999996</v>
      </c>
      <c r="R225" s="2">
        <v>6305.9</v>
      </c>
      <c r="S225" s="2">
        <v>8259.9599999999991</v>
      </c>
      <c r="T225" s="2">
        <v>13590.76</v>
      </c>
      <c r="U225" s="2">
        <v>21521.72</v>
      </c>
    </row>
    <row r="226" spans="1:21" x14ac:dyDescent="0.25">
      <c r="A226" t="s">
        <v>1215</v>
      </c>
      <c r="I226">
        <v>1.1000000000000001</v>
      </c>
      <c r="J226">
        <v>0.41</v>
      </c>
      <c r="K226">
        <v>0.66</v>
      </c>
      <c r="L226">
        <v>0.96</v>
      </c>
      <c r="M226">
        <v>0.17</v>
      </c>
      <c r="N226">
        <v>0.92</v>
      </c>
      <c r="O226">
        <v>1.75</v>
      </c>
      <c r="P226">
        <v>1.73</v>
      </c>
      <c r="Q226">
        <v>3.29</v>
      </c>
      <c r="R226">
        <v>5.38</v>
      </c>
      <c r="S226">
        <v>8.9600000000000009</v>
      </c>
    </row>
    <row r="227" spans="1:21" x14ac:dyDescent="0.25">
      <c r="A227" t="s">
        <v>356</v>
      </c>
      <c r="I227">
        <v>1.2</v>
      </c>
      <c r="J227">
        <v>0.45</v>
      </c>
      <c r="K227">
        <v>0.72</v>
      </c>
      <c r="L227">
        <v>1.04</v>
      </c>
      <c r="M227">
        <v>0.37</v>
      </c>
      <c r="N227">
        <v>1.43</v>
      </c>
      <c r="O227">
        <v>2.15</v>
      </c>
      <c r="P227">
        <v>2.72</v>
      </c>
      <c r="Q227">
        <v>3.76</v>
      </c>
      <c r="R227">
        <v>3.71</v>
      </c>
      <c r="S227">
        <v>5.84</v>
      </c>
    </row>
    <row r="228" spans="1:21" x14ac:dyDescent="0.25">
      <c r="A228" t="s">
        <v>229</v>
      </c>
      <c r="I228">
        <v>60.83</v>
      </c>
      <c r="J228">
        <v>16.940000000000001</v>
      </c>
      <c r="K228">
        <v>27.58</v>
      </c>
      <c r="L228">
        <v>33.71</v>
      </c>
      <c r="M228">
        <v>9.91</v>
      </c>
      <c r="N228">
        <v>30.98</v>
      </c>
      <c r="O228">
        <v>47.45</v>
      </c>
      <c r="P228">
        <v>35.869999999999997</v>
      </c>
      <c r="Q228">
        <v>39.82</v>
      </c>
      <c r="R228">
        <v>31.1</v>
      </c>
      <c r="S228">
        <v>37.799999999999997</v>
      </c>
    </row>
    <row r="229" spans="1:21" x14ac:dyDescent="0.25">
      <c r="A229" t="s">
        <v>225</v>
      </c>
      <c r="I229" s="2">
        <v>1129</v>
      </c>
      <c r="J229">
        <v>424</v>
      </c>
      <c r="K229">
        <v>675</v>
      </c>
      <c r="L229">
        <v>998</v>
      </c>
      <c r="M229">
        <v>178</v>
      </c>
      <c r="N229">
        <v>979</v>
      </c>
      <c r="O229" s="2">
        <v>1882.05</v>
      </c>
      <c r="P229" s="2">
        <v>2233.52</v>
      </c>
      <c r="Q229" s="2">
        <v>3317.81</v>
      </c>
      <c r="R229" s="2">
        <v>5822.72</v>
      </c>
      <c r="S229" s="2">
        <v>9818.39</v>
      </c>
    </row>
    <row r="230" spans="1:21" x14ac:dyDescent="0.25">
      <c r="A230" t="s">
        <v>230</v>
      </c>
      <c r="I230">
        <v>5.13</v>
      </c>
      <c r="J230">
        <v>1.26</v>
      </c>
      <c r="K230">
        <v>2.39</v>
      </c>
      <c r="L230">
        <v>2.85</v>
      </c>
      <c r="M230">
        <v>5.47</v>
      </c>
      <c r="N230">
        <v>11.08</v>
      </c>
      <c r="O230">
        <v>7.53</v>
      </c>
      <c r="P230">
        <v>5.08</v>
      </c>
      <c r="Q230">
        <v>4.0199999999999996</v>
      </c>
      <c r="R230">
        <v>3.51</v>
      </c>
      <c r="S230">
        <v>3.16</v>
      </c>
      <c r="T230">
        <v>2.87</v>
      </c>
      <c r="U230">
        <v>2.76</v>
      </c>
    </row>
    <row r="231" spans="1:21" x14ac:dyDescent="0.25">
      <c r="A231" t="s">
        <v>17</v>
      </c>
    </row>
    <row r="232" spans="1:21" x14ac:dyDescent="0.25">
      <c r="A232" t="s">
        <v>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8B3A-D6AD-4171-A857-5CC0EE7FBFBF}">
  <dimension ref="A1:U242"/>
  <sheetViews>
    <sheetView workbookViewId="0">
      <selection sqref="A1:U242"/>
    </sheetView>
  </sheetViews>
  <sheetFormatPr defaultRowHeight="15" x14ac:dyDescent="0.25"/>
  <sheetData>
    <row r="1" spans="1:21" x14ac:dyDescent="0.25">
      <c r="A1" t="s">
        <v>1721</v>
      </c>
    </row>
    <row r="2" spans="1:21" x14ac:dyDescent="0.25">
      <c r="A2" t="s">
        <v>1722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H6">
        <v>-0.48</v>
      </c>
      <c r="I6">
        <v>-0.12</v>
      </c>
      <c r="J6">
        <v>-0.05</v>
      </c>
      <c r="K6">
        <v>0.13</v>
      </c>
      <c r="L6">
        <v>0.49</v>
      </c>
      <c r="M6">
        <v>0.75</v>
      </c>
      <c r="N6">
        <v>0.93</v>
      </c>
      <c r="O6">
        <v>1.28</v>
      </c>
      <c r="P6">
        <v>1.71</v>
      </c>
      <c r="Q6">
        <v>2.34</v>
      </c>
      <c r="R6">
        <v>3.36</v>
      </c>
      <c r="S6">
        <v>4.12</v>
      </c>
      <c r="T6">
        <v>4.79</v>
      </c>
      <c r="U6">
        <v>5.67</v>
      </c>
    </row>
    <row r="7" spans="1:21" x14ac:dyDescent="0.25">
      <c r="A7" t="s">
        <v>16</v>
      </c>
      <c r="H7">
        <v>287.02</v>
      </c>
      <c r="I7">
        <v>431.06</v>
      </c>
      <c r="J7">
        <v>656.43</v>
      </c>
      <c r="K7">
        <v>975.2</v>
      </c>
      <c r="L7" s="2">
        <v>1296.75</v>
      </c>
      <c r="M7" s="2">
        <v>1669.63</v>
      </c>
      <c r="N7" s="2">
        <v>2167.94</v>
      </c>
      <c r="O7" s="2">
        <v>2872.38</v>
      </c>
      <c r="P7" s="2">
        <v>3706</v>
      </c>
      <c r="Q7" s="2">
        <v>4746.33</v>
      </c>
      <c r="R7" s="2">
        <v>5934.75</v>
      </c>
      <c r="S7" s="2">
        <v>7231.75</v>
      </c>
      <c r="T7" s="2">
        <v>7969.5</v>
      </c>
      <c r="U7" s="2">
        <v>9173</v>
      </c>
    </row>
    <row r="8" spans="1:21" x14ac:dyDescent="0.25">
      <c r="A8" t="s">
        <v>17</v>
      </c>
    </row>
    <row r="9" spans="1:21" x14ac:dyDescent="0.25">
      <c r="A9" t="s">
        <v>24</v>
      </c>
      <c r="G9">
        <v>197.58</v>
      </c>
      <c r="H9">
        <v>301.63</v>
      </c>
      <c r="I9">
        <v>456.25</v>
      </c>
      <c r="J9">
        <v>720.82</v>
      </c>
      <c r="K9" s="2">
        <v>1084.3900000000001</v>
      </c>
      <c r="L9" s="2">
        <v>1431.22</v>
      </c>
      <c r="M9" s="2">
        <v>1804.63</v>
      </c>
      <c r="N9" s="2">
        <v>2393.37</v>
      </c>
      <c r="O9" s="2">
        <v>3137.41</v>
      </c>
      <c r="P9" s="2">
        <v>3973.92</v>
      </c>
      <c r="Q9" s="2">
        <v>5068.63</v>
      </c>
      <c r="R9" s="2">
        <v>6134.84</v>
      </c>
      <c r="S9" s="2">
        <v>7117.03</v>
      </c>
      <c r="T9" s="2">
        <v>8353.24</v>
      </c>
      <c r="U9" s="2">
        <v>9597.42</v>
      </c>
    </row>
    <row r="10" spans="1:21" x14ac:dyDescent="0.25">
      <c r="A10" t="s">
        <v>1723</v>
      </c>
      <c r="E10" s="2">
        <v>35002</v>
      </c>
      <c r="F10" s="2">
        <v>49309</v>
      </c>
      <c r="G10" s="2">
        <v>67899</v>
      </c>
      <c r="H10" s="2">
        <v>84154</v>
      </c>
      <c r="I10" s="2">
        <v>111183</v>
      </c>
      <c r="J10" s="2">
        <v>140096</v>
      </c>
      <c r="K10" s="2">
        <v>162086</v>
      </c>
      <c r="L10" s="2">
        <v>189791</v>
      </c>
      <c r="M10" s="2">
        <v>237714</v>
      </c>
      <c r="N10" s="2">
        <v>332466</v>
      </c>
      <c r="O10" s="2">
        <v>434824</v>
      </c>
      <c r="P10" s="2">
        <v>518179</v>
      </c>
      <c r="Q10" s="2">
        <v>545361</v>
      </c>
      <c r="R10" s="2">
        <v>450088</v>
      </c>
      <c r="S10" s="2">
        <v>477093</v>
      </c>
      <c r="T10" s="2">
        <v>503333</v>
      </c>
      <c r="U10" s="2">
        <v>528500</v>
      </c>
    </row>
    <row r="11" spans="1:21" x14ac:dyDescent="0.25">
      <c r="A11" t="s">
        <v>1724</v>
      </c>
      <c r="E11">
        <v>95</v>
      </c>
      <c r="F11">
        <v>184</v>
      </c>
      <c r="G11">
        <v>313</v>
      </c>
      <c r="H11">
        <v>550</v>
      </c>
      <c r="I11">
        <v>828</v>
      </c>
      <c r="J11" s="2">
        <v>1416</v>
      </c>
      <c r="K11" s="2">
        <v>2042</v>
      </c>
      <c r="L11" s="2">
        <v>2756</v>
      </c>
      <c r="M11" s="2">
        <v>3497</v>
      </c>
      <c r="N11" s="2">
        <v>4298</v>
      </c>
      <c r="O11" s="2">
        <v>5205</v>
      </c>
      <c r="P11" s="2">
        <v>6205</v>
      </c>
      <c r="Q11" s="2">
        <v>7265</v>
      </c>
      <c r="R11" s="2">
        <v>7592</v>
      </c>
      <c r="S11" s="2">
        <v>8591</v>
      </c>
      <c r="T11" s="2">
        <v>10738</v>
      </c>
      <c r="U11" s="2">
        <v>12134</v>
      </c>
    </row>
    <row r="12" spans="1:21" x14ac:dyDescent="0.25">
      <c r="A12" t="s">
        <v>1725</v>
      </c>
      <c r="G12">
        <v>111</v>
      </c>
      <c r="H12">
        <v>119</v>
      </c>
      <c r="I12">
        <v>119</v>
      </c>
      <c r="J12">
        <v>125</v>
      </c>
      <c r="K12">
        <v>122</v>
      </c>
      <c r="L12">
        <v>115</v>
      </c>
      <c r="M12">
        <v>111</v>
      </c>
      <c r="N12">
        <v>120</v>
      </c>
      <c r="O12">
        <v>118.88</v>
      </c>
      <c r="P12">
        <v>118.1</v>
      </c>
      <c r="Q12">
        <v>117.75</v>
      </c>
      <c r="R12">
        <v>116</v>
      </c>
      <c r="S12">
        <v>115.5</v>
      </c>
      <c r="T12">
        <v>115</v>
      </c>
      <c r="U12">
        <v>114</v>
      </c>
    </row>
    <row r="13" spans="1:21" x14ac:dyDescent="0.25">
      <c r="A13" t="s">
        <v>17</v>
      </c>
    </row>
    <row r="14" spans="1:21" x14ac:dyDescent="0.25">
      <c r="A14" t="s">
        <v>29</v>
      </c>
      <c r="H14">
        <v>-71.19</v>
      </c>
      <c r="I14">
        <v>-33.89</v>
      </c>
      <c r="J14">
        <v>-7.02</v>
      </c>
      <c r="K14">
        <v>35.68</v>
      </c>
      <c r="L14">
        <v>122.02</v>
      </c>
      <c r="M14">
        <v>230.11</v>
      </c>
      <c r="N14">
        <v>303.85000000000002</v>
      </c>
      <c r="O14">
        <v>444.68</v>
      </c>
      <c r="P14">
        <v>664.2</v>
      </c>
      <c r="Q14">
        <v>968.9</v>
      </c>
      <c r="R14" s="2">
        <v>1515.33</v>
      </c>
      <c r="S14" s="2">
        <v>1897.33</v>
      </c>
      <c r="T14" s="2">
        <v>2351.5</v>
      </c>
      <c r="U14" s="2">
        <v>2823</v>
      </c>
    </row>
    <row r="15" spans="1:21" x14ac:dyDescent="0.25">
      <c r="A15" t="s">
        <v>30</v>
      </c>
      <c r="H15">
        <v>78.2</v>
      </c>
      <c r="I15">
        <v>77.599999999999994</v>
      </c>
      <c r="J15">
        <v>78.599999999999994</v>
      </c>
      <c r="K15">
        <v>78.2</v>
      </c>
      <c r="L15">
        <v>78.3</v>
      </c>
      <c r="M15">
        <v>78.7</v>
      </c>
      <c r="N15">
        <v>75.8</v>
      </c>
      <c r="O15">
        <v>73.12</v>
      </c>
      <c r="P15">
        <v>73.430000000000007</v>
      </c>
      <c r="Q15">
        <v>73.66</v>
      </c>
      <c r="R15">
        <v>73.39</v>
      </c>
      <c r="S15">
        <v>73.349999999999994</v>
      </c>
      <c r="T15">
        <v>73.08</v>
      </c>
      <c r="U15">
        <v>73.13</v>
      </c>
    </row>
    <row r="16" spans="1:21" x14ac:dyDescent="0.25">
      <c r="A16" t="s">
        <v>17</v>
      </c>
    </row>
    <row r="17" spans="1:21" x14ac:dyDescent="0.25">
      <c r="A17" t="s">
        <v>37</v>
      </c>
    </row>
    <row r="18" spans="1:21" x14ac:dyDescent="0.25">
      <c r="A18" t="s">
        <v>17</v>
      </c>
    </row>
    <row r="19" spans="1:21" x14ac:dyDescent="0.25">
      <c r="A19" t="s">
        <v>38</v>
      </c>
    </row>
    <row r="20" spans="1:21" x14ac:dyDescent="0.25">
      <c r="A20" t="s">
        <v>24</v>
      </c>
      <c r="G20">
        <v>197.58</v>
      </c>
      <c r="H20">
        <v>301.63</v>
      </c>
      <c r="I20">
        <v>456.25</v>
      </c>
      <c r="J20">
        <v>720.82</v>
      </c>
      <c r="K20" s="2">
        <v>1084.3900000000001</v>
      </c>
      <c r="L20" s="2">
        <v>1431.22</v>
      </c>
      <c r="M20" s="2">
        <v>1804.63</v>
      </c>
      <c r="N20" s="2">
        <v>2393.37</v>
      </c>
      <c r="O20" s="2">
        <v>3137.41</v>
      </c>
      <c r="P20" s="2">
        <v>3973.92</v>
      </c>
      <c r="Q20" s="2">
        <v>5068.63</v>
      </c>
      <c r="R20" s="2">
        <v>6134.84</v>
      </c>
      <c r="S20" s="2">
        <v>7117.03</v>
      </c>
      <c r="T20" s="2">
        <v>8353.24</v>
      </c>
      <c r="U20" s="2">
        <v>9597.42</v>
      </c>
    </row>
    <row r="21" spans="1:21" x14ac:dyDescent="0.25">
      <c r="A21" t="s">
        <v>383</v>
      </c>
      <c r="G21">
        <v>141.4</v>
      </c>
      <c r="H21">
        <v>219.2</v>
      </c>
      <c r="I21">
        <v>383.5</v>
      </c>
      <c r="J21">
        <v>623.9</v>
      </c>
      <c r="K21">
        <v>906.5</v>
      </c>
      <c r="L21" s="2">
        <v>1244.5999999999999</v>
      </c>
      <c r="M21" s="2">
        <v>1686.5</v>
      </c>
      <c r="N21" s="2">
        <v>2495.8000000000002</v>
      </c>
      <c r="O21" s="2">
        <v>3274.3</v>
      </c>
      <c r="P21" s="2">
        <v>4200.83</v>
      </c>
      <c r="Q21" s="2">
        <v>5210.34</v>
      </c>
      <c r="R21" s="2">
        <v>5226.29</v>
      </c>
      <c r="S21" s="2">
        <v>5401.16</v>
      </c>
      <c r="T21" s="2">
        <v>7586.5</v>
      </c>
      <c r="U21" s="2">
        <v>8800.35</v>
      </c>
    </row>
    <row r="22" spans="1:21" x14ac:dyDescent="0.25">
      <c r="A22" t="s">
        <v>50</v>
      </c>
      <c r="N22" s="2">
        <v>1572.4</v>
      </c>
      <c r="O22" s="2">
        <v>2056.7399999999998</v>
      </c>
      <c r="P22" s="2">
        <v>2625.56</v>
      </c>
      <c r="Q22" s="2">
        <v>3212.97</v>
      </c>
      <c r="R22" s="2">
        <v>3295.25</v>
      </c>
      <c r="S22" s="2">
        <v>3413.56</v>
      </c>
      <c r="T22" s="2">
        <v>4855.37</v>
      </c>
      <c r="U22" s="2">
        <v>5632.22</v>
      </c>
    </row>
    <row r="23" spans="1:21" x14ac:dyDescent="0.25">
      <c r="A23" t="s">
        <v>43</v>
      </c>
      <c r="J23" s="2">
        <v>2440</v>
      </c>
      <c r="K23" s="2">
        <v>3217</v>
      </c>
      <c r="L23" s="2">
        <v>3682</v>
      </c>
      <c r="M23" s="2">
        <v>4263</v>
      </c>
      <c r="N23" s="2">
        <v>5156</v>
      </c>
    </row>
    <row r="24" spans="1:21" x14ac:dyDescent="0.25">
      <c r="A24" t="s">
        <v>1726</v>
      </c>
      <c r="O24">
        <v>279.85000000000002</v>
      </c>
      <c r="P24">
        <v>299.58</v>
      </c>
      <c r="Q24">
        <v>350.55</v>
      </c>
      <c r="R24">
        <v>337.7</v>
      </c>
      <c r="S24">
        <v>432.59</v>
      </c>
      <c r="T24">
        <v>391.4</v>
      </c>
      <c r="U24">
        <v>410.97</v>
      </c>
    </row>
    <row r="25" spans="1:21" x14ac:dyDescent="0.25">
      <c r="A25" t="s">
        <v>27</v>
      </c>
      <c r="F25">
        <v>12.13</v>
      </c>
      <c r="G25">
        <v>17.04</v>
      </c>
      <c r="H25">
        <v>31.65</v>
      </c>
      <c r="I25">
        <v>56.84</v>
      </c>
      <c r="J25">
        <v>121.23</v>
      </c>
      <c r="K25">
        <v>230.38</v>
      </c>
      <c r="L25">
        <v>364.85</v>
      </c>
      <c r="M25">
        <v>499.86</v>
      </c>
      <c r="N25">
        <v>725.3</v>
      </c>
      <c r="O25">
        <v>991.01</v>
      </c>
      <c r="P25" s="2">
        <v>1278.4000000000001</v>
      </c>
      <c r="Q25" s="2">
        <v>2110.67</v>
      </c>
      <c r="R25" s="2">
        <v>1984.12</v>
      </c>
      <c r="S25" s="2">
        <v>2406.67</v>
      </c>
      <c r="T25" s="2">
        <v>2928.1</v>
      </c>
      <c r="U25" s="2">
        <v>3483.15</v>
      </c>
    </row>
    <row r="26" spans="1:21" x14ac:dyDescent="0.25">
      <c r="A26" t="s">
        <v>1164</v>
      </c>
      <c r="O26" s="2">
        <v>3203.86</v>
      </c>
      <c r="P26" s="2">
        <v>4104.05</v>
      </c>
      <c r="Q26" s="2">
        <v>5289.52</v>
      </c>
    </row>
    <row r="27" spans="1:21" x14ac:dyDescent="0.25">
      <c r="A27" t="s">
        <v>1723</v>
      </c>
      <c r="E27" s="2">
        <v>35002</v>
      </c>
      <c r="F27" s="2">
        <v>49309</v>
      </c>
      <c r="G27" s="2">
        <v>67899</v>
      </c>
      <c r="H27" s="2">
        <v>84154</v>
      </c>
      <c r="I27" s="2">
        <v>111183</v>
      </c>
      <c r="J27" s="2">
        <v>140096</v>
      </c>
      <c r="K27" s="2">
        <v>162086</v>
      </c>
      <c r="L27" s="2">
        <v>189791</v>
      </c>
      <c r="M27" s="2">
        <v>237714</v>
      </c>
      <c r="N27" s="2">
        <v>332466</v>
      </c>
      <c r="O27" s="2">
        <v>434824</v>
      </c>
      <c r="P27" s="2">
        <v>518179</v>
      </c>
      <c r="Q27" s="2">
        <v>545361</v>
      </c>
      <c r="R27" s="2">
        <v>450088</v>
      </c>
      <c r="S27" s="2">
        <v>477093</v>
      </c>
      <c r="T27" s="2">
        <v>503333</v>
      </c>
      <c r="U27" s="2">
        <v>528500</v>
      </c>
    </row>
    <row r="28" spans="1:21" x14ac:dyDescent="0.25">
      <c r="A28" t="s">
        <v>1724</v>
      </c>
      <c r="E28">
        <v>95</v>
      </c>
      <c r="F28">
        <v>184</v>
      </c>
      <c r="G28">
        <v>313</v>
      </c>
      <c r="H28">
        <v>550</v>
      </c>
      <c r="I28">
        <v>828</v>
      </c>
      <c r="J28" s="2">
        <v>1416</v>
      </c>
      <c r="K28" s="2">
        <v>2042</v>
      </c>
      <c r="L28" s="2">
        <v>2756</v>
      </c>
      <c r="M28" s="2">
        <v>3497</v>
      </c>
      <c r="N28" s="2">
        <v>4298</v>
      </c>
      <c r="O28" s="2">
        <v>5205</v>
      </c>
      <c r="P28" s="2">
        <v>6205</v>
      </c>
      <c r="Q28" s="2">
        <v>7265</v>
      </c>
      <c r="R28" s="2">
        <v>7592</v>
      </c>
      <c r="S28" s="2">
        <v>8591</v>
      </c>
      <c r="T28" s="2">
        <v>10738</v>
      </c>
      <c r="U28" s="2">
        <v>12134</v>
      </c>
    </row>
    <row r="29" spans="1:21" x14ac:dyDescent="0.25">
      <c r="A29" t="s">
        <v>1725</v>
      </c>
      <c r="G29">
        <v>111</v>
      </c>
      <c r="H29">
        <v>119</v>
      </c>
      <c r="I29">
        <v>119</v>
      </c>
      <c r="J29">
        <v>125</v>
      </c>
      <c r="K29">
        <v>122</v>
      </c>
      <c r="L29">
        <v>115</v>
      </c>
      <c r="M29">
        <v>111</v>
      </c>
      <c r="N29">
        <v>120</v>
      </c>
      <c r="O29">
        <v>118.88</v>
      </c>
      <c r="P29">
        <v>118.1</v>
      </c>
      <c r="Q29">
        <v>117.75</v>
      </c>
      <c r="R29">
        <v>116</v>
      </c>
      <c r="S29">
        <v>115.5</v>
      </c>
      <c r="T29">
        <v>115</v>
      </c>
      <c r="U29">
        <v>114</v>
      </c>
    </row>
    <row r="30" spans="1:21" x14ac:dyDescent="0.25">
      <c r="A30" t="s">
        <v>381</v>
      </c>
    </row>
    <row r="31" spans="1:21" x14ac:dyDescent="0.25">
      <c r="A31" t="s">
        <v>1727</v>
      </c>
      <c r="N31" s="2">
        <v>7393</v>
      </c>
      <c r="O31" s="2">
        <v>6919.58</v>
      </c>
      <c r="P31" s="2">
        <v>6428.16</v>
      </c>
    </row>
    <row r="32" spans="1:21" x14ac:dyDescent="0.25">
      <c r="A32" t="s">
        <v>17</v>
      </c>
    </row>
    <row r="33" spans="1:21" x14ac:dyDescent="0.25">
      <c r="A33" t="s">
        <v>58</v>
      </c>
    </row>
    <row r="34" spans="1:21" x14ac:dyDescent="0.25">
      <c r="A34" t="s">
        <v>16</v>
      </c>
    </row>
    <row r="35" spans="1:21" x14ac:dyDescent="0.25">
      <c r="A35" t="s">
        <v>1728</v>
      </c>
      <c r="E35">
        <v>3.45</v>
      </c>
      <c r="F35">
        <v>7.85</v>
      </c>
      <c r="G35">
        <v>13.23</v>
      </c>
      <c r="H35">
        <v>26.5</v>
      </c>
      <c r="I35">
        <v>45.3</v>
      </c>
      <c r="J35">
        <v>73.8</v>
      </c>
      <c r="K35">
        <v>122.52</v>
      </c>
      <c r="L35">
        <v>202.4</v>
      </c>
      <c r="M35">
        <v>337.39</v>
      </c>
      <c r="N35">
        <v>568.87</v>
      </c>
      <c r="O35">
        <v>482.48</v>
      </c>
      <c r="P35" s="2">
        <v>1355.31</v>
      </c>
      <c r="Q35" s="2">
        <v>1951.65</v>
      </c>
      <c r="R35" s="2">
        <v>2537.15</v>
      </c>
      <c r="S35" s="2">
        <v>3019.21</v>
      </c>
      <c r="T35" s="2">
        <v>3532.47</v>
      </c>
      <c r="U35" s="2">
        <v>4062.34</v>
      </c>
    </row>
    <row r="36" spans="1:21" x14ac:dyDescent="0.25">
      <c r="A36" t="s">
        <v>61</v>
      </c>
      <c r="E36">
        <v>4</v>
      </c>
      <c r="F36">
        <v>6</v>
      </c>
      <c r="G36">
        <v>7</v>
      </c>
      <c r="H36">
        <v>9</v>
      </c>
      <c r="I36">
        <v>11</v>
      </c>
      <c r="J36">
        <v>11</v>
      </c>
      <c r="K36">
        <v>13</v>
      </c>
      <c r="L36">
        <v>16</v>
      </c>
      <c r="M36">
        <v>20</v>
      </c>
      <c r="N36">
        <v>26</v>
      </c>
      <c r="O36">
        <v>18.73</v>
      </c>
    </row>
    <row r="37" spans="1:21" x14ac:dyDescent="0.25">
      <c r="A37" t="s">
        <v>1591</v>
      </c>
      <c r="E37">
        <v>81.349999999999994</v>
      </c>
      <c r="F37">
        <v>127.07</v>
      </c>
      <c r="G37">
        <v>179.44</v>
      </c>
      <c r="H37">
        <v>260.52999999999997</v>
      </c>
      <c r="I37">
        <v>385.76</v>
      </c>
      <c r="J37">
        <v>582.62</v>
      </c>
      <c r="K37">
        <v>852.72</v>
      </c>
      <c r="L37" s="2">
        <v>1094.3399999999999</v>
      </c>
      <c r="M37" s="2">
        <v>1332.23</v>
      </c>
      <c r="N37" s="2">
        <v>1599.07</v>
      </c>
      <c r="O37" s="2">
        <v>1619.11</v>
      </c>
      <c r="P37" s="2">
        <v>2988.65</v>
      </c>
      <c r="Q37" s="2">
        <v>3707.06</v>
      </c>
      <c r="R37" s="2">
        <v>3205.17</v>
      </c>
      <c r="S37" s="2">
        <v>3557.74</v>
      </c>
      <c r="T37" s="2">
        <v>3877.93</v>
      </c>
      <c r="U37" s="2">
        <v>4149.3900000000003</v>
      </c>
    </row>
    <row r="38" spans="1:21" x14ac:dyDescent="0.25">
      <c r="A38" t="s">
        <v>61</v>
      </c>
      <c r="E38">
        <v>96</v>
      </c>
      <c r="F38">
        <v>94</v>
      </c>
      <c r="G38">
        <v>93</v>
      </c>
      <c r="H38">
        <v>91</v>
      </c>
      <c r="I38">
        <v>89</v>
      </c>
      <c r="J38">
        <v>89</v>
      </c>
      <c r="K38">
        <v>87</v>
      </c>
      <c r="L38">
        <v>84</v>
      </c>
      <c r="M38">
        <v>80</v>
      </c>
      <c r="N38">
        <v>74</v>
      </c>
      <c r="O38">
        <v>69.260000000000005</v>
      </c>
    </row>
    <row r="39" spans="1:21" x14ac:dyDescent="0.25">
      <c r="A39" t="s">
        <v>17</v>
      </c>
    </row>
    <row r="40" spans="1:21" x14ac:dyDescent="0.25">
      <c r="A40" t="s">
        <v>72</v>
      </c>
    </row>
    <row r="41" spans="1:21" x14ac:dyDescent="0.25">
      <c r="A41" t="s">
        <v>16</v>
      </c>
      <c r="H41">
        <v>287.02</v>
      </c>
      <c r="I41">
        <v>431.06</v>
      </c>
      <c r="J41">
        <v>656.43</v>
      </c>
      <c r="K41">
        <v>975.2</v>
      </c>
      <c r="L41" s="2">
        <v>1296.75</v>
      </c>
      <c r="M41" s="2">
        <v>1669.63</v>
      </c>
      <c r="N41" s="2">
        <v>2167.94</v>
      </c>
      <c r="O41" s="2">
        <v>2872.38</v>
      </c>
      <c r="P41" s="2">
        <v>3706</v>
      </c>
      <c r="Q41" s="2">
        <v>4746.33</v>
      </c>
      <c r="R41" s="2">
        <v>5934.75</v>
      </c>
      <c r="S41" s="2">
        <v>7231.75</v>
      </c>
      <c r="T41" s="2">
        <v>7969.5</v>
      </c>
      <c r="U41" s="2">
        <v>9173</v>
      </c>
    </row>
    <row r="42" spans="1:21" x14ac:dyDescent="0.25">
      <c r="A42" t="s">
        <v>73</v>
      </c>
      <c r="E42">
        <v>43.19</v>
      </c>
      <c r="F42">
        <v>64.94</v>
      </c>
      <c r="G42">
        <v>92.65</v>
      </c>
      <c r="H42">
        <v>144.58000000000001</v>
      </c>
      <c r="I42">
        <v>218.19</v>
      </c>
      <c r="J42">
        <v>342.58</v>
      </c>
      <c r="K42">
        <v>515.72</v>
      </c>
      <c r="L42">
        <v>678.18</v>
      </c>
      <c r="M42">
        <v>849.5</v>
      </c>
      <c r="N42" s="2">
        <v>1073</v>
      </c>
      <c r="O42">
        <v>670.16</v>
      </c>
    </row>
    <row r="43" spans="1:21" x14ac:dyDescent="0.25">
      <c r="A43" t="s">
        <v>61</v>
      </c>
      <c r="E43">
        <v>51</v>
      </c>
      <c r="F43">
        <v>48</v>
      </c>
      <c r="G43">
        <v>48</v>
      </c>
      <c r="H43">
        <v>50</v>
      </c>
      <c r="I43">
        <v>51</v>
      </c>
      <c r="J43">
        <v>52</v>
      </c>
      <c r="K43">
        <v>53</v>
      </c>
      <c r="L43">
        <v>52</v>
      </c>
      <c r="M43">
        <v>51</v>
      </c>
      <c r="N43">
        <v>49</v>
      </c>
      <c r="O43">
        <v>43.48</v>
      </c>
    </row>
    <row r="44" spans="1:21" x14ac:dyDescent="0.25">
      <c r="A44" t="s">
        <v>1729</v>
      </c>
      <c r="E44">
        <v>8.5</v>
      </c>
      <c r="F44">
        <v>15.47</v>
      </c>
      <c r="G44">
        <v>26.31</v>
      </c>
      <c r="H44">
        <v>55.13</v>
      </c>
      <c r="I44">
        <v>76.180000000000007</v>
      </c>
      <c r="J44">
        <v>96.54</v>
      </c>
      <c r="K44">
        <v>133.35</v>
      </c>
      <c r="L44">
        <v>168.83</v>
      </c>
      <c r="M44">
        <v>223.23</v>
      </c>
      <c r="N44">
        <v>329.76</v>
      </c>
      <c r="O44">
        <v>197.84</v>
      </c>
    </row>
    <row r="45" spans="1:21" x14ac:dyDescent="0.25">
      <c r="A45" t="s">
        <v>61</v>
      </c>
      <c r="E45">
        <v>10</v>
      </c>
      <c r="F45">
        <v>11</v>
      </c>
      <c r="G45">
        <v>14</v>
      </c>
      <c r="H45">
        <v>19</v>
      </c>
      <c r="I45">
        <v>18</v>
      </c>
      <c r="J45">
        <v>15</v>
      </c>
      <c r="K45">
        <v>14</v>
      </c>
      <c r="L45">
        <v>13</v>
      </c>
      <c r="M45">
        <v>13</v>
      </c>
      <c r="N45">
        <v>15</v>
      </c>
      <c r="O45">
        <v>9.8699999999999992</v>
      </c>
      <c r="P45">
        <v>8.59</v>
      </c>
      <c r="Q45">
        <v>7.92</v>
      </c>
      <c r="R45">
        <v>6.3</v>
      </c>
      <c r="S45">
        <v>6.07</v>
      </c>
      <c r="T45">
        <v>5.37</v>
      </c>
      <c r="U45">
        <v>5.24</v>
      </c>
    </row>
    <row r="46" spans="1:21" x14ac:dyDescent="0.25">
      <c r="A46" t="s">
        <v>644</v>
      </c>
      <c r="E46">
        <v>17.690000000000001</v>
      </c>
      <c r="F46">
        <v>31.88</v>
      </c>
      <c r="G46">
        <v>48.44</v>
      </c>
      <c r="H46">
        <v>68.42</v>
      </c>
      <c r="I46">
        <v>109.27</v>
      </c>
      <c r="J46">
        <v>172.13</v>
      </c>
      <c r="K46">
        <v>258.29000000000002</v>
      </c>
      <c r="L46">
        <v>356.57</v>
      </c>
      <c r="M46">
        <v>466.5</v>
      </c>
      <c r="N46">
        <v>598.62</v>
      </c>
      <c r="O46">
        <v>362.72</v>
      </c>
    </row>
    <row r="47" spans="1:21" x14ac:dyDescent="0.25">
      <c r="A47" t="s">
        <v>61</v>
      </c>
      <c r="E47">
        <v>21</v>
      </c>
      <c r="F47">
        <v>24</v>
      </c>
      <c r="G47">
        <v>25</v>
      </c>
      <c r="H47">
        <v>24</v>
      </c>
      <c r="I47">
        <v>25</v>
      </c>
      <c r="J47">
        <v>26</v>
      </c>
      <c r="K47">
        <v>26</v>
      </c>
      <c r="L47">
        <v>28</v>
      </c>
      <c r="M47">
        <v>28</v>
      </c>
      <c r="N47">
        <v>28</v>
      </c>
      <c r="O47">
        <v>23.54</v>
      </c>
    </row>
    <row r="48" spans="1:21" x14ac:dyDescent="0.25">
      <c r="A48" t="s">
        <v>212</v>
      </c>
      <c r="E48">
        <v>5.37</v>
      </c>
      <c r="F48">
        <v>8.1999999999999993</v>
      </c>
      <c r="G48">
        <v>12.73</v>
      </c>
      <c r="H48">
        <v>18.899999999999999</v>
      </c>
      <c r="I48">
        <v>27.42</v>
      </c>
      <c r="J48">
        <v>45.18</v>
      </c>
      <c r="K48">
        <v>67.88</v>
      </c>
      <c r="L48">
        <v>93.17</v>
      </c>
      <c r="M48">
        <v>130.38999999999999</v>
      </c>
      <c r="N48">
        <v>166.56</v>
      </c>
      <c r="O48">
        <v>104.73</v>
      </c>
    </row>
    <row r="49" spans="1:21" x14ac:dyDescent="0.25">
      <c r="A49" t="s">
        <v>61</v>
      </c>
      <c r="E49">
        <v>6</v>
      </c>
      <c r="F49">
        <v>6</v>
      </c>
      <c r="G49">
        <v>7</v>
      </c>
      <c r="H49">
        <v>7</v>
      </c>
      <c r="I49">
        <v>6</v>
      </c>
      <c r="J49">
        <v>7</v>
      </c>
      <c r="K49">
        <v>7</v>
      </c>
      <c r="L49">
        <v>7</v>
      </c>
      <c r="M49">
        <v>8</v>
      </c>
      <c r="N49">
        <v>8</v>
      </c>
      <c r="O49">
        <v>6.8</v>
      </c>
    </row>
    <row r="50" spans="1:21" x14ac:dyDescent="0.25">
      <c r="A50" t="s">
        <v>17</v>
      </c>
    </row>
    <row r="51" spans="1:21" x14ac:dyDescent="0.25">
      <c r="A51" t="s">
        <v>274</v>
      </c>
    </row>
    <row r="52" spans="1:21" x14ac:dyDescent="0.25">
      <c r="A52" t="s">
        <v>80</v>
      </c>
      <c r="H52">
        <v>287.02</v>
      </c>
      <c r="I52">
        <v>431.06</v>
      </c>
      <c r="J52">
        <v>656.43</v>
      </c>
      <c r="K52">
        <v>975.2</v>
      </c>
      <c r="L52" s="2">
        <v>1296.75</v>
      </c>
      <c r="M52" s="2">
        <v>1669.63</v>
      </c>
      <c r="N52" s="2">
        <v>2167.94</v>
      </c>
      <c r="O52" s="2">
        <v>2872.38</v>
      </c>
      <c r="P52" s="2">
        <v>3706</v>
      </c>
      <c r="Q52" s="2">
        <v>4746.33</v>
      </c>
      <c r="R52" s="2">
        <v>5934.75</v>
      </c>
      <c r="S52" s="2">
        <v>7231.75</v>
      </c>
      <c r="T52" s="2">
        <v>7969.5</v>
      </c>
      <c r="U52" s="2">
        <v>9173</v>
      </c>
    </row>
    <row r="53" spans="1:21" x14ac:dyDescent="0.25">
      <c r="A53" t="s">
        <v>17</v>
      </c>
    </row>
    <row r="54" spans="1:21" x14ac:dyDescent="0.25">
      <c r="A54" t="s">
        <v>82</v>
      </c>
      <c r="G54">
        <v>42.9</v>
      </c>
      <c r="H54">
        <v>62.58</v>
      </c>
      <c r="I54">
        <v>96.51</v>
      </c>
      <c r="J54">
        <v>140.49</v>
      </c>
      <c r="K54">
        <v>212.4</v>
      </c>
      <c r="L54">
        <v>280.94</v>
      </c>
      <c r="M54">
        <v>378.7</v>
      </c>
      <c r="N54">
        <v>524.75</v>
      </c>
      <c r="O54">
        <v>769.16</v>
      </c>
      <c r="P54">
        <v>977.46</v>
      </c>
      <c r="Q54" s="2">
        <v>1236.31</v>
      </c>
      <c r="R54" s="2">
        <v>1517.82</v>
      </c>
      <c r="S54" s="2">
        <v>1825.21</v>
      </c>
      <c r="T54" s="2">
        <v>2147.75</v>
      </c>
      <c r="U54" s="2">
        <v>2464.58</v>
      </c>
    </row>
    <row r="55" spans="1:21" x14ac:dyDescent="0.25">
      <c r="A55" t="s">
        <v>17</v>
      </c>
    </row>
    <row r="56" spans="1:21" x14ac:dyDescent="0.25">
      <c r="A56" t="s">
        <v>84</v>
      </c>
      <c r="G56">
        <v>149.77000000000001</v>
      </c>
      <c r="H56">
        <v>224.44</v>
      </c>
      <c r="I56">
        <v>334.55</v>
      </c>
      <c r="J56">
        <v>515.94000000000005</v>
      </c>
      <c r="K56">
        <v>762.85</v>
      </c>
      <c r="L56" s="2">
        <v>1015.8</v>
      </c>
      <c r="M56" s="2">
        <v>1313.61</v>
      </c>
      <c r="N56" s="2">
        <v>1643.19</v>
      </c>
      <c r="O56" s="2">
        <v>2102.5500000000002</v>
      </c>
      <c r="P56" s="2">
        <v>2711.64</v>
      </c>
      <c r="Q56" s="2">
        <v>3460.22</v>
      </c>
      <c r="R56" s="2">
        <v>4180.8100000000004</v>
      </c>
      <c r="S56" s="2">
        <v>5026.9799999999996</v>
      </c>
      <c r="T56" s="2">
        <v>5821.7</v>
      </c>
      <c r="U56" s="2">
        <v>6708.04</v>
      </c>
    </row>
    <row r="57" spans="1:21" x14ac:dyDescent="0.25">
      <c r="A57" t="s">
        <v>85</v>
      </c>
      <c r="H57">
        <v>78.2</v>
      </c>
      <c r="I57">
        <v>77.599999999999994</v>
      </c>
      <c r="J57">
        <v>78.599999999999994</v>
      </c>
      <c r="K57">
        <v>78.2</v>
      </c>
      <c r="L57">
        <v>78.3</v>
      </c>
      <c r="M57">
        <v>78.7</v>
      </c>
      <c r="N57">
        <v>75.8</v>
      </c>
      <c r="O57">
        <v>73.12</v>
      </c>
      <c r="P57">
        <v>73.430000000000007</v>
      </c>
      <c r="Q57">
        <v>73.66</v>
      </c>
      <c r="R57">
        <v>73.39</v>
      </c>
      <c r="S57">
        <v>73.349999999999994</v>
      </c>
      <c r="T57">
        <v>73.08</v>
      </c>
      <c r="U57">
        <v>73.13</v>
      </c>
    </row>
    <row r="58" spans="1:21" x14ac:dyDescent="0.25">
      <c r="A58" t="s">
        <v>17</v>
      </c>
    </row>
    <row r="59" spans="1:21" x14ac:dyDescent="0.25">
      <c r="A59" t="s">
        <v>1730</v>
      </c>
      <c r="E59">
        <v>101.82</v>
      </c>
      <c r="F59">
        <v>144.65</v>
      </c>
      <c r="G59">
        <v>277.57</v>
      </c>
      <c r="H59">
        <v>394.97</v>
      </c>
      <c r="I59">
        <v>537.83000000000004</v>
      </c>
      <c r="J59">
        <v>784.11</v>
      </c>
      <c r="K59" s="2">
        <v>1176.44</v>
      </c>
      <c r="L59" s="2">
        <v>1482.23</v>
      </c>
      <c r="M59" s="2">
        <v>1824.39</v>
      </c>
      <c r="N59" s="2">
        <v>2375.14</v>
      </c>
      <c r="O59" s="2">
        <v>3132.21</v>
      </c>
      <c r="P59" s="2">
        <v>3719.53</v>
      </c>
      <c r="Q59" s="2">
        <v>4519.1400000000003</v>
      </c>
      <c r="R59" s="2">
        <v>5215.21</v>
      </c>
      <c r="S59" s="2">
        <v>6305.38</v>
      </c>
      <c r="T59" s="2">
        <v>7525.52</v>
      </c>
      <c r="U59" s="2">
        <v>8682.2199999999993</v>
      </c>
    </row>
    <row r="60" spans="1:21" x14ac:dyDescent="0.25">
      <c r="A60" t="s">
        <v>283</v>
      </c>
      <c r="H60">
        <v>295.63</v>
      </c>
      <c r="I60">
        <v>368.44</v>
      </c>
      <c r="J60">
        <v>522.97</v>
      </c>
      <c r="K60">
        <v>727.17</v>
      </c>
      <c r="L60">
        <v>893.79</v>
      </c>
      <c r="M60" s="2">
        <v>1083.49</v>
      </c>
      <c r="N60" s="2">
        <v>1339.34</v>
      </c>
      <c r="O60" s="2">
        <v>1666.03</v>
      </c>
      <c r="P60" s="2">
        <v>2053.9</v>
      </c>
      <c r="Q60" s="2">
        <v>2518.38</v>
      </c>
      <c r="R60" s="2">
        <v>2631.16</v>
      </c>
      <c r="S60" s="2">
        <v>3259.97</v>
      </c>
    </row>
    <row r="61" spans="1:21" x14ac:dyDescent="0.25">
      <c r="A61" t="s">
        <v>88</v>
      </c>
      <c r="G61">
        <v>60.46</v>
      </c>
      <c r="H61">
        <v>67.41</v>
      </c>
      <c r="I61">
        <v>77.319999999999993</v>
      </c>
      <c r="J61">
        <v>99.42</v>
      </c>
      <c r="K61">
        <v>134.74</v>
      </c>
      <c r="L61">
        <v>155.61000000000001</v>
      </c>
      <c r="M61">
        <v>180.69</v>
      </c>
      <c r="N61">
        <v>220.33</v>
      </c>
      <c r="O61">
        <v>283.54000000000002</v>
      </c>
      <c r="P61">
        <v>316.75</v>
      </c>
      <c r="Q61">
        <v>374.17</v>
      </c>
      <c r="R61">
        <v>358.81</v>
      </c>
      <c r="S61">
        <v>418.7</v>
      </c>
      <c r="T61">
        <v>435.71</v>
      </c>
      <c r="U61">
        <v>493.18</v>
      </c>
    </row>
    <row r="62" spans="1:21" x14ac:dyDescent="0.25">
      <c r="A62" t="s">
        <v>1731</v>
      </c>
      <c r="G62">
        <v>93.42</v>
      </c>
      <c r="H62">
        <v>150.59</v>
      </c>
      <c r="I62">
        <v>200.2</v>
      </c>
      <c r="J62">
        <v>295.2</v>
      </c>
      <c r="K62">
        <v>410.08</v>
      </c>
      <c r="L62">
        <v>520.11</v>
      </c>
      <c r="M62">
        <v>633.37</v>
      </c>
      <c r="N62">
        <v>781.14</v>
      </c>
      <c r="O62">
        <v>958.8</v>
      </c>
      <c r="P62" s="2">
        <v>1196.6600000000001</v>
      </c>
      <c r="Q62" s="2">
        <v>1460.09</v>
      </c>
      <c r="R62" s="2">
        <v>1548.43</v>
      </c>
      <c r="S62" s="2">
        <v>1807.43</v>
      </c>
      <c r="T62" s="2">
        <v>1919.34</v>
      </c>
      <c r="U62" s="2">
        <v>2135.2199999999998</v>
      </c>
    </row>
    <row r="63" spans="1:21" x14ac:dyDescent="0.25">
      <c r="A63" t="s">
        <v>89</v>
      </c>
      <c r="G63">
        <v>52.93</v>
      </c>
      <c r="H63">
        <v>77.63</v>
      </c>
      <c r="I63">
        <v>90.92</v>
      </c>
      <c r="J63">
        <v>128.35</v>
      </c>
      <c r="K63">
        <v>182.34</v>
      </c>
      <c r="L63">
        <v>218.07</v>
      </c>
      <c r="M63">
        <v>269.44</v>
      </c>
      <c r="N63">
        <v>337.87</v>
      </c>
      <c r="O63">
        <v>421.56</v>
      </c>
      <c r="P63">
        <v>534.44000000000005</v>
      </c>
      <c r="Q63">
        <v>662.41</v>
      </c>
      <c r="R63">
        <v>758.21</v>
      </c>
      <c r="S63">
        <v>903.31</v>
      </c>
      <c r="T63" s="2">
        <v>1115.0999999999999</v>
      </c>
      <c r="U63" s="2">
        <v>1256.7</v>
      </c>
    </row>
    <row r="64" spans="1:21" x14ac:dyDescent="0.25">
      <c r="A64" t="s">
        <v>61</v>
      </c>
      <c r="G64">
        <v>27.47</v>
      </c>
      <c r="H64">
        <v>27.05</v>
      </c>
      <c r="I64">
        <v>21.09</v>
      </c>
      <c r="J64">
        <v>19.55</v>
      </c>
      <c r="K64">
        <v>18.7</v>
      </c>
      <c r="L64">
        <v>16.82</v>
      </c>
      <c r="M64">
        <v>16.14</v>
      </c>
      <c r="N64">
        <v>15.58</v>
      </c>
      <c r="O64">
        <v>14.69</v>
      </c>
      <c r="P64">
        <v>14.5</v>
      </c>
      <c r="Q64">
        <v>14.05</v>
      </c>
      <c r="R64">
        <v>13.29</v>
      </c>
      <c r="S64">
        <v>13.22</v>
      </c>
      <c r="T64">
        <v>14.09</v>
      </c>
      <c r="U64">
        <v>13.87</v>
      </c>
    </row>
    <row r="65" spans="1:21" x14ac:dyDescent="0.25">
      <c r="A65" t="s">
        <v>17</v>
      </c>
    </row>
    <row r="66" spans="1:21" x14ac:dyDescent="0.25">
      <c r="A66" t="s">
        <v>91</v>
      </c>
      <c r="H66">
        <v>-71.19</v>
      </c>
      <c r="I66">
        <v>-33.89</v>
      </c>
      <c r="J66">
        <v>-7.02</v>
      </c>
      <c r="K66">
        <v>35.68</v>
      </c>
      <c r="L66">
        <v>122.02</v>
      </c>
      <c r="M66">
        <v>230.11</v>
      </c>
      <c r="N66">
        <v>303.85000000000002</v>
      </c>
      <c r="O66">
        <v>444.68</v>
      </c>
      <c r="P66">
        <v>664.2</v>
      </c>
      <c r="Q66">
        <v>968.9</v>
      </c>
      <c r="R66" s="2">
        <v>1515.33</v>
      </c>
      <c r="S66" s="2">
        <v>1897.33</v>
      </c>
      <c r="T66" s="2">
        <v>2351.5</v>
      </c>
      <c r="U66" s="2">
        <v>2823</v>
      </c>
    </row>
    <row r="67" spans="1:21" x14ac:dyDescent="0.25">
      <c r="A67" t="s">
        <v>92</v>
      </c>
      <c r="E67">
        <v>-13.32</v>
      </c>
      <c r="F67">
        <v>-4.83</v>
      </c>
      <c r="G67">
        <v>-29.6</v>
      </c>
      <c r="H67">
        <v>-24.8</v>
      </c>
      <c r="I67">
        <v>-7.86</v>
      </c>
      <c r="J67">
        <v>-1.07</v>
      </c>
      <c r="K67">
        <v>3.66</v>
      </c>
      <c r="L67">
        <v>9.41</v>
      </c>
      <c r="M67">
        <v>13.78</v>
      </c>
      <c r="N67">
        <v>14.02</v>
      </c>
      <c r="O67">
        <v>15.43</v>
      </c>
      <c r="P67">
        <v>18</v>
      </c>
      <c r="Q67">
        <v>20.51</v>
      </c>
      <c r="R67">
        <v>26.6</v>
      </c>
      <c r="S67">
        <v>27.78</v>
      </c>
      <c r="T67">
        <v>29.68</v>
      </c>
      <c r="U67">
        <v>30.94</v>
      </c>
    </row>
    <row r="68" spans="1:21" x14ac:dyDescent="0.25">
      <c r="A68" t="s">
        <v>17</v>
      </c>
    </row>
    <row r="69" spans="1:21" x14ac:dyDescent="0.25">
      <c r="A69" t="s">
        <v>93</v>
      </c>
      <c r="E69">
        <v>8.36</v>
      </c>
      <c r="F69">
        <v>12.17</v>
      </c>
      <c r="G69">
        <v>18.91</v>
      </c>
      <c r="H69">
        <v>29.48</v>
      </c>
      <c r="I69">
        <v>49.39</v>
      </c>
      <c r="J69">
        <v>66.61</v>
      </c>
      <c r="K69">
        <v>102.34</v>
      </c>
      <c r="L69">
        <v>135.82</v>
      </c>
      <c r="M69">
        <v>127.72</v>
      </c>
      <c r="N69">
        <v>189.74</v>
      </c>
      <c r="O69">
        <v>254.08</v>
      </c>
      <c r="P69">
        <v>306.52999999999997</v>
      </c>
      <c r="Q69">
        <v>363.15</v>
      </c>
      <c r="R69">
        <v>440.69</v>
      </c>
      <c r="S69">
        <v>519.6</v>
      </c>
      <c r="T69">
        <v>472.88</v>
      </c>
      <c r="U69">
        <v>508.29</v>
      </c>
    </row>
    <row r="70" spans="1:21" x14ac:dyDescent="0.25">
      <c r="A70" t="s">
        <v>83</v>
      </c>
      <c r="E70">
        <v>9.85</v>
      </c>
      <c r="F70">
        <v>9.02</v>
      </c>
      <c r="G70">
        <v>9.81</v>
      </c>
      <c r="H70">
        <v>10.27</v>
      </c>
      <c r="I70">
        <v>11.46</v>
      </c>
      <c r="J70">
        <v>10.15</v>
      </c>
      <c r="K70">
        <v>10.49</v>
      </c>
      <c r="L70">
        <v>10.47</v>
      </c>
      <c r="M70">
        <v>7.65</v>
      </c>
      <c r="N70">
        <v>8.75</v>
      </c>
      <c r="O70">
        <v>8.7200000000000006</v>
      </c>
      <c r="P70">
        <v>8.25</v>
      </c>
      <c r="Q70">
        <v>7.77</v>
      </c>
      <c r="R70">
        <v>6.91</v>
      </c>
      <c r="S70">
        <v>6.47</v>
      </c>
      <c r="T70">
        <v>6.13</v>
      </c>
      <c r="U70">
        <v>5.85</v>
      </c>
    </row>
    <row r="71" spans="1:21" x14ac:dyDescent="0.25">
      <c r="A71" t="s">
        <v>94</v>
      </c>
      <c r="E71">
        <v>8.3000000000000007</v>
      </c>
      <c r="F71">
        <v>12.1</v>
      </c>
      <c r="G71">
        <v>18.8</v>
      </c>
      <c r="H71">
        <v>29</v>
      </c>
      <c r="I71">
        <v>45.9</v>
      </c>
      <c r="J71">
        <v>62.3</v>
      </c>
      <c r="K71">
        <v>84.8</v>
      </c>
      <c r="L71">
        <v>115.82</v>
      </c>
      <c r="M71">
        <v>114.98</v>
      </c>
      <c r="N71">
        <v>174.74</v>
      </c>
      <c r="O71">
        <v>213.02</v>
      </c>
      <c r="P71">
        <v>262.24</v>
      </c>
      <c r="Q71">
        <v>299.67</v>
      </c>
      <c r="R71">
        <v>245.89</v>
      </c>
      <c r="S71">
        <v>251.4</v>
      </c>
      <c r="T71">
        <v>257.02999999999997</v>
      </c>
      <c r="U71">
        <v>262.76</v>
      </c>
    </row>
    <row r="72" spans="1:21" x14ac:dyDescent="0.25">
      <c r="A72" t="s">
        <v>61</v>
      </c>
      <c r="E72">
        <v>9.7899999999999991</v>
      </c>
      <c r="F72">
        <v>8.9700000000000006</v>
      </c>
      <c r="G72">
        <v>9.76</v>
      </c>
      <c r="H72">
        <v>10.1</v>
      </c>
      <c r="I72">
        <v>10.65</v>
      </c>
      <c r="J72">
        <v>9.49</v>
      </c>
      <c r="K72">
        <v>8.6999999999999993</v>
      </c>
      <c r="L72">
        <v>8.93</v>
      </c>
      <c r="M72">
        <v>6.89</v>
      </c>
      <c r="N72">
        <v>8.06</v>
      </c>
      <c r="O72">
        <v>7.36</v>
      </c>
      <c r="P72">
        <v>6.98</v>
      </c>
      <c r="Q72">
        <v>6.17</v>
      </c>
      <c r="R72">
        <v>4.25</v>
      </c>
      <c r="S72">
        <v>3.55</v>
      </c>
      <c r="T72">
        <v>3.01</v>
      </c>
      <c r="U72">
        <v>2.59</v>
      </c>
    </row>
    <row r="73" spans="1:21" x14ac:dyDescent="0.25">
      <c r="A73" t="s">
        <v>127</v>
      </c>
      <c r="E73">
        <v>0.04</v>
      </c>
      <c r="F73">
        <v>0.5</v>
      </c>
      <c r="G73">
        <v>0.52</v>
      </c>
      <c r="H73">
        <v>0.13</v>
      </c>
      <c r="I73">
        <v>3.08</v>
      </c>
      <c r="J73">
        <v>2.95</v>
      </c>
      <c r="K73">
        <v>15.17</v>
      </c>
      <c r="L73">
        <v>20</v>
      </c>
      <c r="M73">
        <v>12.75</v>
      </c>
      <c r="N73">
        <v>15</v>
      </c>
      <c r="O73">
        <v>28.6</v>
      </c>
      <c r="P73">
        <v>30.66</v>
      </c>
      <c r="Q73">
        <v>33.119999999999997</v>
      </c>
      <c r="R73">
        <v>59.7</v>
      </c>
      <c r="S73">
        <v>71.69</v>
      </c>
      <c r="T73">
        <v>29.76</v>
      </c>
      <c r="U73">
        <v>29.76</v>
      </c>
    </row>
    <row r="74" spans="1:21" x14ac:dyDescent="0.25">
      <c r="A74" t="s">
        <v>17</v>
      </c>
    </row>
    <row r="75" spans="1:21" x14ac:dyDescent="0.25">
      <c r="A75" t="s">
        <v>277</v>
      </c>
      <c r="H75">
        <v>-41.72</v>
      </c>
      <c r="I75">
        <v>15.5</v>
      </c>
      <c r="J75">
        <v>59.58</v>
      </c>
      <c r="K75">
        <v>138.01</v>
      </c>
      <c r="L75">
        <v>257.83999999999997</v>
      </c>
      <c r="M75">
        <v>357.83</v>
      </c>
      <c r="N75">
        <v>493.59</v>
      </c>
      <c r="O75">
        <v>706.13</v>
      </c>
      <c r="P75">
        <v>986.56</v>
      </c>
      <c r="Q75" s="2">
        <v>1315.17</v>
      </c>
      <c r="R75" s="2">
        <v>1970</v>
      </c>
      <c r="S75" s="2">
        <v>2423</v>
      </c>
      <c r="T75" s="2">
        <v>2824.5</v>
      </c>
      <c r="U75" s="2">
        <v>3331</v>
      </c>
    </row>
    <row r="76" spans="1:21" x14ac:dyDescent="0.25">
      <c r="A76" t="s">
        <v>481</v>
      </c>
      <c r="O76">
        <v>19.78</v>
      </c>
      <c r="P76">
        <v>21.93</v>
      </c>
      <c r="Q76">
        <v>24.47</v>
      </c>
      <c r="R76">
        <v>28.12</v>
      </c>
      <c r="S76">
        <v>30.98</v>
      </c>
      <c r="T76">
        <v>31.94</v>
      </c>
      <c r="U76">
        <v>32.92</v>
      </c>
    </row>
    <row r="77" spans="1:21" x14ac:dyDescent="0.25">
      <c r="A77" t="s">
        <v>17</v>
      </c>
    </row>
    <row r="78" spans="1:21" x14ac:dyDescent="0.25">
      <c r="A78" t="s">
        <v>1732</v>
      </c>
      <c r="J78">
        <v>3.06</v>
      </c>
      <c r="K78">
        <v>0.33</v>
      </c>
      <c r="L78">
        <v>1.35</v>
      </c>
      <c r="M78">
        <v>1.24</v>
      </c>
      <c r="N78">
        <v>1.7</v>
      </c>
      <c r="O78">
        <v>2.2999999999999998</v>
      </c>
      <c r="P78">
        <v>2.79</v>
      </c>
      <c r="Q78">
        <v>3.13</v>
      </c>
      <c r="R78">
        <v>3.92</v>
      </c>
      <c r="S78">
        <v>3.92</v>
      </c>
    </row>
    <row r="79" spans="1:21" x14ac:dyDescent="0.25">
      <c r="A79" t="s">
        <v>1733</v>
      </c>
      <c r="I79">
        <v>21.63</v>
      </c>
      <c r="J79">
        <v>46.17</v>
      </c>
      <c r="K79">
        <v>4.66</v>
      </c>
      <c r="L79">
        <v>4.5199999999999996</v>
      </c>
      <c r="M79">
        <v>3.96</v>
      </c>
      <c r="N79">
        <v>7.07</v>
      </c>
      <c r="O79">
        <v>8.14</v>
      </c>
      <c r="P79">
        <v>8.23</v>
      </c>
      <c r="Q79">
        <v>8.7799999999999994</v>
      </c>
      <c r="R79">
        <v>9.76</v>
      </c>
      <c r="S79">
        <v>9.76</v>
      </c>
      <c r="T79">
        <v>9.76</v>
      </c>
      <c r="U79">
        <v>9.76</v>
      </c>
    </row>
    <row r="80" spans="1:21" x14ac:dyDescent="0.25">
      <c r="A80" t="s">
        <v>391</v>
      </c>
      <c r="E80">
        <v>0.21</v>
      </c>
      <c r="F80">
        <v>-0.12</v>
      </c>
      <c r="G80">
        <v>2.09</v>
      </c>
      <c r="H80">
        <v>1.44</v>
      </c>
      <c r="I80">
        <v>-0.17</v>
      </c>
      <c r="J80">
        <v>0.79</v>
      </c>
      <c r="K80">
        <v>-0.57999999999999996</v>
      </c>
      <c r="L80">
        <v>4.37</v>
      </c>
      <c r="M80">
        <v>-1.66</v>
      </c>
      <c r="N80">
        <v>7.95</v>
      </c>
      <c r="O80">
        <v>-1.29</v>
      </c>
      <c r="P80">
        <v>2.36</v>
      </c>
      <c r="Q80">
        <v>-0.52</v>
      </c>
      <c r="R80">
        <v>-2</v>
      </c>
      <c r="S80">
        <v>-2</v>
      </c>
      <c r="T80">
        <v>2</v>
      </c>
      <c r="U80">
        <v>2</v>
      </c>
    </row>
    <row r="81" spans="1:21" x14ac:dyDescent="0.25">
      <c r="A81" t="s">
        <v>100</v>
      </c>
      <c r="H81">
        <v>-67.959999999999994</v>
      </c>
      <c r="I81">
        <v>-30.47</v>
      </c>
      <c r="J81">
        <v>-8.32</v>
      </c>
      <c r="K81">
        <v>50.81</v>
      </c>
      <c r="L81">
        <v>184.46</v>
      </c>
      <c r="M81">
        <v>141.19</v>
      </c>
      <c r="N81">
        <v>458.86</v>
      </c>
      <c r="O81">
        <v>590.27</v>
      </c>
      <c r="P81">
        <v>810.85</v>
      </c>
      <c r="Q81" s="2">
        <v>1136.06</v>
      </c>
      <c r="R81" s="2">
        <v>1783.5</v>
      </c>
      <c r="S81" s="2">
        <v>2155</v>
      </c>
      <c r="T81" s="2">
        <v>2544</v>
      </c>
      <c r="U81" s="2">
        <v>2877</v>
      </c>
    </row>
    <row r="82" spans="1:21" x14ac:dyDescent="0.25">
      <c r="A82" t="s">
        <v>17</v>
      </c>
    </row>
    <row r="83" spans="1:21" x14ac:dyDescent="0.25">
      <c r="A83" t="s">
        <v>101</v>
      </c>
      <c r="G83">
        <v>1.23</v>
      </c>
      <c r="H83">
        <v>1.55</v>
      </c>
      <c r="I83">
        <v>4.6399999999999997</v>
      </c>
      <c r="J83">
        <v>6.22</v>
      </c>
      <c r="K83">
        <v>6.37</v>
      </c>
      <c r="L83">
        <v>14.79</v>
      </c>
      <c r="M83">
        <v>48.95</v>
      </c>
      <c r="N83">
        <v>82.54</v>
      </c>
      <c r="O83">
        <v>119.76</v>
      </c>
      <c r="P83">
        <v>165.42</v>
      </c>
      <c r="Q83">
        <v>234.89</v>
      </c>
      <c r="R83">
        <v>378.79</v>
      </c>
      <c r="S83">
        <v>457.79</v>
      </c>
      <c r="T83">
        <v>534.32000000000005</v>
      </c>
      <c r="U83">
        <v>604.13</v>
      </c>
    </row>
    <row r="84" spans="1:21" x14ac:dyDescent="0.25">
      <c r="A84" t="s">
        <v>17</v>
      </c>
    </row>
    <row r="85" spans="1:21" x14ac:dyDescent="0.25">
      <c r="A85" t="s">
        <v>106</v>
      </c>
      <c r="H85">
        <v>-69.510000000000005</v>
      </c>
      <c r="I85">
        <v>-35.11</v>
      </c>
      <c r="J85">
        <v>-15.13</v>
      </c>
      <c r="K85">
        <v>44.44</v>
      </c>
      <c r="L85">
        <v>169.67</v>
      </c>
      <c r="M85">
        <v>269.01</v>
      </c>
      <c r="N85">
        <v>342.88</v>
      </c>
      <c r="O85">
        <v>472.35</v>
      </c>
      <c r="P85">
        <v>645.19000000000005</v>
      </c>
      <c r="Q85">
        <v>892.05</v>
      </c>
      <c r="R85" s="2">
        <v>1422.25</v>
      </c>
      <c r="S85" s="2">
        <v>1826</v>
      </c>
      <c r="T85" s="2">
        <v>1930</v>
      </c>
      <c r="U85" s="2">
        <v>2307.5</v>
      </c>
    </row>
    <row r="86" spans="1:21" x14ac:dyDescent="0.25">
      <c r="A86" t="s">
        <v>280</v>
      </c>
      <c r="G86">
        <v>-30.86</v>
      </c>
      <c r="H86">
        <v>-24.22</v>
      </c>
      <c r="I86">
        <v>-8.15</v>
      </c>
      <c r="J86">
        <v>-2.31</v>
      </c>
      <c r="K86">
        <v>4.5599999999999996</v>
      </c>
      <c r="L86">
        <v>13.08</v>
      </c>
      <c r="M86">
        <v>16.11</v>
      </c>
      <c r="N86">
        <v>15.82</v>
      </c>
      <c r="O86">
        <v>16.77</v>
      </c>
      <c r="P86">
        <v>17.52</v>
      </c>
      <c r="Q86">
        <v>19.03</v>
      </c>
      <c r="R86">
        <v>23.2</v>
      </c>
      <c r="S86">
        <v>24.57</v>
      </c>
      <c r="T86">
        <v>21.69</v>
      </c>
      <c r="U86">
        <v>23.11</v>
      </c>
    </row>
    <row r="87" spans="1:21" x14ac:dyDescent="0.25">
      <c r="A87" t="s">
        <v>17</v>
      </c>
    </row>
    <row r="88" spans="1:21" x14ac:dyDescent="0.25">
      <c r="A88" t="s">
        <v>108</v>
      </c>
      <c r="H88">
        <v>146.31</v>
      </c>
      <c r="I88">
        <v>299.77</v>
      </c>
      <c r="J88">
        <v>312.32</v>
      </c>
      <c r="K88">
        <v>326.33</v>
      </c>
      <c r="L88">
        <v>333.66</v>
      </c>
      <c r="M88">
        <v>341.41</v>
      </c>
      <c r="N88">
        <v>348.42</v>
      </c>
      <c r="O88">
        <v>357.47</v>
      </c>
      <c r="P88">
        <v>362.5</v>
      </c>
      <c r="Q88">
        <v>489.74</v>
      </c>
      <c r="R88">
        <v>367.55</v>
      </c>
      <c r="S88">
        <v>370.03</v>
      </c>
      <c r="T88">
        <v>381.4</v>
      </c>
      <c r="U88">
        <v>384.9</v>
      </c>
    </row>
    <row r="89" spans="1:21" x14ac:dyDescent="0.25">
      <c r="A89" t="s">
        <v>17</v>
      </c>
    </row>
    <row r="90" spans="1:21" x14ac:dyDescent="0.25">
      <c r="A90" t="s">
        <v>109</v>
      </c>
      <c r="G90">
        <v>80.98</v>
      </c>
      <c r="H90">
        <v>146.31</v>
      </c>
      <c r="I90">
        <v>299.77</v>
      </c>
      <c r="J90">
        <v>312.32</v>
      </c>
      <c r="K90">
        <v>341.68</v>
      </c>
      <c r="L90">
        <v>344.48</v>
      </c>
      <c r="M90">
        <v>357.69</v>
      </c>
      <c r="N90">
        <v>370.27</v>
      </c>
      <c r="O90">
        <v>370.06</v>
      </c>
      <c r="P90">
        <v>374.2</v>
      </c>
      <c r="Q90">
        <v>378.37</v>
      </c>
      <c r="R90">
        <v>373.15</v>
      </c>
      <c r="S90">
        <v>376.57</v>
      </c>
      <c r="T90">
        <v>392.53</v>
      </c>
      <c r="U90">
        <v>397.39</v>
      </c>
    </row>
    <row r="91" spans="1:21" x14ac:dyDescent="0.25">
      <c r="A91" t="s">
        <v>110</v>
      </c>
      <c r="H91">
        <v>-0.48</v>
      </c>
      <c r="I91">
        <v>-0.12</v>
      </c>
      <c r="J91">
        <v>-0.05</v>
      </c>
      <c r="K91">
        <v>0.13</v>
      </c>
      <c r="L91">
        <v>0.49</v>
      </c>
      <c r="M91">
        <v>0.75</v>
      </c>
      <c r="N91">
        <v>0.93</v>
      </c>
      <c r="O91">
        <v>1.28</v>
      </c>
      <c r="P91">
        <v>1.71</v>
      </c>
      <c r="Q91">
        <v>2.34</v>
      </c>
      <c r="R91">
        <v>3.36</v>
      </c>
      <c r="S91">
        <v>4.12</v>
      </c>
      <c r="T91">
        <v>4.79</v>
      </c>
      <c r="U91">
        <v>5.67</v>
      </c>
    </row>
    <row r="92" spans="1:21" x14ac:dyDescent="0.25">
      <c r="A92" t="s">
        <v>17</v>
      </c>
    </row>
    <row r="93" spans="1:21" x14ac:dyDescent="0.25">
      <c r="A93" t="s">
        <v>487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21" x14ac:dyDescent="0.25">
      <c r="A94" t="s">
        <v>17</v>
      </c>
    </row>
    <row r="95" spans="1:21" x14ac:dyDescent="0.25">
      <c r="A95" t="s">
        <v>282</v>
      </c>
    </row>
    <row r="96" spans="1:21" x14ac:dyDescent="0.25">
      <c r="A96" t="s">
        <v>393</v>
      </c>
      <c r="E96">
        <v>84.79</v>
      </c>
      <c r="F96">
        <v>134.91999999999999</v>
      </c>
      <c r="G96">
        <v>192.67</v>
      </c>
      <c r="H96">
        <v>287.02</v>
      </c>
      <c r="I96">
        <v>431.06</v>
      </c>
      <c r="J96">
        <v>656.43</v>
      </c>
      <c r="K96">
        <v>975.24</v>
      </c>
      <c r="L96" s="2">
        <v>1296.75</v>
      </c>
      <c r="M96" s="2">
        <v>1669.63</v>
      </c>
      <c r="N96" s="2">
        <v>2167.94</v>
      </c>
    </row>
    <row r="97" spans="1:21" x14ac:dyDescent="0.25">
      <c r="A97" t="s">
        <v>62</v>
      </c>
      <c r="E97">
        <v>23.96</v>
      </c>
      <c r="F97">
        <v>28.79</v>
      </c>
      <c r="G97">
        <v>43.54</v>
      </c>
      <c r="H97">
        <v>63.42</v>
      </c>
      <c r="I97">
        <v>101.06</v>
      </c>
      <c r="J97">
        <v>147.13</v>
      </c>
      <c r="K97">
        <v>232.61</v>
      </c>
      <c r="L97">
        <v>289.3</v>
      </c>
      <c r="M97">
        <v>367.62</v>
      </c>
      <c r="N97">
        <v>539.35</v>
      </c>
      <c r="O97">
        <v>779.22</v>
      </c>
      <c r="P97" s="2">
        <v>1011.96</v>
      </c>
      <c r="Q97" s="2">
        <v>1271.28</v>
      </c>
      <c r="R97" s="2">
        <v>1652.71</v>
      </c>
      <c r="S97" s="2">
        <v>2038.65</v>
      </c>
      <c r="T97" s="2">
        <v>2356.66</v>
      </c>
      <c r="U97" s="2">
        <v>2780.86</v>
      </c>
    </row>
    <row r="98" spans="1:21" x14ac:dyDescent="0.25">
      <c r="A98" t="s">
        <v>61</v>
      </c>
      <c r="E98">
        <v>28.26</v>
      </c>
      <c r="F98">
        <v>21.34</v>
      </c>
      <c r="G98">
        <v>22.6</v>
      </c>
      <c r="H98">
        <v>22.1</v>
      </c>
      <c r="I98">
        <v>23.44</v>
      </c>
      <c r="J98">
        <v>22.41</v>
      </c>
      <c r="K98">
        <v>23.85</v>
      </c>
      <c r="L98">
        <v>23.68</v>
      </c>
      <c r="M98">
        <v>22.68</v>
      </c>
      <c r="N98">
        <v>25.49</v>
      </c>
      <c r="O98">
        <v>28.22</v>
      </c>
      <c r="P98">
        <v>27.92</v>
      </c>
      <c r="Q98">
        <v>27.98</v>
      </c>
      <c r="R98">
        <v>27.7</v>
      </c>
      <c r="S98">
        <v>27.67</v>
      </c>
      <c r="T98">
        <v>27.63</v>
      </c>
      <c r="U98">
        <v>27.44</v>
      </c>
    </row>
    <row r="99" spans="1:21" x14ac:dyDescent="0.25">
      <c r="A99" t="s">
        <v>63</v>
      </c>
      <c r="E99">
        <v>60.83</v>
      </c>
      <c r="F99">
        <v>106.13</v>
      </c>
      <c r="G99">
        <v>149.13999999999999</v>
      </c>
      <c r="H99">
        <v>223.6</v>
      </c>
      <c r="I99">
        <v>330</v>
      </c>
      <c r="J99">
        <v>509.29</v>
      </c>
      <c r="K99">
        <v>742.63</v>
      </c>
      <c r="L99">
        <v>989.74</v>
      </c>
      <c r="M99" s="2">
        <v>1290.92</v>
      </c>
      <c r="N99" s="2">
        <v>1615.41</v>
      </c>
      <c r="O99" s="2">
        <v>1994.29</v>
      </c>
      <c r="P99" s="2">
        <v>2685.68</v>
      </c>
      <c r="Q99" s="2">
        <v>3453.25</v>
      </c>
      <c r="R99" s="2">
        <v>4346.17</v>
      </c>
      <c r="S99" s="2">
        <v>5411.22</v>
      </c>
      <c r="T99" s="2">
        <v>6171.9</v>
      </c>
      <c r="U99" s="2">
        <v>7352.6</v>
      </c>
    </row>
    <row r="100" spans="1:21" x14ac:dyDescent="0.25">
      <c r="A100" t="s">
        <v>64</v>
      </c>
      <c r="E100">
        <v>72</v>
      </c>
      <c r="F100">
        <v>79</v>
      </c>
      <c r="G100">
        <v>77</v>
      </c>
      <c r="H100">
        <v>77.900000000000006</v>
      </c>
      <c r="I100">
        <v>77</v>
      </c>
      <c r="J100">
        <v>78</v>
      </c>
      <c r="K100">
        <v>76</v>
      </c>
      <c r="L100">
        <v>76</v>
      </c>
      <c r="M100">
        <v>77</v>
      </c>
      <c r="N100">
        <v>74.5</v>
      </c>
      <c r="O100">
        <v>71.930000000000007</v>
      </c>
      <c r="P100">
        <v>72.55</v>
      </c>
      <c r="Q100">
        <v>73.17</v>
      </c>
      <c r="R100">
        <v>72.3</v>
      </c>
      <c r="S100">
        <v>72.33</v>
      </c>
      <c r="T100">
        <v>72.37</v>
      </c>
      <c r="U100">
        <v>72.56</v>
      </c>
    </row>
    <row r="101" spans="1:21" x14ac:dyDescent="0.25">
      <c r="A101" t="s">
        <v>87</v>
      </c>
      <c r="E101">
        <v>77.86</v>
      </c>
      <c r="F101">
        <v>115.86</v>
      </c>
      <c r="G101">
        <v>234.04</v>
      </c>
      <c r="H101">
        <v>331.55</v>
      </c>
      <c r="I101">
        <v>436.77</v>
      </c>
      <c r="J101">
        <v>636.98</v>
      </c>
      <c r="K101">
        <v>943.83</v>
      </c>
      <c r="L101" s="2">
        <v>1175.23</v>
      </c>
      <c r="M101" s="2">
        <v>1445.69</v>
      </c>
      <c r="N101" s="2">
        <v>1822.62</v>
      </c>
      <c r="O101" s="2">
        <v>2249.16</v>
      </c>
      <c r="P101" s="2">
        <v>2723.94</v>
      </c>
      <c r="Q101" s="2">
        <v>3278.06</v>
      </c>
      <c r="R101" s="2">
        <v>3642.65</v>
      </c>
      <c r="S101" s="2">
        <v>4371.41</v>
      </c>
      <c r="T101" s="2">
        <v>5168.8599999999997</v>
      </c>
      <c r="U101" s="2">
        <v>5901.36</v>
      </c>
    </row>
    <row r="102" spans="1:21" x14ac:dyDescent="0.25">
      <c r="A102" t="s">
        <v>61</v>
      </c>
      <c r="E102">
        <v>91.82</v>
      </c>
      <c r="F102">
        <v>85.87</v>
      </c>
      <c r="G102">
        <v>121.47</v>
      </c>
      <c r="H102">
        <v>115.51</v>
      </c>
      <c r="I102">
        <v>101.33</v>
      </c>
      <c r="J102">
        <v>97.04</v>
      </c>
      <c r="K102">
        <v>96.78</v>
      </c>
      <c r="L102">
        <v>90.63</v>
      </c>
      <c r="M102">
        <v>86.59</v>
      </c>
      <c r="N102">
        <v>84.07</v>
      </c>
      <c r="O102">
        <v>82.44</v>
      </c>
      <c r="P102">
        <v>76.430000000000007</v>
      </c>
      <c r="Q102">
        <v>74.599999999999994</v>
      </c>
      <c r="R102">
        <v>73.22</v>
      </c>
      <c r="S102">
        <v>73.22</v>
      </c>
    </row>
    <row r="103" spans="1:21" x14ac:dyDescent="0.25">
      <c r="A103" t="s">
        <v>115</v>
      </c>
      <c r="E103">
        <v>14.07</v>
      </c>
      <c r="F103">
        <v>20.309999999999999</v>
      </c>
      <c r="G103">
        <v>85.18</v>
      </c>
      <c r="H103">
        <v>81.58</v>
      </c>
      <c r="I103">
        <v>91.75</v>
      </c>
      <c r="J103">
        <v>119.5</v>
      </c>
      <c r="K103">
        <v>179.77</v>
      </c>
      <c r="L103">
        <v>217.97</v>
      </c>
      <c r="M103">
        <v>278.52</v>
      </c>
      <c r="N103">
        <v>389.31</v>
      </c>
      <c r="O103">
        <v>432.67</v>
      </c>
      <c r="P103">
        <v>501.95</v>
      </c>
      <c r="Q103">
        <v>586.78</v>
      </c>
      <c r="R103">
        <v>635.64</v>
      </c>
      <c r="S103">
        <v>738.43</v>
      </c>
      <c r="T103">
        <v>921.45</v>
      </c>
      <c r="U103" s="2">
        <v>1047.69</v>
      </c>
    </row>
    <row r="104" spans="1:21" x14ac:dyDescent="0.25">
      <c r="A104" t="s">
        <v>113</v>
      </c>
      <c r="E104">
        <v>40.119999999999997</v>
      </c>
      <c r="F104">
        <v>61.9</v>
      </c>
      <c r="G104">
        <v>94.39</v>
      </c>
      <c r="H104">
        <v>159.30000000000001</v>
      </c>
      <c r="I104">
        <v>217.88</v>
      </c>
      <c r="J104">
        <v>328.07</v>
      </c>
      <c r="K104">
        <v>465.76</v>
      </c>
      <c r="L104">
        <v>596.82000000000005</v>
      </c>
      <c r="M104">
        <v>745.79</v>
      </c>
      <c r="N104">
        <v>920.82</v>
      </c>
      <c r="O104" s="2">
        <v>1104.31</v>
      </c>
      <c r="P104" s="2">
        <v>1433.48</v>
      </c>
      <c r="Q104" s="2">
        <v>1720.92</v>
      </c>
      <c r="R104" s="2">
        <v>1947.37</v>
      </c>
      <c r="S104" s="2">
        <v>2301.52</v>
      </c>
      <c r="T104" s="2">
        <v>2604.12</v>
      </c>
      <c r="U104" s="2">
        <v>2955.68</v>
      </c>
    </row>
    <row r="105" spans="1:21" x14ac:dyDescent="0.25">
      <c r="A105" t="s">
        <v>1734</v>
      </c>
      <c r="K105">
        <v>1.73</v>
      </c>
      <c r="L105">
        <v>2.2999999999999998</v>
      </c>
      <c r="M105">
        <v>1.66</v>
      </c>
      <c r="N105">
        <v>1.83</v>
      </c>
      <c r="O105">
        <v>6.25</v>
      </c>
      <c r="P105">
        <v>8.74</v>
      </c>
      <c r="Q105">
        <v>11.53</v>
      </c>
      <c r="R105">
        <v>19.18</v>
      </c>
      <c r="S105">
        <v>23.03</v>
      </c>
      <c r="T105">
        <v>9.56</v>
      </c>
      <c r="U105">
        <v>9.56</v>
      </c>
    </row>
    <row r="106" spans="1:21" x14ac:dyDescent="0.25">
      <c r="A106" t="s">
        <v>114</v>
      </c>
      <c r="E106">
        <v>23.66</v>
      </c>
      <c r="F106">
        <v>33.65</v>
      </c>
      <c r="G106">
        <v>54.46</v>
      </c>
      <c r="H106">
        <v>90.67</v>
      </c>
      <c r="I106">
        <v>127.14</v>
      </c>
      <c r="J106">
        <v>189.41</v>
      </c>
      <c r="K106">
        <v>298.3</v>
      </c>
      <c r="L106">
        <v>358.14</v>
      </c>
      <c r="M106">
        <v>421.37</v>
      </c>
      <c r="N106">
        <v>512.49</v>
      </c>
      <c r="O106">
        <v>616.24</v>
      </c>
      <c r="P106">
        <v>801.21</v>
      </c>
      <c r="Q106">
        <v>975.72</v>
      </c>
      <c r="R106" s="2">
        <v>1119.75</v>
      </c>
      <c r="S106" s="2">
        <v>1335.99</v>
      </c>
      <c r="T106" s="2">
        <v>1643.29</v>
      </c>
      <c r="U106" s="2">
        <v>1898</v>
      </c>
    </row>
    <row r="107" spans="1:21" x14ac:dyDescent="0.25">
      <c r="A107" t="s">
        <v>76</v>
      </c>
      <c r="E107">
        <v>27.91</v>
      </c>
      <c r="F107">
        <v>24.94</v>
      </c>
      <c r="G107">
        <v>28.27</v>
      </c>
      <c r="H107">
        <v>31.59</v>
      </c>
      <c r="I107">
        <v>29.5</v>
      </c>
      <c r="J107">
        <v>28.85</v>
      </c>
      <c r="K107">
        <v>30.59</v>
      </c>
      <c r="L107">
        <v>27.62</v>
      </c>
      <c r="M107">
        <v>25.24</v>
      </c>
      <c r="N107">
        <v>23.64</v>
      </c>
      <c r="O107">
        <v>22.18</v>
      </c>
      <c r="P107">
        <v>21.73</v>
      </c>
      <c r="Q107">
        <v>21.14</v>
      </c>
      <c r="R107">
        <v>18.8</v>
      </c>
      <c r="S107">
        <v>18.61</v>
      </c>
      <c r="T107">
        <v>19.27</v>
      </c>
      <c r="U107">
        <v>18.73</v>
      </c>
    </row>
    <row r="108" spans="1:21" x14ac:dyDescent="0.25">
      <c r="A108" t="s">
        <v>116</v>
      </c>
      <c r="E108">
        <v>-17.03</v>
      </c>
      <c r="F108">
        <v>-9.73</v>
      </c>
      <c r="G108">
        <v>-84.9</v>
      </c>
      <c r="H108">
        <v>-107.95</v>
      </c>
      <c r="I108">
        <v>-106.77</v>
      </c>
      <c r="J108">
        <v>-127.68</v>
      </c>
      <c r="K108">
        <v>-201.2</v>
      </c>
      <c r="L108">
        <v>-185.49</v>
      </c>
      <c r="M108">
        <v>-154.76</v>
      </c>
      <c r="N108">
        <v>-207.21</v>
      </c>
      <c r="O108">
        <v>-259.38</v>
      </c>
      <c r="P108">
        <v>-32.659999999999997</v>
      </c>
      <c r="Q108">
        <v>186.8</v>
      </c>
      <c r="R108">
        <v>693.93</v>
      </c>
      <c r="S108" s="2">
        <v>1046.29</v>
      </c>
      <c r="T108" s="2">
        <v>1163.3800000000001</v>
      </c>
      <c r="U108" s="2">
        <v>1516.68</v>
      </c>
    </row>
    <row r="109" spans="1:21" x14ac:dyDescent="0.25">
      <c r="A109" t="s">
        <v>269</v>
      </c>
      <c r="E109">
        <v>-20.079999999999998</v>
      </c>
      <c r="F109">
        <v>-7.21</v>
      </c>
      <c r="G109">
        <v>-44.06</v>
      </c>
      <c r="H109">
        <v>-37.61</v>
      </c>
      <c r="I109">
        <v>-24.77</v>
      </c>
      <c r="J109">
        <v>-19.45</v>
      </c>
      <c r="K109">
        <v>-20.63</v>
      </c>
      <c r="L109">
        <v>-14.3</v>
      </c>
      <c r="M109">
        <v>-9.27</v>
      </c>
      <c r="N109">
        <v>-9.56</v>
      </c>
      <c r="O109">
        <v>-9.2799999999999994</v>
      </c>
      <c r="P109">
        <v>-1</v>
      </c>
      <c r="Q109">
        <v>3.63</v>
      </c>
      <c r="R109">
        <v>10.52</v>
      </c>
      <c r="S109">
        <v>13.47</v>
      </c>
      <c r="T109">
        <v>11.76</v>
      </c>
      <c r="U109">
        <v>14.32</v>
      </c>
    </row>
    <row r="110" spans="1:21" x14ac:dyDescent="0.25">
      <c r="A110" t="s">
        <v>287</v>
      </c>
      <c r="E110">
        <v>0.24</v>
      </c>
      <c r="F110">
        <v>-0.02</v>
      </c>
      <c r="G110">
        <v>1.19</v>
      </c>
      <c r="H110">
        <v>-3.23</v>
      </c>
      <c r="I110">
        <v>18.21</v>
      </c>
      <c r="J110">
        <v>120.29</v>
      </c>
      <c r="K110">
        <v>-10.47</v>
      </c>
      <c r="L110">
        <v>-7.62</v>
      </c>
      <c r="M110">
        <v>-83.89</v>
      </c>
      <c r="N110">
        <v>-114.5</v>
      </c>
      <c r="O110">
        <v>-140.66999999999999</v>
      </c>
      <c r="P110">
        <v>-139.69</v>
      </c>
      <c r="Q110">
        <v>-151.72999999999999</v>
      </c>
      <c r="R110">
        <v>-172.94</v>
      </c>
      <c r="S110">
        <v>-222.93</v>
      </c>
      <c r="T110">
        <v>-270.48</v>
      </c>
      <c r="U110">
        <v>-346.57</v>
      </c>
    </row>
    <row r="111" spans="1:21" x14ac:dyDescent="0.25">
      <c r="A111" t="s">
        <v>397</v>
      </c>
      <c r="E111">
        <v>0.03</v>
      </c>
      <c r="F111">
        <v>0.1</v>
      </c>
      <c r="G111">
        <v>-0.9</v>
      </c>
      <c r="H111">
        <v>-4.68</v>
      </c>
      <c r="I111">
        <v>18.38</v>
      </c>
      <c r="J111">
        <v>47.26</v>
      </c>
      <c r="K111">
        <v>-9.89</v>
      </c>
      <c r="L111">
        <v>-62.3</v>
      </c>
      <c r="M111">
        <v>-82.23</v>
      </c>
      <c r="N111">
        <v>-122.45</v>
      </c>
      <c r="O111">
        <v>-138.51</v>
      </c>
      <c r="P111">
        <v>-126.44</v>
      </c>
      <c r="Q111">
        <v>-100.22</v>
      </c>
      <c r="R111">
        <v>-137</v>
      </c>
      <c r="S111">
        <v>-130</v>
      </c>
    </row>
    <row r="112" spans="1:21" x14ac:dyDescent="0.25">
      <c r="A112" t="s">
        <v>290</v>
      </c>
      <c r="E112">
        <v>0.63</v>
      </c>
      <c r="F112">
        <v>0.76</v>
      </c>
      <c r="G112">
        <v>1.9</v>
      </c>
      <c r="H112">
        <v>5.79</v>
      </c>
      <c r="I112">
        <v>6.59</v>
      </c>
      <c r="J112">
        <v>1.97</v>
      </c>
      <c r="K112">
        <v>14.88</v>
      </c>
      <c r="L112">
        <v>68.17</v>
      </c>
      <c r="M112">
        <v>87.43</v>
      </c>
      <c r="N112">
        <v>131.22</v>
      </c>
      <c r="O112">
        <v>148.85</v>
      </c>
      <c r="P112">
        <v>147.36000000000001</v>
      </c>
      <c r="Q112">
        <v>153.59</v>
      </c>
      <c r="R112">
        <v>194.11</v>
      </c>
      <c r="S112">
        <v>259.76</v>
      </c>
      <c r="T112">
        <v>367.78</v>
      </c>
      <c r="U112">
        <v>496.47</v>
      </c>
    </row>
    <row r="113" spans="1:21" x14ac:dyDescent="0.25">
      <c r="A113" t="s">
        <v>289</v>
      </c>
      <c r="E113">
        <v>0.65</v>
      </c>
      <c r="F113">
        <v>0.86</v>
      </c>
      <c r="G113">
        <v>0.99</v>
      </c>
      <c r="H113">
        <v>1.1100000000000001</v>
      </c>
      <c r="I113">
        <v>24.96</v>
      </c>
      <c r="J113">
        <v>49.23</v>
      </c>
      <c r="K113">
        <v>4.9800000000000004</v>
      </c>
      <c r="L113">
        <v>5.87</v>
      </c>
      <c r="M113">
        <v>5.2</v>
      </c>
      <c r="N113">
        <v>8.77</v>
      </c>
      <c r="O113">
        <v>11.52</v>
      </c>
      <c r="P113">
        <v>11.59</v>
      </c>
      <c r="Q113">
        <v>7.69</v>
      </c>
      <c r="R113">
        <v>2.95</v>
      </c>
      <c r="S113">
        <v>3.92</v>
      </c>
    </row>
    <row r="114" spans="1:21" x14ac:dyDescent="0.25">
      <c r="A114" t="s">
        <v>1735</v>
      </c>
      <c r="J114">
        <v>72.23</v>
      </c>
      <c r="L114">
        <v>50.3</v>
      </c>
      <c r="M114">
        <v>0</v>
      </c>
      <c r="O114">
        <v>0</v>
      </c>
      <c r="P114">
        <v>0</v>
      </c>
    </row>
    <row r="115" spans="1:21" x14ac:dyDescent="0.25">
      <c r="A115" t="s">
        <v>119</v>
      </c>
      <c r="E115">
        <v>-17.27</v>
      </c>
      <c r="F115">
        <v>-9.7200000000000006</v>
      </c>
      <c r="G115">
        <v>-86.09</v>
      </c>
      <c r="H115">
        <v>-104.71</v>
      </c>
      <c r="I115">
        <v>-124.97</v>
      </c>
      <c r="J115">
        <v>-247.98</v>
      </c>
      <c r="K115">
        <v>-190.73</v>
      </c>
      <c r="L115">
        <v>-177.86</v>
      </c>
      <c r="M115">
        <v>-70.87</v>
      </c>
      <c r="N115">
        <v>-92.71</v>
      </c>
      <c r="O115">
        <v>-144.25</v>
      </c>
      <c r="P115">
        <v>80.88</v>
      </c>
      <c r="Q115">
        <v>292.37</v>
      </c>
      <c r="R115">
        <v>762.18</v>
      </c>
      <c r="S115" s="2">
        <v>1038.98</v>
      </c>
      <c r="T115" s="2">
        <v>1433.86</v>
      </c>
      <c r="U115" s="2">
        <v>1863.26</v>
      </c>
    </row>
    <row r="116" spans="1:21" x14ac:dyDescent="0.25">
      <c r="A116" t="s">
        <v>61</v>
      </c>
      <c r="E116">
        <v>-20.36</v>
      </c>
      <c r="F116">
        <v>-7.2</v>
      </c>
      <c r="G116">
        <v>-44.68</v>
      </c>
      <c r="H116">
        <v>-36.479999999999997</v>
      </c>
      <c r="I116">
        <v>-28.99</v>
      </c>
      <c r="J116">
        <v>-37.78</v>
      </c>
      <c r="K116">
        <v>-19.559999999999999</v>
      </c>
      <c r="L116">
        <v>-13.72</v>
      </c>
      <c r="M116">
        <v>-4.24</v>
      </c>
      <c r="N116">
        <v>-4.28</v>
      </c>
      <c r="O116">
        <v>-4.62</v>
      </c>
      <c r="P116">
        <v>3.8</v>
      </c>
      <c r="Q116">
        <v>8.9</v>
      </c>
      <c r="R116">
        <v>14.18</v>
      </c>
      <c r="S116">
        <v>14.26</v>
      </c>
    </row>
    <row r="117" spans="1:21" x14ac:dyDescent="0.25">
      <c r="A117" t="s">
        <v>120</v>
      </c>
      <c r="E117">
        <v>7.0000000000000007E-2</v>
      </c>
      <c r="F117">
        <v>1.03</v>
      </c>
      <c r="G117">
        <v>1.08</v>
      </c>
      <c r="H117">
        <v>1.1200000000000001</v>
      </c>
      <c r="I117">
        <v>-5.6</v>
      </c>
      <c r="J117">
        <v>12.33</v>
      </c>
      <c r="K117">
        <v>2.65</v>
      </c>
      <c r="L117">
        <v>6.09</v>
      </c>
      <c r="M117">
        <v>7.93</v>
      </c>
      <c r="N117">
        <v>9.56</v>
      </c>
      <c r="O117">
        <v>22.86</v>
      </c>
      <c r="P117">
        <v>52.31</v>
      </c>
      <c r="Q117">
        <v>94.93</v>
      </c>
      <c r="R117">
        <v>134.66999999999999</v>
      </c>
      <c r="S117">
        <v>199.7</v>
      </c>
      <c r="T117">
        <v>294.27</v>
      </c>
      <c r="U117">
        <v>381.55</v>
      </c>
    </row>
    <row r="118" spans="1:21" x14ac:dyDescent="0.25">
      <c r="A118" t="s">
        <v>121</v>
      </c>
      <c r="H118">
        <v>-105.83</v>
      </c>
      <c r="I118">
        <v>-119.37</v>
      </c>
      <c r="J118">
        <v>-260.31</v>
      </c>
      <c r="K118">
        <v>-193.38</v>
      </c>
      <c r="L118">
        <v>-183.95</v>
      </c>
      <c r="M118">
        <v>-78.8</v>
      </c>
      <c r="N118">
        <v>-102.27</v>
      </c>
      <c r="O118">
        <v>-175.47</v>
      </c>
      <c r="P118">
        <v>42.03</v>
      </c>
      <c r="Q118">
        <v>212.29</v>
      </c>
      <c r="R118">
        <v>724.75</v>
      </c>
      <c r="S118" s="2">
        <v>1047.75</v>
      </c>
      <c r="T118" s="2">
        <v>1139.5</v>
      </c>
      <c r="U118" s="2">
        <v>1482</v>
      </c>
    </row>
    <row r="119" spans="1:21" x14ac:dyDescent="0.25">
      <c r="A119" t="s">
        <v>1704</v>
      </c>
      <c r="E119">
        <v>-20.440000000000001</v>
      </c>
      <c r="F119">
        <v>-7.97</v>
      </c>
      <c r="G119">
        <v>-45.24</v>
      </c>
      <c r="H119">
        <v>-36.869999999999997</v>
      </c>
      <c r="I119">
        <v>-27.69</v>
      </c>
      <c r="J119">
        <v>-39.659999999999997</v>
      </c>
      <c r="K119">
        <v>-19.829999999999998</v>
      </c>
      <c r="L119">
        <v>-14.19</v>
      </c>
      <c r="M119">
        <v>-4.72</v>
      </c>
      <c r="N119">
        <v>-4.72</v>
      </c>
      <c r="O119">
        <v>-5.16</v>
      </c>
      <c r="P119">
        <v>1.1100000000000001</v>
      </c>
      <c r="Q119">
        <v>5.56</v>
      </c>
      <c r="R119">
        <v>13.8</v>
      </c>
      <c r="S119">
        <v>16</v>
      </c>
      <c r="T119">
        <v>14.3</v>
      </c>
      <c r="U119">
        <v>16.16</v>
      </c>
    </row>
    <row r="120" spans="1:21" x14ac:dyDescent="0.25">
      <c r="A120" t="s">
        <v>124</v>
      </c>
      <c r="H120">
        <v>-0.72</v>
      </c>
      <c r="I120">
        <v>-0.4</v>
      </c>
      <c r="J120">
        <v>-0.83</v>
      </c>
      <c r="K120">
        <v>-0.59</v>
      </c>
      <c r="L120">
        <v>-0.55000000000000004</v>
      </c>
      <c r="M120">
        <v>-0.23</v>
      </c>
      <c r="N120">
        <v>-0.28999999999999998</v>
      </c>
      <c r="O120">
        <v>-0.49</v>
      </c>
      <c r="P120">
        <v>0.09</v>
      </c>
      <c r="Q120">
        <v>0.52</v>
      </c>
      <c r="R120">
        <v>1.95</v>
      </c>
      <c r="S120">
        <v>2.95</v>
      </c>
      <c r="T120">
        <v>2.95</v>
      </c>
      <c r="U120">
        <v>4.1500000000000004</v>
      </c>
    </row>
    <row r="121" spans="1:21" x14ac:dyDescent="0.25">
      <c r="A121" t="s">
        <v>400</v>
      </c>
      <c r="E121">
        <v>5.7</v>
      </c>
      <c r="F121">
        <v>2.76</v>
      </c>
      <c r="G121">
        <v>27.35</v>
      </c>
      <c r="H121">
        <v>36.630000000000003</v>
      </c>
      <c r="I121">
        <v>63.52</v>
      </c>
      <c r="J121">
        <v>117.33</v>
      </c>
      <c r="K121">
        <v>217.77</v>
      </c>
      <c r="L121">
        <v>273.99</v>
      </c>
      <c r="M121">
        <v>356.42</v>
      </c>
      <c r="N121">
        <v>451.45</v>
      </c>
      <c r="O121">
        <v>569.79999999999995</v>
      </c>
      <c r="P121">
        <v>681.23</v>
      </c>
      <c r="Q121">
        <v>769.54</v>
      </c>
      <c r="R121">
        <v>884.46</v>
      </c>
      <c r="S121" s="2">
        <v>1065.54</v>
      </c>
      <c r="T121" s="2">
        <v>1309.1300000000001</v>
      </c>
      <c r="U121" s="2">
        <v>1494.69</v>
      </c>
    </row>
    <row r="122" spans="1:21" x14ac:dyDescent="0.25">
      <c r="A122" t="s">
        <v>61</v>
      </c>
      <c r="E122">
        <v>6.72</v>
      </c>
      <c r="F122">
        <v>2.04</v>
      </c>
      <c r="G122">
        <v>14.19</v>
      </c>
      <c r="H122">
        <v>12.76</v>
      </c>
      <c r="I122">
        <v>14.73</v>
      </c>
      <c r="J122">
        <v>17.87</v>
      </c>
      <c r="K122">
        <v>22.33</v>
      </c>
      <c r="L122">
        <v>21.13</v>
      </c>
      <c r="M122">
        <v>21.35</v>
      </c>
      <c r="N122">
        <v>20.82</v>
      </c>
      <c r="O122">
        <v>20.149999999999999</v>
      </c>
      <c r="P122">
        <v>18.71</v>
      </c>
      <c r="Q122">
        <v>17.52</v>
      </c>
      <c r="R122">
        <v>15.54</v>
      </c>
      <c r="S122">
        <v>15.07</v>
      </c>
      <c r="T122">
        <v>14.68</v>
      </c>
      <c r="U122">
        <v>14</v>
      </c>
    </row>
    <row r="123" spans="1:21" x14ac:dyDescent="0.25">
      <c r="A123" t="s">
        <v>17</v>
      </c>
    </row>
    <row r="124" spans="1:21" x14ac:dyDescent="0.25">
      <c r="A124" t="s">
        <v>125</v>
      </c>
    </row>
    <row r="125" spans="1:21" x14ac:dyDescent="0.25">
      <c r="A125" t="s">
        <v>67</v>
      </c>
      <c r="E125">
        <v>5.7</v>
      </c>
      <c r="F125">
        <v>2.76</v>
      </c>
      <c r="G125">
        <v>27.35</v>
      </c>
      <c r="H125">
        <v>36.630000000000003</v>
      </c>
      <c r="I125">
        <v>56.33</v>
      </c>
      <c r="J125">
        <v>90.14</v>
      </c>
      <c r="K125">
        <v>202.78</v>
      </c>
      <c r="L125">
        <v>273.99</v>
      </c>
      <c r="M125">
        <v>338.46</v>
      </c>
      <c r="N125">
        <v>451.45</v>
      </c>
      <c r="O125">
        <v>556.92999999999995</v>
      </c>
      <c r="P125">
        <v>631.80999999999995</v>
      </c>
      <c r="Q125">
        <v>753.68</v>
      </c>
      <c r="R125">
        <v>886.33</v>
      </c>
      <c r="S125" s="2">
        <v>1033.73</v>
      </c>
      <c r="T125" s="2">
        <v>1173.29</v>
      </c>
      <c r="U125" s="2">
        <v>1291.3699999999999</v>
      </c>
    </row>
    <row r="126" spans="1:21" x14ac:dyDescent="0.25">
      <c r="A126" t="s">
        <v>128</v>
      </c>
      <c r="E126">
        <v>0.06</v>
      </c>
      <c r="F126">
        <v>0.05</v>
      </c>
      <c r="G126">
        <v>0.12</v>
      </c>
      <c r="H126">
        <v>0.72</v>
      </c>
      <c r="I126">
        <v>1.47</v>
      </c>
      <c r="J126">
        <v>3.7</v>
      </c>
      <c r="K126">
        <v>6.77</v>
      </c>
      <c r="L126">
        <v>7.97</v>
      </c>
      <c r="M126">
        <v>11.6</v>
      </c>
      <c r="N126">
        <v>14.61</v>
      </c>
      <c r="O126">
        <v>17.149999999999999</v>
      </c>
      <c r="P126">
        <v>20.99</v>
      </c>
      <c r="Q126">
        <v>23.82</v>
      </c>
      <c r="R126">
        <v>25.91</v>
      </c>
      <c r="S126">
        <v>30.13</v>
      </c>
      <c r="T126">
        <v>29.85</v>
      </c>
      <c r="U126">
        <v>35.47</v>
      </c>
    </row>
    <row r="127" spans="1:21" x14ac:dyDescent="0.25">
      <c r="A127" t="s">
        <v>114</v>
      </c>
      <c r="E127">
        <v>1.04</v>
      </c>
      <c r="F127">
        <v>0.97</v>
      </c>
      <c r="G127">
        <v>1.53</v>
      </c>
      <c r="H127">
        <v>13.04</v>
      </c>
      <c r="I127">
        <v>30.5</v>
      </c>
      <c r="J127">
        <v>61.06</v>
      </c>
      <c r="K127">
        <v>112.28</v>
      </c>
      <c r="L127">
        <v>132.41999999999999</v>
      </c>
      <c r="M127">
        <v>151.94</v>
      </c>
      <c r="N127">
        <v>174.62</v>
      </c>
      <c r="O127">
        <v>211.06</v>
      </c>
      <c r="P127">
        <v>267.10000000000002</v>
      </c>
      <c r="Q127">
        <v>311.89</v>
      </c>
      <c r="R127">
        <v>376.85</v>
      </c>
      <c r="S127">
        <v>456.81</v>
      </c>
      <c r="T127">
        <v>562.88</v>
      </c>
      <c r="U127">
        <v>658.68</v>
      </c>
    </row>
    <row r="128" spans="1:21" x14ac:dyDescent="0.25">
      <c r="A128" t="s">
        <v>113</v>
      </c>
      <c r="E128">
        <v>0.38</v>
      </c>
      <c r="F128">
        <v>0.49</v>
      </c>
      <c r="G128">
        <v>0.98</v>
      </c>
      <c r="H128">
        <v>8.7100000000000009</v>
      </c>
      <c r="I128">
        <v>17.68</v>
      </c>
      <c r="J128">
        <v>32.869999999999997</v>
      </c>
      <c r="K128">
        <v>53.69</v>
      </c>
      <c r="L128">
        <v>73.680000000000007</v>
      </c>
      <c r="M128">
        <v>95.76</v>
      </c>
      <c r="N128">
        <v>137.85</v>
      </c>
      <c r="O128">
        <v>164.7</v>
      </c>
      <c r="P128">
        <v>198.54</v>
      </c>
      <c r="Q128">
        <v>225.6</v>
      </c>
      <c r="R128">
        <v>244.72</v>
      </c>
      <c r="S128">
        <v>294.07</v>
      </c>
      <c r="T128">
        <v>366.73</v>
      </c>
      <c r="U128">
        <v>415.47</v>
      </c>
    </row>
    <row r="129" spans="1:21" x14ac:dyDescent="0.25">
      <c r="A129" t="s">
        <v>115</v>
      </c>
      <c r="E129">
        <v>4.21</v>
      </c>
      <c r="F129">
        <v>1.25</v>
      </c>
      <c r="G129">
        <v>24.72</v>
      </c>
      <c r="H129">
        <v>14.17</v>
      </c>
      <c r="I129">
        <v>13.88</v>
      </c>
      <c r="J129">
        <v>19.71</v>
      </c>
      <c r="K129">
        <v>45.03</v>
      </c>
      <c r="L129">
        <v>59.92</v>
      </c>
      <c r="M129">
        <v>97.13</v>
      </c>
      <c r="N129">
        <v>162.86000000000001</v>
      </c>
      <c r="O129">
        <v>152.88999999999999</v>
      </c>
      <c r="P129">
        <v>190.37</v>
      </c>
      <c r="Q129">
        <v>213.09</v>
      </c>
      <c r="R129">
        <v>236.99</v>
      </c>
      <c r="S129">
        <v>284.52999999999997</v>
      </c>
      <c r="T129">
        <v>349.67</v>
      </c>
      <c r="U129">
        <v>385.07</v>
      </c>
    </row>
    <row r="130" spans="1:21" x14ac:dyDescent="0.25">
      <c r="A130" t="s">
        <v>1736</v>
      </c>
      <c r="G130">
        <v>0.52</v>
      </c>
      <c r="H130">
        <v>0.13</v>
      </c>
      <c r="I130">
        <v>3.08</v>
      </c>
      <c r="J130">
        <v>2.95</v>
      </c>
      <c r="K130">
        <v>13.44</v>
      </c>
      <c r="L130">
        <v>17.7</v>
      </c>
      <c r="M130">
        <v>11.08</v>
      </c>
      <c r="N130">
        <v>13.17</v>
      </c>
      <c r="O130">
        <v>19.899999999999999</v>
      </c>
      <c r="P130">
        <v>22.76</v>
      </c>
      <c r="Q130">
        <v>24.23</v>
      </c>
      <c r="R130">
        <v>40.520000000000003</v>
      </c>
      <c r="S130">
        <v>48.65</v>
      </c>
      <c r="T130">
        <v>20.2</v>
      </c>
      <c r="U130">
        <v>20.2</v>
      </c>
    </row>
    <row r="131" spans="1:21" x14ac:dyDescent="0.25">
      <c r="A131" t="s">
        <v>1737</v>
      </c>
      <c r="I131">
        <v>-0.3</v>
      </c>
      <c r="J131">
        <v>1.3</v>
      </c>
      <c r="M131">
        <v>15</v>
      </c>
      <c r="N131">
        <v>5.0999999999999996</v>
      </c>
      <c r="O131">
        <v>3.69</v>
      </c>
      <c r="P131">
        <v>10.25</v>
      </c>
      <c r="Q131">
        <v>10.25</v>
      </c>
    </row>
    <row r="132" spans="1:21" x14ac:dyDescent="0.25">
      <c r="A132" t="s">
        <v>130</v>
      </c>
      <c r="G132">
        <v>-0.15</v>
      </c>
      <c r="H132">
        <v>-0.44</v>
      </c>
      <c r="I132">
        <v>-10.25</v>
      </c>
      <c r="J132">
        <v>6.11</v>
      </c>
      <c r="K132">
        <v>-3.72</v>
      </c>
      <c r="L132">
        <v>-8.6999999999999993</v>
      </c>
      <c r="M132">
        <v>-41.02</v>
      </c>
      <c r="N132">
        <v>-72.98</v>
      </c>
      <c r="O132">
        <v>-85.4</v>
      </c>
      <c r="P132">
        <v>-124.32</v>
      </c>
      <c r="Q132">
        <v>-147.25</v>
      </c>
      <c r="R132">
        <v>-312.02999999999997</v>
      </c>
      <c r="S132">
        <v>-434.46</v>
      </c>
      <c r="T132">
        <v>-584.15</v>
      </c>
      <c r="U132">
        <v>-739.45</v>
      </c>
    </row>
    <row r="133" spans="1:21" x14ac:dyDescent="0.25">
      <c r="A133" t="s">
        <v>17</v>
      </c>
    </row>
    <row r="134" spans="1:21" x14ac:dyDescent="0.25">
      <c r="A134" t="s">
        <v>176</v>
      </c>
    </row>
    <row r="135" spans="1:21" x14ac:dyDescent="0.25">
      <c r="A135" t="s">
        <v>1738</v>
      </c>
      <c r="E135">
        <v>2.8</v>
      </c>
      <c r="F135">
        <v>3.9</v>
      </c>
      <c r="G135">
        <v>7.3</v>
      </c>
      <c r="H135">
        <v>11.2</v>
      </c>
      <c r="I135">
        <v>16.72</v>
      </c>
      <c r="J135">
        <v>24</v>
      </c>
      <c r="K135">
        <v>36.33</v>
      </c>
      <c r="L135">
        <v>44.79</v>
      </c>
      <c r="M135">
        <v>49.48</v>
      </c>
      <c r="N135">
        <v>66.430000000000007</v>
      </c>
      <c r="O135">
        <v>63.11</v>
      </c>
      <c r="P135">
        <v>64.45</v>
      </c>
      <c r="Q135">
        <v>55.64</v>
      </c>
      <c r="R135">
        <v>22.46</v>
      </c>
      <c r="S135">
        <v>38.53</v>
      </c>
      <c r="T135">
        <v>4.8</v>
      </c>
      <c r="U135">
        <v>-2.37</v>
      </c>
    </row>
    <row r="136" spans="1:21" x14ac:dyDescent="0.25">
      <c r="A136" t="s">
        <v>17</v>
      </c>
    </row>
    <row r="137" spans="1:21" x14ac:dyDescent="0.25">
      <c r="A137" t="s">
        <v>134</v>
      </c>
    </row>
    <row r="138" spans="1:21" x14ac:dyDescent="0.25">
      <c r="A138" t="s">
        <v>135</v>
      </c>
    </row>
    <row r="139" spans="1:21" x14ac:dyDescent="0.25">
      <c r="A139" t="s">
        <v>136</v>
      </c>
      <c r="F139">
        <v>92.02</v>
      </c>
      <c r="G139">
        <v>196.74</v>
      </c>
      <c r="H139">
        <v>689.87</v>
      </c>
      <c r="I139" s="2">
        <v>1129.95</v>
      </c>
      <c r="J139" s="2">
        <v>1955.86</v>
      </c>
      <c r="K139" s="2">
        <v>1887.88</v>
      </c>
      <c r="L139" s="2">
        <v>1983.08</v>
      </c>
      <c r="M139" s="2">
        <v>2269</v>
      </c>
      <c r="N139" s="2">
        <v>4644.84</v>
      </c>
      <c r="O139" s="2">
        <v>4853.33</v>
      </c>
      <c r="P139" s="2">
        <v>5659.05</v>
      </c>
      <c r="Q139" s="2">
        <v>6904.17</v>
      </c>
      <c r="R139" s="2">
        <v>9596.2199999999993</v>
      </c>
      <c r="S139" s="2">
        <v>12189.58</v>
      </c>
      <c r="T139" s="2">
        <v>16216.51</v>
      </c>
      <c r="U139" s="2">
        <v>20364.689999999999</v>
      </c>
    </row>
    <row r="140" spans="1:21" x14ac:dyDescent="0.25">
      <c r="A140" t="s">
        <v>137</v>
      </c>
      <c r="F140">
        <v>73.41</v>
      </c>
      <c r="G140">
        <v>160.66</v>
      </c>
      <c r="H140">
        <v>636.95000000000005</v>
      </c>
      <c r="I140" s="2">
        <v>1032.0999999999999</v>
      </c>
      <c r="J140" s="2">
        <v>1821.84</v>
      </c>
      <c r="K140" s="2">
        <v>1649.94</v>
      </c>
      <c r="L140" s="2">
        <v>1673.74</v>
      </c>
      <c r="M140" s="2">
        <v>1855.92</v>
      </c>
      <c r="N140" s="2">
        <v>4101.25</v>
      </c>
      <c r="O140" s="2">
        <v>4037.55</v>
      </c>
      <c r="P140" s="2">
        <v>4567.09</v>
      </c>
      <c r="Q140" s="2">
        <v>5585.5</v>
      </c>
      <c r="R140" s="2">
        <v>7600.84</v>
      </c>
      <c r="S140" s="2">
        <v>9936.1299999999992</v>
      </c>
      <c r="T140" s="2">
        <v>14420.75</v>
      </c>
      <c r="U140" s="2">
        <v>18202.86</v>
      </c>
    </row>
    <row r="141" spans="1:21" x14ac:dyDescent="0.25">
      <c r="A141" t="s">
        <v>536</v>
      </c>
      <c r="F141">
        <v>24.44</v>
      </c>
      <c r="G141">
        <v>25.06</v>
      </c>
      <c r="H141">
        <v>138.97999999999999</v>
      </c>
      <c r="I141">
        <v>108.9</v>
      </c>
      <c r="J141">
        <v>313.77999999999997</v>
      </c>
      <c r="K141">
        <v>204.18</v>
      </c>
      <c r="L141">
        <v>86.86</v>
      </c>
      <c r="M141">
        <v>147.69</v>
      </c>
      <c r="N141">
        <v>943.54</v>
      </c>
      <c r="O141" s="2">
        <v>1936.97</v>
      </c>
      <c r="P141" s="2">
        <v>2529.87</v>
      </c>
      <c r="Q141" s="2">
        <v>3591.11</v>
      </c>
      <c r="R141" s="2">
        <v>6715.36</v>
      </c>
      <c r="S141" s="2">
        <v>9177.7999999999993</v>
      </c>
      <c r="T141" s="2">
        <v>13472.76</v>
      </c>
      <c r="U141" s="2">
        <v>17380.810000000001</v>
      </c>
    </row>
    <row r="142" spans="1:21" x14ac:dyDescent="0.25">
      <c r="A142" t="s">
        <v>1130</v>
      </c>
      <c r="F142">
        <v>48.96</v>
      </c>
      <c r="G142">
        <v>135.6</v>
      </c>
      <c r="H142">
        <v>497.97</v>
      </c>
      <c r="I142">
        <v>923.2</v>
      </c>
      <c r="J142" s="2">
        <v>1508.07</v>
      </c>
      <c r="K142" s="2">
        <v>1445.76</v>
      </c>
      <c r="L142" s="2">
        <v>1586.88</v>
      </c>
      <c r="M142" s="2">
        <v>1708.23</v>
      </c>
      <c r="N142" s="2">
        <v>3157.72</v>
      </c>
      <c r="O142" s="2">
        <v>2358.33</v>
      </c>
      <c r="P142" s="2">
        <v>2326.33</v>
      </c>
      <c r="Q142" s="2">
        <v>2332.0100000000002</v>
      </c>
      <c r="R142" s="2">
        <v>1628.82</v>
      </c>
      <c r="S142" s="2">
        <v>1546.95</v>
      </c>
      <c r="T142">
        <v>947.99</v>
      </c>
      <c r="U142">
        <v>822.06</v>
      </c>
    </row>
    <row r="143" spans="1:21" x14ac:dyDescent="0.25">
      <c r="A143" t="s">
        <v>141</v>
      </c>
      <c r="F143">
        <v>11.48</v>
      </c>
      <c r="G143">
        <v>25.16</v>
      </c>
      <c r="H143">
        <v>33.869999999999997</v>
      </c>
      <c r="I143">
        <v>63.5</v>
      </c>
      <c r="J143">
        <v>95.54</v>
      </c>
      <c r="K143">
        <v>148.54</v>
      </c>
      <c r="L143">
        <v>248.27</v>
      </c>
      <c r="M143">
        <v>316.75</v>
      </c>
      <c r="N143">
        <v>382.49</v>
      </c>
      <c r="O143">
        <v>487.7</v>
      </c>
      <c r="P143">
        <v>677.54</v>
      </c>
      <c r="Q143">
        <v>829.14</v>
      </c>
      <c r="R143" s="2">
        <v>1105.6099999999999</v>
      </c>
      <c r="S143" s="2">
        <v>1367.64</v>
      </c>
      <c r="T143" s="2">
        <v>1968.62</v>
      </c>
      <c r="U143" s="2">
        <v>2415.75</v>
      </c>
    </row>
    <row r="144" spans="1:21" x14ac:dyDescent="0.25">
      <c r="A144" t="s">
        <v>688</v>
      </c>
      <c r="F144">
        <v>3.71</v>
      </c>
      <c r="G144">
        <v>1.55</v>
      </c>
      <c r="H144">
        <v>2.06</v>
      </c>
      <c r="I144">
        <v>3.54</v>
      </c>
      <c r="J144">
        <v>6.08</v>
      </c>
      <c r="K144">
        <v>8.2899999999999991</v>
      </c>
      <c r="L144">
        <v>11.04</v>
      </c>
      <c r="M144">
        <v>16.57</v>
      </c>
      <c r="N144">
        <v>23.53</v>
      </c>
      <c r="O144">
        <v>30.18</v>
      </c>
      <c r="P144">
        <v>33.76</v>
      </c>
      <c r="Q144">
        <v>37.24</v>
      </c>
      <c r="R144">
        <v>62.32</v>
      </c>
      <c r="S144">
        <v>72.61</v>
      </c>
      <c r="T144">
        <v>62</v>
      </c>
      <c r="U144">
        <v>70.06</v>
      </c>
    </row>
    <row r="145" spans="1:21" x14ac:dyDescent="0.25">
      <c r="A145" t="s">
        <v>428</v>
      </c>
      <c r="F145">
        <v>3.43</v>
      </c>
      <c r="G145">
        <v>9.3699999999999992</v>
      </c>
      <c r="H145">
        <v>16.989999999999998</v>
      </c>
      <c r="I145">
        <v>28.23</v>
      </c>
      <c r="J145">
        <v>29.43</v>
      </c>
      <c r="K145">
        <v>70.56</v>
      </c>
      <c r="L145">
        <v>47.5</v>
      </c>
      <c r="M145">
        <v>75.48</v>
      </c>
      <c r="N145">
        <v>128.19999999999999</v>
      </c>
      <c r="O145">
        <v>174.32</v>
      </c>
      <c r="P145">
        <v>236.68</v>
      </c>
      <c r="Q145">
        <v>318.44</v>
      </c>
      <c r="R145">
        <v>423.4</v>
      </c>
      <c r="S145">
        <v>491.72</v>
      </c>
      <c r="T145">
        <v>933.15</v>
      </c>
      <c r="U145" s="2">
        <v>1210.0999999999999</v>
      </c>
    </row>
    <row r="146" spans="1:21" x14ac:dyDescent="0.25">
      <c r="A146" t="s">
        <v>408</v>
      </c>
      <c r="I146">
        <v>2.59</v>
      </c>
      <c r="J146">
        <v>2.96</v>
      </c>
      <c r="K146">
        <v>10.56</v>
      </c>
      <c r="L146">
        <v>2.52</v>
      </c>
      <c r="M146">
        <v>4.2699999999999996</v>
      </c>
      <c r="N146">
        <v>9.36</v>
      </c>
      <c r="O146">
        <v>12.17</v>
      </c>
      <c r="P146">
        <v>12.17</v>
      </c>
      <c r="Q146">
        <v>12.16</v>
      </c>
      <c r="R146">
        <v>12.16</v>
      </c>
      <c r="S146">
        <v>12.16</v>
      </c>
      <c r="T146">
        <v>12.16</v>
      </c>
      <c r="U146">
        <v>12.16</v>
      </c>
    </row>
    <row r="147" spans="1:21" x14ac:dyDescent="0.25">
      <c r="A147" t="s">
        <v>146</v>
      </c>
      <c r="F147">
        <v>71.12</v>
      </c>
      <c r="G147">
        <v>101.64</v>
      </c>
      <c r="H147">
        <v>140.94999999999999</v>
      </c>
      <c r="I147">
        <v>250.7</v>
      </c>
      <c r="J147">
        <v>416.22</v>
      </c>
      <c r="K147">
        <v>700.02</v>
      </c>
      <c r="L147">
        <v>776.69</v>
      </c>
      <c r="M147" s="2">
        <v>1032.17</v>
      </c>
      <c r="N147" s="2">
        <v>1391.42</v>
      </c>
      <c r="O147" s="2">
        <v>1839.73</v>
      </c>
      <c r="P147" s="2">
        <v>2136.34</v>
      </c>
      <c r="Q147" s="2">
        <v>2470.16</v>
      </c>
      <c r="R147" s="2">
        <v>2893.66</v>
      </c>
      <c r="S147" s="2">
        <v>3248.85</v>
      </c>
      <c r="T147" s="2">
        <v>3683.16</v>
      </c>
      <c r="U147" s="2">
        <v>4215.8999999999996</v>
      </c>
    </row>
    <row r="148" spans="1:21" x14ac:dyDescent="0.25">
      <c r="A148" t="s">
        <v>409</v>
      </c>
      <c r="F148">
        <v>51.42</v>
      </c>
      <c r="G148">
        <v>73.209999999999994</v>
      </c>
      <c r="H148">
        <v>101.47</v>
      </c>
      <c r="I148">
        <v>123.69</v>
      </c>
      <c r="J148">
        <v>183.74</v>
      </c>
      <c r="K148">
        <v>286.60000000000002</v>
      </c>
      <c r="L148">
        <v>322.81</v>
      </c>
      <c r="M148">
        <v>467.42</v>
      </c>
      <c r="N148">
        <v>618.69000000000005</v>
      </c>
      <c r="O148">
        <v>836.95</v>
      </c>
      <c r="P148" s="2">
        <v>1032.97</v>
      </c>
      <c r="Q148" s="2">
        <v>1226.3399999999999</v>
      </c>
      <c r="R148" s="2">
        <v>1391.25</v>
      </c>
      <c r="S148" s="2">
        <v>1609.73</v>
      </c>
      <c r="T148" s="2">
        <v>2316.58</v>
      </c>
      <c r="U148" s="2">
        <v>2794.05</v>
      </c>
    </row>
    <row r="149" spans="1:21" x14ac:dyDescent="0.25">
      <c r="A149" t="s">
        <v>310</v>
      </c>
      <c r="I149">
        <v>43.15</v>
      </c>
      <c r="J149">
        <v>130.31</v>
      </c>
      <c r="K149">
        <v>132.36000000000001</v>
      </c>
      <c r="L149">
        <v>138.56</v>
      </c>
      <c r="M149">
        <v>168.38</v>
      </c>
      <c r="N149">
        <v>237.65</v>
      </c>
      <c r="O149">
        <v>252.11</v>
      </c>
      <c r="P149">
        <v>260.85000000000002</v>
      </c>
      <c r="Q149">
        <v>298.31</v>
      </c>
      <c r="R149">
        <v>343.63</v>
      </c>
      <c r="S149">
        <v>374.36</v>
      </c>
      <c r="T149">
        <v>247.68</v>
      </c>
      <c r="U149">
        <v>247.68</v>
      </c>
    </row>
    <row r="150" spans="1:21" x14ac:dyDescent="0.25">
      <c r="A150" t="s">
        <v>496</v>
      </c>
      <c r="F150">
        <v>4.08</v>
      </c>
      <c r="G150">
        <v>4.08</v>
      </c>
      <c r="H150">
        <v>4.08</v>
      </c>
      <c r="I150">
        <v>17.170000000000002</v>
      </c>
      <c r="J150">
        <v>23.53</v>
      </c>
      <c r="K150">
        <v>148.05000000000001</v>
      </c>
      <c r="L150">
        <v>148.05000000000001</v>
      </c>
      <c r="M150">
        <v>181.09</v>
      </c>
      <c r="N150">
        <v>226.56</v>
      </c>
      <c r="O150">
        <v>367.91</v>
      </c>
      <c r="P150">
        <v>368.22</v>
      </c>
      <c r="Q150">
        <v>358.68</v>
      </c>
      <c r="R150">
        <v>342.15</v>
      </c>
      <c r="S150">
        <v>338.28</v>
      </c>
      <c r="T150">
        <v>366.17</v>
      </c>
      <c r="U150">
        <v>356.22</v>
      </c>
    </row>
    <row r="151" spans="1:21" x14ac:dyDescent="0.25">
      <c r="A151" t="s">
        <v>142</v>
      </c>
      <c r="F151">
        <v>10.77</v>
      </c>
      <c r="G151">
        <v>15.94</v>
      </c>
      <c r="H151">
        <v>25.18</v>
      </c>
      <c r="I151">
        <v>44.18</v>
      </c>
      <c r="J151">
        <v>70.319999999999993</v>
      </c>
      <c r="K151">
        <v>93.15</v>
      </c>
      <c r="L151">
        <v>133.24</v>
      </c>
      <c r="M151">
        <v>172.22</v>
      </c>
      <c r="N151">
        <v>219.5</v>
      </c>
      <c r="O151">
        <v>276.8</v>
      </c>
      <c r="P151">
        <v>348.94</v>
      </c>
      <c r="Q151">
        <v>411.81</v>
      </c>
      <c r="R151">
        <v>536.48</v>
      </c>
      <c r="S151">
        <v>615.58000000000004</v>
      </c>
      <c r="T151">
        <v>634.63</v>
      </c>
      <c r="U151">
        <v>709.78</v>
      </c>
    </row>
    <row r="152" spans="1:21" x14ac:dyDescent="0.25">
      <c r="A152" t="s">
        <v>497</v>
      </c>
      <c r="F152">
        <v>0.67</v>
      </c>
      <c r="G152">
        <v>0.16</v>
      </c>
      <c r="H152">
        <v>0.03</v>
      </c>
      <c r="I152">
        <v>2.8</v>
      </c>
      <c r="J152">
        <v>1.25</v>
      </c>
      <c r="K152">
        <v>32.479999999999997</v>
      </c>
      <c r="L152">
        <v>19.559999999999999</v>
      </c>
      <c r="M152">
        <v>21.87</v>
      </c>
      <c r="N152">
        <v>41.8</v>
      </c>
      <c r="O152">
        <v>54.39</v>
      </c>
      <c r="P152">
        <v>53.55</v>
      </c>
      <c r="Q152">
        <v>54.95</v>
      </c>
      <c r="R152">
        <v>45.4</v>
      </c>
      <c r="S152">
        <v>36.35</v>
      </c>
      <c r="T152">
        <v>57.37</v>
      </c>
      <c r="U152">
        <v>57.37</v>
      </c>
    </row>
    <row r="153" spans="1:21" x14ac:dyDescent="0.25">
      <c r="A153" t="s">
        <v>408</v>
      </c>
      <c r="F153">
        <v>2.44</v>
      </c>
      <c r="G153">
        <v>6.37</v>
      </c>
      <c r="H153">
        <v>6.66</v>
      </c>
      <c r="I153">
        <v>6.66</v>
      </c>
      <c r="J153">
        <v>4.22</v>
      </c>
      <c r="K153">
        <v>0.47</v>
      </c>
      <c r="L153">
        <v>1.84</v>
      </c>
      <c r="M153">
        <v>2.25</v>
      </c>
      <c r="N153">
        <v>1.46</v>
      </c>
      <c r="O153">
        <v>0</v>
      </c>
      <c r="P153">
        <v>0</v>
      </c>
    </row>
    <row r="154" spans="1:21" x14ac:dyDescent="0.25">
      <c r="A154" t="s">
        <v>154</v>
      </c>
      <c r="F154">
        <v>1.74</v>
      </c>
      <c r="G154">
        <v>1.88</v>
      </c>
      <c r="H154">
        <v>3.53</v>
      </c>
      <c r="I154">
        <v>13.06</v>
      </c>
      <c r="J154">
        <v>2.84</v>
      </c>
      <c r="K154">
        <v>6.92</v>
      </c>
      <c r="L154">
        <v>12.64</v>
      </c>
      <c r="M154">
        <v>18.95</v>
      </c>
      <c r="N154">
        <v>45.76</v>
      </c>
      <c r="O154">
        <v>63.61</v>
      </c>
      <c r="P154">
        <v>71.37</v>
      </c>
      <c r="Q154">
        <v>78.22</v>
      </c>
      <c r="R154">
        <v>99.86</v>
      </c>
      <c r="S154">
        <v>98.57</v>
      </c>
      <c r="T154">
        <v>60.73</v>
      </c>
      <c r="U154">
        <v>50.79</v>
      </c>
    </row>
    <row r="155" spans="1:21" x14ac:dyDescent="0.25">
      <c r="A155" t="s">
        <v>155</v>
      </c>
      <c r="F155">
        <v>163.13999999999999</v>
      </c>
      <c r="G155">
        <v>298.38</v>
      </c>
      <c r="H155">
        <v>830.82</v>
      </c>
      <c r="I155" s="2">
        <v>1380.65</v>
      </c>
      <c r="J155" s="2">
        <v>2372.0700000000002</v>
      </c>
      <c r="K155" s="2">
        <v>2587.91</v>
      </c>
      <c r="L155" s="2">
        <v>2759.77</v>
      </c>
      <c r="M155" s="2">
        <v>3301.16</v>
      </c>
      <c r="N155" s="2">
        <v>6036.26</v>
      </c>
      <c r="O155" s="2">
        <v>6634.38</v>
      </c>
      <c r="P155" s="2">
        <v>7703.41</v>
      </c>
      <c r="Q155" s="2">
        <v>9179.82</v>
      </c>
      <c r="R155" s="2">
        <v>11583.41</v>
      </c>
      <c r="S155" s="2">
        <v>14427.07</v>
      </c>
      <c r="T155" s="2">
        <v>19899.669999999998</v>
      </c>
      <c r="U155" s="2">
        <v>24580.58</v>
      </c>
    </row>
    <row r="156" spans="1:21" x14ac:dyDescent="0.25">
      <c r="A156" t="s">
        <v>17</v>
      </c>
    </row>
    <row r="157" spans="1:21" x14ac:dyDescent="0.25">
      <c r="A157" t="s">
        <v>156</v>
      </c>
    </row>
    <row r="158" spans="1:21" x14ac:dyDescent="0.25">
      <c r="A158" t="s">
        <v>157</v>
      </c>
      <c r="F158">
        <v>27.16</v>
      </c>
      <c r="G158">
        <v>61.38</v>
      </c>
      <c r="H158">
        <v>83.88</v>
      </c>
      <c r="I158">
        <v>141.38</v>
      </c>
      <c r="J158">
        <v>288.57</v>
      </c>
      <c r="K158">
        <v>397.87</v>
      </c>
      <c r="L158">
        <v>567.08000000000004</v>
      </c>
      <c r="M158">
        <v>793.65</v>
      </c>
      <c r="N158" s="2">
        <v>2350.56</v>
      </c>
      <c r="O158" s="2">
        <v>2407.81</v>
      </c>
      <c r="P158" s="2">
        <v>2743.48</v>
      </c>
      <c r="Q158" s="2">
        <v>3142.07</v>
      </c>
      <c r="R158" s="2">
        <v>3581.58</v>
      </c>
      <c r="S158" s="2">
        <v>4029.97</v>
      </c>
      <c r="T158" s="2">
        <v>4317.3999999999996</v>
      </c>
      <c r="U158" s="2">
        <v>4962.6000000000004</v>
      </c>
    </row>
    <row r="159" spans="1:21" x14ac:dyDescent="0.25">
      <c r="A159" t="s">
        <v>158</v>
      </c>
      <c r="F159">
        <v>4.7300000000000004</v>
      </c>
      <c r="G159">
        <v>14.29</v>
      </c>
      <c r="H159">
        <v>11.46</v>
      </c>
      <c r="I159">
        <v>14.49</v>
      </c>
      <c r="J159">
        <v>26.09</v>
      </c>
      <c r="K159">
        <v>35.61</v>
      </c>
      <c r="L159">
        <v>53.73</v>
      </c>
      <c r="M159">
        <v>105.81</v>
      </c>
      <c r="N159">
        <v>84.12</v>
      </c>
      <c r="O159">
        <v>121.38</v>
      </c>
      <c r="P159">
        <v>155.06</v>
      </c>
      <c r="Q159">
        <v>181.78</v>
      </c>
      <c r="R159">
        <v>220.47</v>
      </c>
      <c r="S159">
        <v>291.05</v>
      </c>
      <c r="T159">
        <v>317.82</v>
      </c>
      <c r="U159">
        <v>374</v>
      </c>
    </row>
    <row r="160" spans="1:21" x14ac:dyDescent="0.25">
      <c r="A160" t="s">
        <v>906</v>
      </c>
      <c r="F160">
        <v>8.89</v>
      </c>
      <c r="G160">
        <v>15.7</v>
      </c>
      <c r="H160">
        <v>28.31</v>
      </c>
      <c r="I160">
        <v>45.63</v>
      </c>
      <c r="J160">
        <v>38.090000000000003</v>
      </c>
      <c r="K160">
        <v>66.430000000000007</v>
      </c>
      <c r="L160">
        <v>63.6</v>
      </c>
      <c r="M160">
        <v>81.599999999999994</v>
      </c>
      <c r="N160">
        <v>109.05</v>
      </c>
      <c r="O160">
        <v>160.72</v>
      </c>
      <c r="P160">
        <v>178.44</v>
      </c>
      <c r="Q160">
        <v>209.21</v>
      </c>
      <c r="R160">
        <v>283.8</v>
      </c>
      <c r="S160">
        <v>414.28</v>
      </c>
      <c r="T160">
        <v>755.09</v>
      </c>
      <c r="U160" s="2">
        <v>1088.3499999999999</v>
      </c>
    </row>
    <row r="161" spans="1:21" x14ac:dyDescent="0.25">
      <c r="A161" t="s">
        <v>1739</v>
      </c>
      <c r="F161">
        <v>1.26</v>
      </c>
      <c r="G161">
        <v>14.32</v>
      </c>
      <c r="H161">
        <v>13.26</v>
      </c>
      <c r="I161">
        <v>8.6</v>
      </c>
      <c r="J161">
        <v>4.6500000000000004</v>
      </c>
      <c r="K161">
        <v>1.9</v>
      </c>
      <c r="O161">
        <v>38.049999999999997</v>
      </c>
      <c r="P161">
        <v>129.44</v>
      </c>
      <c r="Q161">
        <v>457.04</v>
      </c>
    </row>
    <row r="162" spans="1:21" x14ac:dyDescent="0.25">
      <c r="A162" t="s">
        <v>1740</v>
      </c>
      <c r="I162">
        <v>17.72</v>
      </c>
      <c r="J162">
        <v>25.18</v>
      </c>
      <c r="K162">
        <v>33.28</v>
      </c>
      <c r="L162">
        <v>38.35</v>
      </c>
      <c r="M162">
        <v>47.63</v>
      </c>
      <c r="N162">
        <v>70.900000000000006</v>
      </c>
      <c r="O162">
        <v>81.94</v>
      </c>
      <c r="P162">
        <v>88.52</v>
      </c>
      <c r="Q162">
        <v>196.43</v>
      </c>
      <c r="R162">
        <v>108.71</v>
      </c>
      <c r="S162">
        <v>125.7</v>
      </c>
      <c r="T162">
        <v>147.31</v>
      </c>
      <c r="U162">
        <v>164.3</v>
      </c>
    </row>
    <row r="163" spans="1:21" x14ac:dyDescent="0.25">
      <c r="A163" t="s">
        <v>417</v>
      </c>
      <c r="F163">
        <v>11.93</v>
      </c>
      <c r="G163">
        <v>16.82</v>
      </c>
      <c r="H163">
        <v>30.84</v>
      </c>
      <c r="I163">
        <v>54.95</v>
      </c>
      <c r="J163">
        <v>116.55</v>
      </c>
      <c r="K163">
        <v>218.65</v>
      </c>
      <c r="L163">
        <v>347.61</v>
      </c>
      <c r="M163">
        <v>477.77</v>
      </c>
      <c r="N163">
        <v>684.21</v>
      </c>
      <c r="O163">
        <v>948.53</v>
      </c>
      <c r="P163" s="2">
        <v>1210.99</v>
      </c>
      <c r="Q163" s="2">
        <v>1555.54</v>
      </c>
      <c r="R163" s="2">
        <v>1962.96</v>
      </c>
      <c r="S163" s="2">
        <v>2225.9499999999998</v>
      </c>
      <c r="T163" s="2">
        <v>2587.9499999999998</v>
      </c>
      <c r="U163" s="2">
        <v>2993.68</v>
      </c>
    </row>
    <row r="164" spans="1:21" x14ac:dyDescent="0.25">
      <c r="A164" t="s">
        <v>695</v>
      </c>
      <c r="J164">
        <v>65.91</v>
      </c>
      <c r="K164">
        <v>42.01</v>
      </c>
      <c r="L164">
        <v>63.8</v>
      </c>
      <c r="M164">
        <v>80.849999999999994</v>
      </c>
      <c r="N164">
        <v>111.01</v>
      </c>
      <c r="O164">
        <v>150.53</v>
      </c>
      <c r="P164">
        <v>166.01</v>
      </c>
      <c r="Q164">
        <v>183.61</v>
      </c>
      <c r="R164">
        <v>272.94</v>
      </c>
      <c r="S164">
        <v>322.2</v>
      </c>
      <c r="T164">
        <v>353.76</v>
      </c>
      <c r="U164">
        <v>409.29</v>
      </c>
    </row>
    <row r="165" spans="1:21" x14ac:dyDescent="0.25">
      <c r="A165" t="s">
        <v>164</v>
      </c>
      <c r="F165">
        <v>14.27</v>
      </c>
      <c r="G165">
        <v>18.989999999999998</v>
      </c>
      <c r="H165">
        <v>21.11</v>
      </c>
      <c r="I165">
        <v>422.33</v>
      </c>
      <c r="J165" s="2">
        <v>1272.1500000000001</v>
      </c>
      <c r="K165" s="2">
        <v>1566.07</v>
      </c>
      <c r="L165" s="2">
        <v>1429.64</v>
      </c>
      <c r="M165" s="2">
        <v>1461.31</v>
      </c>
      <c r="N165" s="2">
        <v>2226.5700000000002</v>
      </c>
      <c r="O165" s="2">
        <v>2243.71</v>
      </c>
      <c r="P165" s="2">
        <v>2271.54</v>
      </c>
      <c r="Q165" s="2">
        <v>2279.81</v>
      </c>
      <c r="R165" s="2">
        <v>2342.87</v>
      </c>
      <c r="S165" s="2">
        <v>1713.5</v>
      </c>
      <c r="T165" s="2">
        <v>1331.33</v>
      </c>
      <c r="U165" s="2">
        <v>1350.4</v>
      </c>
    </row>
    <row r="166" spans="1:21" x14ac:dyDescent="0.25">
      <c r="A166" t="s">
        <v>315</v>
      </c>
      <c r="F166">
        <v>0.26</v>
      </c>
      <c r="I166">
        <v>383.28</v>
      </c>
      <c r="J166" s="2">
        <v>1151.32</v>
      </c>
      <c r="K166" s="2">
        <v>1436.19</v>
      </c>
      <c r="L166" s="2">
        <v>1283.3599999999999</v>
      </c>
      <c r="M166" s="2">
        <v>1287.32</v>
      </c>
      <c r="N166" s="2">
        <v>1974.12</v>
      </c>
      <c r="O166" s="2">
        <v>2301.25</v>
      </c>
      <c r="P166" s="2">
        <v>2303.5100000000002</v>
      </c>
      <c r="Q166" s="2">
        <v>2241.9499999999998</v>
      </c>
      <c r="R166" s="2">
        <v>1975.89</v>
      </c>
      <c r="S166" s="2">
        <v>1976</v>
      </c>
      <c r="T166" s="2">
        <v>1977.01</v>
      </c>
      <c r="U166" s="2">
        <v>1977.01</v>
      </c>
    </row>
    <row r="167" spans="1:21" x14ac:dyDescent="0.25">
      <c r="A167" t="s">
        <v>161</v>
      </c>
      <c r="F167">
        <v>0.21</v>
      </c>
      <c r="G167">
        <v>0.22</v>
      </c>
      <c r="H167">
        <v>0.8</v>
      </c>
      <c r="I167">
        <v>1.89</v>
      </c>
      <c r="J167">
        <v>4.68</v>
      </c>
      <c r="K167">
        <v>11.73</v>
      </c>
      <c r="L167">
        <v>17.239999999999998</v>
      </c>
      <c r="M167">
        <v>22.1</v>
      </c>
      <c r="N167">
        <v>41.09</v>
      </c>
      <c r="O167">
        <v>51.15</v>
      </c>
      <c r="P167">
        <v>65.19</v>
      </c>
      <c r="Q167">
        <v>80.680000000000007</v>
      </c>
      <c r="R167">
        <v>114.93</v>
      </c>
      <c r="S167">
        <v>116.79</v>
      </c>
      <c r="T167">
        <v>134.01</v>
      </c>
      <c r="U167">
        <v>153.09</v>
      </c>
    </row>
    <row r="168" spans="1:21" x14ac:dyDescent="0.25">
      <c r="A168" t="s">
        <v>1014</v>
      </c>
      <c r="I168">
        <v>27.31</v>
      </c>
      <c r="J168">
        <v>109.04</v>
      </c>
      <c r="K168">
        <v>107.62</v>
      </c>
      <c r="L168">
        <v>113.49</v>
      </c>
      <c r="M168">
        <v>128.27000000000001</v>
      </c>
      <c r="N168">
        <v>182.03</v>
      </c>
      <c r="O168">
        <v>187.49</v>
      </c>
      <c r="P168">
        <v>196.72</v>
      </c>
      <c r="Q168">
        <v>204</v>
      </c>
      <c r="R168">
        <v>217.47</v>
      </c>
      <c r="S168">
        <v>241.04</v>
      </c>
      <c r="T168">
        <v>180.85</v>
      </c>
      <c r="U168">
        <v>180.85</v>
      </c>
    </row>
    <row r="169" spans="1:21" x14ac:dyDescent="0.25">
      <c r="A169" t="s">
        <v>502</v>
      </c>
      <c r="F169">
        <v>3.49</v>
      </c>
      <c r="G169">
        <v>8.32</v>
      </c>
      <c r="H169">
        <v>9.8000000000000007</v>
      </c>
      <c r="I169">
        <v>9.86</v>
      </c>
      <c r="J169">
        <v>7.11</v>
      </c>
      <c r="K169">
        <v>10.53</v>
      </c>
      <c r="L169">
        <v>15.54</v>
      </c>
      <c r="M169">
        <v>23.63</v>
      </c>
      <c r="N169">
        <v>29.34</v>
      </c>
      <c r="O169">
        <v>29.98</v>
      </c>
      <c r="P169">
        <v>32.21</v>
      </c>
      <c r="Q169">
        <v>31.69</v>
      </c>
      <c r="R169">
        <v>34.46</v>
      </c>
      <c r="S169">
        <v>37.5</v>
      </c>
      <c r="T169">
        <v>27.97</v>
      </c>
      <c r="U169">
        <v>27.97</v>
      </c>
    </row>
    <row r="170" spans="1:21" x14ac:dyDescent="0.25">
      <c r="A170" t="s">
        <v>167</v>
      </c>
      <c r="F170">
        <v>41.43</v>
      </c>
      <c r="G170">
        <v>80.36</v>
      </c>
      <c r="H170">
        <v>105</v>
      </c>
      <c r="I170">
        <v>563.71</v>
      </c>
      <c r="J170" s="2">
        <v>1560.71</v>
      </c>
      <c r="K170" s="2">
        <v>1963.94</v>
      </c>
      <c r="L170" s="2">
        <v>1996.72</v>
      </c>
      <c r="M170" s="2">
        <v>2254.96</v>
      </c>
      <c r="N170" s="2">
        <v>4577.13</v>
      </c>
      <c r="O170" s="2">
        <v>4594.2700000000004</v>
      </c>
      <c r="P170" s="2">
        <v>4966.78</v>
      </c>
      <c r="Q170" s="2">
        <v>5389.99</v>
      </c>
      <c r="R170" s="2">
        <v>5877.34</v>
      </c>
      <c r="S170" s="2">
        <v>5976.1</v>
      </c>
      <c r="T170" s="2">
        <v>5648.73</v>
      </c>
      <c r="U170" s="2">
        <v>6313.01</v>
      </c>
    </row>
    <row r="171" spans="1:21" x14ac:dyDescent="0.25">
      <c r="A171" t="s">
        <v>170</v>
      </c>
      <c r="F171">
        <v>121.71</v>
      </c>
      <c r="G171">
        <v>218.02</v>
      </c>
      <c r="H171">
        <v>725.83</v>
      </c>
      <c r="I171">
        <v>816.94</v>
      </c>
      <c r="J171">
        <v>811.36</v>
      </c>
      <c r="K171">
        <v>623.96</v>
      </c>
      <c r="L171">
        <v>763.05</v>
      </c>
      <c r="M171" s="2">
        <v>1046.2</v>
      </c>
      <c r="N171" s="2">
        <v>1459.12</v>
      </c>
      <c r="O171" s="2">
        <v>2037.15</v>
      </c>
      <c r="P171" s="2">
        <v>2733.54</v>
      </c>
      <c r="Q171" s="2">
        <v>3785.46</v>
      </c>
      <c r="R171" s="2">
        <v>5706.07</v>
      </c>
      <c r="S171" s="2">
        <v>8450.9699999999993</v>
      </c>
      <c r="T171" s="2">
        <v>14250.94</v>
      </c>
      <c r="U171" s="2">
        <v>18267.580000000002</v>
      </c>
    </row>
    <row r="172" spans="1:21" x14ac:dyDescent="0.25">
      <c r="A172" t="s">
        <v>171</v>
      </c>
      <c r="F172">
        <v>0.08</v>
      </c>
      <c r="G172">
        <v>0.09</v>
      </c>
      <c r="H172">
        <v>0.28999999999999998</v>
      </c>
      <c r="I172">
        <v>0.3</v>
      </c>
      <c r="J172">
        <v>0.32</v>
      </c>
      <c r="K172">
        <v>0.33</v>
      </c>
      <c r="L172">
        <v>0.34</v>
      </c>
      <c r="M172">
        <v>0.34</v>
      </c>
      <c r="N172">
        <v>0.35</v>
      </c>
      <c r="O172">
        <v>0.36</v>
      </c>
      <c r="P172">
        <v>0.36</v>
      </c>
      <c r="Q172">
        <v>0.36</v>
      </c>
      <c r="R172">
        <v>0.36</v>
      </c>
      <c r="S172">
        <v>0.36</v>
      </c>
      <c r="T172">
        <v>0.36</v>
      </c>
      <c r="U172">
        <v>0.36</v>
      </c>
    </row>
    <row r="173" spans="1:21" x14ac:dyDescent="0.25">
      <c r="A173" t="s">
        <v>1741</v>
      </c>
      <c r="H173">
        <v>0.09</v>
      </c>
      <c r="I173">
        <v>0.25</v>
      </c>
      <c r="J173">
        <v>0.28000000000000003</v>
      </c>
      <c r="K173">
        <v>0.28999999999999998</v>
      </c>
      <c r="L173">
        <v>0.3</v>
      </c>
      <c r="M173">
        <v>0.31</v>
      </c>
      <c r="N173">
        <v>0.32</v>
      </c>
      <c r="O173">
        <v>0.32</v>
      </c>
      <c r="P173">
        <v>0.32</v>
      </c>
      <c r="Q173">
        <v>0.32</v>
      </c>
      <c r="R173">
        <v>0.32</v>
      </c>
      <c r="S173">
        <v>0.32</v>
      </c>
    </row>
    <row r="174" spans="1:21" x14ac:dyDescent="0.25">
      <c r="A174" t="s">
        <v>1742</v>
      </c>
      <c r="H174">
        <v>0.21</v>
      </c>
      <c r="I174">
        <v>0.06</v>
      </c>
      <c r="J174">
        <v>0.04</v>
      </c>
      <c r="K174">
        <v>0.04</v>
      </c>
      <c r="L174">
        <v>0.04</v>
      </c>
      <c r="M174">
        <v>0.04</v>
      </c>
      <c r="N174">
        <v>0.03</v>
      </c>
      <c r="O174">
        <v>0.03</v>
      </c>
      <c r="P174">
        <v>0.03</v>
      </c>
      <c r="Q174">
        <v>0.03</v>
      </c>
      <c r="R174">
        <v>0.03</v>
      </c>
      <c r="S174">
        <v>0.03</v>
      </c>
    </row>
    <row r="175" spans="1:21" x14ac:dyDescent="0.25">
      <c r="A175" t="s">
        <v>1234</v>
      </c>
      <c r="F175">
        <v>49.72</v>
      </c>
      <c r="G175">
        <v>81.83</v>
      </c>
      <c r="H175" s="2">
        <v>1027.18</v>
      </c>
      <c r="I175" s="2">
        <v>1236.99</v>
      </c>
      <c r="J175" s="2">
        <v>1494.51</v>
      </c>
      <c r="K175" s="2">
        <v>1475.42</v>
      </c>
      <c r="L175" s="2">
        <v>1784.57</v>
      </c>
      <c r="M175" s="2">
        <v>2152.75</v>
      </c>
      <c r="N175" s="2">
        <v>2651.42</v>
      </c>
      <c r="O175" s="2">
        <v>3376.32</v>
      </c>
      <c r="P175" s="2">
        <v>3863.52</v>
      </c>
      <c r="Q175" s="2">
        <v>4900.8900000000003</v>
      </c>
      <c r="R175" s="2">
        <v>7708.31</v>
      </c>
      <c r="S175" s="2">
        <v>10663.87</v>
      </c>
      <c r="T175" s="2">
        <v>18372.72</v>
      </c>
      <c r="U175" s="2">
        <v>22452.49</v>
      </c>
    </row>
    <row r="176" spans="1:21" x14ac:dyDescent="0.25">
      <c r="A176" t="s">
        <v>173</v>
      </c>
      <c r="F176">
        <v>-108.71</v>
      </c>
      <c r="G176">
        <v>-195.88</v>
      </c>
      <c r="H176">
        <v>-301.70999999999998</v>
      </c>
      <c r="I176">
        <v>-420.52</v>
      </c>
      <c r="J176">
        <v>-680.83</v>
      </c>
      <c r="K176">
        <v>-839.89</v>
      </c>
      <c r="L176" s="2">
        <v>-1023.84</v>
      </c>
      <c r="M176" s="2">
        <v>-1102.6400000000001</v>
      </c>
      <c r="N176" s="2">
        <v>-1204.9100000000001</v>
      </c>
    </row>
    <row r="177" spans="1:21" x14ac:dyDescent="0.25">
      <c r="A177" t="s">
        <v>700</v>
      </c>
      <c r="F177">
        <v>-0.11</v>
      </c>
      <c r="G177">
        <v>-0.06</v>
      </c>
      <c r="H177">
        <v>0.06</v>
      </c>
      <c r="I177">
        <v>0.16</v>
      </c>
      <c r="J177">
        <v>-2.65</v>
      </c>
      <c r="K177">
        <v>-11.9</v>
      </c>
      <c r="L177">
        <v>1.98</v>
      </c>
      <c r="M177">
        <v>-4.25</v>
      </c>
      <c r="N177">
        <v>12.26</v>
      </c>
      <c r="O177">
        <v>-8.08</v>
      </c>
      <c r="P177">
        <v>-9.09</v>
      </c>
      <c r="Q177">
        <v>9.39</v>
      </c>
      <c r="R177">
        <v>385.93</v>
      </c>
      <c r="S177">
        <v>749.47</v>
      </c>
      <c r="T177" s="2">
        <v>2604.2199999999998</v>
      </c>
      <c r="U177" s="2">
        <v>4160.82</v>
      </c>
    </row>
    <row r="178" spans="1:21" x14ac:dyDescent="0.25">
      <c r="A178" t="s">
        <v>326</v>
      </c>
      <c r="F178">
        <v>163.13999999999999</v>
      </c>
      <c r="G178">
        <v>298.38</v>
      </c>
      <c r="H178">
        <v>830.82</v>
      </c>
      <c r="I178" s="2">
        <v>1380.65</v>
      </c>
      <c r="J178" s="2">
        <v>2372.0700000000002</v>
      </c>
      <c r="K178" s="2">
        <v>2587.91</v>
      </c>
      <c r="L178" s="2">
        <v>2759.77</v>
      </c>
      <c r="M178" s="2">
        <v>3301.16</v>
      </c>
      <c r="N178" s="2">
        <v>6036.26</v>
      </c>
      <c r="O178" s="2">
        <v>6634.38</v>
      </c>
      <c r="P178" s="2">
        <v>7703.41</v>
      </c>
      <c r="Q178" s="2">
        <v>9179.82</v>
      </c>
      <c r="R178" s="2">
        <v>11583.41</v>
      </c>
      <c r="S178" s="2">
        <v>14427.07</v>
      </c>
      <c r="T178" s="2">
        <v>19899.669999999998</v>
      </c>
      <c r="U178" s="2">
        <v>24580.58</v>
      </c>
    </row>
    <row r="179" spans="1:21" x14ac:dyDescent="0.25">
      <c r="A179" t="s">
        <v>17</v>
      </c>
    </row>
    <row r="180" spans="1:21" x14ac:dyDescent="0.25">
      <c r="A180" t="s">
        <v>176</v>
      </c>
    </row>
    <row r="181" spans="1:21" x14ac:dyDescent="0.25">
      <c r="A181" t="s">
        <v>186</v>
      </c>
      <c r="F181">
        <v>3.39</v>
      </c>
      <c r="G181">
        <v>3.21</v>
      </c>
      <c r="H181">
        <v>8.2200000000000006</v>
      </c>
      <c r="I181">
        <v>7.99</v>
      </c>
      <c r="J181">
        <v>6.78</v>
      </c>
      <c r="K181">
        <v>4.74</v>
      </c>
      <c r="L181">
        <v>3.5</v>
      </c>
      <c r="M181">
        <v>2.86</v>
      </c>
      <c r="N181">
        <v>1.98</v>
      </c>
      <c r="O181">
        <v>1.83</v>
      </c>
      <c r="P181">
        <v>1.89</v>
      </c>
      <c r="Q181">
        <v>1.87</v>
      </c>
      <c r="R181">
        <v>2.68</v>
      </c>
      <c r="S181">
        <v>3.02</v>
      </c>
      <c r="T181">
        <v>3.76</v>
      </c>
      <c r="U181">
        <v>4.0999999999999996</v>
      </c>
    </row>
    <row r="182" spans="1:21" x14ac:dyDescent="0.25">
      <c r="A182" t="s">
        <v>179</v>
      </c>
      <c r="G182">
        <v>-37.770000000000003</v>
      </c>
      <c r="H182">
        <v>-18.739999999999998</v>
      </c>
      <c r="I182">
        <v>-10.8</v>
      </c>
      <c r="J182">
        <v>-13.87</v>
      </c>
      <c r="K182">
        <v>-7.8</v>
      </c>
      <c r="L182">
        <v>-6.88</v>
      </c>
      <c r="M182">
        <v>-2.6</v>
      </c>
      <c r="N182">
        <v>-2.19</v>
      </c>
      <c r="O182">
        <v>0.1</v>
      </c>
      <c r="P182">
        <v>3.2</v>
      </c>
      <c r="Q182">
        <v>7</v>
      </c>
      <c r="R182">
        <v>11</v>
      </c>
      <c r="S182">
        <v>14</v>
      </c>
    </row>
    <row r="183" spans="1:21" x14ac:dyDescent="0.25">
      <c r="A183" t="s">
        <v>180</v>
      </c>
      <c r="I183">
        <v>-15.47</v>
      </c>
      <c r="J183">
        <v>-31.97</v>
      </c>
      <c r="K183">
        <v>-26.95</v>
      </c>
      <c r="L183">
        <v>-26.52</v>
      </c>
      <c r="M183">
        <v>-8.7100000000000009</v>
      </c>
      <c r="N183">
        <v>-8.16</v>
      </c>
      <c r="O183">
        <v>0.2</v>
      </c>
      <c r="P183">
        <v>11.5</v>
      </c>
      <c r="Q183">
        <v>23.1</v>
      </c>
      <c r="R183">
        <v>31.3</v>
      </c>
      <c r="S183">
        <v>33.700000000000003</v>
      </c>
    </row>
    <row r="184" spans="1:21" x14ac:dyDescent="0.25">
      <c r="A184" t="s">
        <v>611</v>
      </c>
      <c r="G184">
        <v>34.700000000000003</v>
      </c>
      <c r="H184">
        <v>37.53</v>
      </c>
      <c r="I184">
        <v>41.34</v>
      </c>
      <c r="J184">
        <v>44.22</v>
      </c>
      <c r="K184">
        <v>45.68</v>
      </c>
      <c r="L184">
        <v>55.85</v>
      </c>
      <c r="M184">
        <v>61.93</v>
      </c>
      <c r="N184">
        <v>58.86</v>
      </c>
      <c r="O184">
        <v>36.31</v>
      </c>
      <c r="P184">
        <v>37.74</v>
      </c>
      <c r="Q184">
        <v>50.45</v>
      </c>
    </row>
    <row r="185" spans="1:21" x14ac:dyDescent="0.25">
      <c r="A185" t="s">
        <v>611</v>
      </c>
      <c r="F185">
        <v>31.05</v>
      </c>
      <c r="G185">
        <v>47.65</v>
      </c>
      <c r="H185">
        <v>43.07</v>
      </c>
      <c r="I185">
        <v>53.92</v>
      </c>
      <c r="J185">
        <v>53.13</v>
      </c>
      <c r="K185">
        <v>55.6</v>
      </c>
      <c r="L185">
        <v>69.88</v>
      </c>
      <c r="M185">
        <v>69.44</v>
      </c>
      <c r="N185">
        <v>64.400000000000006</v>
      </c>
      <c r="O185">
        <v>59.27</v>
      </c>
      <c r="P185">
        <v>68.27</v>
      </c>
      <c r="Q185">
        <v>75.86</v>
      </c>
      <c r="R185">
        <v>78.25</v>
      </c>
      <c r="S185">
        <v>81.25</v>
      </c>
      <c r="T185">
        <v>84.25</v>
      </c>
      <c r="U185">
        <v>87.25</v>
      </c>
    </row>
    <row r="186" spans="1:21" x14ac:dyDescent="0.25">
      <c r="A186" t="s">
        <v>424</v>
      </c>
      <c r="H186">
        <v>2.42</v>
      </c>
      <c r="I186">
        <v>2.65</v>
      </c>
      <c r="J186">
        <v>2.5099999999999998</v>
      </c>
      <c r="K186">
        <v>1.89</v>
      </c>
      <c r="L186">
        <v>2.2599999999999998</v>
      </c>
      <c r="M186">
        <v>3.03</v>
      </c>
      <c r="N186">
        <v>4.1500000000000004</v>
      </c>
      <c r="O186">
        <v>5.76</v>
      </c>
      <c r="P186">
        <v>7.57</v>
      </c>
      <c r="Q186">
        <v>10.15</v>
      </c>
    </row>
    <row r="187" spans="1:21" x14ac:dyDescent="0.25">
      <c r="A187" t="s">
        <v>17</v>
      </c>
    </row>
    <row r="188" spans="1:21" x14ac:dyDescent="0.25">
      <c r="A188" t="s">
        <v>188</v>
      </c>
    </row>
    <row r="189" spans="1:21" x14ac:dyDescent="0.25">
      <c r="A189" t="s">
        <v>189</v>
      </c>
    </row>
    <row r="190" spans="1:21" x14ac:dyDescent="0.25">
      <c r="A190" t="s">
        <v>121</v>
      </c>
      <c r="H190">
        <v>-105.83</v>
      </c>
      <c r="I190">
        <v>-119.37</v>
      </c>
      <c r="J190">
        <v>-260.31</v>
      </c>
      <c r="K190">
        <v>-193.38</v>
      </c>
      <c r="L190">
        <v>-183.95</v>
      </c>
      <c r="M190">
        <v>-78.8</v>
      </c>
      <c r="N190">
        <v>-102.27</v>
      </c>
      <c r="O190">
        <v>-175.47</v>
      </c>
      <c r="P190">
        <v>42.03</v>
      </c>
      <c r="Q190">
        <v>212.29</v>
      </c>
      <c r="R190">
        <v>724.75</v>
      </c>
      <c r="S190" s="2">
        <v>1047.75</v>
      </c>
      <c r="T190" s="2">
        <v>1139.5</v>
      </c>
      <c r="U190" s="2">
        <v>1482</v>
      </c>
    </row>
    <row r="191" spans="1:21" x14ac:dyDescent="0.25">
      <c r="A191" t="s">
        <v>190</v>
      </c>
      <c r="E191">
        <v>8.36</v>
      </c>
      <c r="F191">
        <v>12.17</v>
      </c>
      <c r="G191">
        <v>18.91</v>
      </c>
      <c r="H191">
        <v>29.48</v>
      </c>
      <c r="I191">
        <v>49.39</v>
      </c>
      <c r="J191">
        <v>66.61</v>
      </c>
      <c r="K191">
        <v>102.34</v>
      </c>
      <c r="L191">
        <v>135.82</v>
      </c>
      <c r="M191">
        <v>127.72</v>
      </c>
      <c r="N191">
        <v>189.74</v>
      </c>
      <c r="O191">
        <v>254.08</v>
      </c>
      <c r="P191">
        <v>306.52999999999997</v>
      </c>
      <c r="Q191">
        <v>363.15</v>
      </c>
      <c r="R191">
        <v>440.69</v>
      </c>
      <c r="S191">
        <v>519.6</v>
      </c>
      <c r="T191">
        <v>472.88</v>
      </c>
      <c r="U191">
        <v>508.29</v>
      </c>
    </row>
    <row r="192" spans="1:21" x14ac:dyDescent="0.25">
      <c r="A192" t="s">
        <v>1743</v>
      </c>
      <c r="E192">
        <v>1.6</v>
      </c>
      <c r="F192">
        <v>3.96</v>
      </c>
      <c r="I192">
        <v>17.32</v>
      </c>
      <c r="J192">
        <v>29.27</v>
      </c>
      <c r="K192">
        <v>45.12</v>
      </c>
      <c r="L192">
        <v>61.37</v>
      </c>
      <c r="M192">
        <v>77.819999999999993</v>
      </c>
      <c r="N192">
        <v>101.62</v>
      </c>
      <c r="O192">
        <v>107.53</v>
      </c>
      <c r="P192">
        <v>134.94</v>
      </c>
      <c r="Q192">
        <v>192.57</v>
      </c>
      <c r="R192">
        <v>283.63</v>
      </c>
      <c r="S192">
        <v>336.94</v>
      </c>
      <c r="T192">
        <v>394.34</v>
      </c>
      <c r="U192">
        <v>454.87</v>
      </c>
    </row>
    <row r="193" spans="1:21" x14ac:dyDescent="0.25">
      <c r="A193" t="s">
        <v>67</v>
      </c>
      <c r="E193">
        <v>5.7</v>
      </c>
      <c r="F193">
        <v>2.76</v>
      </c>
      <c r="G193">
        <v>27.35</v>
      </c>
      <c r="H193">
        <v>36.630000000000003</v>
      </c>
      <c r="I193">
        <v>56.33</v>
      </c>
      <c r="J193">
        <v>90.14</v>
      </c>
      <c r="K193">
        <v>202.78</v>
      </c>
      <c r="L193">
        <v>273.99</v>
      </c>
      <c r="M193">
        <v>338.46</v>
      </c>
      <c r="N193">
        <v>451.45</v>
      </c>
      <c r="O193">
        <v>556.92999999999995</v>
      </c>
      <c r="P193">
        <v>631.80999999999995</v>
      </c>
      <c r="Q193">
        <v>753.68</v>
      </c>
      <c r="R193">
        <v>886.33</v>
      </c>
      <c r="S193" s="2">
        <v>1033.73</v>
      </c>
      <c r="T193" s="2">
        <v>1173.29</v>
      </c>
      <c r="U193" s="2">
        <v>1291.3699999999999</v>
      </c>
    </row>
    <row r="194" spans="1:21" x14ac:dyDescent="0.25">
      <c r="A194" t="s">
        <v>1744</v>
      </c>
      <c r="G194">
        <v>7.06</v>
      </c>
      <c r="H194">
        <v>10.82</v>
      </c>
      <c r="I194">
        <v>21.63</v>
      </c>
      <c r="J194">
        <v>46.17</v>
      </c>
      <c r="K194">
        <v>4.66</v>
      </c>
      <c r="L194">
        <v>4.5199999999999996</v>
      </c>
      <c r="M194">
        <v>3.96</v>
      </c>
      <c r="N194">
        <v>7.07</v>
      </c>
      <c r="O194">
        <v>5.61</v>
      </c>
      <c r="P194">
        <v>4.4000000000000004</v>
      </c>
      <c r="Q194">
        <v>6.1</v>
      </c>
      <c r="S194">
        <v>-0.55000000000000004</v>
      </c>
    </row>
    <row r="195" spans="1:21" x14ac:dyDescent="0.25">
      <c r="A195" t="s">
        <v>546</v>
      </c>
      <c r="E195">
        <v>-0.53</v>
      </c>
      <c r="F195">
        <v>-0.14000000000000001</v>
      </c>
      <c r="G195">
        <v>0.39</v>
      </c>
      <c r="H195">
        <v>0.37</v>
      </c>
      <c r="I195">
        <v>-6.15</v>
      </c>
      <c r="J195">
        <v>8.74</v>
      </c>
      <c r="K195">
        <v>-0.14000000000000001</v>
      </c>
      <c r="L195">
        <v>2.2599999999999998</v>
      </c>
      <c r="M195">
        <v>2.11</v>
      </c>
      <c r="N195">
        <v>1.33</v>
      </c>
      <c r="O195">
        <v>-8.68</v>
      </c>
      <c r="P195">
        <v>-9.39</v>
      </c>
      <c r="Q195">
        <v>-6.54</v>
      </c>
      <c r="R195">
        <v>8.32</v>
      </c>
      <c r="S195">
        <v>10.18</v>
      </c>
      <c r="T195">
        <v>12.27</v>
      </c>
      <c r="U195">
        <v>14.58</v>
      </c>
    </row>
    <row r="196" spans="1:21" x14ac:dyDescent="0.25">
      <c r="A196" t="s">
        <v>1745</v>
      </c>
      <c r="E196">
        <v>0</v>
      </c>
      <c r="F196">
        <v>0</v>
      </c>
      <c r="G196">
        <v>1.08</v>
      </c>
      <c r="H196">
        <v>2.4900000000000002</v>
      </c>
      <c r="I196">
        <v>3.37</v>
      </c>
      <c r="J196">
        <v>3.8</v>
      </c>
      <c r="K196">
        <v>4.83</v>
      </c>
      <c r="L196">
        <v>13.64</v>
      </c>
      <c r="M196">
        <v>10.039999999999999</v>
      </c>
      <c r="N196">
        <v>14.99</v>
      </c>
      <c r="O196">
        <v>7.33</v>
      </c>
      <c r="P196">
        <v>8.0299999999999994</v>
      </c>
      <c r="Q196">
        <v>15.6</v>
      </c>
    </row>
    <row r="197" spans="1:21" x14ac:dyDescent="0.25">
      <c r="A197" t="s">
        <v>338</v>
      </c>
    </row>
    <row r="198" spans="1:21" x14ac:dyDescent="0.25">
      <c r="A198" t="s">
        <v>142</v>
      </c>
      <c r="E198">
        <v>-5.01</v>
      </c>
      <c r="F198">
        <v>-8.98</v>
      </c>
      <c r="G198">
        <v>-12.24</v>
      </c>
      <c r="H198">
        <v>-20.07</v>
      </c>
      <c r="I198">
        <v>-36.32</v>
      </c>
      <c r="J198">
        <v>-55.41</v>
      </c>
      <c r="K198">
        <v>-67.94</v>
      </c>
      <c r="L198">
        <v>-101.47</v>
      </c>
      <c r="M198">
        <v>-116.8</v>
      </c>
      <c r="N198">
        <v>-148.91</v>
      </c>
      <c r="O198">
        <v>-143.47</v>
      </c>
      <c r="P198">
        <v>-154.46</v>
      </c>
      <c r="Q198">
        <v>-172.64</v>
      </c>
      <c r="R198">
        <v>-78.19</v>
      </c>
      <c r="S198">
        <v>-76.16</v>
      </c>
      <c r="T198">
        <v>-60.15</v>
      </c>
      <c r="U198">
        <v>-67.97</v>
      </c>
    </row>
    <row r="199" spans="1:21" x14ac:dyDescent="0.25">
      <c r="A199" t="s">
        <v>1746</v>
      </c>
      <c r="E199">
        <v>-6.68</v>
      </c>
      <c r="F199">
        <v>-2.0699999999999998</v>
      </c>
      <c r="G199">
        <v>-14.76</v>
      </c>
      <c r="H199">
        <v>-11.2</v>
      </c>
      <c r="I199">
        <v>-33</v>
      </c>
      <c r="J199">
        <v>-35.85</v>
      </c>
      <c r="K199">
        <v>-56.2</v>
      </c>
      <c r="L199">
        <v>-113.36</v>
      </c>
      <c r="M199">
        <v>-78.52</v>
      </c>
      <c r="N199">
        <v>-80.599999999999994</v>
      </c>
      <c r="O199">
        <v>-102.74</v>
      </c>
      <c r="P199">
        <v>-192.46</v>
      </c>
      <c r="Q199">
        <v>-156.77000000000001</v>
      </c>
      <c r="R199">
        <v>-254.17</v>
      </c>
      <c r="S199">
        <v>-240.54</v>
      </c>
      <c r="T199">
        <v>-393.49</v>
      </c>
      <c r="U199">
        <v>-447.14</v>
      </c>
    </row>
    <row r="200" spans="1:21" x14ac:dyDescent="0.25">
      <c r="A200" t="s">
        <v>1747</v>
      </c>
      <c r="E200">
        <v>-0.78</v>
      </c>
      <c r="F200">
        <v>0.94</v>
      </c>
      <c r="G200">
        <v>-5.94</v>
      </c>
      <c r="H200">
        <v>-7.62</v>
      </c>
      <c r="I200">
        <v>-11.63</v>
      </c>
      <c r="J200">
        <v>-2.4</v>
      </c>
      <c r="K200">
        <v>-7.7</v>
      </c>
      <c r="L200">
        <v>-22.13</v>
      </c>
      <c r="M200">
        <v>-38.229999999999997</v>
      </c>
      <c r="N200">
        <v>-80</v>
      </c>
      <c r="O200">
        <v>-74.22</v>
      </c>
      <c r="P200">
        <v>-68.180000000000007</v>
      </c>
      <c r="Q200">
        <v>-66.47</v>
      </c>
      <c r="R200">
        <v>-69.41</v>
      </c>
      <c r="S200">
        <v>-68.319999999999993</v>
      </c>
      <c r="T200">
        <v>-158.94999999999999</v>
      </c>
      <c r="U200">
        <v>-276.94</v>
      </c>
    </row>
    <row r="201" spans="1:21" x14ac:dyDescent="0.25">
      <c r="A201" t="s">
        <v>1748</v>
      </c>
      <c r="E201">
        <v>-3.02</v>
      </c>
      <c r="F201">
        <v>5.5</v>
      </c>
      <c r="G201">
        <v>4.9000000000000004</v>
      </c>
      <c r="H201">
        <v>14.61</v>
      </c>
      <c r="I201">
        <v>25.19</v>
      </c>
      <c r="J201">
        <v>64.39</v>
      </c>
      <c r="K201">
        <v>102.2</v>
      </c>
      <c r="L201">
        <v>134.47</v>
      </c>
      <c r="M201">
        <v>135.01</v>
      </c>
      <c r="N201">
        <v>223.82</v>
      </c>
      <c r="O201">
        <v>269.44</v>
      </c>
      <c r="P201">
        <v>287.89999999999998</v>
      </c>
      <c r="Q201">
        <v>360.13</v>
      </c>
      <c r="R201">
        <v>436.22</v>
      </c>
      <c r="S201">
        <v>264.83999999999997</v>
      </c>
      <c r="T201">
        <v>383.79</v>
      </c>
      <c r="U201">
        <v>424.8</v>
      </c>
    </row>
    <row r="202" spans="1:21" x14ac:dyDescent="0.25">
      <c r="A202" t="s">
        <v>1749</v>
      </c>
      <c r="E202">
        <v>-0.64</v>
      </c>
      <c r="F202">
        <v>-3.08</v>
      </c>
      <c r="G202">
        <v>2.16</v>
      </c>
      <c r="H202">
        <v>-0.51</v>
      </c>
      <c r="I202">
        <v>-1.48</v>
      </c>
      <c r="J202">
        <v>-2.54</v>
      </c>
      <c r="K202">
        <v>-2.21</v>
      </c>
      <c r="L202">
        <v>-2.75</v>
      </c>
      <c r="M202">
        <v>-5.53</v>
      </c>
      <c r="N202">
        <v>-4.51</v>
      </c>
      <c r="O202">
        <v>-6.43</v>
      </c>
      <c r="P202">
        <v>-5.57</v>
      </c>
      <c r="Q202">
        <v>-8.91</v>
      </c>
      <c r="R202">
        <v>-16.440000000000001</v>
      </c>
      <c r="S202">
        <v>-10.29</v>
      </c>
      <c r="T202">
        <v>-7.13</v>
      </c>
      <c r="U202">
        <v>-8.06</v>
      </c>
    </row>
    <row r="203" spans="1:21" x14ac:dyDescent="0.25">
      <c r="A203" t="s">
        <v>1750</v>
      </c>
      <c r="E203">
        <v>1.25</v>
      </c>
      <c r="F203">
        <v>-0.96</v>
      </c>
      <c r="G203">
        <v>4.3899999999999997</v>
      </c>
      <c r="H203">
        <v>-1.33</v>
      </c>
      <c r="I203">
        <v>1.69</v>
      </c>
      <c r="J203">
        <v>2.46</v>
      </c>
      <c r="K203">
        <v>-9.61</v>
      </c>
      <c r="L203">
        <v>11.78</v>
      </c>
      <c r="M203">
        <v>18.63</v>
      </c>
      <c r="N203">
        <v>8.86</v>
      </c>
      <c r="O203">
        <v>-3.4</v>
      </c>
      <c r="P203">
        <v>33.1</v>
      </c>
      <c r="Q203">
        <v>29.69</v>
      </c>
      <c r="R203">
        <v>43.03</v>
      </c>
      <c r="S203">
        <v>72.88</v>
      </c>
      <c r="T203">
        <v>52.97</v>
      </c>
      <c r="U203">
        <v>56.18</v>
      </c>
    </row>
    <row r="204" spans="1:21" x14ac:dyDescent="0.25">
      <c r="A204" t="s">
        <v>1228</v>
      </c>
      <c r="E204">
        <v>2.77</v>
      </c>
      <c r="F204">
        <v>3.98</v>
      </c>
      <c r="G204">
        <v>6.81</v>
      </c>
      <c r="H204">
        <v>12.33</v>
      </c>
      <c r="I204">
        <v>17.079999999999998</v>
      </c>
      <c r="J204">
        <v>58.9</v>
      </c>
      <c r="K204">
        <v>-5.36</v>
      </c>
      <c r="L204">
        <v>25.79</v>
      </c>
      <c r="M204">
        <v>9.9</v>
      </c>
      <c r="N204">
        <v>15.42</v>
      </c>
      <c r="O204">
        <v>75.61</v>
      </c>
      <c r="P204">
        <v>19.43</v>
      </c>
      <c r="Q204">
        <v>52.64</v>
      </c>
      <c r="R204">
        <v>179.03</v>
      </c>
      <c r="S204">
        <v>179.74</v>
      </c>
      <c r="T204">
        <v>320.7</v>
      </c>
      <c r="U204">
        <v>388.79</v>
      </c>
    </row>
    <row r="205" spans="1:21" x14ac:dyDescent="0.25">
      <c r="A205" t="s">
        <v>202</v>
      </c>
      <c r="I205">
        <v>-20.72</v>
      </c>
      <c r="J205">
        <v>-23.07</v>
      </c>
      <c r="K205">
        <v>-31.69</v>
      </c>
      <c r="L205">
        <v>-40.049999999999997</v>
      </c>
      <c r="M205">
        <v>-55.25</v>
      </c>
      <c r="N205">
        <v>-63.76</v>
      </c>
      <c r="O205">
        <v>-54.5</v>
      </c>
      <c r="P205">
        <v>-35.14</v>
      </c>
      <c r="Q205">
        <v>-36.840000000000003</v>
      </c>
      <c r="R205">
        <v>-48.84</v>
      </c>
      <c r="S205">
        <v>-31.77</v>
      </c>
      <c r="T205">
        <v>31.66</v>
      </c>
      <c r="U205">
        <v>33.97</v>
      </c>
    </row>
    <row r="206" spans="1:21" x14ac:dyDescent="0.25">
      <c r="A206" t="s">
        <v>514</v>
      </c>
      <c r="E206">
        <v>-0.19</v>
      </c>
      <c r="F206">
        <v>-1.26</v>
      </c>
      <c r="G206">
        <v>-0.35</v>
      </c>
      <c r="H206">
        <v>-1.58</v>
      </c>
      <c r="I206">
        <v>-2.27</v>
      </c>
      <c r="J206">
        <v>1.53</v>
      </c>
      <c r="K206">
        <v>-0.54</v>
      </c>
      <c r="L206">
        <v>1.02</v>
      </c>
      <c r="M206">
        <v>2.17</v>
      </c>
      <c r="N206">
        <v>6.79</v>
      </c>
      <c r="O206">
        <v>9.76</v>
      </c>
      <c r="P206">
        <v>-10.38</v>
      </c>
      <c r="Q206">
        <v>-10.48</v>
      </c>
      <c r="R206">
        <v>-11.56</v>
      </c>
      <c r="S206">
        <v>2.58</v>
      </c>
      <c r="T206">
        <v>17.57</v>
      </c>
      <c r="U206">
        <v>19.88</v>
      </c>
    </row>
    <row r="207" spans="1:21" x14ac:dyDescent="0.25">
      <c r="A207" t="s">
        <v>166</v>
      </c>
      <c r="E207">
        <v>0.56000000000000005</v>
      </c>
      <c r="F207">
        <v>0.69</v>
      </c>
      <c r="G207">
        <v>3.43</v>
      </c>
      <c r="H207">
        <v>2.46</v>
      </c>
      <c r="I207">
        <v>0.39</v>
      </c>
      <c r="J207">
        <v>-4.63</v>
      </c>
      <c r="K207">
        <v>-0.25</v>
      </c>
      <c r="L207">
        <v>1.96</v>
      </c>
      <c r="M207">
        <v>0.96</v>
      </c>
      <c r="N207">
        <v>-1.1299999999999999</v>
      </c>
      <c r="O207">
        <v>-1.71</v>
      </c>
      <c r="P207">
        <v>6.03</v>
      </c>
      <c r="Q207">
        <v>11.18</v>
      </c>
      <c r="R207">
        <v>8.48</v>
      </c>
      <c r="S207">
        <v>11.16</v>
      </c>
    </row>
    <row r="208" spans="1:21" x14ac:dyDescent="0.25">
      <c r="A208" t="s">
        <v>204</v>
      </c>
      <c r="E208">
        <v>-13.32</v>
      </c>
      <c r="F208">
        <v>3.17</v>
      </c>
      <c r="G208">
        <v>-43.28</v>
      </c>
      <c r="H208">
        <v>-38.92</v>
      </c>
      <c r="I208">
        <v>-17.13</v>
      </c>
      <c r="J208">
        <v>64.650000000000006</v>
      </c>
      <c r="K208">
        <v>123.6</v>
      </c>
      <c r="L208">
        <v>254.41</v>
      </c>
      <c r="M208">
        <v>380.43</v>
      </c>
      <c r="N208">
        <v>603.11</v>
      </c>
      <c r="O208">
        <v>767.97</v>
      </c>
      <c r="P208" s="2">
        <v>1084.31</v>
      </c>
      <c r="Q208" s="2">
        <v>1492.96</v>
      </c>
      <c r="R208" s="2">
        <v>2212.1999999999998</v>
      </c>
      <c r="S208" s="2">
        <v>2625.79</v>
      </c>
      <c r="T208" s="2">
        <v>3114.08</v>
      </c>
      <c r="U208" s="2">
        <v>3623.98</v>
      </c>
    </row>
    <row r="209" spans="1:21" x14ac:dyDescent="0.25">
      <c r="A209" t="s">
        <v>17</v>
      </c>
    </row>
    <row r="210" spans="1:21" x14ac:dyDescent="0.25">
      <c r="A210" t="s">
        <v>205</v>
      </c>
    </row>
    <row r="211" spans="1:21" x14ac:dyDescent="0.25">
      <c r="A211" t="s">
        <v>206</v>
      </c>
      <c r="E211">
        <v>-15.9</v>
      </c>
      <c r="F211">
        <v>-19.03</v>
      </c>
      <c r="G211">
        <v>-34.840000000000003</v>
      </c>
      <c r="H211">
        <v>-57.28</v>
      </c>
      <c r="I211">
        <v>-74.959999999999994</v>
      </c>
      <c r="J211">
        <v>-107.74</v>
      </c>
      <c r="K211">
        <v>-163.36000000000001</v>
      </c>
      <c r="L211">
        <v>-134.94</v>
      </c>
      <c r="M211">
        <v>-213.51</v>
      </c>
      <c r="N211">
        <v>-342.55</v>
      </c>
      <c r="O211">
        <v>-396.67</v>
      </c>
      <c r="P211">
        <v>-520.27</v>
      </c>
      <c r="Q211">
        <v>-596.29</v>
      </c>
      <c r="R211">
        <v>-763.16</v>
      </c>
      <c r="S211">
        <v>-891.55</v>
      </c>
      <c r="T211" s="2">
        <v>-1023.43</v>
      </c>
      <c r="U211" s="2">
        <v>-1165.3499999999999</v>
      </c>
    </row>
    <row r="212" spans="1:21" x14ac:dyDescent="0.25">
      <c r="A212" t="s">
        <v>1751</v>
      </c>
      <c r="E212">
        <v>-15.9</v>
      </c>
      <c r="F212">
        <v>-19.03</v>
      </c>
      <c r="G212">
        <v>-25.47</v>
      </c>
      <c r="H212">
        <v>-43.29</v>
      </c>
      <c r="I212">
        <v>-56.38</v>
      </c>
      <c r="J212">
        <v>-92.99</v>
      </c>
      <c r="K212">
        <v>-143.61000000000001</v>
      </c>
      <c r="L212">
        <v>-114.4</v>
      </c>
      <c r="M212">
        <v>-185.04</v>
      </c>
      <c r="N212">
        <v>-315.62</v>
      </c>
      <c r="O212">
        <v>-374.72</v>
      </c>
      <c r="P212">
        <v>-473.44</v>
      </c>
      <c r="Q212">
        <v>-522.62</v>
      </c>
      <c r="R212">
        <v>-561.48</v>
      </c>
      <c r="S212">
        <v>-674.15</v>
      </c>
      <c r="T212">
        <v>-800.69</v>
      </c>
      <c r="U212">
        <v>-898.46</v>
      </c>
    </row>
    <row r="213" spans="1:21" x14ac:dyDescent="0.25">
      <c r="A213" t="s">
        <v>1752</v>
      </c>
      <c r="G213">
        <v>-9.3699999999999992</v>
      </c>
      <c r="H213">
        <v>-13.99</v>
      </c>
      <c r="I213">
        <v>-18.59</v>
      </c>
      <c r="J213">
        <v>-14.75</v>
      </c>
      <c r="K213">
        <v>-19.760000000000002</v>
      </c>
      <c r="L213">
        <v>-20.55</v>
      </c>
      <c r="M213">
        <v>-28.48</v>
      </c>
      <c r="N213">
        <v>-26.94</v>
      </c>
      <c r="O213">
        <v>-42.16</v>
      </c>
      <c r="P213">
        <v>-48.97</v>
      </c>
      <c r="Q213">
        <v>-57.33</v>
      </c>
      <c r="R213">
        <v>-64.44</v>
      </c>
      <c r="S213">
        <v>-74.17</v>
      </c>
      <c r="T213">
        <v>-77.56</v>
      </c>
      <c r="U213">
        <v>-87.31</v>
      </c>
    </row>
    <row r="214" spans="1:21" x14ac:dyDescent="0.25">
      <c r="A214" t="s">
        <v>1753</v>
      </c>
      <c r="E214">
        <v>1.38</v>
      </c>
      <c r="F214">
        <v>0.25</v>
      </c>
      <c r="G214">
        <v>0</v>
      </c>
      <c r="H214">
        <v>0</v>
      </c>
      <c r="I214">
        <v>13.94</v>
      </c>
      <c r="J214">
        <v>5.61</v>
      </c>
      <c r="K214">
        <v>88.19</v>
      </c>
      <c r="L214">
        <v>6.08</v>
      </c>
      <c r="M214">
        <v>37.99</v>
      </c>
      <c r="N214">
        <v>50.88</v>
      </c>
      <c r="O214">
        <v>75.930000000000007</v>
      </c>
      <c r="P214">
        <v>10</v>
      </c>
    </row>
    <row r="215" spans="1:21" x14ac:dyDescent="0.25">
      <c r="A215" t="s">
        <v>211</v>
      </c>
      <c r="E215">
        <v>-1.38</v>
      </c>
      <c r="F215">
        <v>-0.25</v>
      </c>
      <c r="G215">
        <v>0</v>
      </c>
      <c r="H215">
        <v>0</v>
      </c>
      <c r="I215">
        <v>-13.94</v>
      </c>
      <c r="J215">
        <v>-5.61</v>
      </c>
      <c r="K215">
        <v>-88.19</v>
      </c>
      <c r="L215">
        <v>-6.08</v>
      </c>
      <c r="M215">
        <v>-37.99</v>
      </c>
      <c r="N215">
        <v>-50.88</v>
      </c>
      <c r="O215">
        <v>-77.41</v>
      </c>
      <c r="P215">
        <v>-27.65</v>
      </c>
      <c r="Q215">
        <v>0</v>
      </c>
    </row>
    <row r="216" spans="1:21" x14ac:dyDescent="0.25">
      <c r="A216" t="s">
        <v>920</v>
      </c>
      <c r="G216">
        <v>-145.27000000000001</v>
      </c>
      <c r="H216">
        <v>-537.38</v>
      </c>
      <c r="I216" s="2">
        <v>-1267.02</v>
      </c>
      <c r="J216" s="2">
        <v>-1589.27</v>
      </c>
      <c r="K216" s="2">
        <v>-1132.95</v>
      </c>
      <c r="L216" s="2">
        <v>-1877.51</v>
      </c>
      <c r="M216" s="2">
        <v>-1572.11</v>
      </c>
      <c r="N216" s="2">
        <v>-3537.09</v>
      </c>
      <c r="O216">
        <v>-921.91</v>
      </c>
      <c r="P216">
        <v>-314.70999999999998</v>
      </c>
      <c r="Q216">
        <v>-342.56</v>
      </c>
      <c r="R216">
        <v>-0.92</v>
      </c>
      <c r="S216">
        <v>0.72</v>
      </c>
      <c r="T216">
        <v>2.3199999999999998</v>
      </c>
      <c r="U216">
        <v>3.91</v>
      </c>
    </row>
    <row r="217" spans="1:21" x14ac:dyDescent="0.25">
      <c r="A217" t="s">
        <v>921</v>
      </c>
      <c r="G217">
        <v>59.25</v>
      </c>
      <c r="H217">
        <v>176.98</v>
      </c>
      <c r="I217">
        <v>840.25</v>
      </c>
      <c r="J217">
        <v>993.23</v>
      </c>
      <c r="K217" s="2">
        <v>1148.77</v>
      </c>
      <c r="L217" s="2">
        <v>1832.26</v>
      </c>
      <c r="M217" s="2">
        <v>1493.36</v>
      </c>
      <c r="N217" s="2">
        <v>2121.9899999999998</v>
      </c>
      <c r="O217" s="2">
        <v>1563.54</v>
      </c>
      <c r="P217">
        <v>501.03</v>
      </c>
      <c r="Q217">
        <v>47.76</v>
      </c>
      <c r="R217">
        <v>32.799999999999997</v>
      </c>
      <c r="S217">
        <v>-25.87</v>
      </c>
      <c r="T217">
        <v>-82.79</v>
      </c>
      <c r="U217">
        <v>-139.78</v>
      </c>
    </row>
    <row r="218" spans="1:21" x14ac:dyDescent="0.25">
      <c r="A218" t="s">
        <v>346</v>
      </c>
      <c r="E218">
        <v>0.01</v>
      </c>
      <c r="F218">
        <v>0.03</v>
      </c>
      <c r="G218">
        <v>0.06</v>
      </c>
      <c r="H218">
        <v>0.04</v>
      </c>
      <c r="I218">
        <v>0.4</v>
      </c>
      <c r="J218">
        <v>0.05</v>
      </c>
      <c r="K218">
        <v>0.04</v>
      </c>
      <c r="L218">
        <v>7.0000000000000007E-2</v>
      </c>
      <c r="M218">
        <v>0.04</v>
      </c>
      <c r="N218">
        <v>1.83</v>
      </c>
      <c r="O218">
        <v>1.74</v>
      </c>
      <c r="P218">
        <v>4.3499999999999996</v>
      </c>
      <c r="Q218">
        <v>4.3499999999999996</v>
      </c>
    </row>
    <row r="219" spans="1:21" x14ac:dyDescent="0.25">
      <c r="A219" t="s">
        <v>212</v>
      </c>
      <c r="E219">
        <v>4.68</v>
      </c>
      <c r="F219">
        <v>32.770000000000003</v>
      </c>
      <c r="G219">
        <v>-85.96</v>
      </c>
      <c r="H219">
        <v>-360.36</v>
      </c>
      <c r="I219">
        <v>-426.37</v>
      </c>
      <c r="J219">
        <v>-595.98</v>
      </c>
      <c r="K219">
        <v>15.86</v>
      </c>
      <c r="L219">
        <v>-45.18</v>
      </c>
      <c r="M219">
        <v>-78.72</v>
      </c>
      <c r="N219" s="2">
        <v>-1413.26</v>
      </c>
      <c r="O219">
        <v>903.02</v>
      </c>
      <c r="P219">
        <v>-50</v>
      </c>
      <c r="Q219">
        <v>-100</v>
      </c>
    </row>
    <row r="220" spans="1:21" x14ac:dyDescent="0.25">
      <c r="A220" t="s">
        <v>213</v>
      </c>
      <c r="E220">
        <v>-15.26</v>
      </c>
      <c r="F220">
        <v>9.5399999999999991</v>
      </c>
      <c r="G220">
        <v>-120.8</v>
      </c>
      <c r="H220">
        <v>-417.64</v>
      </c>
      <c r="I220">
        <v>-515.27</v>
      </c>
      <c r="J220">
        <v>-709.32</v>
      </c>
      <c r="K220">
        <v>-235.7</v>
      </c>
      <c r="L220">
        <v>-186.2</v>
      </c>
      <c r="M220">
        <v>-330.22</v>
      </c>
      <c r="N220" s="2">
        <v>-1806.7</v>
      </c>
      <c r="O220">
        <v>404.96</v>
      </c>
      <c r="P220">
        <v>-503.85</v>
      </c>
      <c r="Q220">
        <v>-648.11</v>
      </c>
      <c r="R220">
        <v>-647.45000000000005</v>
      </c>
      <c r="S220">
        <v>-786.08</v>
      </c>
      <c r="T220">
        <v>-918.48</v>
      </c>
      <c r="U220" s="2">
        <v>-1053.7</v>
      </c>
    </row>
    <row r="221" spans="1:21" x14ac:dyDescent="0.25">
      <c r="A221" t="s">
        <v>17</v>
      </c>
    </row>
    <row r="222" spans="1:21" x14ac:dyDescent="0.25">
      <c r="A222" t="s">
        <v>214</v>
      </c>
    </row>
    <row r="223" spans="1:21" x14ac:dyDescent="0.25">
      <c r="A223" t="s">
        <v>1754</v>
      </c>
      <c r="E223">
        <v>-0.42</v>
      </c>
      <c r="F223">
        <v>-2.89</v>
      </c>
      <c r="G223">
        <v>-0.23</v>
      </c>
      <c r="H223">
        <v>-0.19</v>
      </c>
      <c r="I223">
        <v>-67.53</v>
      </c>
      <c r="J223">
        <v>-456.94</v>
      </c>
      <c r="K223">
        <v>-16.57</v>
      </c>
      <c r="L223">
        <v>-207.65</v>
      </c>
      <c r="M223">
        <v>0</v>
      </c>
      <c r="N223" s="2">
        <v>1716.6</v>
      </c>
      <c r="O223">
        <v>136.84</v>
      </c>
      <c r="P223">
        <v>396.15</v>
      </c>
      <c r="Q223">
        <v>990.37</v>
      </c>
      <c r="R223" s="2">
        <v>1975</v>
      </c>
    </row>
    <row r="224" spans="1:21" x14ac:dyDescent="0.25">
      <c r="A224" t="s">
        <v>1755</v>
      </c>
      <c r="E224">
        <v>0</v>
      </c>
      <c r="F224">
        <v>0</v>
      </c>
      <c r="G224">
        <v>0</v>
      </c>
      <c r="H224">
        <v>-5.27</v>
      </c>
      <c r="I224">
        <v>-8.48</v>
      </c>
      <c r="J224">
        <v>-5.82</v>
      </c>
      <c r="K224">
        <v>-2.48</v>
      </c>
      <c r="L224">
        <v>-7.95</v>
      </c>
      <c r="M224">
        <v>-1</v>
      </c>
      <c r="N224">
        <v>-77.260000000000005</v>
      </c>
      <c r="O224">
        <v>-32.979999999999997</v>
      </c>
      <c r="P224">
        <v>-24.4</v>
      </c>
      <c r="Q224">
        <v>-57.61</v>
      </c>
    </row>
    <row r="225" spans="1:21" x14ac:dyDescent="0.25">
      <c r="A225" t="s">
        <v>216</v>
      </c>
      <c r="E225">
        <v>0.86</v>
      </c>
      <c r="F225">
        <v>2.76</v>
      </c>
      <c r="G225">
        <v>18.940000000000001</v>
      </c>
      <c r="H225">
        <v>5.97</v>
      </c>
      <c r="I225">
        <v>7.7</v>
      </c>
      <c r="J225">
        <v>21.5</v>
      </c>
      <c r="K225">
        <v>10.11</v>
      </c>
      <c r="L225">
        <v>14.85</v>
      </c>
      <c r="M225">
        <v>12.91</v>
      </c>
      <c r="N225">
        <v>33.119999999999997</v>
      </c>
    </row>
    <row r="226" spans="1:21" x14ac:dyDescent="0.25">
      <c r="A226" t="s">
        <v>215</v>
      </c>
      <c r="H226">
        <v>570.54</v>
      </c>
      <c r="I226">
        <v>585.91999999999996</v>
      </c>
      <c r="J226" s="2">
        <v>1308.73</v>
      </c>
      <c r="K226">
        <v>15.29</v>
      </c>
      <c r="L226">
        <v>19.079999999999998</v>
      </c>
      <c r="M226">
        <v>19.8</v>
      </c>
      <c r="N226">
        <v>25.44</v>
      </c>
      <c r="O226">
        <v>23.3</v>
      </c>
      <c r="P226">
        <v>32.11</v>
      </c>
      <c r="Q226">
        <v>-145.52000000000001</v>
      </c>
      <c r="R226">
        <v>-442.13</v>
      </c>
      <c r="S226">
        <v>-541.11</v>
      </c>
      <c r="T226">
        <v>-652.21</v>
      </c>
      <c r="U226">
        <v>-774.95</v>
      </c>
    </row>
    <row r="227" spans="1:21" x14ac:dyDescent="0.25">
      <c r="A227" t="s">
        <v>675</v>
      </c>
      <c r="E227">
        <v>-0.02</v>
      </c>
      <c r="F227">
        <v>-0.02</v>
      </c>
      <c r="G227">
        <v>-7.0000000000000007E-2</v>
      </c>
      <c r="H227">
        <v>-0.28000000000000003</v>
      </c>
      <c r="I227">
        <v>-0.16</v>
      </c>
      <c r="J227">
        <v>-0.19</v>
      </c>
      <c r="K227">
        <v>0</v>
      </c>
      <c r="L227">
        <v>-0.03</v>
      </c>
      <c r="M227">
        <v>0</v>
      </c>
      <c r="N227">
        <v>0</v>
      </c>
      <c r="O227">
        <v>0.02</v>
      </c>
      <c r="P227">
        <v>0.02</v>
      </c>
      <c r="Q227">
        <v>791.07</v>
      </c>
      <c r="R227" s="2">
        <v>1968.61</v>
      </c>
      <c r="S227" s="2">
        <v>2409.3200000000002</v>
      </c>
      <c r="T227" s="2">
        <v>2903.98</v>
      </c>
      <c r="U227" s="2">
        <v>3450.48</v>
      </c>
    </row>
    <row r="228" spans="1:21" x14ac:dyDescent="0.25">
      <c r="A228" t="s">
        <v>1756</v>
      </c>
      <c r="L228">
        <v>-10.48</v>
      </c>
      <c r="M228">
        <v>-18.920000000000002</v>
      </c>
      <c r="N228">
        <v>305.83</v>
      </c>
      <c r="O228">
        <v>-3.78</v>
      </c>
    </row>
    <row r="229" spans="1:21" x14ac:dyDescent="0.25">
      <c r="A229" t="s">
        <v>218</v>
      </c>
      <c r="E229">
        <v>0.42</v>
      </c>
      <c r="F229">
        <v>-0.15</v>
      </c>
      <c r="G229">
        <v>168.62</v>
      </c>
      <c r="H229">
        <v>570.77</v>
      </c>
      <c r="I229">
        <v>504.91</v>
      </c>
      <c r="J229">
        <v>847.49</v>
      </c>
      <c r="K229">
        <v>6.35</v>
      </c>
      <c r="L229">
        <v>-192.19</v>
      </c>
      <c r="M229">
        <v>12.79</v>
      </c>
      <c r="N229" s="2">
        <v>2003.73</v>
      </c>
      <c r="O229">
        <v>-81.010000000000005</v>
      </c>
      <c r="P229">
        <v>18.88</v>
      </c>
      <c r="Q229">
        <v>193.59</v>
      </c>
      <c r="R229" s="2">
        <v>1526.48</v>
      </c>
      <c r="S229" s="2">
        <v>1868.2</v>
      </c>
      <c r="T229" s="2">
        <v>2251.7800000000002</v>
      </c>
      <c r="U229" s="2">
        <v>2675.53</v>
      </c>
    </row>
    <row r="230" spans="1:21" x14ac:dyDescent="0.25">
      <c r="A230" t="s">
        <v>17</v>
      </c>
    </row>
    <row r="231" spans="1:21" x14ac:dyDescent="0.25">
      <c r="A231" t="s">
        <v>176</v>
      </c>
    </row>
    <row r="232" spans="1:21" x14ac:dyDescent="0.25">
      <c r="A232" t="s">
        <v>220</v>
      </c>
      <c r="E232">
        <v>-28.16</v>
      </c>
      <c r="F232">
        <v>12.56</v>
      </c>
      <c r="G232">
        <v>4.55</v>
      </c>
      <c r="H232">
        <v>114.21</v>
      </c>
      <c r="I232">
        <v>-27.49</v>
      </c>
      <c r="J232">
        <v>202.81</v>
      </c>
      <c r="K232">
        <v>-105.75</v>
      </c>
      <c r="L232">
        <v>-123.98</v>
      </c>
      <c r="M232">
        <v>62.99</v>
      </c>
      <c r="N232">
        <v>800.14</v>
      </c>
      <c r="O232">
        <v>991.61</v>
      </c>
      <c r="P232">
        <v>596.84</v>
      </c>
      <c r="Q232">
        <v>942</v>
      </c>
      <c r="R232" s="2">
        <v>2073.58</v>
      </c>
      <c r="S232" s="2">
        <v>2462.4499999999998</v>
      </c>
      <c r="T232" s="2">
        <v>3321.48</v>
      </c>
      <c r="U232" s="2">
        <v>3908.04</v>
      </c>
    </row>
    <row r="233" spans="1:21" x14ac:dyDescent="0.25">
      <c r="A233" t="s">
        <v>221</v>
      </c>
      <c r="E233">
        <v>42.48</v>
      </c>
      <c r="F233">
        <v>14.32</v>
      </c>
      <c r="G233">
        <v>26.88</v>
      </c>
      <c r="H233">
        <v>31.43</v>
      </c>
      <c r="I233">
        <v>145.63999999999999</v>
      </c>
      <c r="J233">
        <v>118.15</v>
      </c>
      <c r="K233">
        <v>320.95999999999998</v>
      </c>
      <c r="L233">
        <v>215.2</v>
      </c>
      <c r="M233">
        <v>91.22</v>
      </c>
      <c r="N233">
        <v>154.21</v>
      </c>
      <c r="O233">
        <v>954.48</v>
      </c>
      <c r="P233" s="2">
        <v>1788.6</v>
      </c>
      <c r="Q233" s="2">
        <v>2521.44</v>
      </c>
      <c r="R233" s="2">
        <v>4649.92</v>
      </c>
      <c r="S233" s="2">
        <v>6723.5</v>
      </c>
      <c r="T233" s="2">
        <v>10157.41</v>
      </c>
      <c r="U233" s="2">
        <v>13478.89</v>
      </c>
    </row>
    <row r="234" spans="1:21" x14ac:dyDescent="0.25">
      <c r="A234" t="s">
        <v>222</v>
      </c>
      <c r="E234">
        <v>14.32</v>
      </c>
      <c r="F234">
        <v>26.88</v>
      </c>
      <c r="G234">
        <v>31.43</v>
      </c>
      <c r="H234">
        <v>145.63999999999999</v>
      </c>
      <c r="I234">
        <v>118.15</v>
      </c>
      <c r="J234">
        <v>320.95999999999998</v>
      </c>
      <c r="K234">
        <v>215.2</v>
      </c>
      <c r="L234">
        <v>91.22</v>
      </c>
      <c r="M234">
        <v>154.21</v>
      </c>
      <c r="N234">
        <v>954.36</v>
      </c>
      <c r="O234" s="2">
        <v>1795.89</v>
      </c>
      <c r="P234" s="2">
        <v>2388.83</v>
      </c>
      <c r="Q234" s="2">
        <v>3465.31</v>
      </c>
      <c r="R234" s="2">
        <v>6723.5</v>
      </c>
      <c r="S234" s="2">
        <v>9185.94</v>
      </c>
      <c r="T234" s="2">
        <v>13478.89</v>
      </c>
      <c r="U234" s="2">
        <v>17386.93</v>
      </c>
    </row>
    <row r="235" spans="1:21" x14ac:dyDescent="0.25">
      <c r="A235" t="s">
        <v>178</v>
      </c>
    </row>
    <row r="236" spans="1:21" x14ac:dyDescent="0.25">
      <c r="A236" t="s">
        <v>225</v>
      </c>
      <c r="E236">
        <v>-29.22</v>
      </c>
      <c r="F236">
        <v>-15.86</v>
      </c>
      <c r="G236">
        <v>-78.12</v>
      </c>
      <c r="H236">
        <v>-96.2</v>
      </c>
      <c r="I236">
        <v>-92.09</v>
      </c>
      <c r="J236">
        <v>-43.09</v>
      </c>
      <c r="K236">
        <v>-39.770000000000003</v>
      </c>
      <c r="L236">
        <v>119.46</v>
      </c>
      <c r="M236">
        <v>166.92</v>
      </c>
      <c r="N236">
        <v>260.56</v>
      </c>
      <c r="O236">
        <v>351.05</v>
      </c>
      <c r="P236">
        <v>559.96</v>
      </c>
      <c r="Q236">
        <v>909.29</v>
      </c>
      <c r="R236" s="2">
        <v>1555.14</v>
      </c>
      <c r="S236" s="2">
        <v>1849.11</v>
      </c>
      <c r="T236" s="2">
        <v>2235.84</v>
      </c>
      <c r="U236" s="2">
        <v>2638.21</v>
      </c>
    </row>
    <row r="237" spans="1:21" x14ac:dyDescent="0.25">
      <c r="A237" t="s">
        <v>228</v>
      </c>
      <c r="E237">
        <v>-34.46</v>
      </c>
      <c r="F237">
        <v>-11.76</v>
      </c>
      <c r="G237">
        <v>-40.549999999999997</v>
      </c>
      <c r="H237">
        <v>-33.520000000000003</v>
      </c>
      <c r="I237">
        <v>-21.36</v>
      </c>
      <c r="J237">
        <v>-6.56</v>
      </c>
      <c r="K237">
        <v>-4.08</v>
      </c>
      <c r="L237">
        <v>9.2100000000000009</v>
      </c>
      <c r="M237">
        <v>10</v>
      </c>
      <c r="N237">
        <v>12.02</v>
      </c>
      <c r="O237">
        <v>12.31</v>
      </c>
      <c r="P237">
        <v>15.16</v>
      </c>
      <c r="Q237">
        <v>19.63</v>
      </c>
      <c r="R237">
        <v>27.31</v>
      </c>
      <c r="S237">
        <v>26.99</v>
      </c>
      <c r="T237">
        <v>28.24</v>
      </c>
      <c r="U237">
        <v>28.95</v>
      </c>
    </row>
    <row r="238" spans="1:21" x14ac:dyDescent="0.25">
      <c r="A238" t="s">
        <v>1757</v>
      </c>
      <c r="H238">
        <v>-0.66</v>
      </c>
      <c r="I238">
        <v>-0.31</v>
      </c>
      <c r="J238">
        <v>-0.14000000000000001</v>
      </c>
      <c r="K238">
        <v>-0.12</v>
      </c>
      <c r="L238">
        <v>0.36</v>
      </c>
      <c r="M238">
        <v>0.49</v>
      </c>
      <c r="N238">
        <v>0.75</v>
      </c>
      <c r="O238">
        <v>0.96</v>
      </c>
      <c r="P238">
        <v>1.49</v>
      </c>
      <c r="Q238">
        <v>2.6</v>
      </c>
      <c r="R238">
        <v>4.07</v>
      </c>
      <c r="S238">
        <v>4.8099999999999996</v>
      </c>
      <c r="T238">
        <v>5.71</v>
      </c>
      <c r="U238">
        <v>6.68</v>
      </c>
    </row>
    <row r="239" spans="1:21" x14ac:dyDescent="0.25">
      <c r="A239" t="s">
        <v>229</v>
      </c>
      <c r="E239">
        <v>-15.71</v>
      </c>
      <c r="F239">
        <v>2.35</v>
      </c>
      <c r="G239">
        <v>-22.46</v>
      </c>
      <c r="H239">
        <v>-13.56</v>
      </c>
      <c r="I239">
        <v>-3.97</v>
      </c>
      <c r="J239">
        <v>9.85</v>
      </c>
      <c r="K239">
        <v>12.67</v>
      </c>
      <c r="L239">
        <v>19.62</v>
      </c>
      <c r="M239">
        <v>22.79</v>
      </c>
      <c r="N239">
        <v>27.82</v>
      </c>
      <c r="O239">
        <v>27.45</v>
      </c>
      <c r="P239">
        <v>30.17</v>
      </c>
      <c r="Q239">
        <v>32.26</v>
      </c>
      <c r="R239">
        <v>39.520000000000003</v>
      </c>
      <c r="S239">
        <v>43.08</v>
      </c>
    </row>
    <row r="240" spans="1:21" x14ac:dyDescent="0.25">
      <c r="A240" t="s">
        <v>230</v>
      </c>
      <c r="E240">
        <v>18.75</v>
      </c>
      <c r="F240">
        <v>14.11</v>
      </c>
      <c r="G240">
        <v>18.079999999999998</v>
      </c>
      <c r="H240">
        <v>19.96</v>
      </c>
      <c r="I240">
        <v>17.39</v>
      </c>
      <c r="J240">
        <v>16.41</v>
      </c>
      <c r="K240">
        <v>16.75</v>
      </c>
      <c r="L240">
        <v>10.41</v>
      </c>
      <c r="M240">
        <v>12.79</v>
      </c>
      <c r="N240">
        <v>15.8</v>
      </c>
      <c r="O240">
        <v>13.33</v>
      </c>
      <c r="P240">
        <v>14.12</v>
      </c>
      <c r="Q240">
        <v>12.07</v>
      </c>
      <c r="R240">
        <v>13.2</v>
      </c>
      <c r="S240">
        <v>12.6</v>
      </c>
      <c r="T240">
        <v>12</v>
      </c>
      <c r="U240">
        <v>11.5</v>
      </c>
    </row>
    <row r="241" spans="1:1" x14ac:dyDescent="0.25">
      <c r="A241" t="s">
        <v>17</v>
      </c>
    </row>
    <row r="242" spans="1:1" x14ac:dyDescent="0.25">
      <c r="A242" t="s">
        <v>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9EC9-0560-4502-B89C-6F87D70F8389}">
  <dimension ref="A1:U277"/>
  <sheetViews>
    <sheetView workbookViewId="0">
      <selection sqref="A1:U277"/>
    </sheetView>
  </sheetViews>
  <sheetFormatPr defaultRowHeight="15" x14ac:dyDescent="0.25"/>
  <sheetData>
    <row r="1" spans="1:21" x14ac:dyDescent="0.25">
      <c r="A1" t="s">
        <v>1758</v>
      </c>
    </row>
    <row r="2" spans="1:21" x14ac:dyDescent="0.25">
      <c r="A2" t="s">
        <v>1759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42004</v>
      </c>
      <c r="C4" s="1">
        <v>42369</v>
      </c>
      <c r="D4" s="1">
        <v>42582</v>
      </c>
      <c r="E4" s="1">
        <v>42947</v>
      </c>
      <c r="F4" s="1">
        <v>43312</v>
      </c>
      <c r="G4" s="1">
        <v>43677</v>
      </c>
      <c r="H4" s="1">
        <v>44043</v>
      </c>
      <c r="I4" s="1">
        <v>44408</v>
      </c>
      <c r="J4" s="1">
        <v>44773</v>
      </c>
      <c r="K4" s="1">
        <v>45138</v>
      </c>
      <c r="L4" s="1">
        <v>45504</v>
      </c>
      <c r="M4" s="1">
        <v>45869</v>
      </c>
      <c r="N4" s="1">
        <v>46234</v>
      </c>
      <c r="O4" s="1">
        <v>46599</v>
      </c>
      <c r="P4" s="1">
        <v>46965</v>
      </c>
      <c r="Q4" s="1">
        <v>47330</v>
      </c>
      <c r="R4" s="1">
        <v>47695</v>
      </c>
      <c r="S4" s="1">
        <v>48060</v>
      </c>
      <c r="T4" s="1">
        <v>48426</v>
      </c>
      <c r="U4" s="1">
        <v>48791</v>
      </c>
    </row>
    <row r="5" spans="1:21" x14ac:dyDescent="0.25">
      <c r="A5" t="s">
        <v>14</v>
      </c>
    </row>
    <row r="6" spans="1:21" x14ac:dyDescent="0.25">
      <c r="A6" t="s">
        <v>15</v>
      </c>
      <c r="E6">
        <v>-0.53</v>
      </c>
      <c r="F6">
        <v>-0.23</v>
      </c>
      <c r="G6">
        <v>0.22</v>
      </c>
      <c r="H6">
        <v>0.24</v>
      </c>
      <c r="I6">
        <v>0.52</v>
      </c>
      <c r="J6">
        <v>0.69</v>
      </c>
      <c r="K6">
        <v>1.79</v>
      </c>
      <c r="L6">
        <v>3.19</v>
      </c>
      <c r="M6">
        <v>3.28</v>
      </c>
      <c r="N6">
        <v>4.21</v>
      </c>
      <c r="O6">
        <v>4.8899999999999997</v>
      </c>
      <c r="P6">
        <v>5.6</v>
      </c>
      <c r="Q6">
        <v>6.52</v>
      </c>
      <c r="R6">
        <v>7.98</v>
      </c>
      <c r="S6">
        <v>9.98</v>
      </c>
      <c r="T6">
        <v>10.27</v>
      </c>
      <c r="U6">
        <v>11.66</v>
      </c>
    </row>
    <row r="7" spans="1:21" x14ac:dyDescent="0.25">
      <c r="A7" t="s">
        <v>16</v>
      </c>
      <c r="E7">
        <v>125.72</v>
      </c>
      <c r="F7">
        <v>190.17</v>
      </c>
      <c r="G7">
        <v>302.83999999999997</v>
      </c>
      <c r="H7">
        <v>431.27</v>
      </c>
      <c r="I7">
        <v>673.1</v>
      </c>
      <c r="J7" s="2">
        <v>1090.95</v>
      </c>
      <c r="K7" s="2">
        <v>1616.95</v>
      </c>
      <c r="L7" s="2">
        <v>2167.77</v>
      </c>
      <c r="M7" s="2">
        <v>2673.12</v>
      </c>
      <c r="N7" s="2">
        <v>3352.52</v>
      </c>
      <c r="O7" s="2">
        <v>3926.53</v>
      </c>
      <c r="P7" s="2">
        <v>4574.8100000000004</v>
      </c>
      <c r="Q7" s="2">
        <v>5310.5</v>
      </c>
      <c r="R7" s="2">
        <v>6206</v>
      </c>
      <c r="S7" s="2">
        <v>7101.75</v>
      </c>
      <c r="T7" s="2">
        <v>8042.67</v>
      </c>
      <c r="U7" s="2">
        <v>9032.33</v>
      </c>
    </row>
    <row r="8" spans="1:21" x14ac:dyDescent="0.25">
      <c r="A8" t="s">
        <v>17</v>
      </c>
    </row>
    <row r="9" spans="1:21" x14ac:dyDescent="0.25">
      <c r="A9" t="s">
        <v>43</v>
      </c>
      <c r="B9">
        <v>275</v>
      </c>
      <c r="C9">
        <v>450</v>
      </c>
      <c r="D9">
        <v>600</v>
      </c>
      <c r="E9">
        <v>850</v>
      </c>
      <c r="F9" s="2">
        <v>1050</v>
      </c>
      <c r="G9" s="2">
        <v>1480</v>
      </c>
      <c r="H9" s="2">
        <v>2020</v>
      </c>
      <c r="I9" s="2">
        <v>3153</v>
      </c>
      <c r="J9" s="2">
        <v>4975</v>
      </c>
      <c r="K9" s="2">
        <v>5962</v>
      </c>
      <c r="L9" s="2">
        <v>7348</v>
      </c>
      <c r="M9" s="2">
        <v>7923</v>
      </c>
      <c r="N9" s="2">
        <v>8700</v>
      </c>
      <c r="O9" s="2">
        <v>11175</v>
      </c>
      <c r="P9" s="2">
        <v>12852</v>
      </c>
    </row>
    <row r="10" spans="1:21" x14ac:dyDescent="0.25">
      <c r="A10" t="s">
        <v>24</v>
      </c>
      <c r="E10">
        <v>156.41999999999999</v>
      </c>
      <c r="F10">
        <v>257.58</v>
      </c>
      <c r="G10">
        <v>390.02</v>
      </c>
      <c r="H10">
        <v>549.83000000000004</v>
      </c>
      <c r="I10">
        <v>933.93</v>
      </c>
      <c r="J10" s="2">
        <v>1481.47</v>
      </c>
      <c r="K10" s="2">
        <v>2035.51</v>
      </c>
      <c r="L10" s="2">
        <v>2623.07</v>
      </c>
      <c r="M10" s="2">
        <v>3246.17</v>
      </c>
      <c r="O10" s="2">
        <v>4468.3999999999996</v>
      </c>
      <c r="P10" s="2">
        <v>5147.41</v>
      </c>
      <c r="Q10" s="2">
        <v>6019.53</v>
      </c>
      <c r="R10" s="2">
        <v>6984.19</v>
      </c>
      <c r="S10" s="2">
        <v>7943.42</v>
      </c>
      <c r="T10" s="2">
        <v>8957.8700000000008</v>
      </c>
      <c r="U10" s="2">
        <v>10030.86</v>
      </c>
    </row>
    <row r="11" spans="1:21" x14ac:dyDescent="0.25">
      <c r="A11" t="s">
        <v>1164</v>
      </c>
      <c r="K11" s="2">
        <v>2000</v>
      </c>
      <c r="L11" s="2">
        <v>2474</v>
      </c>
      <c r="M11" s="2">
        <v>3015</v>
      </c>
      <c r="N11" s="2">
        <v>3771</v>
      </c>
      <c r="O11" s="2">
        <v>4288.21</v>
      </c>
      <c r="P11" s="2">
        <v>5128.5200000000004</v>
      </c>
      <c r="Q11" s="2">
        <v>5909.44</v>
      </c>
      <c r="R11" s="2">
        <v>6760.7</v>
      </c>
      <c r="S11" s="2">
        <v>7612.1</v>
      </c>
      <c r="T11" s="2">
        <v>8501.7999999999993</v>
      </c>
      <c r="U11" s="2">
        <v>9455.94</v>
      </c>
    </row>
    <row r="12" spans="1:21" x14ac:dyDescent="0.25">
      <c r="A12" t="s">
        <v>375</v>
      </c>
      <c r="L12">
        <v>474</v>
      </c>
      <c r="M12">
        <v>541</v>
      </c>
      <c r="N12">
        <v>756</v>
      </c>
      <c r="O12">
        <v>625.13</v>
      </c>
      <c r="P12">
        <v>702.65</v>
      </c>
      <c r="Q12">
        <v>784.35</v>
      </c>
      <c r="R12">
        <v>830.7</v>
      </c>
      <c r="S12">
        <v>851.4</v>
      </c>
      <c r="T12">
        <v>889.7</v>
      </c>
      <c r="U12">
        <v>954.18</v>
      </c>
    </row>
    <row r="13" spans="1:21" x14ac:dyDescent="0.25">
      <c r="A13" t="s">
        <v>17</v>
      </c>
    </row>
    <row r="14" spans="1:21" x14ac:dyDescent="0.25">
      <c r="A14" t="s">
        <v>1760</v>
      </c>
      <c r="I14">
        <v>77</v>
      </c>
      <c r="J14">
        <v>83</v>
      </c>
      <c r="K14">
        <v>68</v>
      </c>
      <c r="L14">
        <v>61</v>
      </c>
      <c r="M14">
        <v>50</v>
      </c>
      <c r="N14">
        <v>49</v>
      </c>
      <c r="O14">
        <v>40.35</v>
      </c>
      <c r="P14">
        <v>41.99</v>
      </c>
      <c r="Q14">
        <v>43.35</v>
      </c>
      <c r="R14">
        <v>43.58</v>
      </c>
      <c r="S14">
        <v>44.03</v>
      </c>
      <c r="T14">
        <v>44.13</v>
      </c>
      <c r="U14">
        <v>43.47</v>
      </c>
    </row>
    <row r="15" spans="1:21" x14ac:dyDescent="0.25">
      <c r="A15" t="s">
        <v>17</v>
      </c>
    </row>
    <row r="16" spans="1:21" x14ac:dyDescent="0.25">
      <c r="A16" t="s">
        <v>30</v>
      </c>
      <c r="E16">
        <v>78</v>
      </c>
      <c r="F16">
        <v>80</v>
      </c>
      <c r="G16">
        <v>81</v>
      </c>
      <c r="H16">
        <v>80</v>
      </c>
      <c r="I16">
        <v>81</v>
      </c>
      <c r="J16">
        <v>81</v>
      </c>
      <c r="K16">
        <v>81</v>
      </c>
      <c r="L16">
        <v>81</v>
      </c>
      <c r="M16">
        <v>80</v>
      </c>
      <c r="N16">
        <v>80</v>
      </c>
      <c r="O16">
        <v>80.09</v>
      </c>
      <c r="P16">
        <v>80.16</v>
      </c>
      <c r="Q16">
        <v>80.27</v>
      </c>
      <c r="R16">
        <v>80.61</v>
      </c>
      <c r="S16">
        <v>80.66</v>
      </c>
      <c r="T16">
        <v>80.709999999999994</v>
      </c>
      <c r="U16">
        <v>80.760000000000005</v>
      </c>
    </row>
    <row r="17" spans="1:21" x14ac:dyDescent="0.25">
      <c r="A17" t="s">
        <v>17</v>
      </c>
    </row>
    <row r="18" spans="1:21" x14ac:dyDescent="0.25">
      <c r="A18" t="s">
        <v>1761</v>
      </c>
      <c r="D18">
        <v>65.91</v>
      </c>
      <c r="E18">
        <v>96.62</v>
      </c>
      <c r="F18">
        <v>164.02</v>
      </c>
      <c r="G18">
        <v>251.2</v>
      </c>
      <c r="H18">
        <v>369.77</v>
      </c>
      <c r="I18">
        <v>630.6</v>
      </c>
      <c r="J18" s="2">
        <v>1021.12</v>
      </c>
      <c r="K18" s="2">
        <v>1439.68</v>
      </c>
      <c r="L18" s="2">
        <v>1894.97</v>
      </c>
      <c r="M18" s="2">
        <v>2468.0300000000002</v>
      </c>
      <c r="N18" s="2">
        <v>2925.77</v>
      </c>
      <c r="O18" s="2">
        <v>3471.25</v>
      </c>
      <c r="P18" s="2">
        <v>4078.41</v>
      </c>
      <c r="Q18" s="2">
        <v>4798.2299999999996</v>
      </c>
      <c r="R18" s="2">
        <v>6085.1</v>
      </c>
      <c r="S18" s="2">
        <v>7206</v>
      </c>
      <c r="T18" s="2">
        <v>8491.9</v>
      </c>
      <c r="U18" s="2">
        <v>10000.209999999999</v>
      </c>
    </row>
    <row r="19" spans="1:21" x14ac:dyDescent="0.25">
      <c r="A19" t="s">
        <v>1762</v>
      </c>
      <c r="D19">
        <v>16.13</v>
      </c>
      <c r="E19">
        <v>30.71</v>
      </c>
      <c r="F19">
        <v>67.400000000000006</v>
      </c>
      <c r="G19">
        <v>87.18</v>
      </c>
      <c r="H19">
        <v>118.02</v>
      </c>
      <c r="I19">
        <v>262.43</v>
      </c>
      <c r="J19">
        <v>391.18</v>
      </c>
      <c r="K19">
        <v>418.56</v>
      </c>
      <c r="L19">
        <v>450.31</v>
      </c>
      <c r="M19">
        <v>573.04999999999995</v>
      </c>
      <c r="N19">
        <v>379.87</v>
      </c>
      <c r="O19">
        <v>555</v>
      </c>
      <c r="P19">
        <v>606.28</v>
      </c>
      <c r="Q19">
        <v>687.28</v>
      </c>
      <c r="R19">
        <v>855.46</v>
      </c>
      <c r="S19">
        <v>942.2</v>
      </c>
      <c r="T19" s="2">
        <v>1028.48</v>
      </c>
      <c r="U19" s="2">
        <v>1126.8599999999999</v>
      </c>
    </row>
    <row r="20" spans="1:21" x14ac:dyDescent="0.25">
      <c r="A20" t="s">
        <v>17</v>
      </c>
    </row>
    <row r="21" spans="1:21" x14ac:dyDescent="0.25">
      <c r="A21" t="s">
        <v>25</v>
      </c>
      <c r="F21">
        <v>397.9</v>
      </c>
      <c r="G21">
        <v>554.20000000000005</v>
      </c>
      <c r="H21">
        <v>782.8</v>
      </c>
      <c r="I21" s="2">
        <v>1553.5</v>
      </c>
      <c r="J21" s="2">
        <v>2607.1999999999998</v>
      </c>
      <c r="K21" s="2">
        <v>3513.6</v>
      </c>
      <c r="L21" s="2">
        <v>4417.6000000000004</v>
      </c>
      <c r="M21" s="2">
        <v>5780.1</v>
      </c>
      <c r="N21" s="2">
        <v>7400</v>
      </c>
      <c r="O21" s="2">
        <v>8908.16</v>
      </c>
      <c r="P21" s="2">
        <v>10677.67</v>
      </c>
      <c r="Q21" s="2">
        <v>12239.18</v>
      </c>
      <c r="R21" s="2">
        <v>14190</v>
      </c>
      <c r="S21" s="2">
        <v>16545.7</v>
      </c>
      <c r="T21" s="2">
        <v>19210.5</v>
      </c>
      <c r="U21" s="2">
        <v>22251.06</v>
      </c>
    </row>
    <row r="22" spans="1:21" x14ac:dyDescent="0.25">
      <c r="A22" t="s">
        <v>17</v>
      </c>
    </row>
    <row r="23" spans="1:21" x14ac:dyDescent="0.25">
      <c r="A23" t="s">
        <v>35</v>
      </c>
      <c r="C23">
        <v>1.56</v>
      </c>
      <c r="D23">
        <v>3.62</v>
      </c>
      <c r="E23">
        <v>9.92</v>
      </c>
      <c r="F23">
        <v>11.22</v>
      </c>
      <c r="G23">
        <v>46.42</v>
      </c>
      <c r="H23">
        <v>121.4</v>
      </c>
      <c r="I23">
        <v>258.54000000000002</v>
      </c>
      <c r="J23">
        <v>409.56</v>
      </c>
      <c r="K23">
        <v>444.83</v>
      </c>
      <c r="L23">
        <v>527.67999999999995</v>
      </c>
      <c r="M23">
        <v>661.35</v>
      </c>
      <c r="N23">
        <v>821.92</v>
      </c>
      <c r="O23">
        <v>905.82</v>
      </c>
      <c r="P23">
        <v>997.91</v>
      </c>
      <c r="Q23" s="2">
        <v>1056.26</v>
      </c>
      <c r="R23" s="2">
        <v>1148.6600000000001</v>
      </c>
      <c r="S23" s="2">
        <v>1212.6099999999999</v>
      </c>
      <c r="T23" s="2">
        <v>1259.08</v>
      </c>
      <c r="U23" s="2">
        <v>1284.1500000000001</v>
      </c>
    </row>
    <row r="24" spans="1:21" x14ac:dyDescent="0.25">
      <c r="A24" t="s">
        <v>17</v>
      </c>
    </row>
    <row r="25" spans="1:21" x14ac:dyDescent="0.25">
      <c r="A25" t="s">
        <v>36</v>
      </c>
      <c r="C25">
        <v>-9.98</v>
      </c>
      <c r="D25">
        <v>-18.16</v>
      </c>
      <c r="E25">
        <v>-14.19</v>
      </c>
      <c r="F25">
        <v>2.14</v>
      </c>
      <c r="G25">
        <v>29.35</v>
      </c>
      <c r="H25">
        <v>27.51</v>
      </c>
      <c r="I25">
        <v>143.74</v>
      </c>
      <c r="J25">
        <v>231.33</v>
      </c>
      <c r="K25">
        <v>333.62</v>
      </c>
      <c r="L25">
        <v>584.95000000000005</v>
      </c>
      <c r="M25">
        <v>726.69</v>
      </c>
      <c r="N25">
        <v>779.14</v>
      </c>
      <c r="O25">
        <v>911.75</v>
      </c>
      <c r="P25" s="2">
        <v>1150.53</v>
      </c>
      <c r="Q25" s="2">
        <v>1374.93</v>
      </c>
      <c r="R25" s="2">
        <v>1786.24</v>
      </c>
      <c r="S25" s="2">
        <v>2125</v>
      </c>
      <c r="T25" s="2">
        <v>2469.38</v>
      </c>
      <c r="U25" s="2">
        <v>2801.46</v>
      </c>
    </row>
    <row r="26" spans="1:21" x14ac:dyDescent="0.25">
      <c r="A26" t="s">
        <v>17</v>
      </c>
    </row>
    <row r="27" spans="1:21" x14ac:dyDescent="0.25">
      <c r="A27" t="s">
        <v>37</v>
      </c>
    </row>
    <row r="28" spans="1:21" x14ac:dyDescent="0.25">
      <c r="A28" t="s">
        <v>17</v>
      </c>
    </row>
    <row r="29" spans="1:21" x14ac:dyDescent="0.25">
      <c r="A29" t="s">
        <v>38</v>
      </c>
    </row>
    <row r="30" spans="1:21" x14ac:dyDescent="0.25">
      <c r="A30" t="s">
        <v>43</v>
      </c>
      <c r="B30">
        <v>275</v>
      </c>
      <c r="C30">
        <v>450</v>
      </c>
      <c r="D30">
        <v>600</v>
      </c>
      <c r="E30">
        <v>850</v>
      </c>
      <c r="F30" s="2">
        <v>1050</v>
      </c>
      <c r="G30" s="2">
        <v>1480</v>
      </c>
      <c r="H30" s="2">
        <v>2020</v>
      </c>
      <c r="I30" s="2">
        <v>3153</v>
      </c>
      <c r="J30" s="2">
        <v>4975</v>
      </c>
      <c r="K30" s="2">
        <v>5962</v>
      </c>
      <c r="L30" s="2">
        <v>7348</v>
      </c>
      <c r="M30" s="2">
        <v>7923</v>
      </c>
      <c r="N30" s="2">
        <v>8700</v>
      </c>
      <c r="O30" s="2">
        <v>11175</v>
      </c>
      <c r="P30" s="2">
        <v>12852</v>
      </c>
    </row>
    <row r="31" spans="1:21" x14ac:dyDescent="0.25">
      <c r="A31" t="s">
        <v>1763</v>
      </c>
      <c r="D31">
        <v>2.4500000000000002</v>
      </c>
      <c r="E31">
        <v>2.8</v>
      </c>
      <c r="F31">
        <v>3.25</v>
      </c>
      <c r="G31">
        <v>3.9</v>
      </c>
      <c r="H31">
        <v>4.5</v>
      </c>
      <c r="I31">
        <v>5.6</v>
      </c>
      <c r="J31">
        <v>6.7</v>
      </c>
      <c r="K31">
        <v>7.7</v>
      </c>
      <c r="L31">
        <v>8.65</v>
      </c>
      <c r="M31">
        <v>9.4</v>
      </c>
      <c r="N31">
        <v>11</v>
      </c>
      <c r="O31">
        <v>10.74</v>
      </c>
      <c r="P31">
        <v>11.48</v>
      </c>
      <c r="Q31">
        <v>12.43</v>
      </c>
      <c r="R31">
        <v>13.7</v>
      </c>
      <c r="S31">
        <v>14.59</v>
      </c>
      <c r="T31">
        <v>15.46</v>
      </c>
      <c r="U31">
        <v>16.309999999999999</v>
      </c>
    </row>
    <row r="32" spans="1:21" x14ac:dyDescent="0.25">
      <c r="A32" t="s">
        <v>948</v>
      </c>
      <c r="K32">
        <v>100</v>
      </c>
      <c r="L32">
        <v>950</v>
      </c>
      <c r="M32">
        <v>750</v>
      </c>
      <c r="N32" s="2">
        <v>1600</v>
      </c>
      <c r="O32">
        <v>618</v>
      </c>
      <c r="P32">
        <v>636</v>
      </c>
      <c r="Q32">
        <v>647</v>
      </c>
      <c r="R32">
        <v>896</v>
      </c>
      <c r="S32">
        <v>890</v>
      </c>
      <c r="T32">
        <v>875</v>
      </c>
      <c r="U32">
        <v>850</v>
      </c>
    </row>
    <row r="33" spans="1:21" x14ac:dyDescent="0.25">
      <c r="A33" t="s">
        <v>1764</v>
      </c>
      <c r="D33">
        <v>115</v>
      </c>
      <c r="E33">
        <v>115</v>
      </c>
      <c r="F33">
        <v>117</v>
      </c>
      <c r="G33">
        <v>118</v>
      </c>
      <c r="H33">
        <v>120</v>
      </c>
      <c r="I33">
        <v>128</v>
      </c>
      <c r="J33">
        <v>125</v>
      </c>
      <c r="K33">
        <v>121</v>
      </c>
      <c r="L33">
        <v>115</v>
      </c>
      <c r="M33">
        <v>114</v>
      </c>
      <c r="O33">
        <v>101.32</v>
      </c>
      <c r="P33">
        <v>113.72</v>
      </c>
      <c r="Q33">
        <v>113.36</v>
      </c>
      <c r="R33">
        <v>111</v>
      </c>
      <c r="S33">
        <v>110</v>
      </c>
      <c r="T33">
        <v>109.5</v>
      </c>
      <c r="U33">
        <v>109</v>
      </c>
    </row>
    <row r="34" spans="1:21" x14ac:dyDescent="0.25">
      <c r="A34" t="s">
        <v>17</v>
      </c>
    </row>
    <row r="35" spans="1:21" x14ac:dyDescent="0.25">
      <c r="A35" t="s">
        <v>1164</v>
      </c>
      <c r="K35" s="2">
        <v>2000</v>
      </c>
      <c r="L35" s="2">
        <v>2474</v>
      </c>
      <c r="M35" s="2">
        <v>3015</v>
      </c>
      <c r="N35" s="2">
        <v>3771</v>
      </c>
      <c r="O35" s="2">
        <v>4288.21</v>
      </c>
      <c r="P35" s="2">
        <v>5128.5200000000004</v>
      </c>
      <c r="Q35" s="2">
        <v>5909.44</v>
      </c>
      <c r="R35" s="2">
        <v>6760.7</v>
      </c>
      <c r="S35" s="2">
        <v>7612.1</v>
      </c>
      <c r="T35" s="2">
        <v>8501.7999999999993</v>
      </c>
      <c r="U35" s="2">
        <v>9455.94</v>
      </c>
    </row>
    <row r="36" spans="1:21" x14ac:dyDescent="0.25">
      <c r="A36" t="s">
        <v>375</v>
      </c>
      <c r="L36">
        <v>474</v>
      </c>
      <c r="M36">
        <v>541</v>
      </c>
      <c r="N36">
        <v>756</v>
      </c>
      <c r="O36">
        <v>625.13</v>
      </c>
      <c r="P36">
        <v>702.65</v>
      </c>
      <c r="Q36">
        <v>784.35</v>
      </c>
      <c r="R36">
        <v>830.7</v>
      </c>
      <c r="S36">
        <v>851.4</v>
      </c>
      <c r="T36">
        <v>889.7</v>
      </c>
      <c r="U36">
        <v>954.18</v>
      </c>
    </row>
    <row r="37" spans="1:21" x14ac:dyDescent="0.25">
      <c r="A37" t="s">
        <v>1765</v>
      </c>
      <c r="N37">
        <v>141</v>
      </c>
      <c r="O37">
        <v>147.91</v>
      </c>
      <c r="P37">
        <v>165.6</v>
      </c>
      <c r="Q37">
        <v>141</v>
      </c>
    </row>
    <row r="38" spans="1:21" x14ac:dyDescent="0.25">
      <c r="A38" t="s">
        <v>24</v>
      </c>
      <c r="E38">
        <v>156.41999999999999</v>
      </c>
      <c r="F38">
        <v>257.58</v>
      </c>
      <c r="G38">
        <v>390.02</v>
      </c>
      <c r="H38">
        <v>549.83000000000004</v>
      </c>
      <c r="I38">
        <v>933.93</v>
      </c>
      <c r="J38" s="2">
        <v>1481.47</v>
      </c>
      <c r="K38" s="2">
        <v>2035.51</v>
      </c>
      <c r="L38" s="2">
        <v>2623.07</v>
      </c>
      <c r="M38" s="2">
        <v>3246.17</v>
      </c>
      <c r="O38" s="2">
        <v>4468.3999999999996</v>
      </c>
      <c r="P38" s="2">
        <v>5147.41</v>
      </c>
      <c r="Q38" s="2">
        <v>6019.53</v>
      </c>
      <c r="R38" s="2">
        <v>6984.19</v>
      </c>
      <c r="S38" s="2">
        <v>7943.42</v>
      </c>
      <c r="T38" s="2">
        <v>8957.8700000000008</v>
      </c>
      <c r="U38" s="2">
        <v>10030.86</v>
      </c>
    </row>
    <row r="39" spans="1:21" x14ac:dyDescent="0.25">
      <c r="A39" t="s">
        <v>1766</v>
      </c>
      <c r="F39">
        <v>65</v>
      </c>
      <c r="G39">
        <v>51</v>
      </c>
      <c r="H39">
        <v>41</v>
      </c>
      <c r="I39">
        <v>70</v>
      </c>
      <c r="K39">
        <v>37</v>
      </c>
      <c r="L39">
        <v>28</v>
      </c>
      <c r="M39">
        <v>24</v>
      </c>
      <c r="O39">
        <v>17.39</v>
      </c>
      <c r="P39">
        <v>15.12</v>
      </c>
      <c r="Q39">
        <v>16.420000000000002</v>
      </c>
      <c r="R39">
        <v>13.53</v>
      </c>
      <c r="S39">
        <v>13.73</v>
      </c>
      <c r="T39">
        <v>12.74</v>
      </c>
      <c r="U39">
        <v>11.88</v>
      </c>
    </row>
    <row r="40" spans="1:21" x14ac:dyDescent="0.25">
      <c r="A40" t="s">
        <v>27</v>
      </c>
      <c r="D40">
        <v>65.91</v>
      </c>
      <c r="E40">
        <v>96.62</v>
      </c>
      <c r="F40">
        <v>164.02</v>
      </c>
      <c r="G40">
        <v>251.2</v>
      </c>
      <c r="H40">
        <v>369.77</v>
      </c>
      <c r="I40">
        <v>630.6</v>
      </c>
      <c r="J40" s="2">
        <v>1021.12</v>
      </c>
      <c r="K40" s="2">
        <v>1439.68</v>
      </c>
      <c r="L40" s="2">
        <v>1894.97</v>
      </c>
      <c r="M40" s="2">
        <v>2468.0300000000002</v>
      </c>
      <c r="N40" s="2">
        <v>2925.77</v>
      </c>
      <c r="O40" s="2">
        <v>3471.25</v>
      </c>
      <c r="P40" s="2">
        <v>4078.41</v>
      </c>
      <c r="Q40" s="2">
        <v>4798.2299999999996</v>
      </c>
      <c r="R40" s="2">
        <v>6085.1</v>
      </c>
      <c r="S40" s="2">
        <v>7206</v>
      </c>
      <c r="T40" s="2">
        <v>8491.9</v>
      </c>
      <c r="U40" s="2">
        <v>10000.209999999999</v>
      </c>
    </row>
    <row r="41" spans="1:21" x14ac:dyDescent="0.25">
      <c r="A41" t="s">
        <v>1762</v>
      </c>
      <c r="D41">
        <v>16.13</v>
      </c>
      <c r="E41">
        <v>30.71</v>
      </c>
      <c r="F41">
        <v>67.400000000000006</v>
      </c>
      <c r="G41">
        <v>87.18</v>
      </c>
      <c r="H41">
        <v>118.02</v>
      </c>
      <c r="I41">
        <v>262.43</v>
      </c>
      <c r="J41">
        <v>391.18</v>
      </c>
      <c r="K41">
        <v>418.56</v>
      </c>
      <c r="L41">
        <v>450.31</v>
      </c>
      <c r="M41">
        <v>573.04999999999995</v>
      </c>
      <c r="N41">
        <v>379.87</v>
      </c>
      <c r="O41">
        <v>555</v>
      </c>
      <c r="P41">
        <v>606.28</v>
      </c>
      <c r="Q41">
        <v>687.28</v>
      </c>
      <c r="R41">
        <v>855.46</v>
      </c>
      <c r="S41">
        <v>942.2</v>
      </c>
      <c r="T41" s="2">
        <v>1028.48</v>
      </c>
      <c r="U41" s="2">
        <v>1126.8599999999999</v>
      </c>
    </row>
    <row r="42" spans="1:21" x14ac:dyDescent="0.25">
      <c r="A42" t="s">
        <v>17</v>
      </c>
    </row>
    <row r="43" spans="1:21" x14ac:dyDescent="0.25">
      <c r="A43" t="s">
        <v>1767</v>
      </c>
      <c r="N43">
        <v>770</v>
      </c>
    </row>
    <row r="44" spans="1:21" x14ac:dyDescent="0.25">
      <c r="A44" t="s">
        <v>17</v>
      </c>
    </row>
    <row r="45" spans="1:21" x14ac:dyDescent="0.25">
      <c r="A45" t="s">
        <v>1768</v>
      </c>
      <c r="H45">
        <v>0.11</v>
      </c>
      <c r="I45">
        <v>0.2</v>
      </c>
      <c r="J45">
        <v>0.33</v>
      </c>
      <c r="K45">
        <v>0.45</v>
      </c>
      <c r="L45">
        <v>0.56000000000000005</v>
      </c>
      <c r="M45">
        <v>0.66</v>
      </c>
      <c r="N45">
        <v>0.79</v>
      </c>
      <c r="O45">
        <v>0.91</v>
      </c>
      <c r="P45">
        <v>0.85</v>
      </c>
    </row>
    <row r="46" spans="1:21" x14ac:dyDescent="0.25">
      <c r="A46" t="s">
        <v>948</v>
      </c>
      <c r="L46">
        <v>118</v>
      </c>
      <c r="M46">
        <v>97</v>
      </c>
      <c r="N46">
        <v>121</v>
      </c>
      <c r="O46">
        <v>148</v>
      </c>
      <c r="P46">
        <v>148</v>
      </c>
    </row>
    <row r="47" spans="1:21" x14ac:dyDescent="0.25">
      <c r="A47" t="s">
        <v>1769</v>
      </c>
      <c r="H47">
        <v>0.97</v>
      </c>
      <c r="I47">
        <v>1.48</v>
      </c>
      <c r="J47">
        <v>2.09</v>
      </c>
      <c r="K47">
        <v>2.61</v>
      </c>
      <c r="L47">
        <v>3.09</v>
      </c>
      <c r="M47">
        <v>3.49</v>
      </c>
      <c r="N47">
        <v>4.18</v>
      </c>
      <c r="O47">
        <v>4.8499999999999996</v>
      </c>
      <c r="P47">
        <v>5.51</v>
      </c>
      <c r="Q47">
        <v>5.37</v>
      </c>
    </row>
    <row r="48" spans="1:21" x14ac:dyDescent="0.25">
      <c r="A48" t="s">
        <v>948</v>
      </c>
      <c r="L48">
        <v>491</v>
      </c>
      <c r="M48">
        <v>394</v>
      </c>
      <c r="N48">
        <v>688</v>
      </c>
      <c r="O48">
        <v>674</v>
      </c>
      <c r="P48">
        <v>678</v>
      </c>
      <c r="Q48">
        <v>-140</v>
      </c>
    </row>
    <row r="49" spans="1:21" x14ac:dyDescent="0.25">
      <c r="A49" t="s">
        <v>1770</v>
      </c>
      <c r="L49">
        <v>0.06</v>
      </c>
    </row>
    <row r="50" spans="1:21" x14ac:dyDescent="0.25">
      <c r="A50" t="s">
        <v>948</v>
      </c>
    </row>
    <row r="51" spans="1:21" x14ac:dyDescent="0.25">
      <c r="A51" t="s">
        <v>17</v>
      </c>
    </row>
    <row r="52" spans="1:21" x14ac:dyDescent="0.25">
      <c r="A52" t="s">
        <v>277</v>
      </c>
      <c r="E52">
        <v>-12.49</v>
      </c>
      <c r="F52">
        <v>-7.37</v>
      </c>
      <c r="G52">
        <v>35.5</v>
      </c>
      <c r="H52">
        <v>47.66</v>
      </c>
      <c r="I52">
        <v>107.62</v>
      </c>
      <c r="J52">
        <v>152.06</v>
      </c>
      <c r="K52">
        <v>296.57</v>
      </c>
      <c r="L52">
        <v>523.17999999999995</v>
      </c>
      <c r="M52">
        <v>684.49</v>
      </c>
      <c r="N52">
        <v>915.65</v>
      </c>
      <c r="O52" s="2">
        <v>1093.56</v>
      </c>
      <c r="P52" s="2">
        <v>1327.56</v>
      </c>
      <c r="Q52" s="2">
        <v>1525.7</v>
      </c>
      <c r="R52" s="2">
        <v>1889</v>
      </c>
      <c r="S52" s="2">
        <v>2219.5</v>
      </c>
      <c r="T52" s="2">
        <v>2580</v>
      </c>
      <c r="U52" s="2">
        <v>2971.5</v>
      </c>
    </row>
    <row r="53" spans="1:21" x14ac:dyDescent="0.25">
      <c r="A53" t="s">
        <v>481</v>
      </c>
      <c r="F53">
        <v>-3.88</v>
      </c>
      <c r="G53">
        <v>11.72</v>
      </c>
      <c r="H53">
        <v>11.05</v>
      </c>
      <c r="I53">
        <v>15.99</v>
      </c>
      <c r="J53">
        <v>13.94</v>
      </c>
      <c r="K53">
        <v>18.34</v>
      </c>
      <c r="L53">
        <v>24.13</v>
      </c>
      <c r="M53">
        <v>25.61</v>
      </c>
      <c r="O53">
        <v>28.34</v>
      </c>
      <c r="P53">
        <v>29.44</v>
      </c>
      <c r="Q53">
        <v>29.79</v>
      </c>
      <c r="R53">
        <v>30.76</v>
      </c>
      <c r="S53">
        <v>31.68</v>
      </c>
      <c r="T53">
        <v>32.57</v>
      </c>
      <c r="U53">
        <v>33.479999999999997</v>
      </c>
    </row>
    <row r="54" spans="1:21" x14ac:dyDescent="0.25">
      <c r="A54" t="s">
        <v>17</v>
      </c>
    </row>
    <row r="55" spans="1:21" x14ac:dyDescent="0.25">
      <c r="A55" t="s">
        <v>51</v>
      </c>
    </row>
    <row r="56" spans="1:21" x14ac:dyDescent="0.25">
      <c r="A56" t="s">
        <v>1771</v>
      </c>
    </row>
    <row r="57" spans="1:21" x14ac:dyDescent="0.25">
      <c r="A57" t="s">
        <v>464</v>
      </c>
      <c r="E57">
        <v>14.3</v>
      </c>
      <c r="F57">
        <v>16</v>
      </c>
      <c r="G57">
        <v>20</v>
      </c>
      <c r="H57">
        <v>15.38</v>
      </c>
      <c r="I57">
        <v>24.44</v>
      </c>
      <c r="J57">
        <v>19.64</v>
      </c>
      <c r="K57">
        <v>14</v>
      </c>
      <c r="O57">
        <v>5.82</v>
      </c>
      <c r="P57">
        <v>5.66</v>
      </c>
      <c r="Q57">
        <v>5.71</v>
      </c>
      <c r="R57">
        <v>7</v>
      </c>
      <c r="S57">
        <v>6.5</v>
      </c>
      <c r="T57">
        <v>6</v>
      </c>
      <c r="U57">
        <v>5.5</v>
      </c>
    </row>
    <row r="58" spans="1:21" x14ac:dyDescent="0.25">
      <c r="A58" t="s">
        <v>17</v>
      </c>
    </row>
    <row r="59" spans="1:21" x14ac:dyDescent="0.25">
      <c r="A59" t="s">
        <v>422</v>
      </c>
    </row>
    <row r="60" spans="1:21" x14ac:dyDescent="0.25">
      <c r="A60" t="s">
        <v>1772</v>
      </c>
      <c r="E60">
        <v>-65.91</v>
      </c>
      <c r="F60">
        <v>-96.62</v>
      </c>
      <c r="G60">
        <v>-164.02</v>
      </c>
      <c r="H60">
        <v>-251.2</v>
      </c>
      <c r="I60">
        <v>-369.77</v>
      </c>
      <c r="J60">
        <v>-630.6</v>
      </c>
      <c r="K60" s="2">
        <v>-1021.12</v>
      </c>
      <c r="L60" s="2">
        <v>-1439.68</v>
      </c>
      <c r="M60" s="2">
        <v>-1894.97</v>
      </c>
      <c r="O60" s="2">
        <v>-2925.77</v>
      </c>
      <c r="P60" s="2">
        <v>-3450.62</v>
      </c>
      <c r="Q60" s="2">
        <v>-4027.45</v>
      </c>
    </row>
    <row r="61" spans="1:21" x14ac:dyDescent="0.25">
      <c r="A61" t="s">
        <v>17</v>
      </c>
    </row>
    <row r="62" spans="1:21" x14ac:dyDescent="0.25">
      <c r="A62" t="s">
        <v>252</v>
      </c>
    </row>
    <row r="63" spans="1:21" x14ac:dyDescent="0.25">
      <c r="A63" t="s">
        <v>25</v>
      </c>
      <c r="F63">
        <v>397.9</v>
      </c>
      <c r="G63">
        <v>554.20000000000005</v>
      </c>
      <c r="H63">
        <v>782.8</v>
      </c>
      <c r="I63" s="2">
        <v>1553.5</v>
      </c>
      <c r="J63" s="2">
        <v>2607.1999999999998</v>
      </c>
      <c r="K63" s="2">
        <v>3513.6</v>
      </c>
      <c r="L63" s="2">
        <v>4417.6000000000004</v>
      </c>
      <c r="M63" s="2">
        <v>5780.1</v>
      </c>
      <c r="N63" s="2">
        <v>7400</v>
      </c>
      <c r="O63" s="2">
        <v>8908.16</v>
      </c>
      <c r="P63" s="2">
        <v>10677.67</v>
      </c>
      <c r="Q63" s="2">
        <v>12239.18</v>
      </c>
      <c r="R63" s="2">
        <v>14190</v>
      </c>
      <c r="S63" s="2">
        <v>16545.7</v>
      </c>
      <c r="T63" s="2">
        <v>19210.5</v>
      </c>
      <c r="U63" s="2">
        <v>22251.06</v>
      </c>
    </row>
    <row r="64" spans="1:21" x14ac:dyDescent="0.25">
      <c r="A64" t="s">
        <v>50</v>
      </c>
      <c r="F64">
        <v>210.89</v>
      </c>
      <c r="G64">
        <v>304.81</v>
      </c>
      <c r="H64">
        <v>430.54</v>
      </c>
      <c r="I64">
        <v>761.22</v>
      </c>
      <c r="J64" s="2">
        <v>1277.53</v>
      </c>
      <c r="K64" s="2">
        <v>1721.66</v>
      </c>
      <c r="O64" s="2">
        <v>4010.62</v>
      </c>
      <c r="P64" s="2">
        <v>4708.9799999999996</v>
      </c>
      <c r="Q64" s="2">
        <v>5064.3999999999996</v>
      </c>
      <c r="R64" s="2">
        <v>6385.5</v>
      </c>
      <c r="S64" s="2">
        <v>7445.5</v>
      </c>
      <c r="T64" s="2">
        <v>8644.7000000000007</v>
      </c>
      <c r="U64" s="2">
        <v>10012.98</v>
      </c>
    </row>
    <row r="65" spans="1:21" x14ac:dyDescent="0.25">
      <c r="A65" t="s">
        <v>49</v>
      </c>
      <c r="E65">
        <v>92.24</v>
      </c>
      <c r="F65">
        <v>96.6</v>
      </c>
      <c r="G65">
        <v>93.38</v>
      </c>
      <c r="H65">
        <v>102.23</v>
      </c>
      <c r="I65">
        <v>109.73</v>
      </c>
      <c r="J65">
        <v>109.88</v>
      </c>
      <c r="K65">
        <v>110.88</v>
      </c>
      <c r="L65">
        <v>111.36</v>
      </c>
      <c r="M65">
        <v>118.02</v>
      </c>
      <c r="N65">
        <v>116.56</v>
      </c>
      <c r="O65">
        <v>115.6</v>
      </c>
      <c r="P65">
        <v>114.92</v>
      </c>
      <c r="Q65">
        <v>123.22</v>
      </c>
      <c r="R65">
        <v>131.46</v>
      </c>
      <c r="S65">
        <v>130.46</v>
      </c>
      <c r="T65">
        <v>128.46</v>
      </c>
      <c r="U65">
        <v>126.46</v>
      </c>
    </row>
    <row r="66" spans="1:21" x14ac:dyDescent="0.25">
      <c r="A66" t="s">
        <v>963</v>
      </c>
      <c r="D66">
        <v>1.63</v>
      </c>
      <c r="E66">
        <v>1.19</v>
      </c>
      <c r="F66">
        <v>2.12</v>
      </c>
      <c r="G66">
        <v>1.89</v>
      </c>
      <c r="H66">
        <v>3.73</v>
      </c>
      <c r="I66">
        <v>2.57</v>
      </c>
      <c r="J66">
        <v>1.99</v>
      </c>
      <c r="K66">
        <v>1.88</v>
      </c>
      <c r="L66">
        <v>1.0900000000000001</v>
      </c>
      <c r="M66">
        <v>2.0099999999999998</v>
      </c>
      <c r="N66">
        <v>1.7</v>
      </c>
      <c r="O66">
        <v>1.75</v>
      </c>
      <c r="P66">
        <v>1.81</v>
      </c>
      <c r="Q66">
        <v>1.6</v>
      </c>
      <c r="R66">
        <v>2.38</v>
      </c>
      <c r="S66">
        <v>2.54</v>
      </c>
      <c r="T66">
        <v>2.68</v>
      </c>
      <c r="U66">
        <v>2.83</v>
      </c>
    </row>
    <row r="67" spans="1:21" x14ac:dyDescent="0.25">
      <c r="A67" t="s">
        <v>17</v>
      </c>
    </row>
    <row r="68" spans="1:21" x14ac:dyDescent="0.25">
      <c r="A68" t="s">
        <v>58</v>
      </c>
    </row>
    <row r="69" spans="1:21" x14ac:dyDescent="0.25">
      <c r="A69" t="s">
        <v>16</v>
      </c>
      <c r="E69">
        <v>125.72</v>
      </c>
      <c r="F69">
        <v>190.17</v>
      </c>
      <c r="G69">
        <v>302.83999999999997</v>
      </c>
      <c r="H69">
        <v>431.27</v>
      </c>
      <c r="I69">
        <v>673.1</v>
      </c>
      <c r="J69" s="2">
        <v>1090.95</v>
      </c>
      <c r="K69" s="2">
        <v>1616.95</v>
      </c>
      <c r="L69" s="2">
        <v>2167.77</v>
      </c>
      <c r="M69" s="2">
        <v>2673.12</v>
      </c>
      <c r="N69" s="2">
        <v>3352.52</v>
      </c>
      <c r="O69" s="2">
        <v>3926.53</v>
      </c>
      <c r="P69" s="2">
        <v>4574.8100000000004</v>
      </c>
      <c r="Q69" s="2">
        <v>5310.5</v>
      </c>
      <c r="R69" s="2">
        <v>6206</v>
      </c>
      <c r="S69" s="2">
        <v>7101.75</v>
      </c>
      <c r="T69" s="2">
        <v>8042.67</v>
      </c>
      <c r="U69" s="2">
        <v>9032.33</v>
      </c>
    </row>
    <row r="70" spans="1:21" x14ac:dyDescent="0.25">
      <c r="A70" t="s">
        <v>1728</v>
      </c>
      <c r="C70">
        <v>42.8</v>
      </c>
      <c r="D70">
        <v>67.47</v>
      </c>
      <c r="E70">
        <v>110.9</v>
      </c>
      <c r="F70">
        <v>175.8</v>
      </c>
      <c r="G70">
        <v>289.58</v>
      </c>
      <c r="H70">
        <v>414.91</v>
      </c>
      <c r="I70">
        <v>632.41999999999996</v>
      </c>
      <c r="J70" s="2">
        <v>1016.75</v>
      </c>
      <c r="K70" s="2">
        <v>1488.38</v>
      </c>
      <c r="L70" s="2">
        <v>1967.91</v>
      </c>
      <c r="M70" s="2">
        <v>2360.2199999999998</v>
      </c>
      <c r="N70" s="2">
        <v>2835.26</v>
      </c>
      <c r="O70" s="2">
        <v>3325</v>
      </c>
      <c r="P70" s="2">
        <v>3874</v>
      </c>
      <c r="Q70" s="2">
        <v>4532</v>
      </c>
      <c r="R70" s="2">
        <v>5280</v>
      </c>
      <c r="S70" s="2">
        <v>6125</v>
      </c>
      <c r="T70" s="2">
        <v>7074</v>
      </c>
      <c r="U70" s="2">
        <v>8135.31</v>
      </c>
    </row>
    <row r="71" spans="1:21" x14ac:dyDescent="0.25">
      <c r="A71" t="s">
        <v>61</v>
      </c>
      <c r="C71">
        <v>80</v>
      </c>
      <c r="D71">
        <v>84</v>
      </c>
      <c r="E71">
        <v>88</v>
      </c>
      <c r="F71">
        <v>92</v>
      </c>
      <c r="G71">
        <v>96</v>
      </c>
      <c r="H71">
        <v>96</v>
      </c>
      <c r="I71">
        <v>94</v>
      </c>
      <c r="J71">
        <v>93</v>
      </c>
      <c r="K71">
        <v>92</v>
      </c>
      <c r="L71">
        <v>91</v>
      </c>
      <c r="M71">
        <v>88</v>
      </c>
      <c r="N71">
        <v>85</v>
      </c>
      <c r="O71">
        <v>84.75</v>
      </c>
      <c r="P71">
        <v>84.86</v>
      </c>
      <c r="Q71">
        <v>85.47</v>
      </c>
      <c r="R71">
        <v>86.06</v>
      </c>
      <c r="S71">
        <v>86.63</v>
      </c>
      <c r="T71">
        <v>87.19</v>
      </c>
      <c r="U71">
        <v>87.72</v>
      </c>
    </row>
    <row r="72" spans="1:21" x14ac:dyDescent="0.25">
      <c r="A72" t="s">
        <v>1591</v>
      </c>
      <c r="C72">
        <v>10.91</v>
      </c>
      <c r="D72">
        <v>12.85</v>
      </c>
      <c r="E72">
        <v>14.82</v>
      </c>
      <c r="F72">
        <v>14.38</v>
      </c>
      <c r="G72">
        <v>13.26</v>
      </c>
      <c r="H72">
        <v>16.36</v>
      </c>
      <c r="I72">
        <v>40.68</v>
      </c>
      <c r="J72">
        <v>74.2</v>
      </c>
      <c r="K72">
        <v>128.57</v>
      </c>
      <c r="L72">
        <v>199.86</v>
      </c>
      <c r="M72">
        <v>312.89</v>
      </c>
      <c r="N72">
        <v>517.27</v>
      </c>
      <c r="O72">
        <v>598.30999999999995</v>
      </c>
      <c r="P72">
        <v>691.05</v>
      </c>
      <c r="Q72">
        <v>770.53</v>
      </c>
      <c r="R72">
        <v>855.28</v>
      </c>
      <c r="S72">
        <v>945.09</v>
      </c>
      <c r="T72" s="2">
        <v>1039.5999999999999</v>
      </c>
      <c r="U72" s="2">
        <v>1138.3599999999999</v>
      </c>
    </row>
    <row r="73" spans="1:21" x14ac:dyDescent="0.25">
      <c r="A73" t="s">
        <v>61</v>
      </c>
      <c r="C73">
        <v>20</v>
      </c>
      <c r="D73">
        <v>16</v>
      </c>
      <c r="E73">
        <v>12</v>
      </c>
      <c r="F73">
        <v>8</v>
      </c>
      <c r="G73">
        <v>4</v>
      </c>
      <c r="H73">
        <v>4</v>
      </c>
      <c r="I73">
        <v>6</v>
      </c>
      <c r="J73">
        <v>7</v>
      </c>
      <c r="K73">
        <v>8</v>
      </c>
      <c r="L73">
        <v>9</v>
      </c>
      <c r="M73">
        <v>12</v>
      </c>
      <c r="N73">
        <v>15</v>
      </c>
      <c r="O73">
        <v>15.25</v>
      </c>
      <c r="P73">
        <v>15.14</v>
      </c>
      <c r="Q73">
        <v>14.53</v>
      </c>
      <c r="R73">
        <v>13.94</v>
      </c>
      <c r="S73">
        <v>13.37</v>
      </c>
      <c r="T73">
        <v>12.81</v>
      </c>
      <c r="U73">
        <v>12.28</v>
      </c>
    </row>
    <row r="74" spans="1:21" x14ac:dyDescent="0.25">
      <c r="A74" t="s">
        <v>17</v>
      </c>
    </row>
    <row r="75" spans="1:21" x14ac:dyDescent="0.25">
      <c r="A75" t="s">
        <v>72</v>
      </c>
    </row>
    <row r="76" spans="1:21" x14ac:dyDescent="0.25">
      <c r="A76" t="s">
        <v>16</v>
      </c>
    </row>
    <row r="77" spans="1:21" x14ac:dyDescent="0.25">
      <c r="A77" t="s">
        <v>73</v>
      </c>
      <c r="C77">
        <v>23.25</v>
      </c>
      <c r="D77">
        <v>35.79</v>
      </c>
      <c r="E77">
        <v>57.99</v>
      </c>
      <c r="F77">
        <v>86.12</v>
      </c>
      <c r="G77">
        <v>148.81</v>
      </c>
      <c r="H77">
        <v>210.29</v>
      </c>
      <c r="I77">
        <v>329.3</v>
      </c>
      <c r="J77">
        <v>536.91999999999996</v>
      </c>
      <c r="K77">
        <v>808.53</v>
      </c>
      <c r="L77" s="2">
        <v>1092.3</v>
      </c>
      <c r="M77" s="2">
        <v>1359.33</v>
      </c>
      <c r="N77" s="2">
        <v>1791.81</v>
      </c>
      <c r="O77" s="2">
        <v>1311.91</v>
      </c>
      <c r="P77" s="2">
        <v>1311.91</v>
      </c>
      <c r="Q77" s="2">
        <v>1311.91</v>
      </c>
    </row>
    <row r="78" spans="1:21" x14ac:dyDescent="0.25">
      <c r="A78" t="s">
        <v>61</v>
      </c>
      <c r="C78">
        <v>43</v>
      </c>
      <c r="D78">
        <v>44</v>
      </c>
      <c r="E78">
        <v>46</v>
      </c>
      <c r="F78">
        <v>45</v>
      </c>
      <c r="G78">
        <v>49</v>
      </c>
      <c r="H78">
        <v>49</v>
      </c>
      <c r="I78">
        <v>49</v>
      </c>
      <c r="J78">
        <v>49</v>
      </c>
      <c r="K78">
        <v>50</v>
      </c>
      <c r="L78">
        <v>50</v>
      </c>
      <c r="M78">
        <v>51</v>
      </c>
      <c r="N78">
        <v>53</v>
      </c>
      <c r="O78">
        <v>56.55</v>
      </c>
      <c r="P78">
        <v>56.06</v>
      </c>
      <c r="Q78">
        <v>51.75</v>
      </c>
    </row>
    <row r="79" spans="1:21" x14ac:dyDescent="0.25">
      <c r="A79" t="s">
        <v>1773</v>
      </c>
      <c r="C79">
        <v>25.37</v>
      </c>
      <c r="D79">
        <v>37.4</v>
      </c>
      <c r="E79">
        <v>56.86</v>
      </c>
      <c r="F79">
        <v>84.83</v>
      </c>
      <c r="G79">
        <v>124.44</v>
      </c>
      <c r="H79">
        <v>174.5</v>
      </c>
      <c r="I79">
        <v>253.14</v>
      </c>
      <c r="J79">
        <v>370.04</v>
      </c>
      <c r="K79">
        <v>515.14</v>
      </c>
      <c r="L79">
        <v>672.42</v>
      </c>
      <c r="M79">
        <v>792.82</v>
      </c>
      <c r="N79">
        <v>923.4</v>
      </c>
      <c r="O79">
        <v>952.61</v>
      </c>
      <c r="P79" s="2">
        <v>1076.54</v>
      </c>
      <c r="Q79" s="2">
        <v>1022.83</v>
      </c>
    </row>
    <row r="80" spans="1:21" x14ac:dyDescent="0.25">
      <c r="A80" t="s">
        <v>61</v>
      </c>
      <c r="C80">
        <v>48</v>
      </c>
      <c r="D80">
        <v>47</v>
      </c>
      <c r="E80">
        <v>45</v>
      </c>
      <c r="F80">
        <v>45</v>
      </c>
      <c r="G80">
        <v>41</v>
      </c>
      <c r="H80">
        <v>40</v>
      </c>
      <c r="I80">
        <v>38</v>
      </c>
      <c r="J80">
        <v>34</v>
      </c>
      <c r="K80">
        <v>32</v>
      </c>
      <c r="L80">
        <v>31</v>
      </c>
      <c r="M80">
        <v>30</v>
      </c>
      <c r="N80">
        <v>28</v>
      </c>
      <c r="O80">
        <v>23.92</v>
      </c>
      <c r="P80">
        <v>22.88</v>
      </c>
      <c r="Q80">
        <v>19.23</v>
      </c>
    </row>
    <row r="81" spans="1:21" x14ac:dyDescent="0.25">
      <c r="A81" t="s">
        <v>1774</v>
      </c>
      <c r="C81">
        <v>4.3</v>
      </c>
      <c r="D81">
        <v>5.78</v>
      </c>
      <c r="E81">
        <v>9.85</v>
      </c>
      <c r="F81">
        <v>14.47</v>
      </c>
      <c r="G81">
        <v>23.84</v>
      </c>
      <c r="H81">
        <v>38.79</v>
      </c>
      <c r="I81">
        <v>76.11</v>
      </c>
      <c r="J81">
        <v>155.46</v>
      </c>
      <c r="K81">
        <v>241.25</v>
      </c>
      <c r="L81">
        <v>327.82</v>
      </c>
      <c r="M81">
        <v>423.81</v>
      </c>
      <c r="N81">
        <v>519.19000000000005</v>
      </c>
      <c r="O81">
        <v>533.34</v>
      </c>
      <c r="P81">
        <v>597.33000000000004</v>
      </c>
      <c r="Q81">
        <v>585.07000000000005</v>
      </c>
    </row>
    <row r="82" spans="1:21" x14ac:dyDescent="0.25">
      <c r="A82" t="s">
        <v>61</v>
      </c>
      <c r="C82">
        <v>8</v>
      </c>
      <c r="D82">
        <v>7</v>
      </c>
      <c r="E82">
        <v>8</v>
      </c>
      <c r="F82">
        <v>8</v>
      </c>
      <c r="G82">
        <v>8</v>
      </c>
      <c r="H82">
        <v>9</v>
      </c>
      <c r="I82">
        <v>11</v>
      </c>
      <c r="J82">
        <v>14</v>
      </c>
      <c r="K82">
        <v>15</v>
      </c>
      <c r="L82">
        <v>15</v>
      </c>
      <c r="M82">
        <v>16</v>
      </c>
      <c r="N82">
        <v>15</v>
      </c>
      <c r="O82">
        <v>13.25</v>
      </c>
      <c r="P82">
        <v>12.52</v>
      </c>
      <c r="Q82">
        <v>11</v>
      </c>
    </row>
    <row r="83" spans="1:21" x14ac:dyDescent="0.25">
      <c r="A83" t="s">
        <v>1775</v>
      </c>
      <c r="C83">
        <v>0.79</v>
      </c>
      <c r="D83">
        <v>1.35</v>
      </c>
      <c r="E83">
        <v>1.02</v>
      </c>
      <c r="F83">
        <v>4.76</v>
      </c>
      <c r="G83">
        <v>5.75</v>
      </c>
      <c r="H83">
        <v>7.69</v>
      </c>
      <c r="I83">
        <v>14.56</v>
      </c>
      <c r="J83">
        <v>28.53</v>
      </c>
      <c r="K83">
        <v>52.04</v>
      </c>
      <c r="L83">
        <v>75.23</v>
      </c>
      <c r="M83">
        <v>97.16</v>
      </c>
      <c r="N83">
        <v>118.13</v>
      </c>
      <c r="O83">
        <v>86.67</v>
      </c>
      <c r="P83">
        <v>86.67</v>
      </c>
      <c r="Q83">
        <v>86.67</v>
      </c>
    </row>
    <row r="84" spans="1:21" x14ac:dyDescent="0.25">
      <c r="A84" t="s">
        <v>61</v>
      </c>
      <c r="C84">
        <v>1</v>
      </c>
      <c r="D84">
        <v>2</v>
      </c>
      <c r="E84">
        <v>1</v>
      </c>
      <c r="F84">
        <v>2</v>
      </c>
      <c r="G84">
        <v>2</v>
      </c>
      <c r="H84">
        <v>2</v>
      </c>
      <c r="I84">
        <v>2</v>
      </c>
      <c r="J84">
        <v>3</v>
      </c>
      <c r="K84">
        <v>3</v>
      </c>
      <c r="L84">
        <v>4</v>
      </c>
      <c r="M84">
        <v>3</v>
      </c>
      <c r="N84">
        <v>4</v>
      </c>
      <c r="O84">
        <v>2.0699999999999998</v>
      </c>
      <c r="P84">
        <v>1.96</v>
      </c>
      <c r="Q84">
        <v>1.64</v>
      </c>
    </row>
    <row r="85" spans="1:21" x14ac:dyDescent="0.25">
      <c r="A85" t="s">
        <v>17</v>
      </c>
    </row>
    <row r="86" spans="1:21" x14ac:dyDescent="0.25">
      <c r="A86" t="s">
        <v>79</v>
      </c>
    </row>
    <row r="87" spans="1:21" x14ac:dyDescent="0.25">
      <c r="A87" t="s">
        <v>80</v>
      </c>
      <c r="E87">
        <v>125.72</v>
      </c>
      <c r="F87">
        <v>190.17</v>
      </c>
      <c r="G87">
        <v>302.83999999999997</v>
      </c>
      <c r="H87">
        <v>431.27</v>
      </c>
      <c r="I87">
        <v>673.1</v>
      </c>
      <c r="J87" s="2">
        <v>1090.95</v>
      </c>
      <c r="K87" s="2">
        <v>1616.95</v>
      </c>
      <c r="L87" s="2">
        <v>2167.77</v>
      </c>
      <c r="M87" s="2">
        <v>2673.12</v>
      </c>
      <c r="N87" s="2">
        <v>3352.52</v>
      </c>
      <c r="O87" s="2">
        <v>3926.53</v>
      </c>
      <c r="P87" s="2">
        <v>4574.8100000000004</v>
      </c>
      <c r="Q87" s="2">
        <v>5310.5</v>
      </c>
      <c r="R87" s="2">
        <v>6206</v>
      </c>
      <c r="S87" s="2">
        <v>7101.75</v>
      </c>
      <c r="T87" s="2">
        <v>8042.67</v>
      </c>
      <c r="U87" s="2">
        <v>9032.33</v>
      </c>
    </row>
    <row r="88" spans="1:21" x14ac:dyDescent="0.25">
      <c r="A88" t="s">
        <v>81</v>
      </c>
      <c r="C88">
        <v>53.71</v>
      </c>
      <c r="D88">
        <v>80.33</v>
      </c>
      <c r="E88">
        <v>125.72</v>
      </c>
      <c r="F88">
        <v>190.17</v>
      </c>
      <c r="G88">
        <v>302.83999999999997</v>
      </c>
      <c r="H88">
        <v>431.27</v>
      </c>
      <c r="I88">
        <v>673.1</v>
      </c>
      <c r="J88" s="2">
        <v>1090.95</v>
      </c>
      <c r="K88" s="2">
        <v>1616.95</v>
      </c>
      <c r="L88" s="2">
        <v>2167.77</v>
      </c>
      <c r="M88" s="2">
        <v>2673.12</v>
      </c>
      <c r="N88" s="2">
        <v>3352.52</v>
      </c>
      <c r="O88" s="2">
        <v>3936.31</v>
      </c>
      <c r="P88" s="2">
        <v>4587.75</v>
      </c>
      <c r="Q88" s="2">
        <v>5353.92</v>
      </c>
      <c r="R88" s="2">
        <v>6287.23</v>
      </c>
      <c r="S88" s="2">
        <v>7242.24</v>
      </c>
      <c r="T88" s="2">
        <v>8318.41</v>
      </c>
      <c r="U88" s="2">
        <v>9401.84</v>
      </c>
    </row>
    <row r="89" spans="1:21" x14ac:dyDescent="0.25">
      <c r="A89" t="s">
        <v>17</v>
      </c>
    </row>
    <row r="90" spans="1:21" x14ac:dyDescent="0.25">
      <c r="A90" t="s">
        <v>82</v>
      </c>
      <c r="G90">
        <v>55.99</v>
      </c>
      <c r="H90">
        <v>85.85</v>
      </c>
      <c r="I90">
        <v>128.58000000000001</v>
      </c>
      <c r="J90">
        <v>209.02</v>
      </c>
      <c r="K90">
        <v>312.95999999999998</v>
      </c>
      <c r="L90">
        <v>411.48</v>
      </c>
      <c r="M90">
        <v>532.07000000000005</v>
      </c>
      <c r="N90">
        <v>777.63</v>
      </c>
      <c r="O90">
        <v>783.11</v>
      </c>
      <c r="P90">
        <v>908.07</v>
      </c>
      <c r="Q90" s="2">
        <v>1054.3499999999999</v>
      </c>
      <c r="R90" s="2">
        <v>1225.25</v>
      </c>
      <c r="S90" s="2">
        <v>1403.67</v>
      </c>
      <c r="T90" s="2">
        <v>1594.56</v>
      </c>
      <c r="U90" s="2">
        <v>1796.42</v>
      </c>
    </row>
    <row r="91" spans="1:21" x14ac:dyDescent="0.25">
      <c r="A91" t="s">
        <v>84</v>
      </c>
      <c r="F91">
        <v>153.06</v>
      </c>
      <c r="G91">
        <v>246.84</v>
      </c>
      <c r="H91">
        <v>345.42</v>
      </c>
      <c r="I91">
        <v>544.52</v>
      </c>
      <c r="J91">
        <v>881.93</v>
      </c>
      <c r="K91" s="2">
        <v>1303.99</v>
      </c>
      <c r="L91" s="2">
        <v>1756.29</v>
      </c>
      <c r="M91" s="2">
        <v>2141.0500000000002</v>
      </c>
      <c r="N91" s="2">
        <v>2691.55</v>
      </c>
      <c r="O91" s="2">
        <v>3148.52</v>
      </c>
      <c r="P91" s="2">
        <v>3667.81</v>
      </c>
      <c r="Q91" s="2">
        <v>4274.17</v>
      </c>
      <c r="R91" s="2">
        <v>5010.07</v>
      </c>
      <c r="S91" s="2">
        <v>5727.56</v>
      </c>
      <c r="T91" s="2">
        <v>6491.61</v>
      </c>
      <c r="U91" s="2">
        <v>7294.67</v>
      </c>
    </row>
    <row r="92" spans="1:21" x14ac:dyDescent="0.25">
      <c r="A92" t="s">
        <v>85</v>
      </c>
      <c r="E92">
        <v>78</v>
      </c>
      <c r="F92">
        <v>80</v>
      </c>
      <c r="G92">
        <v>81</v>
      </c>
      <c r="H92">
        <v>80</v>
      </c>
      <c r="I92">
        <v>81</v>
      </c>
      <c r="J92">
        <v>81</v>
      </c>
      <c r="K92">
        <v>81</v>
      </c>
      <c r="L92">
        <v>81</v>
      </c>
      <c r="M92">
        <v>80</v>
      </c>
      <c r="N92">
        <v>80</v>
      </c>
      <c r="O92">
        <v>80.09</v>
      </c>
      <c r="P92">
        <v>80.16</v>
      </c>
      <c r="Q92">
        <v>80.27</v>
      </c>
      <c r="R92">
        <v>80.61</v>
      </c>
      <c r="S92">
        <v>80.66</v>
      </c>
      <c r="T92">
        <v>80.709999999999994</v>
      </c>
      <c r="U92">
        <v>80.760000000000005</v>
      </c>
    </row>
    <row r="93" spans="1:21" x14ac:dyDescent="0.25">
      <c r="A93" t="s">
        <v>17</v>
      </c>
    </row>
    <row r="94" spans="1:21" x14ac:dyDescent="0.25">
      <c r="A94" t="s">
        <v>275</v>
      </c>
      <c r="C94">
        <v>51.69</v>
      </c>
      <c r="D94">
        <v>87.04</v>
      </c>
      <c r="E94">
        <v>133.32</v>
      </c>
      <c r="F94">
        <v>186.92</v>
      </c>
      <c r="G94">
        <v>278.48</v>
      </c>
      <c r="H94">
        <v>449.49</v>
      </c>
      <c r="I94">
        <v>730.6</v>
      </c>
      <c r="J94" s="2">
        <v>1176.0899999999999</v>
      </c>
      <c r="K94" s="2">
        <v>1488.74</v>
      </c>
      <c r="L94" s="2">
        <v>1812.12</v>
      </c>
      <c r="M94" s="2">
        <v>2183.4</v>
      </c>
      <c r="N94" s="2">
        <v>2708.16</v>
      </c>
      <c r="O94" s="2">
        <v>3068.19</v>
      </c>
      <c r="P94" s="2">
        <v>3446.98</v>
      </c>
      <c r="Q94" s="2">
        <v>3940.78</v>
      </c>
      <c r="R94" s="2">
        <v>4385.59</v>
      </c>
      <c r="S94" s="2">
        <v>4862.22</v>
      </c>
      <c r="T94" s="2">
        <v>5378.76</v>
      </c>
      <c r="U94" s="2">
        <v>5906.84</v>
      </c>
    </row>
    <row r="95" spans="1:21" x14ac:dyDescent="0.25">
      <c r="A95" t="s">
        <v>276</v>
      </c>
    </row>
    <row r="96" spans="1:21" x14ac:dyDescent="0.25">
      <c r="A96" t="s">
        <v>394</v>
      </c>
      <c r="C96">
        <v>32.19</v>
      </c>
      <c r="D96">
        <v>56.7</v>
      </c>
      <c r="E96">
        <v>79.239999999999995</v>
      </c>
      <c r="F96">
        <v>116.41</v>
      </c>
      <c r="G96">
        <v>169.91</v>
      </c>
      <c r="H96">
        <v>277.98</v>
      </c>
      <c r="I96">
        <v>459.41</v>
      </c>
      <c r="J96">
        <v>735.22</v>
      </c>
      <c r="K96">
        <v>953.86</v>
      </c>
      <c r="L96" s="2">
        <v>1100.24</v>
      </c>
      <c r="M96" s="2">
        <v>1259.1600000000001</v>
      </c>
      <c r="N96" s="2">
        <v>1495.81</v>
      </c>
      <c r="O96" s="2">
        <v>1685.95</v>
      </c>
      <c r="P96" s="2">
        <v>1910.15</v>
      </c>
      <c r="Q96" s="2">
        <v>2160.16</v>
      </c>
      <c r="R96" s="2">
        <v>2382.0500000000002</v>
      </c>
      <c r="S96" s="2">
        <v>2605.35</v>
      </c>
      <c r="T96" s="2">
        <v>2964.69</v>
      </c>
      <c r="U96" s="2">
        <v>3240.46</v>
      </c>
    </row>
    <row r="97" spans="1:21" x14ac:dyDescent="0.25">
      <c r="A97" t="s">
        <v>115</v>
      </c>
      <c r="C97">
        <v>4.47</v>
      </c>
      <c r="D97">
        <v>9.4</v>
      </c>
      <c r="E97">
        <v>20.52</v>
      </c>
      <c r="F97">
        <v>31.14</v>
      </c>
      <c r="G97">
        <v>46.6</v>
      </c>
      <c r="H97">
        <v>73.63</v>
      </c>
      <c r="I97">
        <v>96.54</v>
      </c>
      <c r="J97">
        <v>151.74</v>
      </c>
      <c r="K97">
        <v>177.54</v>
      </c>
      <c r="L97">
        <v>212.05</v>
      </c>
      <c r="M97">
        <v>251.75</v>
      </c>
      <c r="N97">
        <v>308.95</v>
      </c>
      <c r="O97">
        <v>344.67</v>
      </c>
      <c r="P97">
        <v>384.97</v>
      </c>
      <c r="Q97">
        <v>428.33</v>
      </c>
      <c r="R97">
        <v>458.45</v>
      </c>
      <c r="S97">
        <v>498.78</v>
      </c>
      <c r="T97">
        <v>512.04999999999995</v>
      </c>
      <c r="U97">
        <v>540.55999999999995</v>
      </c>
    </row>
    <row r="98" spans="1:21" x14ac:dyDescent="0.25">
      <c r="A98" t="s">
        <v>76</v>
      </c>
      <c r="F98">
        <v>11</v>
      </c>
      <c r="G98">
        <v>9</v>
      </c>
      <c r="H98">
        <v>8</v>
      </c>
      <c r="I98">
        <v>7</v>
      </c>
      <c r="O98">
        <v>5.46</v>
      </c>
      <c r="P98">
        <v>5.32</v>
      </c>
      <c r="Q98">
        <v>5.14</v>
      </c>
      <c r="R98">
        <v>5.04</v>
      </c>
      <c r="S98">
        <v>4.96</v>
      </c>
      <c r="T98">
        <v>4.8600000000000003</v>
      </c>
      <c r="U98">
        <v>4.76</v>
      </c>
    </row>
    <row r="99" spans="1:21" x14ac:dyDescent="0.25">
      <c r="A99" t="s">
        <v>89</v>
      </c>
      <c r="C99">
        <v>15.03</v>
      </c>
      <c r="D99">
        <v>20.94</v>
      </c>
      <c r="E99">
        <v>33.56</v>
      </c>
      <c r="F99">
        <v>39.380000000000003</v>
      </c>
      <c r="G99">
        <v>61.97</v>
      </c>
      <c r="H99">
        <v>97.88</v>
      </c>
      <c r="I99">
        <v>174.65</v>
      </c>
      <c r="J99">
        <v>289.14</v>
      </c>
      <c r="K99">
        <v>349.74</v>
      </c>
      <c r="L99">
        <v>499.83</v>
      </c>
      <c r="M99">
        <v>672.49</v>
      </c>
      <c r="N99">
        <v>903.4</v>
      </c>
    </row>
    <row r="100" spans="1:21" x14ac:dyDescent="0.25">
      <c r="A100" t="s">
        <v>61</v>
      </c>
      <c r="G100">
        <v>15.22</v>
      </c>
      <c r="H100">
        <v>14.99</v>
      </c>
      <c r="I100">
        <v>15.07</v>
      </c>
      <c r="J100">
        <v>15.16</v>
      </c>
      <c r="K100">
        <v>14.09</v>
      </c>
      <c r="L100">
        <v>14.45</v>
      </c>
      <c r="M100">
        <v>15.33</v>
      </c>
      <c r="N100">
        <v>16.7</v>
      </c>
      <c r="O100">
        <v>16.46</v>
      </c>
      <c r="P100">
        <v>16.309999999999999</v>
      </c>
      <c r="Q100">
        <v>16.420000000000002</v>
      </c>
      <c r="R100">
        <v>17.3</v>
      </c>
      <c r="S100">
        <v>17.41</v>
      </c>
      <c r="T100">
        <v>17.649999999999999</v>
      </c>
      <c r="U100">
        <v>17.89</v>
      </c>
    </row>
    <row r="101" spans="1:21" x14ac:dyDescent="0.25">
      <c r="A101" t="s">
        <v>17</v>
      </c>
    </row>
    <row r="102" spans="1:21" x14ac:dyDescent="0.25">
      <c r="A102" t="s">
        <v>91</v>
      </c>
      <c r="E102">
        <v>-19.329999999999998</v>
      </c>
      <c r="F102">
        <v>-15.36</v>
      </c>
      <c r="G102">
        <v>25.1</v>
      </c>
      <c r="H102">
        <v>29.93</v>
      </c>
      <c r="I102">
        <v>77.959999999999994</v>
      </c>
      <c r="J102">
        <v>111.6</v>
      </c>
      <c r="K102">
        <v>240.82</v>
      </c>
      <c r="L102">
        <v>442.25</v>
      </c>
      <c r="M102">
        <v>580.13</v>
      </c>
      <c r="N102">
        <v>767.11</v>
      </c>
      <c r="O102">
        <v>928.5</v>
      </c>
      <c r="P102" s="2">
        <v>1122</v>
      </c>
      <c r="Q102" s="2">
        <v>1337.79</v>
      </c>
      <c r="R102" s="2">
        <v>1705</v>
      </c>
      <c r="S102" s="2">
        <v>2040</v>
      </c>
      <c r="T102" s="2">
        <v>2393</v>
      </c>
      <c r="U102" s="2">
        <v>2780</v>
      </c>
    </row>
    <row r="103" spans="1:21" x14ac:dyDescent="0.25">
      <c r="A103" t="s">
        <v>92</v>
      </c>
      <c r="F103">
        <v>-8.08</v>
      </c>
      <c r="G103">
        <v>9.7899999999999991</v>
      </c>
      <c r="H103">
        <v>8.85</v>
      </c>
      <c r="I103">
        <v>11.58</v>
      </c>
      <c r="J103">
        <v>10.23</v>
      </c>
      <c r="K103">
        <v>14.89</v>
      </c>
      <c r="L103">
        <v>20.399999999999999</v>
      </c>
      <c r="M103">
        <v>21.7</v>
      </c>
      <c r="N103">
        <v>22.88</v>
      </c>
      <c r="O103">
        <v>23.72</v>
      </c>
      <c r="P103">
        <v>24.67</v>
      </c>
      <c r="Q103">
        <v>25.75</v>
      </c>
      <c r="R103">
        <v>27.4</v>
      </c>
      <c r="S103">
        <v>28.69</v>
      </c>
      <c r="T103">
        <v>29.72</v>
      </c>
      <c r="U103">
        <v>30.75</v>
      </c>
    </row>
    <row r="104" spans="1:21" x14ac:dyDescent="0.25">
      <c r="A104" t="s">
        <v>17</v>
      </c>
    </row>
    <row r="105" spans="1:21" x14ac:dyDescent="0.25">
      <c r="A105" t="s">
        <v>93</v>
      </c>
      <c r="D105">
        <v>4.9000000000000004</v>
      </c>
      <c r="E105">
        <v>6.8</v>
      </c>
      <c r="F105">
        <v>7.99</v>
      </c>
      <c r="G105">
        <v>10.4</v>
      </c>
      <c r="H105">
        <v>17.73</v>
      </c>
      <c r="I105">
        <v>29.66</v>
      </c>
      <c r="J105">
        <v>49.47</v>
      </c>
      <c r="K105">
        <v>66.819999999999993</v>
      </c>
      <c r="L105">
        <v>80.930000000000007</v>
      </c>
      <c r="M105">
        <v>121.18</v>
      </c>
      <c r="N105">
        <v>192.01</v>
      </c>
    </row>
    <row r="106" spans="1:21" x14ac:dyDescent="0.25">
      <c r="A106" t="s">
        <v>94</v>
      </c>
      <c r="F106">
        <v>7.99</v>
      </c>
      <c r="G106">
        <v>9.49</v>
      </c>
      <c r="H106">
        <v>14.35</v>
      </c>
      <c r="I106">
        <v>22.87</v>
      </c>
      <c r="J106">
        <v>31.45</v>
      </c>
      <c r="K106">
        <v>55.76</v>
      </c>
      <c r="L106">
        <v>66.31</v>
      </c>
      <c r="M106">
        <v>104.36</v>
      </c>
      <c r="N106">
        <v>148.54</v>
      </c>
      <c r="O106">
        <v>186.03</v>
      </c>
      <c r="P106">
        <v>220</v>
      </c>
      <c r="Q106">
        <v>272.38</v>
      </c>
      <c r="R106">
        <v>247.94</v>
      </c>
      <c r="S106">
        <v>228.75</v>
      </c>
      <c r="T106">
        <v>268.29000000000002</v>
      </c>
      <c r="U106">
        <v>294.04000000000002</v>
      </c>
    </row>
    <row r="107" spans="1:21" x14ac:dyDescent="0.25">
      <c r="A107" t="s">
        <v>127</v>
      </c>
      <c r="G107">
        <v>0.91</v>
      </c>
      <c r="H107">
        <v>3.38</v>
      </c>
      <c r="I107">
        <v>6.8</v>
      </c>
      <c r="J107">
        <v>9.01</v>
      </c>
      <c r="K107">
        <v>11.06</v>
      </c>
      <c r="L107">
        <v>14.62</v>
      </c>
      <c r="M107">
        <v>16.82</v>
      </c>
      <c r="N107">
        <v>43.47</v>
      </c>
      <c r="O107">
        <v>47.83</v>
      </c>
      <c r="P107">
        <v>45.05</v>
      </c>
      <c r="Q107">
        <v>41.33</v>
      </c>
      <c r="R107">
        <v>66.290000000000006</v>
      </c>
      <c r="S107">
        <v>72.849999999999994</v>
      </c>
      <c r="T107">
        <v>79.55</v>
      </c>
      <c r="U107">
        <v>86.29</v>
      </c>
    </row>
    <row r="108" spans="1:21" x14ac:dyDescent="0.25">
      <c r="A108" t="s">
        <v>61</v>
      </c>
      <c r="C108">
        <v>5.31</v>
      </c>
      <c r="D108">
        <v>6.07</v>
      </c>
      <c r="E108">
        <v>5.44</v>
      </c>
      <c r="F108">
        <v>4.2</v>
      </c>
      <c r="G108">
        <v>3.73</v>
      </c>
      <c r="H108">
        <v>4.9000000000000004</v>
      </c>
      <c r="I108">
        <v>5.42</v>
      </c>
      <c r="J108">
        <v>4.53</v>
      </c>
      <c r="K108">
        <v>4.13</v>
      </c>
      <c r="L108">
        <v>3.73</v>
      </c>
      <c r="M108">
        <v>4.53</v>
      </c>
      <c r="N108">
        <v>5.73</v>
      </c>
      <c r="O108">
        <v>5.83</v>
      </c>
      <c r="P108">
        <v>5.52</v>
      </c>
      <c r="Q108">
        <v>5</v>
      </c>
      <c r="R108">
        <v>5</v>
      </c>
      <c r="S108">
        <v>4.9000000000000004</v>
      </c>
      <c r="T108">
        <v>4.8</v>
      </c>
      <c r="U108">
        <v>4.7</v>
      </c>
    </row>
    <row r="109" spans="1:21" x14ac:dyDescent="0.25">
      <c r="A109" t="s">
        <v>126</v>
      </c>
      <c r="G109">
        <v>0.51</v>
      </c>
      <c r="H109">
        <v>2.0299999999999998</v>
      </c>
      <c r="I109">
        <v>6.47</v>
      </c>
      <c r="J109">
        <v>7.98</v>
      </c>
      <c r="K109">
        <v>9.57</v>
      </c>
      <c r="L109">
        <v>12.88</v>
      </c>
      <c r="M109">
        <v>14.98</v>
      </c>
      <c r="N109">
        <v>27.86</v>
      </c>
      <c r="O109">
        <v>32.04</v>
      </c>
      <c r="P109">
        <v>32.54</v>
      </c>
      <c r="Q109">
        <v>35.19</v>
      </c>
      <c r="R109">
        <v>54.6</v>
      </c>
      <c r="S109">
        <v>61.22</v>
      </c>
      <c r="T109">
        <v>68.16</v>
      </c>
      <c r="U109">
        <v>75.31</v>
      </c>
    </row>
    <row r="110" spans="1:21" x14ac:dyDescent="0.25">
      <c r="A110" t="s">
        <v>394</v>
      </c>
      <c r="G110">
        <v>0.01</v>
      </c>
      <c r="H110">
        <v>7.0000000000000007E-2</v>
      </c>
      <c r="I110">
        <v>0.33</v>
      </c>
      <c r="J110">
        <v>0.7</v>
      </c>
      <c r="K110">
        <v>0.77</v>
      </c>
      <c r="L110">
        <v>1.23</v>
      </c>
      <c r="M110">
        <v>1.7</v>
      </c>
      <c r="N110">
        <v>15.61</v>
      </c>
      <c r="O110">
        <v>16.79</v>
      </c>
      <c r="P110">
        <v>16.149999999999999</v>
      </c>
      <c r="Q110">
        <v>14.99</v>
      </c>
      <c r="R110">
        <v>8.08</v>
      </c>
      <c r="S110">
        <v>8.08</v>
      </c>
      <c r="T110">
        <v>8.08</v>
      </c>
      <c r="U110">
        <v>8.08</v>
      </c>
    </row>
    <row r="111" spans="1:21" x14ac:dyDescent="0.25">
      <c r="A111" t="s">
        <v>277</v>
      </c>
      <c r="E111">
        <v>-12.49</v>
      </c>
      <c r="F111">
        <v>-7.37</v>
      </c>
      <c r="G111">
        <v>35.5</v>
      </c>
      <c r="H111">
        <v>47.66</v>
      </c>
      <c r="I111">
        <v>107.62</v>
      </c>
      <c r="J111">
        <v>152.06</v>
      </c>
      <c r="K111">
        <v>296.57</v>
      </c>
      <c r="L111">
        <v>523.17999999999995</v>
      </c>
      <c r="M111">
        <v>684.49</v>
      </c>
      <c r="N111">
        <v>915.65</v>
      </c>
      <c r="O111" s="2">
        <v>1093.56</v>
      </c>
      <c r="P111" s="2">
        <v>1327.56</v>
      </c>
      <c r="Q111" s="2">
        <v>1525.7</v>
      </c>
      <c r="R111" s="2">
        <v>1889</v>
      </c>
      <c r="S111" s="2">
        <v>2219.5</v>
      </c>
      <c r="T111" s="2">
        <v>2580</v>
      </c>
      <c r="U111" s="2">
        <v>2971.5</v>
      </c>
    </row>
    <row r="112" spans="1:21" x14ac:dyDescent="0.25">
      <c r="A112" t="s">
        <v>17</v>
      </c>
    </row>
    <row r="113" spans="1:21" x14ac:dyDescent="0.25">
      <c r="A113" t="s">
        <v>95</v>
      </c>
      <c r="C113">
        <v>0.18</v>
      </c>
      <c r="D113">
        <v>0.13</v>
      </c>
      <c r="E113">
        <v>-0.49</v>
      </c>
      <c r="F113">
        <v>-2.3199999999999998</v>
      </c>
      <c r="G113">
        <v>-7.4</v>
      </c>
      <c r="H113">
        <v>-1.23</v>
      </c>
      <c r="I113">
        <v>49.37</v>
      </c>
      <c r="J113">
        <v>56.2</v>
      </c>
      <c r="K113">
        <v>-52.06</v>
      </c>
      <c r="L113">
        <v>-92.25</v>
      </c>
      <c r="M113">
        <v>-110.17</v>
      </c>
      <c r="N113">
        <v>-116.13</v>
      </c>
      <c r="O113">
        <v>-134.47999999999999</v>
      </c>
      <c r="P113">
        <v>-139.34</v>
      </c>
      <c r="Q113">
        <v>-155.87</v>
      </c>
    </row>
    <row r="114" spans="1:21" x14ac:dyDescent="0.25">
      <c r="A114" t="s">
        <v>392</v>
      </c>
      <c r="H114">
        <v>-1.45</v>
      </c>
      <c r="I114">
        <v>50.55</v>
      </c>
      <c r="J114">
        <v>51.99</v>
      </c>
      <c r="K114">
        <v>-53.92</v>
      </c>
      <c r="L114">
        <v>-96</v>
      </c>
      <c r="M114">
        <v>-115.84</v>
      </c>
      <c r="N114">
        <v>-124.34</v>
      </c>
      <c r="O114">
        <v>-162.03</v>
      </c>
      <c r="P114">
        <v>-203.16</v>
      </c>
      <c r="Q114">
        <v>-321.95999999999998</v>
      </c>
    </row>
    <row r="115" spans="1:21" x14ac:dyDescent="0.25">
      <c r="A115" t="s">
        <v>484</v>
      </c>
      <c r="H115">
        <v>5.03</v>
      </c>
      <c r="I115">
        <v>53.36</v>
      </c>
      <c r="J115">
        <v>56.58</v>
      </c>
      <c r="K115">
        <v>6.54</v>
      </c>
      <c r="L115">
        <v>13.13</v>
      </c>
      <c r="M115">
        <v>9.52</v>
      </c>
      <c r="N115">
        <v>11.79</v>
      </c>
      <c r="O115">
        <v>11.65</v>
      </c>
      <c r="P115">
        <v>10.08</v>
      </c>
      <c r="Q115">
        <v>11.22</v>
      </c>
    </row>
    <row r="116" spans="1:21" x14ac:dyDescent="0.25">
      <c r="A116" t="s">
        <v>398</v>
      </c>
      <c r="D116">
        <v>0.28999999999999998</v>
      </c>
      <c r="E116">
        <v>0.6</v>
      </c>
      <c r="F116">
        <v>2.2400000000000002</v>
      </c>
      <c r="G116">
        <v>7.73</v>
      </c>
      <c r="H116">
        <v>6.48</v>
      </c>
      <c r="I116">
        <v>2.81</v>
      </c>
      <c r="J116">
        <v>4.59</v>
      </c>
      <c r="K116">
        <v>60.46</v>
      </c>
      <c r="L116">
        <v>109.13</v>
      </c>
      <c r="M116">
        <v>125.36</v>
      </c>
      <c r="N116">
        <v>136.13</v>
      </c>
      <c r="O116">
        <v>146.4</v>
      </c>
      <c r="P116">
        <v>157.35</v>
      </c>
      <c r="Q116">
        <v>174.05</v>
      </c>
      <c r="R116">
        <v>182.13</v>
      </c>
      <c r="S116">
        <v>206.43</v>
      </c>
      <c r="T116">
        <v>284.64</v>
      </c>
      <c r="U116">
        <v>338.57</v>
      </c>
    </row>
    <row r="117" spans="1:21" x14ac:dyDescent="0.25">
      <c r="A117" t="s">
        <v>1776</v>
      </c>
      <c r="C117">
        <v>0.18</v>
      </c>
      <c r="D117">
        <v>0.42</v>
      </c>
      <c r="E117">
        <v>0.11</v>
      </c>
      <c r="F117">
        <v>-0.08</v>
      </c>
      <c r="G117">
        <v>0.33</v>
      </c>
      <c r="H117">
        <v>0.22</v>
      </c>
      <c r="I117">
        <v>-1.19</v>
      </c>
      <c r="J117">
        <v>4.21</v>
      </c>
      <c r="K117">
        <v>1.86</v>
      </c>
      <c r="L117">
        <v>3.75</v>
      </c>
      <c r="M117">
        <v>5.67</v>
      </c>
      <c r="N117">
        <v>8.2100000000000009</v>
      </c>
      <c r="O117">
        <v>8.2799999999999994</v>
      </c>
      <c r="P117">
        <v>10.42</v>
      </c>
      <c r="Q117">
        <v>10.48</v>
      </c>
      <c r="R117">
        <v>4.5</v>
      </c>
      <c r="S117">
        <v>4.5</v>
      </c>
      <c r="T117">
        <v>4.5</v>
      </c>
      <c r="U117">
        <v>4.5</v>
      </c>
    </row>
    <row r="118" spans="1:21" x14ac:dyDescent="0.25">
      <c r="A118" t="s">
        <v>100</v>
      </c>
      <c r="E118">
        <v>-18.84</v>
      </c>
      <c r="F118">
        <v>-13.05</v>
      </c>
      <c r="G118">
        <v>32.5</v>
      </c>
      <c r="H118">
        <v>36.04</v>
      </c>
      <c r="I118">
        <v>80.52</v>
      </c>
      <c r="J118">
        <v>107.94</v>
      </c>
      <c r="K118">
        <v>290.20999999999998</v>
      </c>
      <c r="L118">
        <v>538.41</v>
      </c>
      <c r="M118">
        <v>694.59</v>
      </c>
      <c r="N118">
        <v>891.4</v>
      </c>
      <c r="O118" s="2">
        <v>1068.57</v>
      </c>
      <c r="P118" s="2">
        <v>1267.6300000000001</v>
      </c>
      <c r="Q118" s="2">
        <v>1529.74</v>
      </c>
      <c r="R118" s="2">
        <v>1953.5</v>
      </c>
      <c r="S118" s="2">
        <v>2330.5</v>
      </c>
      <c r="T118" s="2">
        <v>2725</v>
      </c>
      <c r="U118" s="2">
        <v>3149</v>
      </c>
    </row>
    <row r="119" spans="1:21" x14ac:dyDescent="0.25">
      <c r="A119" t="s">
        <v>83</v>
      </c>
      <c r="G119">
        <v>12.24</v>
      </c>
      <c r="H119">
        <v>10.27</v>
      </c>
      <c r="I119">
        <v>11.96</v>
      </c>
      <c r="J119">
        <v>10.130000000000001</v>
      </c>
      <c r="K119">
        <v>18.350000000000001</v>
      </c>
      <c r="L119">
        <v>0</v>
      </c>
      <c r="M119">
        <v>25.98</v>
      </c>
      <c r="N119">
        <v>26.59</v>
      </c>
      <c r="O119">
        <v>27.21</v>
      </c>
      <c r="P119">
        <v>27.65</v>
      </c>
      <c r="Q119">
        <v>28.33</v>
      </c>
    </row>
    <row r="120" spans="1:21" x14ac:dyDescent="0.25">
      <c r="A120" t="s">
        <v>17</v>
      </c>
    </row>
    <row r="121" spans="1:21" x14ac:dyDescent="0.25">
      <c r="A121" t="s">
        <v>101</v>
      </c>
      <c r="D121">
        <v>0.47</v>
      </c>
      <c r="E121">
        <v>0.88</v>
      </c>
      <c r="F121">
        <v>1.34</v>
      </c>
      <c r="G121">
        <v>0.74</v>
      </c>
      <c r="H121">
        <v>2.39</v>
      </c>
      <c r="I121">
        <v>4.8499999999999996</v>
      </c>
      <c r="J121">
        <v>6.65</v>
      </c>
      <c r="K121">
        <v>19.77</v>
      </c>
      <c r="L121">
        <v>28.48</v>
      </c>
      <c r="M121">
        <v>23.19</v>
      </c>
      <c r="N121">
        <v>46.04</v>
      </c>
      <c r="O121">
        <v>44.38</v>
      </c>
      <c r="P121">
        <v>65.010000000000005</v>
      </c>
      <c r="Q121">
        <v>77.959999999999994</v>
      </c>
      <c r="R121">
        <v>128.27000000000001</v>
      </c>
      <c r="S121">
        <v>200.15</v>
      </c>
      <c r="T121">
        <v>276.11</v>
      </c>
      <c r="U121">
        <v>371.54</v>
      </c>
    </row>
    <row r="122" spans="1:21" x14ac:dyDescent="0.25">
      <c r="A122" t="s">
        <v>17</v>
      </c>
    </row>
    <row r="123" spans="1:21" x14ac:dyDescent="0.25">
      <c r="A123" t="s">
        <v>106</v>
      </c>
      <c r="E123">
        <v>-35.46</v>
      </c>
      <c r="F123">
        <v>-14.38</v>
      </c>
      <c r="G123">
        <v>30.33</v>
      </c>
      <c r="H123">
        <v>32.54</v>
      </c>
      <c r="I123">
        <v>75.67</v>
      </c>
      <c r="J123">
        <v>101.3</v>
      </c>
      <c r="K123">
        <v>277</v>
      </c>
      <c r="L123">
        <v>508.07</v>
      </c>
      <c r="M123">
        <v>534.84</v>
      </c>
      <c r="N123">
        <v>704.21</v>
      </c>
      <c r="O123">
        <v>844.45</v>
      </c>
      <c r="P123">
        <v>998.63</v>
      </c>
      <c r="Q123" s="2">
        <v>1193.83</v>
      </c>
      <c r="R123" s="2">
        <v>1431.5</v>
      </c>
      <c r="S123" s="2">
        <v>1832</v>
      </c>
      <c r="T123" s="2">
        <v>1996.67</v>
      </c>
      <c r="U123" s="2">
        <v>2314.33</v>
      </c>
    </row>
    <row r="124" spans="1:21" x14ac:dyDescent="0.25">
      <c r="A124" t="s">
        <v>107</v>
      </c>
      <c r="E124">
        <v>-15.68</v>
      </c>
      <c r="F124">
        <v>-7.56</v>
      </c>
      <c r="G124">
        <v>12.57</v>
      </c>
      <c r="H124">
        <v>9.4600000000000009</v>
      </c>
      <c r="I124">
        <v>11.24</v>
      </c>
      <c r="J124">
        <v>9.2899999999999991</v>
      </c>
      <c r="K124">
        <v>17.13</v>
      </c>
      <c r="L124">
        <v>23.44</v>
      </c>
      <c r="M124">
        <v>20.010000000000002</v>
      </c>
      <c r="N124">
        <v>21.01</v>
      </c>
      <c r="O124">
        <v>21.31</v>
      </c>
      <c r="P124">
        <v>21.64</v>
      </c>
      <c r="Q124">
        <v>22.74</v>
      </c>
      <c r="R124">
        <v>22.8</v>
      </c>
      <c r="S124">
        <v>27.45</v>
      </c>
      <c r="T124">
        <v>24.8</v>
      </c>
    </row>
    <row r="125" spans="1:21" x14ac:dyDescent="0.25">
      <c r="A125" t="s">
        <v>17</v>
      </c>
    </row>
    <row r="126" spans="1:21" x14ac:dyDescent="0.25">
      <c r="A126" t="s">
        <v>108</v>
      </c>
      <c r="C126">
        <v>15.68</v>
      </c>
      <c r="D126">
        <v>17.68</v>
      </c>
      <c r="E126">
        <v>19.48</v>
      </c>
      <c r="F126">
        <v>63.88</v>
      </c>
      <c r="G126">
        <v>123.57</v>
      </c>
      <c r="H126">
        <v>129.32</v>
      </c>
      <c r="I126">
        <v>135.65</v>
      </c>
      <c r="J126">
        <v>140.9</v>
      </c>
      <c r="K126">
        <v>144.94</v>
      </c>
      <c r="L126">
        <v>149.59</v>
      </c>
      <c r="M126">
        <v>154.4</v>
      </c>
      <c r="N126">
        <v>160.22</v>
      </c>
      <c r="O126">
        <v>166.32</v>
      </c>
      <c r="P126">
        <v>171.01</v>
      </c>
      <c r="Q126">
        <v>174.48</v>
      </c>
      <c r="R126">
        <v>175.15</v>
      </c>
      <c r="S126">
        <v>179.15</v>
      </c>
      <c r="T126">
        <v>204.3</v>
      </c>
      <c r="U126">
        <v>212.3</v>
      </c>
    </row>
    <row r="127" spans="1:21" x14ac:dyDescent="0.25">
      <c r="A127" t="s">
        <v>109</v>
      </c>
      <c r="E127">
        <v>19.48</v>
      </c>
      <c r="F127">
        <v>63.88</v>
      </c>
      <c r="G127">
        <v>135.88</v>
      </c>
      <c r="H127">
        <v>138.22999999999999</v>
      </c>
      <c r="I127">
        <v>144.85</v>
      </c>
      <c r="J127">
        <v>147.25</v>
      </c>
      <c r="K127">
        <v>155.74</v>
      </c>
      <c r="L127">
        <v>159.82</v>
      </c>
      <c r="M127">
        <v>163.41</v>
      </c>
      <c r="N127">
        <v>167.1</v>
      </c>
      <c r="O127">
        <v>172.66</v>
      </c>
      <c r="P127">
        <v>178.32</v>
      </c>
      <c r="Q127">
        <v>182.9</v>
      </c>
      <c r="R127">
        <v>186.59</v>
      </c>
      <c r="S127">
        <v>191.18</v>
      </c>
      <c r="T127">
        <v>195.45</v>
      </c>
      <c r="U127">
        <v>199.64</v>
      </c>
    </row>
    <row r="128" spans="1:21" x14ac:dyDescent="0.25">
      <c r="A128" t="s">
        <v>110</v>
      </c>
      <c r="E128">
        <v>-0.53</v>
      </c>
      <c r="F128">
        <v>-0.23</v>
      </c>
      <c r="G128">
        <v>0.22</v>
      </c>
      <c r="H128">
        <v>0.24</v>
      </c>
      <c r="I128">
        <v>0.52</v>
      </c>
      <c r="J128">
        <v>0.69</v>
      </c>
      <c r="K128">
        <v>1.79</v>
      </c>
      <c r="L128">
        <v>3.19</v>
      </c>
      <c r="M128">
        <v>3.28</v>
      </c>
      <c r="N128">
        <v>4.21</v>
      </c>
      <c r="O128">
        <v>4.8899999999999997</v>
      </c>
      <c r="P128">
        <v>5.6</v>
      </c>
      <c r="Q128">
        <v>6.52</v>
      </c>
      <c r="R128">
        <v>7.98</v>
      </c>
      <c r="S128">
        <v>9.98</v>
      </c>
      <c r="T128">
        <v>10.27</v>
      </c>
      <c r="U128">
        <v>11.66</v>
      </c>
    </row>
    <row r="129" spans="1:21" x14ac:dyDescent="0.25">
      <c r="A129" t="s">
        <v>17</v>
      </c>
    </row>
    <row r="130" spans="1:21" x14ac:dyDescent="0.25">
      <c r="A130" t="s">
        <v>282</v>
      </c>
    </row>
    <row r="131" spans="1:21" x14ac:dyDescent="0.25">
      <c r="A131" t="s">
        <v>62</v>
      </c>
      <c r="C131">
        <v>14.43</v>
      </c>
      <c r="D131">
        <v>20.13</v>
      </c>
      <c r="E131">
        <v>27.47</v>
      </c>
      <c r="F131">
        <v>37.880000000000003</v>
      </c>
      <c r="G131">
        <v>59.67</v>
      </c>
      <c r="H131">
        <v>95.73</v>
      </c>
      <c r="I131">
        <v>150.32</v>
      </c>
      <c r="J131">
        <v>242.28</v>
      </c>
      <c r="K131">
        <v>362.83</v>
      </c>
      <c r="L131">
        <v>477.13</v>
      </c>
      <c r="M131">
        <v>618.17999999999995</v>
      </c>
      <c r="N131">
        <v>777.63</v>
      </c>
      <c r="O131">
        <v>909.16</v>
      </c>
      <c r="P131" s="2">
        <v>1044.1099999999999</v>
      </c>
      <c r="Q131" s="2">
        <v>1202.44</v>
      </c>
      <c r="R131" s="2">
        <v>1393.96</v>
      </c>
      <c r="S131" s="2">
        <v>1586.07</v>
      </c>
      <c r="T131" s="2">
        <v>1817.51</v>
      </c>
      <c r="U131" s="2">
        <v>2042.75</v>
      </c>
    </row>
    <row r="132" spans="1:21" x14ac:dyDescent="0.25">
      <c r="A132" t="s">
        <v>61</v>
      </c>
      <c r="C132">
        <v>26.87</v>
      </c>
      <c r="D132">
        <v>25.06</v>
      </c>
      <c r="E132">
        <v>21.85</v>
      </c>
      <c r="F132">
        <v>19.920000000000002</v>
      </c>
      <c r="G132">
        <v>19.7</v>
      </c>
      <c r="H132">
        <v>22.2</v>
      </c>
      <c r="I132">
        <v>22.33</v>
      </c>
      <c r="J132">
        <v>22.21</v>
      </c>
      <c r="K132">
        <v>22.44</v>
      </c>
      <c r="L132">
        <v>22.01</v>
      </c>
      <c r="M132">
        <v>23.13</v>
      </c>
      <c r="N132">
        <v>23.2</v>
      </c>
      <c r="O132">
        <v>21.25</v>
      </c>
      <c r="P132">
        <v>21.36</v>
      </c>
      <c r="Q132">
        <v>21.37</v>
      </c>
      <c r="R132">
        <v>21.61</v>
      </c>
      <c r="S132">
        <v>21.63</v>
      </c>
      <c r="T132">
        <v>21.64</v>
      </c>
      <c r="U132">
        <v>21.62</v>
      </c>
    </row>
    <row r="133" spans="1:21" x14ac:dyDescent="0.25">
      <c r="A133" t="s">
        <v>63</v>
      </c>
      <c r="C133">
        <v>39.28</v>
      </c>
      <c r="D133">
        <v>60.2</v>
      </c>
      <c r="E133">
        <v>98.25</v>
      </c>
      <c r="F133">
        <v>152.30000000000001</v>
      </c>
      <c r="G133">
        <v>243.17</v>
      </c>
      <c r="H133">
        <v>335.54</v>
      </c>
      <c r="I133">
        <v>522.78</v>
      </c>
      <c r="J133">
        <v>848.66</v>
      </c>
      <c r="K133" s="2">
        <v>1254.1199999999999</v>
      </c>
      <c r="L133" s="2">
        <v>1690.64</v>
      </c>
      <c r="M133" s="2">
        <v>2054.94</v>
      </c>
      <c r="N133" s="2">
        <v>2574.89</v>
      </c>
      <c r="O133" s="2">
        <v>3025.66</v>
      </c>
      <c r="P133" s="2">
        <v>3534.06</v>
      </c>
      <c r="Q133" s="2">
        <v>4121.87</v>
      </c>
      <c r="R133" s="2">
        <v>4831.3599999999997</v>
      </c>
      <c r="S133" s="2">
        <v>5566.93</v>
      </c>
      <c r="T133" s="2">
        <v>6373.09</v>
      </c>
      <c r="U133" s="2">
        <v>7244.5</v>
      </c>
    </row>
    <row r="134" spans="1:21" x14ac:dyDescent="0.25">
      <c r="A134" t="s">
        <v>87</v>
      </c>
      <c r="C134">
        <v>51.69</v>
      </c>
      <c r="D134">
        <v>87.04</v>
      </c>
      <c r="E134">
        <v>133.32</v>
      </c>
      <c r="F134">
        <v>186.92</v>
      </c>
      <c r="G134">
        <v>278.48</v>
      </c>
      <c r="H134">
        <v>449.49</v>
      </c>
      <c r="I134">
        <v>730.6</v>
      </c>
      <c r="J134" s="2">
        <v>1176.0899999999999</v>
      </c>
      <c r="K134" s="2">
        <v>1488.74</v>
      </c>
      <c r="L134" s="2">
        <v>1812.12</v>
      </c>
      <c r="M134" s="2">
        <v>2183.4</v>
      </c>
      <c r="N134" s="2">
        <v>2708.16</v>
      </c>
      <c r="O134" s="2">
        <v>3068.19</v>
      </c>
      <c r="P134" s="2">
        <v>3446.98</v>
      </c>
      <c r="Q134" s="2">
        <v>3940.78</v>
      </c>
      <c r="R134" s="2">
        <v>4385.59</v>
      </c>
      <c r="S134" s="2">
        <v>4862.22</v>
      </c>
      <c r="T134" s="2">
        <v>5378.76</v>
      </c>
      <c r="U134" s="2">
        <v>5906.84</v>
      </c>
    </row>
    <row r="135" spans="1:21" x14ac:dyDescent="0.25">
      <c r="A135" t="s">
        <v>61</v>
      </c>
      <c r="C135">
        <v>96.25</v>
      </c>
      <c r="D135">
        <v>108.36</v>
      </c>
      <c r="E135">
        <v>106.05</v>
      </c>
      <c r="F135">
        <v>98.29</v>
      </c>
      <c r="G135">
        <v>91.96</v>
      </c>
      <c r="H135">
        <v>104.23</v>
      </c>
      <c r="I135">
        <v>108.54</v>
      </c>
      <c r="J135">
        <v>107.8</v>
      </c>
      <c r="K135">
        <v>92.07</v>
      </c>
      <c r="L135">
        <v>83.59</v>
      </c>
      <c r="M135">
        <v>81.680000000000007</v>
      </c>
      <c r="N135">
        <v>80.78</v>
      </c>
      <c r="O135">
        <v>77.739999999999995</v>
      </c>
      <c r="P135">
        <v>89.37</v>
      </c>
      <c r="Q135">
        <v>72.55</v>
      </c>
    </row>
    <row r="136" spans="1:21" x14ac:dyDescent="0.25">
      <c r="A136" t="s">
        <v>394</v>
      </c>
      <c r="C136">
        <v>32.19</v>
      </c>
      <c r="D136">
        <v>56.7</v>
      </c>
      <c r="E136">
        <v>79.239999999999995</v>
      </c>
      <c r="F136">
        <v>116.41</v>
      </c>
      <c r="G136">
        <v>169.91</v>
      </c>
      <c r="H136">
        <v>277.98</v>
      </c>
      <c r="I136">
        <v>459.41</v>
      </c>
      <c r="J136">
        <v>735.22</v>
      </c>
      <c r="K136">
        <v>953.86</v>
      </c>
      <c r="L136" s="2">
        <v>1100.24</v>
      </c>
      <c r="M136" s="2">
        <v>1259.1600000000001</v>
      </c>
      <c r="N136" s="2">
        <v>1495.81</v>
      </c>
      <c r="O136" s="2">
        <v>1685.95</v>
      </c>
      <c r="P136" s="2">
        <v>1910.15</v>
      </c>
      <c r="Q136" s="2">
        <v>2160.16</v>
      </c>
      <c r="R136" s="2">
        <v>2382.0500000000002</v>
      </c>
      <c r="S136" s="2">
        <v>2605.35</v>
      </c>
      <c r="T136" s="2">
        <v>2964.69</v>
      </c>
      <c r="U136" s="2">
        <v>3240.46</v>
      </c>
    </row>
    <row r="137" spans="1:21" x14ac:dyDescent="0.25">
      <c r="A137" t="s">
        <v>115</v>
      </c>
      <c r="C137">
        <v>4.47</v>
      </c>
      <c r="D137">
        <v>9.4</v>
      </c>
      <c r="E137">
        <v>20.52</v>
      </c>
      <c r="F137">
        <v>31.14</v>
      </c>
      <c r="G137">
        <v>46.6</v>
      </c>
      <c r="H137">
        <v>73.63</v>
      </c>
      <c r="I137">
        <v>96.54</v>
      </c>
      <c r="J137">
        <v>151.74</v>
      </c>
      <c r="K137">
        <v>177.54</v>
      </c>
      <c r="L137">
        <v>212.05</v>
      </c>
      <c r="M137">
        <v>251.75</v>
      </c>
      <c r="N137">
        <v>308.95</v>
      </c>
      <c r="O137">
        <v>344.67</v>
      </c>
      <c r="P137">
        <v>384.97</v>
      </c>
      <c r="Q137">
        <v>428.33</v>
      </c>
      <c r="R137">
        <v>458.45</v>
      </c>
      <c r="S137">
        <v>498.78</v>
      </c>
      <c r="T137">
        <v>512.04999999999995</v>
      </c>
      <c r="U137">
        <v>540.55999999999995</v>
      </c>
    </row>
    <row r="138" spans="1:21" x14ac:dyDescent="0.25">
      <c r="A138" t="s">
        <v>114</v>
      </c>
      <c r="C138">
        <v>15.03</v>
      </c>
      <c r="D138">
        <v>20.94</v>
      </c>
      <c r="E138">
        <v>33.56</v>
      </c>
      <c r="F138">
        <v>39.380000000000003</v>
      </c>
      <c r="G138">
        <v>61.97</v>
      </c>
      <c r="H138">
        <v>97.88</v>
      </c>
      <c r="I138">
        <v>174.65</v>
      </c>
      <c r="J138">
        <v>289.14</v>
      </c>
      <c r="K138">
        <v>349.74</v>
      </c>
      <c r="L138">
        <v>499.83</v>
      </c>
      <c r="M138">
        <v>672.49</v>
      </c>
      <c r="N138">
        <v>903.4</v>
      </c>
      <c r="O138" s="2">
        <v>1043.4000000000001</v>
      </c>
      <c r="P138" s="2">
        <v>1183.31</v>
      </c>
      <c r="Q138" s="2">
        <v>1353.57</v>
      </c>
      <c r="R138" s="2">
        <v>1490.57</v>
      </c>
      <c r="S138" s="2">
        <v>1657.68</v>
      </c>
      <c r="T138" s="2">
        <v>1902.02</v>
      </c>
      <c r="U138" s="2">
        <v>2125.83</v>
      </c>
    </row>
    <row r="139" spans="1:21" x14ac:dyDescent="0.25">
      <c r="A139" t="s">
        <v>76</v>
      </c>
      <c r="C139">
        <v>27.99</v>
      </c>
      <c r="D139">
        <v>26.07</v>
      </c>
      <c r="E139">
        <v>26.7</v>
      </c>
      <c r="F139">
        <v>20.71</v>
      </c>
      <c r="G139">
        <v>20.46</v>
      </c>
      <c r="H139">
        <v>22.7</v>
      </c>
      <c r="I139">
        <v>25.95</v>
      </c>
      <c r="J139">
        <v>26.5</v>
      </c>
      <c r="K139">
        <v>21.63</v>
      </c>
      <c r="L139">
        <v>23.06</v>
      </c>
      <c r="M139">
        <v>25.16</v>
      </c>
      <c r="N139">
        <v>26.95</v>
      </c>
      <c r="O139">
        <v>26.14</v>
      </c>
      <c r="P139">
        <v>25.38</v>
      </c>
      <c r="Q139">
        <v>25.19</v>
      </c>
      <c r="R139">
        <v>24.1</v>
      </c>
      <c r="S139">
        <v>23.57</v>
      </c>
      <c r="T139">
        <v>23.23</v>
      </c>
      <c r="U139">
        <v>22.89</v>
      </c>
    </row>
    <row r="140" spans="1:21" x14ac:dyDescent="0.25">
      <c r="A140" t="s">
        <v>116</v>
      </c>
      <c r="C140">
        <v>-12.42</v>
      </c>
      <c r="D140">
        <v>-26.84</v>
      </c>
      <c r="E140">
        <v>-35.07</v>
      </c>
      <c r="F140">
        <v>-34.619999999999997</v>
      </c>
      <c r="G140">
        <v>-35.31</v>
      </c>
      <c r="H140">
        <v>-113.96</v>
      </c>
      <c r="I140">
        <v>-207.81</v>
      </c>
      <c r="J140">
        <v>-327.43</v>
      </c>
      <c r="K140">
        <v>-234.62</v>
      </c>
      <c r="L140">
        <v>-121.48</v>
      </c>
      <c r="M140">
        <v>-128.46</v>
      </c>
      <c r="N140">
        <v>-133.27000000000001</v>
      </c>
      <c r="O140">
        <v>-61.85</v>
      </c>
      <c r="P140">
        <v>49.51</v>
      </c>
      <c r="Q140">
        <v>141.57</v>
      </c>
      <c r="R140">
        <v>501.19</v>
      </c>
      <c r="S140">
        <v>798.64</v>
      </c>
      <c r="T140" s="2">
        <v>1031.2</v>
      </c>
      <c r="U140" s="2">
        <v>1383.11</v>
      </c>
    </row>
    <row r="141" spans="1:21" x14ac:dyDescent="0.25">
      <c r="A141" t="s">
        <v>269</v>
      </c>
      <c r="C141">
        <v>-23.12</v>
      </c>
      <c r="D141">
        <v>-33.42</v>
      </c>
      <c r="E141">
        <v>-27.9</v>
      </c>
      <c r="F141">
        <v>-18.21</v>
      </c>
      <c r="G141">
        <v>-11.66</v>
      </c>
      <c r="H141">
        <v>-26.42</v>
      </c>
      <c r="I141">
        <v>-30.87</v>
      </c>
      <c r="J141">
        <v>-30.01</v>
      </c>
      <c r="K141">
        <v>-14.51</v>
      </c>
      <c r="L141">
        <v>-5.6</v>
      </c>
      <c r="M141">
        <v>-4.8099999999999996</v>
      </c>
      <c r="N141">
        <v>-3.98</v>
      </c>
      <c r="O141">
        <v>-1.3</v>
      </c>
      <c r="P141">
        <v>1.63</v>
      </c>
      <c r="Q141">
        <v>3.18</v>
      </c>
      <c r="R141">
        <v>6.77</v>
      </c>
      <c r="S141">
        <v>10.06</v>
      </c>
      <c r="T141">
        <v>11.41</v>
      </c>
      <c r="U141">
        <v>14.1</v>
      </c>
    </row>
    <row r="142" spans="1:21" x14ac:dyDescent="0.25">
      <c r="A142" t="s">
        <v>484</v>
      </c>
      <c r="H142">
        <v>5.03</v>
      </c>
      <c r="I142">
        <v>53.36</v>
      </c>
      <c r="J142">
        <v>56.58</v>
      </c>
      <c r="K142">
        <v>6.54</v>
      </c>
      <c r="L142">
        <v>13.13</v>
      </c>
      <c r="M142">
        <v>9.52</v>
      </c>
      <c r="N142">
        <v>11.79</v>
      </c>
      <c r="O142">
        <v>11.65</v>
      </c>
      <c r="P142">
        <v>10.08</v>
      </c>
      <c r="Q142">
        <v>11.22</v>
      </c>
    </row>
    <row r="143" spans="1:21" x14ac:dyDescent="0.25">
      <c r="A143" t="s">
        <v>119</v>
      </c>
      <c r="C143">
        <v>-12.6</v>
      </c>
      <c r="D143">
        <v>-26.97</v>
      </c>
      <c r="E143">
        <v>-34.58</v>
      </c>
      <c r="F143">
        <v>-32.31</v>
      </c>
      <c r="G143">
        <v>-27.91</v>
      </c>
      <c r="H143">
        <v>-112.73</v>
      </c>
      <c r="I143">
        <v>-257.18</v>
      </c>
      <c r="J143">
        <v>-383.63</v>
      </c>
      <c r="K143">
        <v>-182.56</v>
      </c>
      <c r="L143">
        <v>-29.23</v>
      </c>
      <c r="M143">
        <v>-18.29</v>
      </c>
      <c r="N143">
        <v>-17.14</v>
      </c>
      <c r="O143">
        <v>72.92</v>
      </c>
      <c r="P143">
        <v>199.78</v>
      </c>
      <c r="Q143">
        <v>332.91</v>
      </c>
      <c r="R143">
        <v>739.61</v>
      </c>
      <c r="S143" s="2">
        <v>1074.5999999999999</v>
      </c>
      <c r="T143" s="2">
        <v>1459.99</v>
      </c>
      <c r="U143" s="2">
        <v>1916.21</v>
      </c>
    </row>
    <row r="144" spans="1:21" x14ac:dyDescent="0.25">
      <c r="A144" t="s">
        <v>292</v>
      </c>
      <c r="C144">
        <v>-23.46</v>
      </c>
      <c r="D144">
        <v>-33.58</v>
      </c>
      <c r="E144">
        <v>-27.51</v>
      </c>
      <c r="F144">
        <v>-16.989999999999998</v>
      </c>
      <c r="G144">
        <v>-9.2200000000000006</v>
      </c>
      <c r="H144">
        <v>-26.14</v>
      </c>
      <c r="I144">
        <v>-38.21</v>
      </c>
      <c r="J144">
        <v>-35.159999999999997</v>
      </c>
      <c r="K144">
        <v>-11.29</v>
      </c>
      <c r="L144">
        <v>-1.35</v>
      </c>
      <c r="M144">
        <v>-0.68</v>
      </c>
      <c r="N144">
        <v>-0.51</v>
      </c>
      <c r="O144">
        <v>4.22</v>
      </c>
      <c r="P144">
        <v>6.75</v>
      </c>
      <c r="Q144">
        <v>8.64</v>
      </c>
    </row>
    <row r="145" spans="1:21" x14ac:dyDescent="0.25">
      <c r="A145" t="s">
        <v>120</v>
      </c>
      <c r="G145">
        <v>2.17</v>
      </c>
      <c r="H145">
        <v>3.5</v>
      </c>
      <c r="I145">
        <v>4.8499999999999996</v>
      </c>
      <c r="J145">
        <v>9.25</v>
      </c>
      <c r="K145">
        <v>19.77</v>
      </c>
      <c r="L145">
        <v>0</v>
      </c>
      <c r="M145">
        <v>159.76</v>
      </c>
      <c r="N145">
        <v>187.19</v>
      </c>
      <c r="O145">
        <v>223.87</v>
      </c>
      <c r="P145">
        <v>268.14999999999998</v>
      </c>
      <c r="Q145">
        <v>325.93</v>
      </c>
      <c r="R145">
        <v>398.97</v>
      </c>
      <c r="S145">
        <v>243.36</v>
      </c>
      <c r="T145">
        <v>555.28</v>
      </c>
      <c r="U145">
        <v>646.71</v>
      </c>
    </row>
    <row r="146" spans="1:21" x14ac:dyDescent="0.25">
      <c r="A146" t="s">
        <v>120</v>
      </c>
      <c r="C146">
        <v>0.23</v>
      </c>
      <c r="D146">
        <v>0.47</v>
      </c>
      <c r="E146">
        <v>0.88</v>
      </c>
      <c r="F146">
        <v>1.34</v>
      </c>
      <c r="G146">
        <v>0.74</v>
      </c>
      <c r="H146">
        <v>2.39</v>
      </c>
      <c r="I146">
        <v>4.8499999999999996</v>
      </c>
      <c r="J146">
        <v>6.65</v>
      </c>
      <c r="K146">
        <v>19.77</v>
      </c>
      <c r="L146">
        <v>28.48</v>
      </c>
      <c r="M146">
        <v>23.19</v>
      </c>
      <c r="N146">
        <v>46.04</v>
      </c>
      <c r="O146">
        <v>77.430000000000007</v>
      </c>
      <c r="P146">
        <v>91.42</v>
      </c>
      <c r="Q146">
        <v>104.96</v>
      </c>
      <c r="R146">
        <v>21.46</v>
      </c>
      <c r="S146">
        <v>69.150000000000006</v>
      </c>
      <c r="T146">
        <v>43.34</v>
      </c>
      <c r="U146">
        <v>78.849999999999994</v>
      </c>
    </row>
    <row r="147" spans="1:21" x14ac:dyDescent="0.25">
      <c r="A147" t="s">
        <v>121</v>
      </c>
      <c r="C147">
        <v>-12.83</v>
      </c>
      <c r="D147">
        <v>-27.44</v>
      </c>
      <c r="E147">
        <v>-35.46</v>
      </c>
      <c r="F147">
        <v>-33.65</v>
      </c>
      <c r="G147">
        <v>-28.66</v>
      </c>
      <c r="H147">
        <v>-115.12</v>
      </c>
      <c r="I147">
        <v>-262.02999999999997</v>
      </c>
      <c r="J147">
        <v>-390.28</v>
      </c>
      <c r="K147">
        <v>-202.34</v>
      </c>
      <c r="L147">
        <v>-57.71</v>
      </c>
      <c r="M147">
        <v>-41.48</v>
      </c>
      <c r="N147">
        <v>-63.18</v>
      </c>
      <c r="O147">
        <v>27.36</v>
      </c>
      <c r="P147">
        <v>117.46</v>
      </c>
      <c r="Q147">
        <v>126.34</v>
      </c>
      <c r="R147">
        <v>594</v>
      </c>
      <c r="S147">
        <v>894</v>
      </c>
    </row>
    <row r="148" spans="1:21" x14ac:dyDescent="0.25">
      <c r="A148" t="s">
        <v>599</v>
      </c>
      <c r="E148">
        <v>-45.03</v>
      </c>
      <c r="F148">
        <v>-39.979999999999997</v>
      </c>
      <c r="G148">
        <v>-28.66</v>
      </c>
      <c r="H148">
        <v>-115.12</v>
      </c>
      <c r="I148">
        <v>-262.02999999999997</v>
      </c>
      <c r="J148">
        <v>-390.28</v>
      </c>
      <c r="K148">
        <v>-202.34</v>
      </c>
      <c r="L148">
        <v>-57.71</v>
      </c>
      <c r="M148">
        <v>-41.48</v>
      </c>
      <c r="N148">
        <v>-63.18</v>
      </c>
      <c r="O148">
        <v>21.68</v>
      </c>
      <c r="P148">
        <v>110.11</v>
      </c>
      <c r="Q148">
        <v>185.64</v>
      </c>
      <c r="R148">
        <v>583.75</v>
      </c>
      <c r="S148">
        <v>852</v>
      </c>
      <c r="T148" s="2">
        <v>1138.67</v>
      </c>
      <c r="U148" s="2">
        <v>1494.33</v>
      </c>
    </row>
    <row r="149" spans="1:21" x14ac:dyDescent="0.25">
      <c r="A149" t="s">
        <v>1704</v>
      </c>
      <c r="C149">
        <v>-23.89</v>
      </c>
      <c r="D149">
        <v>-34.159999999999997</v>
      </c>
      <c r="E149">
        <v>-28.21</v>
      </c>
      <c r="F149">
        <v>-17.690000000000001</v>
      </c>
      <c r="G149">
        <v>-9.4600000000000009</v>
      </c>
      <c r="H149">
        <v>-26.69</v>
      </c>
      <c r="I149">
        <v>-38.93</v>
      </c>
      <c r="J149">
        <v>-35.770000000000003</v>
      </c>
      <c r="K149">
        <v>-12.51</v>
      </c>
      <c r="L149">
        <v>-2.66</v>
      </c>
      <c r="M149">
        <v>-1.55</v>
      </c>
      <c r="N149">
        <v>-1.88</v>
      </c>
      <c r="O149">
        <v>0.89</v>
      </c>
      <c r="P149">
        <v>5.0599999999999996</v>
      </c>
      <c r="Q149">
        <v>9.2799999999999994</v>
      </c>
      <c r="R149">
        <v>9.6</v>
      </c>
      <c r="S149">
        <v>12.6</v>
      </c>
      <c r="T149">
        <v>14.16</v>
      </c>
      <c r="U149">
        <v>16.54</v>
      </c>
    </row>
    <row r="150" spans="1:21" x14ac:dyDescent="0.25">
      <c r="A150" t="s">
        <v>123</v>
      </c>
      <c r="C150">
        <v>15.68</v>
      </c>
      <c r="D150">
        <v>17.68</v>
      </c>
      <c r="E150">
        <v>19.48</v>
      </c>
      <c r="F150">
        <v>63.88</v>
      </c>
      <c r="G150">
        <v>123.57</v>
      </c>
      <c r="H150">
        <v>129.32</v>
      </c>
      <c r="I150">
        <v>135.65</v>
      </c>
      <c r="J150">
        <v>140.9</v>
      </c>
      <c r="K150">
        <v>144.94</v>
      </c>
      <c r="L150">
        <v>149.59</v>
      </c>
      <c r="M150">
        <v>154.4</v>
      </c>
      <c r="N150">
        <v>160.22</v>
      </c>
      <c r="O150">
        <v>168.46</v>
      </c>
      <c r="P150">
        <v>174.89</v>
      </c>
      <c r="Q150">
        <v>181.98</v>
      </c>
      <c r="R150">
        <v>179.51</v>
      </c>
      <c r="S150">
        <v>180.9</v>
      </c>
      <c r="T150">
        <v>181.96</v>
      </c>
      <c r="U150">
        <v>183.03</v>
      </c>
    </row>
    <row r="151" spans="1:21" x14ac:dyDescent="0.25">
      <c r="A151" t="s">
        <v>124</v>
      </c>
      <c r="E151">
        <v>-2.31</v>
      </c>
      <c r="F151">
        <v>-0.63</v>
      </c>
      <c r="G151">
        <v>-0.23</v>
      </c>
      <c r="H151">
        <v>-0.89</v>
      </c>
      <c r="I151">
        <v>-1.93</v>
      </c>
      <c r="J151">
        <v>-2.77</v>
      </c>
      <c r="K151">
        <v>-1.4</v>
      </c>
      <c r="L151">
        <v>-0.39</v>
      </c>
      <c r="M151">
        <v>-0.27</v>
      </c>
      <c r="N151">
        <v>-0.39</v>
      </c>
      <c r="O151">
        <v>-0.09</v>
      </c>
      <c r="P151">
        <v>0.48</v>
      </c>
      <c r="Q151">
        <v>1.1000000000000001</v>
      </c>
      <c r="R151">
        <v>3.52</v>
      </c>
      <c r="S151">
        <v>5.14</v>
      </c>
      <c r="T151">
        <v>6.68</v>
      </c>
      <c r="U151">
        <v>8.75</v>
      </c>
    </row>
    <row r="152" spans="1:21" x14ac:dyDescent="0.25">
      <c r="A152" t="s">
        <v>17</v>
      </c>
    </row>
    <row r="153" spans="1:21" x14ac:dyDescent="0.25">
      <c r="A153" t="s">
        <v>125</v>
      </c>
    </row>
    <row r="154" spans="1:21" x14ac:dyDescent="0.25">
      <c r="A154" t="s">
        <v>1777</v>
      </c>
      <c r="C154">
        <v>0</v>
      </c>
      <c r="D154">
        <v>0</v>
      </c>
      <c r="E154">
        <v>5.83</v>
      </c>
      <c r="F154">
        <v>8.0399999999999991</v>
      </c>
      <c r="G154">
        <v>13.08</v>
      </c>
      <c r="H154">
        <v>19.100000000000001</v>
      </c>
      <c r="I154">
        <v>0.42</v>
      </c>
      <c r="J154">
        <v>0</v>
      </c>
      <c r="K154">
        <v>6.56</v>
      </c>
      <c r="L154">
        <v>0</v>
      </c>
      <c r="M154">
        <v>5.04</v>
      </c>
      <c r="N154">
        <v>12.89</v>
      </c>
      <c r="O154">
        <v>22.96</v>
      </c>
      <c r="P154">
        <v>6.77</v>
      </c>
      <c r="Q154">
        <v>17.8</v>
      </c>
    </row>
    <row r="155" spans="1:21" x14ac:dyDescent="0.25">
      <c r="A155" t="s">
        <v>67</v>
      </c>
      <c r="E155">
        <v>9.92</v>
      </c>
      <c r="F155">
        <v>11.22</v>
      </c>
      <c r="G155">
        <v>48.67</v>
      </c>
      <c r="H155">
        <v>121.4</v>
      </c>
      <c r="I155">
        <v>278.56</v>
      </c>
      <c r="J155">
        <v>430.02</v>
      </c>
      <c r="K155">
        <v>457.82</v>
      </c>
      <c r="L155">
        <v>549.1</v>
      </c>
      <c r="M155">
        <v>685.53</v>
      </c>
      <c r="N155">
        <v>841.65</v>
      </c>
      <c r="O155">
        <v>917.9</v>
      </c>
      <c r="P155" s="2">
        <v>1016.76</v>
      </c>
      <c r="Q155" s="2">
        <v>1136.99</v>
      </c>
      <c r="R155" s="2">
        <v>1177.98</v>
      </c>
      <c r="S155" s="2">
        <v>1300.8699999999999</v>
      </c>
      <c r="T155" s="2">
        <v>1419.91</v>
      </c>
      <c r="U155" s="2">
        <v>1530.16</v>
      </c>
    </row>
    <row r="156" spans="1:21" x14ac:dyDescent="0.25">
      <c r="A156" t="s">
        <v>61</v>
      </c>
      <c r="E156">
        <v>7.89</v>
      </c>
      <c r="F156">
        <v>5.9</v>
      </c>
      <c r="G156">
        <v>16.07</v>
      </c>
      <c r="H156">
        <v>28.15</v>
      </c>
      <c r="I156">
        <v>41.38</v>
      </c>
      <c r="J156">
        <v>39.42</v>
      </c>
      <c r="K156">
        <v>28.31</v>
      </c>
      <c r="L156">
        <v>25.33</v>
      </c>
      <c r="M156">
        <v>25.65</v>
      </c>
      <c r="N156">
        <v>25.1</v>
      </c>
      <c r="O156">
        <v>23.16</v>
      </c>
      <c r="P156">
        <v>22.14</v>
      </c>
      <c r="Q156">
        <v>21.39</v>
      </c>
      <c r="R156">
        <v>18.850000000000001</v>
      </c>
      <c r="S156">
        <v>17.29</v>
      </c>
      <c r="T156">
        <v>15.7</v>
      </c>
      <c r="U156">
        <v>14.34</v>
      </c>
    </row>
    <row r="157" spans="1:21" x14ac:dyDescent="0.25">
      <c r="A157" t="s">
        <v>115</v>
      </c>
      <c r="C157">
        <v>0.19</v>
      </c>
      <c r="D157">
        <v>0.83</v>
      </c>
      <c r="E157">
        <v>1.2</v>
      </c>
      <c r="F157">
        <v>2.38</v>
      </c>
      <c r="G157">
        <v>5.29</v>
      </c>
      <c r="H157">
        <v>17.37</v>
      </c>
      <c r="I157">
        <v>45.78</v>
      </c>
      <c r="J157">
        <v>79.099999999999994</v>
      </c>
      <c r="K157">
        <v>73.05</v>
      </c>
      <c r="L157">
        <v>79.63</v>
      </c>
      <c r="M157">
        <v>97.31</v>
      </c>
      <c r="N157">
        <v>117.76</v>
      </c>
      <c r="O157">
        <v>127.71</v>
      </c>
      <c r="P157">
        <v>140.31</v>
      </c>
      <c r="Q157">
        <v>160.94999999999999</v>
      </c>
      <c r="R157">
        <v>137.63999999999999</v>
      </c>
      <c r="S157">
        <v>136.5</v>
      </c>
      <c r="T157">
        <v>131.26</v>
      </c>
      <c r="U157">
        <v>121.25</v>
      </c>
    </row>
    <row r="158" spans="1:21" x14ac:dyDescent="0.25">
      <c r="A158" t="s">
        <v>126</v>
      </c>
      <c r="C158">
        <v>0.12</v>
      </c>
      <c r="D158">
        <v>0.19</v>
      </c>
      <c r="E158">
        <v>0.35</v>
      </c>
      <c r="F158">
        <v>0.76</v>
      </c>
      <c r="G158">
        <v>2.93</v>
      </c>
      <c r="H158">
        <v>7.32</v>
      </c>
      <c r="I158">
        <v>15.27</v>
      </c>
      <c r="J158">
        <v>25.29</v>
      </c>
      <c r="K158">
        <v>40.299999999999997</v>
      </c>
      <c r="L158">
        <v>52.77</v>
      </c>
      <c r="M158">
        <v>71</v>
      </c>
      <c r="N158">
        <v>87.47</v>
      </c>
      <c r="O158">
        <v>97.19</v>
      </c>
      <c r="P158">
        <v>108.65</v>
      </c>
      <c r="Q158">
        <v>123.03</v>
      </c>
      <c r="R158">
        <v>144.12</v>
      </c>
      <c r="S158">
        <v>160.15</v>
      </c>
      <c r="T158">
        <v>176.59</v>
      </c>
      <c r="U158">
        <v>188.52</v>
      </c>
    </row>
    <row r="159" spans="1:21" x14ac:dyDescent="0.25">
      <c r="A159" t="s">
        <v>114</v>
      </c>
      <c r="C159">
        <v>0.65</v>
      </c>
      <c r="D159">
        <v>1.03</v>
      </c>
      <c r="E159">
        <v>5.57</v>
      </c>
      <c r="F159">
        <v>3.05</v>
      </c>
      <c r="G159">
        <v>15.09</v>
      </c>
      <c r="H159">
        <v>30.17</v>
      </c>
      <c r="I159">
        <v>73.239999999999995</v>
      </c>
      <c r="J159">
        <v>123.42</v>
      </c>
      <c r="K159">
        <v>121.15</v>
      </c>
      <c r="L159">
        <v>186.11</v>
      </c>
      <c r="M159">
        <v>257.66000000000003</v>
      </c>
      <c r="N159">
        <v>341.88</v>
      </c>
      <c r="O159">
        <v>390.55</v>
      </c>
      <c r="P159">
        <v>434</v>
      </c>
      <c r="Q159">
        <v>484.98</v>
      </c>
      <c r="R159">
        <v>519.34</v>
      </c>
      <c r="S159">
        <v>578.47</v>
      </c>
      <c r="T159">
        <v>639.39</v>
      </c>
      <c r="U159">
        <v>701.2</v>
      </c>
    </row>
    <row r="160" spans="1:21" x14ac:dyDescent="0.25">
      <c r="A160" t="s">
        <v>394</v>
      </c>
      <c r="C160">
        <v>0.61</v>
      </c>
      <c r="D160">
        <v>1.57</v>
      </c>
      <c r="E160">
        <v>2.79</v>
      </c>
      <c r="F160">
        <v>5.04</v>
      </c>
      <c r="G160">
        <v>23.12</v>
      </c>
      <c r="H160">
        <v>66.540000000000006</v>
      </c>
      <c r="I160">
        <v>144.27000000000001</v>
      </c>
      <c r="J160">
        <v>202.21</v>
      </c>
      <c r="K160">
        <v>222.28</v>
      </c>
      <c r="L160">
        <v>230.6</v>
      </c>
      <c r="M160">
        <v>259.56</v>
      </c>
      <c r="N160">
        <v>294.54000000000002</v>
      </c>
      <c r="O160">
        <v>313.13</v>
      </c>
      <c r="P160">
        <v>347.46</v>
      </c>
      <c r="Q160">
        <v>396.99</v>
      </c>
      <c r="R160">
        <v>411.49</v>
      </c>
      <c r="S160">
        <v>436.52</v>
      </c>
      <c r="T160">
        <v>453.25</v>
      </c>
      <c r="U160">
        <v>463.53</v>
      </c>
    </row>
    <row r="161" spans="1:21" x14ac:dyDescent="0.25">
      <c r="A161" t="s">
        <v>1778</v>
      </c>
      <c r="E161">
        <v>9.57</v>
      </c>
      <c r="F161">
        <v>6.33</v>
      </c>
      <c r="G161">
        <v>0</v>
      </c>
      <c r="H161">
        <v>4.8899999999999997</v>
      </c>
      <c r="I161">
        <v>51.92</v>
      </c>
      <c r="J161">
        <v>55.14</v>
      </c>
      <c r="K161">
        <v>3.89</v>
      </c>
      <c r="L161">
        <v>3.91</v>
      </c>
      <c r="M161">
        <v>4.29</v>
      </c>
      <c r="N161">
        <v>8.17</v>
      </c>
      <c r="O161">
        <v>8.18</v>
      </c>
      <c r="P161">
        <v>8.18</v>
      </c>
      <c r="Q161">
        <v>8.18</v>
      </c>
    </row>
    <row r="162" spans="1:21" x14ac:dyDescent="0.25">
      <c r="A162" t="s">
        <v>396</v>
      </c>
    </row>
    <row r="163" spans="1:21" x14ac:dyDescent="0.25">
      <c r="A163" t="s">
        <v>114</v>
      </c>
      <c r="G163">
        <v>0.39</v>
      </c>
      <c r="H163">
        <v>1.28</v>
      </c>
      <c r="I163">
        <v>0</v>
      </c>
      <c r="J163">
        <v>0.33</v>
      </c>
      <c r="K163">
        <v>0.71</v>
      </c>
      <c r="L163">
        <v>0.51</v>
      </c>
      <c r="M163">
        <v>0.15</v>
      </c>
      <c r="N163">
        <v>0</v>
      </c>
    </row>
    <row r="164" spans="1:21" x14ac:dyDescent="0.25">
      <c r="A164" t="s">
        <v>1779</v>
      </c>
      <c r="E164">
        <v>0</v>
      </c>
      <c r="F164">
        <v>0</v>
      </c>
      <c r="G164">
        <v>-1.42</v>
      </c>
      <c r="H164">
        <v>-1.1100000000000001</v>
      </c>
      <c r="I164">
        <v>0</v>
      </c>
      <c r="J164">
        <v>-2.6</v>
      </c>
      <c r="K164">
        <v>-2.38</v>
      </c>
      <c r="L164">
        <v>-1.86</v>
      </c>
      <c r="M164">
        <v>-136.57</v>
      </c>
      <c r="N164">
        <v>-141.15</v>
      </c>
      <c r="O164">
        <v>-158.72</v>
      </c>
      <c r="P164">
        <v>-171.85</v>
      </c>
      <c r="Q164">
        <v>-173.77</v>
      </c>
    </row>
    <row r="165" spans="1:21" x14ac:dyDescent="0.25">
      <c r="A165" t="s">
        <v>17</v>
      </c>
    </row>
    <row r="166" spans="1:21" x14ac:dyDescent="0.25">
      <c r="A166" t="s">
        <v>134</v>
      </c>
    </row>
    <row r="167" spans="1:21" x14ac:dyDescent="0.25">
      <c r="A167" t="s">
        <v>135</v>
      </c>
    </row>
    <row r="168" spans="1:21" x14ac:dyDescent="0.25">
      <c r="A168" t="s">
        <v>136</v>
      </c>
      <c r="D168">
        <v>127.05</v>
      </c>
      <c r="E168">
        <v>142.91</v>
      </c>
      <c r="F168">
        <v>387.16</v>
      </c>
      <c r="G168">
        <v>496.09</v>
      </c>
      <c r="H168" s="2">
        <v>1581.79</v>
      </c>
      <c r="I168" s="2">
        <v>1848.3</v>
      </c>
      <c r="J168" s="2">
        <v>2256.65</v>
      </c>
      <c r="K168" s="2">
        <v>2890.31</v>
      </c>
      <c r="L168" s="2">
        <v>3396.62</v>
      </c>
      <c r="M168" s="2">
        <v>4894.29</v>
      </c>
      <c r="N168" s="2">
        <v>5031.2299999999996</v>
      </c>
      <c r="O168" s="2">
        <v>6105.61</v>
      </c>
      <c r="P168" s="2">
        <v>7409.85</v>
      </c>
      <c r="Q168" s="2">
        <v>9151.68</v>
      </c>
      <c r="R168" s="2">
        <v>12466.15</v>
      </c>
      <c r="S168" s="2">
        <v>15338.92</v>
      </c>
      <c r="T168" s="2">
        <v>18597.96</v>
      </c>
      <c r="U168" s="2">
        <v>22335.200000000001</v>
      </c>
    </row>
    <row r="169" spans="1:21" x14ac:dyDescent="0.25">
      <c r="A169" t="s">
        <v>137</v>
      </c>
      <c r="D169">
        <v>92.84</v>
      </c>
      <c r="E169">
        <v>87.98</v>
      </c>
      <c r="F169">
        <v>298.54000000000002</v>
      </c>
      <c r="G169">
        <v>364.65</v>
      </c>
      <c r="H169" s="2">
        <v>1370.57</v>
      </c>
      <c r="I169" s="2">
        <v>1502.55</v>
      </c>
      <c r="J169" s="2">
        <v>1731.34</v>
      </c>
      <c r="K169" s="2">
        <v>2100.23</v>
      </c>
      <c r="L169" s="2">
        <v>2409.65</v>
      </c>
      <c r="M169" s="2">
        <v>3572.41</v>
      </c>
      <c r="N169" s="2">
        <v>3474.15</v>
      </c>
      <c r="O169" s="2">
        <v>4287.58</v>
      </c>
      <c r="P169" s="2">
        <v>5309.12</v>
      </c>
      <c r="Q169" s="2">
        <v>6411.78</v>
      </c>
      <c r="R169" s="2">
        <v>8266.76</v>
      </c>
      <c r="S169" s="2">
        <v>10201.36</v>
      </c>
      <c r="T169" s="2">
        <v>13922.33</v>
      </c>
      <c r="U169" s="2">
        <v>16816.830000000002</v>
      </c>
    </row>
    <row r="170" spans="1:21" x14ac:dyDescent="0.25">
      <c r="A170" t="s">
        <v>139</v>
      </c>
      <c r="D170">
        <v>92.84</v>
      </c>
      <c r="E170">
        <v>87.98</v>
      </c>
      <c r="F170">
        <v>135.58000000000001</v>
      </c>
      <c r="G170">
        <v>78.48</v>
      </c>
      <c r="H170">
        <v>141.85</v>
      </c>
      <c r="I170">
        <v>275.89999999999998</v>
      </c>
      <c r="J170" s="2">
        <v>1013.21</v>
      </c>
      <c r="K170" s="2">
        <v>1262.21</v>
      </c>
      <c r="L170" s="2">
        <v>1423.08</v>
      </c>
      <c r="M170" s="2">
        <v>2389.02</v>
      </c>
      <c r="N170">
        <v>928.35</v>
      </c>
      <c r="O170" s="2">
        <v>1751.89</v>
      </c>
      <c r="P170" s="2">
        <v>2670.28</v>
      </c>
      <c r="Q170" s="2">
        <v>3429.64</v>
      </c>
      <c r="R170" s="2">
        <v>5813.29</v>
      </c>
      <c r="S170" s="2">
        <v>7840.14</v>
      </c>
      <c r="T170" s="2">
        <v>10233.75</v>
      </c>
      <c r="U170" s="2">
        <v>12971.04</v>
      </c>
    </row>
    <row r="171" spans="1:21" x14ac:dyDescent="0.25">
      <c r="A171" t="s">
        <v>140</v>
      </c>
      <c r="D171">
        <v>0</v>
      </c>
      <c r="E171">
        <v>0</v>
      </c>
      <c r="F171">
        <v>162.96</v>
      </c>
      <c r="G171">
        <v>286.16000000000003</v>
      </c>
      <c r="H171" s="2">
        <v>1228.72</v>
      </c>
      <c r="I171" s="2">
        <v>1226.6500000000001</v>
      </c>
      <c r="J171">
        <v>718.13</v>
      </c>
      <c r="K171">
        <v>838.03</v>
      </c>
      <c r="L171">
        <v>986.57</v>
      </c>
      <c r="M171" s="2">
        <v>1183.3900000000001</v>
      </c>
      <c r="N171" s="2">
        <v>2545.8000000000002</v>
      </c>
      <c r="O171" s="2">
        <v>2562.84</v>
      </c>
      <c r="P171" s="2">
        <v>2595.92</v>
      </c>
      <c r="Q171" s="2">
        <v>2825.12</v>
      </c>
      <c r="R171" s="2">
        <v>3015.1</v>
      </c>
      <c r="S171" s="2">
        <v>3168.45</v>
      </c>
      <c r="T171" s="2">
        <v>3344.45</v>
      </c>
      <c r="U171" s="2">
        <v>3545.6</v>
      </c>
    </row>
    <row r="172" spans="1:21" x14ac:dyDescent="0.25">
      <c r="A172" t="s">
        <v>141</v>
      </c>
      <c r="D172">
        <v>24.49</v>
      </c>
      <c r="E172">
        <v>39.049999999999997</v>
      </c>
      <c r="F172">
        <v>61.61</v>
      </c>
      <c r="G172">
        <v>93.34</v>
      </c>
      <c r="H172">
        <v>147.58000000000001</v>
      </c>
      <c r="I172">
        <v>257.11</v>
      </c>
      <c r="J172">
        <v>399.75</v>
      </c>
      <c r="K172">
        <v>582.64</v>
      </c>
      <c r="L172">
        <v>736.53</v>
      </c>
      <c r="M172">
        <v>992.18</v>
      </c>
      <c r="N172" s="2">
        <v>1149.07</v>
      </c>
      <c r="O172" s="2">
        <v>1306.3</v>
      </c>
      <c r="P172" s="2">
        <v>1497.48</v>
      </c>
      <c r="Q172" s="2">
        <v>1824.73</v>
      </c>
      <c r="R172" s="2">
        <v>1866.39</v>
      </c>
      <c r="S172" s="2">
        <v>2077.52</v>
      </c>
      <c r="T172" s="2">
        <v>2427.86</v>
      </c>
      <c r="U172" s="2">
        <v>2856.42</v>
      </c>
    </row>
    <row r="173" spans="1:21" x14ac:dyDescent="0.25">
      <c r="A173" t="s">
        <v>498</v>
      </c>
      <c r="D173">
        <v>6.74</v>
      </c>
      <c r="E173">
        <v>10.47</v>
      </c>
      <c r="F173">
        <v>16.14</v>
      </c>
      <c r="G173">
        <v>21.22</v>
      </c>
      <c r="H173">
        <v>32.24</v>
      </c>
      <c r="I173">
        <v>57.37</v>
      </c>
      <c r="J173">
        <v>86.21</v>
      </c>
      <c r="K173">
        <v>115.83</v>
      </c>
      <c r="L173">
        <v>148.87</v>
      </c>
      <c r="M173">
        <v>180.82</v>
      </c>
      <c r="N173">
        <v>215.58</v>
      </c>
      <c r="O173">
        <v>252.14</v>
      </c>
      <c r="P173">
        <v>299.2</v>
      </c>
      <c r="Q173">
        <v>348.96</v>
      </c>
      <c r="R173">
        <v>408.45</v>
      </c>
      <c r="S173">
        <v>478.46</v>
      </c>
      <c r="T173">
        <v>495.54</v>
      </c>
      <c r="U173">
        <v>514.47</v>
      </c>
    </row>
    <row r="174" spans="1:21" x14ac:dyDescent="0.25">
      <c r="A174" t="s">
        <v>428</v>
      </c>
      <c r="D174">
        <v>2.98</v>
      </c>
      <c r="E174">
        <v>5.41</v>
      </c>
      <c r="F174">
        <v>10.88</v>
      </c>
      <c r="G174">
        <v>16.88</v>
      </c>
      <c r="H174">
        <v>31.4</v>
      </c>
      <c r="I174">
        <v>31.27</v>
      </c>
      <c r="J174">
        <v>39.35</v>
      </c>
      <c r="K174">
        <v>91.62</v>
      </c>
      <c r="L174">
        <v>101.56</v>
      </c>
      <c r="M174">
        <v>148.88</v>
      </c>
      <c r="N174">
        <v>192.43</v>
      </c>
      <c r="O174">
        <v>239.74</v>
      </c>
      <c r="P174">
        <v>300.33</v>
      </c>
      <c r="Q174">
        <v>414.95</v>
      </c>
      <c r="R174" s="2">
        <v>1107.5</v>
      </c>
      <c r="S174" s="2">
        <v>1414.13</v>
      </c>
      <c r="T174" s="2">
        <v>1752.23</v>
      </c>
      <c r="U174" s="2">
        <v>2147.48</v>
      </c>
    </row>
    <row r="175" spans="1:21" x14ac:dyDescent="0.25">
      <c r="A175" t="s">
        <v>76</v>
      </c>
    </row>
    <row r="176" spans="1:21" x14ac:dyDescent="0.25">
      <c r="A176" t="s">
        <v>146</v>
      </c>
      <c r="D176">
        <v>26.46</v>
      </c>
      <c r="E176">
        <v>39.99</v>
      </c>
      <c r="F176">
        <v>60.62</v>
      </c>
      <c r="G176">
        <v>108.08</v>
      </c>
      <c r="H176">
        <v>251.67</v>
      </c>
      <c r="I176">
        <v>409.33</v>
      </c>
      <c r="J176">
        <v>576.02</v>
      </c>
      <c r="K176">
        <v>718</v>
      </c>
      <c r="L176" s="2">
        <v>1308.3499999999999</v>
      </c>
      <c r="M176" s="2">
        <v>1525.6</v>
      </c>
      <c r="N176" s="2">
        <v>2835.48</v>
      </c>
      <c r="O176" s="2">
        <v>3201.27</v>
      </c>
      <c r="P176" s="2">
        <v>3543.73</v>
      </c>
      <c r="Q176" s="2">
        <v>3908.96</v>
      </c>
      <c r="R176" s="2">
        <v>4285.05</v>
      </c>
      <c r="S176" s="2">
        <v>4699.91</v>
      </c>
      <c r="T176" s="2">
        <v>5172.46</v>
      </c>
      <c r="U176" s="2">
        <v>5724.36</v>
      </c>
    </row>
    <row r="177" spans="1:21" x14ac:dyDescent="0.25">
      <c r="A177" t="s">
        <v>409</v>
      </c>
      <c r="D177">
        <v>11.11</v>
      </c>
      <c r="E177">
        <v>13.14</v>
      </c>
      <c r="F177">
        <v>19.77</v>
      </c>
      <c r="G177">
        <v>41.05</v>
      </c>
      <c r="H177">
        <v>75.73</v>
      </c>
      <c r="I177">
        <v>108.58</v>
      </c>
      <c r="J177">
        <v>160.63</v>
      </c>
      <c r="K177">
        <v>242.36</v>
      </c>
      <c r="L177">
        <v>383.12</v>
      </c>
      <c r="M177">
        <v>543.38</v>
      </c>
      <c r="N177">
        <v>753</v>
      </c>
      <c r="O177" s="2">
        <v>1039.99</v>
      </c>
      <c r="P177" s="2">
        <v>1288.1600000000001</v>
      </c>
      <c r="Q177" s="2">
        <v>1441.16</v>
      </c>
      <c r="R177" s="2">
        <v>1300.26</v>
      </c>
      <c r="S177" s="2">
        <v>1435.05</v>
      </c>
      <c r="T177" s="2">
        <v>1734.66</v>
      </c>
      <c r="U177" s="2">
        <v>1875.37</v>
      </c>
    </row>
    <row r="178" spans="1:21" x14ac:dyDescent="0.25">
      <c r="A178" t="s">
        <v>498</v>
      </c>
      <c r="D178">
        <v>14.39</v>
      </c>
      <c r="E178">
        <v>24.19</v>
      </c>
      <c r="F178">
        <v>39.770000000000003</v>
      </c>
      <c r="G178">
        <v>48.57</v>
      </c>
      <c r="H178">
        <v>77.680000000000007</v>
      </c>
      <c r="I178">
        <v>149.66</v>
      </c>
      <c r="J178">
        <v>210.79</v>
      </c>
      <c r="K178">
        <v>259.41000000000003</v>
      </c>
      <c r="L178">
        <v>296.52999999999997</v>
      </c>
      <c r="M178">
        <v>328.72</v>
      </c>
      <c r="N178">
        <v>402.42</v>
      </c>
      <c r="O178">
        <v>469.49</v>
      </c>
      <c r="P178">
        <v>556.16999999999996</v>
      </c>
      <c r="Q178">
        <v>636.53</v>
      </c>
      <c r="R178">
        <v>781.34</v>
      </c>
      <c r="S178">
        <v>940.79</v>
      </c>
      <c r="T178" s="2">
        <v>1070.73</v>
      </c>
      <c r="U178" s="2">
        <v>1234.71</v>
      </c>
    </row>
    <row r="179" spans="1:21" x14ac:dyDescent="0.25">
      <c r="A179" t="s">
        <v>1226</v>
      </c>
      <c r="H179">
        <v>36.119999999999997</v>
      </c>
      <c r="I179">
        <v>44.34</v>
      </c>
      <c r="J179">
        <v>72.36</v>
      </c>
      <c r="K179">
        <v>70.67</v>
      </c>
      <c r="L179">
        <v>89.76</v>
      </c>
      <c r="M179">
        <v>89.77</v>
      </c>
      <c r="N179">
        <v>137.22999999999999</v>
      </c>
      <c r="O179">
        <v>137.79</v>
      </c>
      <c r="P179">
        <v>141.22999999999999</v>
      </c>
      <c r="Q179">
        <v>144.81</v>
      </c>
      <c r="R179">
        <v>137.22999999999999</v>
      </c>
      <c r="S179">
        <v>137.22999999999999</v>
      </c>
      <c r="T179">
        <v>137.22999999999999</v>
      </c>
      <c r="U179">
        <v>137.22999999999999</v>
      </c>
    </row>
    <row r="180" spans="1:21" x14ac:dyDescent="0.25">
      <c r="A180" t="s">
        <v>154</v>
      </c>
    </row>
    <row r="181" spans="1:21" x14ac:dyDescent="0.25">
      <c r="A181" t="s">
        <v>807</v>
      </c>
      <c r="D181">
        <v>0.96</v>
      </c>
      <c r="E181">
        <v>2.66</v>
      </c>
      <c r="F181">
        <v>1.08</v>
      </c>
      <c r="G181">
        <v>2.2799999999999998</v>
      </c>
      <c r="H181">
        <v>8.0500000000000007</v>
      </c>
      <c r="I181">
        <v>15.65</v>
      </c>
      <c r="J181">
        <v>21.87</v>
      </c>
      <c r="K181">
        <v>30.52</v>
      </c>
      <c r="L181">
        <v>58.08</v>
      </c>
      <c r="M181">
        <v>98.67</v>
      </c>
      <c r="N181">
        <v>110.37</v>
      </c>
      <c r="O181">
        <v>120.76</v>
      </c>
      <c r="P181">
        <v>139.1</v>
      </c>
      <c r="Q181">
        <v>163.18</v>
      </c>
      <c r="R181">
        <v>445.1</v>
      </c>
      <c r="S181">
        <v>557.73</v>
      </c>
      <c r="T181">
        <v>680.9</v>
      </c>
      <c r="U181">
        <v>814.72</v>
      </c>
    </row>
    <row r="182" spans="1:21" x14ac:dyDescent="0.25">
      <c r="A182" t="s">
        <v>152</v>
      </c>
      <c r="D182">
        <v>0</v>
      </c>
      <c r="E182">
        <v>0</v>
      </c>
      <c r="F182">
        <v>0</v>
      </c>
      <c r="G182">
        <v>7.48</v>
      </c>
      <c r="H182">
        <v>30.06</v>
      </c>
      <c r="I182">
        <v>58.98</v>
      </c>
      <c r="J182">
        <v>78.55</v>
      </c>
      <c r="K182">
        <v>89.19</v>
      </c>
      <c r="L182">
        <v>417.03</v>
      </c>
      <c r="M182">
        <v>417.73</v>
      </c>
      <c r="N182" s="2">
        <v>1218.0999999999999</v>
      </c>
      <c r="O182" s="2">
        <v>1251.43</v>
      </c>
      <c r="P182" s="2">
        <v>1284.44</v>
      </c>
      <c r="Q182" s="2">
        <v>1400.23</v>
      </c>
      <c r="R182" s="2">
        <v>1218.07</v>
      </c>
      <c r="S182" s="2">
        <v>1218.07</v>
      </c>
      <c r="T182" s="2">
        <v>1218.0999999999999</v>
      </c>
      <c r="U182" s="2">
        <v>1218.0999999999999</v>
      </c>
    </row>
    <row r="183" spans="1:21" x14ac:dyDescent="0.25">
      <c r="A183" t="s">
        <v>1609</v>
      </c>
      <c r="G183">
        <v>8.7100000000000009</v>
      </c>
      <c r="H183">
        <v>24.02</v>
      </c>
      <c r="I183">
        <v>32.130000000000003</v>
      </c>
      <c r="J183">
        <v>31.82</v>
      </c>
      <c r="K183">
        <v>25.86</v>
      </c>
      <c r="L183">
        <v>63.84</v>
      </c>
      <c r="M183">
        <v>47.32</v>
      </c>
      <c r="N183">
        <v>214.36</v>
      </c>
      <c r="O183">
        <v>201.12</v>
      </c>
      <c r="P183">
        <v>188.67</v>
      </c>
      <c r="Q183">
        <v>167.55</v>
      </c>
      <c r="R183">
        <v>151.05000000000001</v>
      </c>
      <c r="S183">
        <v>129.21</v>
      </c>
      <c r="T183">
        <v>55.39</v>
      </c>
      <c r="U183">
        <v>16.420000000000002</v>
      </c>
    </row>
    <row r="184" spans="1:21" x14ac:dyDescent="0.25">
      <c r="A184" t="s">
        <v>155</v>
      </c>
      <c r="D184">
        <v>153.52000000000001</v>
      </c>
      <c r="E184">
        <v>182.9</v>
      </c>
      <c r="F184">
        <v>447.78</v>
      </c>
      <c r="G184">
        <v>604.16</v>
      </c>
      <c r="H184" s="2">
        <v>1833.46</v>
      </c>
      <c r="I184" s="2">
        <v>2257.63</v>
      </c>
      <c r="J184" s="2">
        <v>2832.67</v>
      </c>
      <c r="K184" s="2">
        <v>3608.32</v>
      </c>
      <c r="L184" s="2">
        <v>4704.97</v>
      </c>
      <c r="M184" s="2">
        <v>6419.89</v>
      </c>
      <c r="N184" s="2">
        <v>7866.71</v>
      </c>
      <c r="O184" s="2">
        <v>9225.5499999999993</v>
      </c>
      <c r="P184" s="2">
        <v>10852.65</v>
      </c>
      <c r="Q184" s="2">
        <v>12719.76</v>
      </c>
      <c r="R184" s="2">
        <v>14921.53</v>
      </c>
      <c r="S184" s="2">
        <v>17771.919999999998</v>
      </c>
      <c r="T184" s="2">
        <v>22880.3</v>
      </c>
      <c r="U184" s="2">
        <v>26985.47</v>
      </c>
    </row>
    <row r="185" spans="1:21" x14ac:dyDescent="0.25">
      <c r="A185" t="s">
        <v>17</v>
      </c>
    </row>
    <row r="186" spans="1:21" x14ac:dyDescent="0.25">
      <c r="A186" t="s">
        <v>156</v>
      </c>
    </row>
    <row r="187" spans="1:21" x14ac:dyDescent="0.25">
      <c r="A187" t="s">
        <v>157</v>
      </c>
      <c r="D187">
        <v>77.900000000000006</v>
      </c>
      <c r="E187">
        <v>120.46</v>
      </c>
      <c r="F187">
        <v>182.83</v>
      </c>
      <c r="G187">
        <v>261.95</v>
      </c>
      <c r="H187">
        <v>423.9</v>
      </c>
      <c r="I187">
        <v>720.21</v>
      </c>
      <c r="J187" s="2">
        <v>1134.45</v>
      </c>
      <c r="K187" s="2">
        <v>1535.87</v>
      </c>
      <c r="L187" s="2">
        <v>3112.89</v>
      </c>
      <c r="M187" s="2">
        <v>2429.61</v>
      </c>
      <c r="N187" s="2">
        <v>2961.31</v>
      </c>
      <c r="O187" s="2">
        <v>3574.58</v>
      </c>
      <c r="P187" s="2">
        <v>4030.79</v>
      </c>
      <c r="Q187" s="2">
        <v>4625.43</v>
      </c>
      <c r="R187" s="2">
        <v>5247.63</v>
      </c>
      <c r="S187" s="2">
        <v>6048.16</v>
      </c>
      <c r="T187" s="2">
        <v>6928.74</v>
      </c>
      <c r="U187" s="2">
        <v>7897.43</v>
      </c>
    </row>
    <row r="188" spans="1:21" x14ac:dyDescent="0.25">
      <c r="A188" t="s">
        <v>158</v>
      </c>
      <c r="D188">
        <v>1.41</v>
      </c>
      <c r="E188">
        <v>3.76</v>
      </c>
      <c r="F188">
        <v>4.9000000000000004</v>
      </c>
      <c r="G188">
        <v>6.21</v>
      </c>
      <c r="H188">
        <v>5.23</v>
      </c>
      <c r="I188">
        <v>12.55</v>
      </c>
      <c r="J188">
        <v>26.15</v>
      </c>
      <c r="K188">
        <v>18.48</v>
      </c>
      <c r="L188">
        <v>23.31</v>
      </c>
      <c r="M188">
        <v>46.91</v>
      </c>
      <c r="N188">
        <v>47.97</v>
      </c>
      <c r="O188">
        <v>52.58</v>
      </c>
      <c r="P188">
        <v>59.96</v>
      </c>
      <c r="Q188">
        <v>66.209999999999994</v>
      </c>
      <c r="R188">
        <v>58.85</v>
      </c>
      <c r="S188">
        <v>68.56</v>
      </c>
      <c r="T188">
        <v>71.06</v>
      </c>
      <c r="U188">
        <v>84.03</v>
      </c>
    </row>
    <row r="189" spans="1:21" x14ac:dyDescent="0.25">
      <c r="A189" t="s">
        <v>1290</v>
      </c>
      <c r="D189">
        <v>10.77</v>
      </c>
      <c r="E189">
        <v>23.26</v>
      </c>
      <c r="F189">
        <v>35.71</v>
      </c>
      <c r="G189">
        <v>34.35</v>
      </c>
      <c r="H189">
        <v>65.81</v>
      </c>
      <c r="I189">
        <v>116.53</v>
      </c>
      <c r="J189">
        <v>158.44</v>
      </c>
      <c r="K189">
        <v>201.78</v>
      </c>
      <c r="L189">
        <v>252.52</v>
      </c>
      <c r="M189">
        <v>275.79000000000002</v>
      </c>
      <c r="N189">
        <v>367.94</v>
      </c>
      <c r="O189">
        <v>390.65</v>
      </c>
      <c r="P189">
        <v>432.89</v>
      </c>
      <c r="Q189">
        <v>233.22</v>
      </c>
    </row>
    <row r="190" spans="1:21" x14ac:dyDescent="0.25">
      <c r="A190" t="s">
        <v>1780</v>
      </c>
      <c r="D190">
        <v>4.4000000000000004</v>
      </c>
      <c r="E190">
        <v>11.65</v>
      </c>
      <c r="F190">
        <v>12.31</v>
      </c>
      <c r="G190">
        <v>12.81</v>
      </c>
      <c r="H190">
        <v>16.36</v>
      </c>
      <c r="I190">
        <v>22.91</v>
      </c>
      <c r="J190">
        <v>46.5</v>
      </c>
      <c r="K190">
        <v>64.98</v>
      </c>
      <c r="L190">
        <v>91.71</v>
      </c>
      <c r="M190">
        <v>93.98</v>
      </c>
      <c r="N190">
        <v>133.30000000000001</v>
      </c>
      <c r="O190">
        <v>144.85</v>
      </c>
      <c r="P190">
        <v>155.68</v>
      </c>
      <c r="Q190">
        <v>165.43</v>
      </c>
      <c r="R190">
        <v>174.36</v>
      </c>
      <c r="S190">
        <v>195.83</v>
      </c>
      <c r="T190">
        <v>219.6</v>
      </c>
      <c r="U190">
        <v>245.43</v>
      </c>
    </row>
    <row r="191" spans="1:21" x14ac:dyDescent="0.25">
      <c r="A191" t="s">
        <v>1781</v>
      </c>
      <c r="D191">
        <v>6.36</v>
      </c>
      <c r="E191">
        <v>11.61</v>
      </c>
      <c r="F191">
        <v>23.39</v>
      </c>
      <c r="G191">
        <v>21.54</v>
      </c>
      <c r="H191">
        <v>49.44</v>
      </c>
      <c r="I191">
        <v>93.62</v>
      </c>
      <c r="J191">
        <v>111.95</v>
      </c>
      <c r="K191">
        <v>136.80000000000001</v>
      </c>
      <c r="L191">
        <v>160.81</v>
      </c>
      <c r="M191">
        <v>181.81</v>
      </c>
      <c r="N191">
        <v>234.64</v>
      </c>
      <c r="O191">
        <v>239.98</v>
      </c>
      <c r="P191">
        <v>266.06</v>
      </c>
      <c r="Q191">
        <v>276.29000000000002</v>
      </c>
      <c r="R191">
        <v>248.31</v>
      </c>
      <c r="S191">
        <v>308.32</v>
      </c>
      <c r="T191">
        <v>379.8</v>
      </c>
      <c r="U191">
        <v>463.46</v>
      </c>
    </row>
    <row r="192" spans="1:21" x14ac:dyDescent="0.25">
      <c r="A192" t="s">
        <v>417</v>
      </c>
      <c r="D192">
        <v>58.49</v>
      </c>
      <c r="E192">
        <v>85.47</v>
      </c>
      <c r="F192">
        <v>140.66999999999999</v>
      </c>
      <c r="G192">
        <v>221.39</v>
      </c>
      <c r="H192">
        <v>337.26</v>
      </c>
      <c r="I192">
        <v>571.29</v>
      </c>
      <c r="J192">
        <v>923.75</v>
      </c>
      <c r="K192" s="2">
        <v>1281.1400000000001</v>
      </c>
      <c r="L192" s="2">
        <v>1643.92</v>
      </c>
      <c r="M192" s="2">
        <v>2054.42</v>
      </c>
      <c r="N192" s="2">
        <v>2480.5</v>
      </c>
      <c r="O192" s="2">
        <v>2956.56</v>
      </c>
      <c r="P192" s="2">
        <v>3484.64</v>
      </c>
      <c r="Q192" s="2">
        <v>4078.63</v>
      </c>
      <c r="R192" s="2">
        <v>4722.79</v>
      </c>
      <c r="S192" s="2">
        <v>5427.16</v>
      </c>
      <c r="T192" s="2">
        <v>6194.84</v>
      </c>
      <c r="U192" s="2">
        <v>7034.62</v>
      </c>
    </row>
    <row r="193" spans="1:21" x14ac:dyDescent="0.25">
      <c r="A193" t="s">
        <v>1782</v>
      </c>
      <c r="D193">
        <v>0</v>
      </c>
      <c r="E193">
        <v>0</v>
      </c>
      <c r="F193">
        <v>0</v>
      </c>
      <c r="G193">
        <v>0</v>
      </c>
      <c r="H193">
        <v>15.6</v>
      </c>
      <c r="I193">
        <v>19.84</v>
      </c>
      <c r="J193">
        <v>26.1</v>
      </c>
      <c r="K193">
        <v>34.47</v>
      </c>
      <c r="L193" s="2">
        <v>1193.1400000000001</v>
      </c>
      <c r="M193">
        <v>52.5</v>
      </c>
      <c r="N193">
        <v>64.89</v>
      </c>
      <c r="O193">
        <v>67.489999999999995</v>
      </c>
      <c r="P193">
        <v>70.680000000000007</v>
      </c>
      <c r="Q193">
        <v>78.05</v>
      </c>
      <c r="R193">
        <v>92.37</v>
      </c>
      <c r="S193">
        <v>100.49</v>
      </c>
      <c r="T193">
        <v>109.48</v>
      </c>
      <c r="U193">
        <v>119.15</v>
      </c>
    </row>
    <row r="194" spans="1:21" x14ac:dyDescent="0.25">
      <c r="A194" t="s">
        <v>164</v>
      </c>
      <c r="D194">
        <v>8.9499999999999993</v>
      </c>
      <c r="E194">
        <v>12.61</v>
      </c>
      <c r="F194">
        <v>24.71</v>
      </c>
      <c r="G194">
        <v>33.659999999999997</v>
      </c>
      <c r="H194">
        <v>924.73</v>
      </c>
      <c r="I194" s="2">
        <v>1008.53</v>
      </c>
      <c r="J194" s="2">
        <v>1124.92</v>
      </c>
      <c r="K194" s="2">
        <v>1347.34</v>
      </c>
      <c r="L194">
        <v>317.98</v>
      </c>
      <c r="M194" s="2">
        <v>2191</v>
      </c>
      <c r="N194" s="2">
        <v>2307.14</v>
      </c>
      <c r="O194" s="2">
        <v>2202.0700000000002</v>
      </c>
      <c r="P194" s="2">
        <v>1953.74</v>
      </c>
      <c r="Q194" s="2">
        <v>1911.02</v>
      </c>
      <c r="R194" s="2">
        <v>1385.54</v>
      </c>
      <c r="S194" s="2">
        <v>1623.82</v>
      </c>
      <c r="T194" s="2">
        <v>1884.88</v>
      </c>
      <c r="U194" s="2">
        <v>2174.64</v>
      </c>
    </row>
    <row r="195" spans="1:21" x14ac:dyDescent="0.25">
      <c r="A195" t="s">
        <v>1783</v>
      </c>
      <c r="G195">
        <v>0</v>
      </c>
      <c r="H195">
        <v>861.62</v>
      </c>
      <c r="I195">
        <v>913.54</v>
      </c>
      <c r="J195">
        <v>968.67</v>
      </c>
      <c r="K195" s="2">
        <v>1134.1600000000001</v>
      </c>
      <c r="L195">
        <v>0</v>
      </c>
      <c r="M195" s="2">
        <v>1700.73</v>
      </c>
      <c r="N195" s="2">
        <v>1696.36</v>
      </c>
      <c r="O195" s="2">
        <v>1697.63</v>
      </c>
      <c r="P195" s="2">
        <v>1699.82</v>
      </c>
      <c r="Q195" s="2">
        <v>1701.19</v>
      </c>
      <c r="R195" s="2">
        <v>1696</v>
      </c>
      <c r="S195" s="2">
        <v>1696</v>
      </c>
    </row>
    <row r="196" spans="1:21" x14ac:dyDescent="0.25">
      <c r="A196" t="s">
        <v>420</v>
      </c>
      <c r="D196">
        <v>7.42</v>
      </c>
      <c r="E196">
        <v>11.15</v>
      </c>
      <c r="F196">
        <v>23.35</v>
      </c>
      <c r="G196">
        <v>29.82</v>
      </c>
      <c r="H196">
        <v>32.5</v>
      </c>
      <c r="I196">
        <v>59.32</v>
      </c>
      <c r="J196">
        <v>97.37</v>
      </c>
      <c r="K196">
        <v>158.53</v>
      </c>
      <c r="L196">
        <v>251.06</v>
      </c>
      <c r="M196">
        <v>413.61</v>
      </c>
      <c r="N196">
        <v>445.27</v>
      </c>
      <c r="O196">
        <v>522.85</v>
      </c>
      <c r="P196">
        <v>592.69000000000005</v>
      </c>
      <c r="Q196">
        <v>695.09</v>
      </c>
      <c r="R196">
        <v>911.68</v>
      </c>
      <c r="S196" s="2">
        <v>1049.97</v>
      </c>
      <c r="T196" s="2">
        <v>1197.29</v>
      </c>
      <c r="U196" s="2">
        <v>1356.16</v>
      </c>
    </row>
    <row r="197" spans="1:21" x14ac:dyDescent="0.25">
      <c r="A197" t="s">
        <v>661</v>
      </c>
      <c r="H197">
        <v>28.02</v>
      </c>
      <c r="I197">
        <v>31.23</v>
      </c>
      <c r="J197">
        <v>50.95</v>
      </c>
      <c r="K197">
        <v>41.92</v>
      </c>
      <c r="L197">
        <v>44.82</v>
      </c>
      <c r="M197">
        <v>43.35</v>
      </c>
      <c r="N197">
        <v>94.58</v>
      </c>
      <c r="O197">
        <v>94.73</v>
      </c>
      <c r="P197">
        <v>103.67</v>
      </c>
      <c r="Q197">
        <v>126.36</v>
      </c>
      <c r="R197">
        <v>343.4</v>
      </c>
      <c r="S197">
        <v>431.71</v>
      </c>
      <c r="T197">
        <v>533.05999999999995</v>
      </c>
      <c r="U197">
        <v>648.89</v>
      </c>
    </row>
    <row r="198" spans="1:21" x14ac:dyDescent="0.25">
      <c r="A198" t="s">
        <v>1784</v>
      </c>
      <c r="G198">
        <v>0</v>
      </c>
      <c r="H198">
        <v>861.62</v>
      </c>
      <c r="I198">
        <v>913.54</v>
      </c>
      <c r="J198">
        <v>968.67</v>
      </c>
      <c r="K198" s="2">
        <v>1134.1600000000001</v>
      </c>
      <c r="L198">
        <v>0</v>
      </c>
      <c r="M198" s="2">
        <v>1700.73</v>
      </c>
      <c r="N198" s="2">
        <v>1696.36</v>
      </c>
      <c r="O198" s="2">
        <v>1634.32</v>
      </c>
      <c r="P198" s="2">
        <v>1622.65</v>
      </c>
      <c r="Q198" s="2">
        <v>1529.19</v>
      </c>
      <c r="R198">
        <v>833.86</v>
      </c>
      <c r="S198">
        <v>833.86</v>
      </c>
      <c r="T198">
        <v>833.86</v>
      </c>
      <c r="U198">
        <v>833.86</v>
      </c>
    </row>
    <row r="199" spans="1:21" x14ac:dyDescent="0.25">
      <c r="A199" t="s">
        <v>78</v>
      </c>
      <c r="D199">
        <v>1.53</v>
      </c>
      <c r="E199">
        <v>1.46</v>
      </c>
      <c r="F199">
        <v>1.36</v>
      </c>
      <c r="G199">
        <v>3.84</v>
      </c>
      <c r="H199">
        <v>2.59</v>
      </c>
      <c r="I199">
        <v>4.45</v>
      </c>
      <c r="J199">
        <v>7.92</v>
      </c>
      <c r="K199">
        <v>12.73</v>
      </c>
      <c r="L199">
        <v>22.1</v>
      </c>
      <c r="M199">
        <v>33.32</v>
      </c>
      <c r="N199">
        <v>70.94</v>
      </c>
      <c r="O199">
        <v>66.38</v>
      </c>
      <c r="P199">
        <v>71.55</v>
      </c>
      <c r="Q199">
        <v>82.11</v>
      </c>
      <c r="R199">
        <v>70.94</v>
      </c>
      <c r="S199">
        <v>70.94</v>
      </c>
      <c r="T199">
        <v>70.94</v>
      </c>
      <c r="U199">
        <v>70.94</v>
      </c>
    </row>
    <row r="200" spans="1:21" x14ac:dyDescent="0.25">
      <c r="A200" t="s">
        <v>167</v>
      </c>
      <c r="D200">
        <v>86.85</v>
      </c>
      <c r="E200">
        <v>133.07</v>
      </c>
      <c r="F200">
        <v>207.55</v>
      </c>
      <c r="G200">
        <v>295.60000000000002</v>
      </c>
      <c r="H200" s="2">
        <v>1348.63</v>
      </c>
      <c r="I200" s="2">
        <v>1728.74</v>
      </c>
      <c r="J200" s="2">
        <v>2259.37</v>
      </c>
      <c r="K200" s="2">
        <v>2883.21</v>
      </c>
      <c r="L200" s="2">
        <v>3430.87</v>
      </c>
      <c r="M200" s="2">
        <v>4620.62</v>
      </c>
      <c r="N200" s="2">
        <v>5268.45</v>
      </c>
      <c r="O200" s="2">
        <v>5723.16</v>
      </c>
      <c r="P200" s="2">
        <v>6197.95</v>
      </c>
      <c r="Q200" s="2">
        <v>6773.03</v>
      </c>
      <c r="R200" s="2">
        <v>7232.38</v>
      </c>
      <c r="S200" s="2">
        <v>8184.64</v>
      </c>
      <c r="T200" s="2">
        <v>9149.32</v>
      </c>
      <c r="U200" s="2">
        <v>10354.1</v>
      </c>
    </row>
    <row r="201" spans="1:21" x14ac:dyDescent="0.25">
      <c r="A201" t="s">
        <v>170</v>
      </c>
      <c r="D201">
        <v>66.67</v>
      </c>
      <c r="E201">
        <v>49.84</v>
      </c>
      <c r="F201">
        <v>240.24</v>
      </c>
      <c r="G201">
        <v>308.56</v>
      </c>
      <c r="H201">
        <v>484.83</v>
      </c>
      <c r="I201">
        <v>528.9</v>
      </c>
      <c r="J201">
        <v>573.29999999999995</v>
      </c>
      <c r="K201">
        <v>725.11</v>
      </c>
      <c r="L201" s="2">
        <v>1274.0999999999999</v>
      </c>
      <c r="M201" s="2">
        <v>1799.27</v>
      </c>
      <c r="N201" s="2">
        <v>2598.2600000000002</v>
      </c>
      <c r="O201" s="2">
        <v>3498.87</v>
      </c>
      <c r="P201" s="2">
        <v>4642</v>
      </c>
      <c r="Q201" s="2">
        <v>5909.44</v>
      </c>
      <c r="R201" s="2">
        <v>7689</v>
      </c>
      <c r="S201" s="2">
        <v>9587.25</v>
      </c>
      <c r="T201" s="2">
        <v>13731</v>
      </c>
      <c r="U201" s="2">
        <v>16631.330000000002</v>
      </c>
    </row>
    <row r="202" spans="1:21" x14ac:dyDescent="0.25">
      <c r="A202" t="s">
        <v>171</v>
      </c>
      <c r="D202">
        <v>0.02</v>
      </c>
      <c r="E202">
        <v>0.02</v>
      </c>
      <c r="F202">
        <v>0.12</v>
      </c>
      <c r="G202">
        <v>0.13</v>
      </c>
      <c r="H202">
        <v>0.13</v>
      </c>
      <c r="I202">
        <v>0.14000000000000001</v>
      </c>
      <c r="J202">
        <v>0.14000000000000001</v>
      </c>
      <c r="K202">
        <v>0.15</v>
      </c>
      <c r="L202">
        <v>0.15</v>
      </c>
      <c r="M202">
        <v>0.16</v>
      </c>
      <c r="N202">
        <v>0.16</v>
      </c>
      <c r="O202">
        <v>0.16</v>
      </c>
      <c r="P202">
        <v>0.16</v>
      </c>
      <c r="Q202">
        <v>0.16</v>
      </c>
      <c r="R202">
        <v>0.16</v>
      </c>
      <c r="S202">
        <v>0.16</v>
      </c>
      <c r="T202">
        <v>0.16</v>
      </c>
      <c r="U202">
        <v>0.16</v>
      </c>
    </row>
    <row r="203" spans="1:21" x14ac:dyDescent="0.25">
      <c r="A203" t="s">
        <v>503</v>
      </c>
      <c r="D203">
        <v>11.71</v>
      </c>
      <c r="E203">
        <v>18.73</v>
      </c>
      <c r="F203">
        <v>438.39</v>
      </c>
      <c r="G203">
        <v>532.62</v>
      </c>
      <c r="H203">
        <v>823.8</v>
      </c>
      <c r="I203" s="2">
        <v>1131.01</v>
      </c>
      <c r="J203" s="2">
        <v>1590.89</v>
      </c>
      <c r="K203" s="2">
        <v>1816.92</v>
      </c>
      <c r="L203" s="2">
        <v>2426.8200000000002</v>
      </c>
      <c r="M203" s="2">
        <v>2980.59</v>
      </c>
      <c r="N203" s="2">
        <v>3874.38</v>
      </c>
      <c r="O203" s="2">
        <v>4468.67</v>
      </c>
      <c r="P203" s="2">
        <v>5378.85</v>
      </c>
      <c r="Q203" s="2">
        <v>6833.98</v>
      </c>
      <c r="R203" s="2">
        <v>9313.2199999999993</v>
      </c>
      <c r="S203" s="2">
        <v>10972.39</v>
      </c>
      <c r="T203" s="2">
        <v>12545.89</v>
      </c>
      <c r="U203" s="2">
        <v>14221.8</v>
      </c>
    </row>
    <row r="204" spans="1:21" x14ac:dyDescent="0.25">
      <c r="A204" t="s">
        <v>1192</v>
      </c>
      <c r="D204">
        <v>-126.56</v>
      </c>
      <c r="E204">
        <v>-162.02000000000001</v>
      </c>
      <c r="F204">
        <v>-196.1</v>
      </c>
      <c r="G204">
        <v>-224.46</v>
      </c>
      <c r="H204">
        <v>-339.57</v>
      </c>
      <c r="I204">
        <v>-601.6</v>
      </c>
      <c r="J204">
        <v>-991.88</v>
      </c>
      <c r="K204" s="2">
        <v>-1090.3699999999999</v>
      </c>
      <c r="L204" s="2">
        <v>-1148.08</v>
      </c>
      <c r="M204" s="2">
        <v>-1189.56</v>
      </c>
      <c r="N204" s="2">
        <v>-1252.74</v>
      </c>
      <c r="O204" s="2">
        <v>-1064.3</v>
      </c>
      <c r="P204">
        <v>-725.48</v>
      </c>
      <c r="Q204">
        <v>-483.23</v>
      </c>
      <c r="R204">
        <v>-8.98</v>
      </c>
      <c r="S204">
        <v>873.39</v>
      </c>
      <c r="T204" s="2">
        <v>2073.4499999999998</v>
      </c>
      <c r="U204" s="2">
        <v>3655.58</v>
      </c>
    </row>
    <row r="205" spans="1:21" x14ac:dyDescent="0.25">
      <c r="A205" t="s">
        <v>1785</v>
      </c>
      <c r="F205">
        <v>-0.12</v>
      </c>
      <c r="G205">
        <v>0.27</v>
      </c>
      <c r="H205">
        <v>0.46</v>
      </c>
      <c r="I205">
        <v>-0.65</v>
      </c>
      <c r="J205">
        <v>-25.85</v>
      </c>
      <c r="K205">
        <v>-1.58</v>
      </c>
      <c r="L205">
        <v>-4.79</v>
      </c>
      <c r="M205">
        <v>8.08</v>
      </c>
      <c r="N205">
        <v>-23.54</v>
      </c>
      <c r="O205">
        <v>-23.54</v>
      </c>
      <c r="P205">
        <v>-23.54</v>
      </c>
      <c r="Q205">
        <v>-23.54</v>
      </c>
      <c r="R205">
        <v>-23.54</v>
      </c>
      <c r="S205">
        <v>-23.54</v>
      </c>
      <c r="T205">
        <v>-23.54</v>
      </c>
      <c r="U205">
        <v>-23.54</v>
      </c>
    </row>
    <row r="206" spans="1:21" x14ac:dyDescent="0.25">
      <c r="A206" t="s">
        <v>326</v>
      </c>
      <c r="D206">
        <v>153.52000000000001</v>
      </c>
      <c r="E206">
        <v>182.9</v>
      </c>
      <c r="F206">
        <v>447.78</v>
      </c>
      <c r="G206">
        <v>604.16</v>
      </c>
      <c r="H206" s="2">
        <v>1833.46</v>
      </c>
      <c r="I206" s="2">
        <v>2257.63</v>
      </c>
      <c r="J206" s="2">
        <v>2832.67</v>
      </c>
      <c r="K206" s="2">
        <v>3608.32</v>
      </c>
      <c r="L206" s="2">
        <v>4704.97</v>
      </c>
      <c r="M206" s="2">
        <v>6419.89</v>
      </c>
      <c r="N206" s="2">
        <v>7866.71</v>
      </c>
      <c r="O206" s="2">
        <v>9225.5499999999993</v>
      </c>
      <c r="P206" s="2">
        <v>10852.65</v>
      </c>
      <c r="Q206" s="2">
        <v>12719.76</v>
      </c>
      <c r="R206" s="2">
        <v>14921.53</v>
      </c>
      <c r="S206" s="2">
        <v>17771.919999999998</v>
      </c>
      <c r="T206" s="2">
        <v>22880.3</v>
      </c>
      <c r="U206" s="2">
        <v>26985.47</v>
      </c>
    </row>
    <row r="207" spans="1:21" x14ac:dyDescent="0.25">
      <c r="A207" t="s">
        <v>17</v>
      </c>
    </row>
    <row r="208" spans="1:21" x14ac:dyDescent="0.25">
      <c r="A208" t="s">
        <v>176</v>
      </c>
    </row>
    <row r="209" spans="1:21" x14ac:dyDescent="0.25">
      <c r="A209" t="s">
        <v>505</v>
      </c>
      <c r="D209">
        <v>-92.84</v>
      </c>
      <c r="E209">
        <v>-87.98</v>
      </c>
      <c r="F209">
        <v>-298.54000000000002</v>
      </c>
      <c r="G209">
        <v>-364.65</v>
      </c>
      <c r="H209">
        <v>-508.96</v>
      </c>
      <c r="I209">
        <v>-589.01</v>
      </c>
      <c r="J209">
        <v>-762.67</v>
      </c>
      <c r="K209">
        <v>-966.07</v>
      </c>
      <c r="L209" s="2">
        <v>-1267.3800000000001</v>
      </c>
      <c r="M209" s="2">
        <v>-1871.68</v>
      </c>
      <c r="N209" s="2">
        <v>-1777.8</v>
      </c>
      <c r="O209" s="2">
        <v>-2597.46</v>
      </c>
      <c r="P209" s="2">
        <v>-3720.67</v>
      </c>
      <c r="Q209" s="2">
        <v>-4901.5</v>
      </c>
      <c r="R209" s="2">
        <v>-7437</v>
      </c>
      <c r="S209" s="2">
        <v>-9626</v>
      </c>
      <c r="T209" s="2">
        <v>-12123</v>
      </c>
      <c r="U209" s="2">
        <v>-14950</v>
      </c>
    </row>
    <row r="210" spans="1:21" x14ac:dyDescent="0.25">
      <c r="A210" t="s">
        <v>178</v>
      </c>
    </row>
    <row r="211" spans="1:21" x14ac:dyDescent="0.25">
      <c r="A211" t="s">
        <v>180</v>
      </c>
      <c r="G211">
        <v>-10.44</v>
      </c>
      <c r="H211">
        <v>-29.02</v>
      </c>
      <c r="I211">
        <v>-51.7</v>
      </c>
      <c r="J211">
        <v>-70.819999999999993</v>
      </c>
      <c r="K211">
        <v>-31.17</v>
      </c>
      <c r="L211">
        <v>-5.77</v>
      </c>
      <c r="M211">
        <v>-2.7</v>
      </c>
      <c r="N211">
        <v>-2.87</v>
      </c>
      <c r="O211">
        <v>28.33</v>
      </c>
      <c r="P211">
        <v>17</v>
      </c>
      <c r="Q211">
        <v>14.41</v>
      </c>
    </row>
    <row r="212" spans="1:21" x14ac:dyDescent="0.25">
      <c r="A212" t="s">
        <v>333</v>
      </c>
      <c r="D212">
        <v>49.16</v>
      </c>
      <c r="E212">
        <v>22.45</v>
      </c>
      <c r="F212">
        <v>204.33</v>
      </c>
      <c r="G212">
        <v>234.14</v>
      </c>
      <c r="H212" s="2">
        <v>1157.8900000000001</v>
      </c>
      <c r="I212" s="2">
        <v>1128.0999999999999</v>
      </c>
      <c r="J212" s="2">
        <v>1122.2</v>
      </c>
      <c r="K212" s="2">
        <v>1354.45</v>
      </c>
      <c r="L212">
        <v>283.73</v>
      </c>
      <c r="M212" s="2">
        <v>2464.6799999999998</v>
      </c>
      <c r="N212" s="2">
        <v>2069.92</v>
      </c>
      <c r="O212" s="2">
        <v>2882.31</v>
      </c>
      <c r="P212" s="2">
        <v>3915.55</v>
      </c>
      <c r="Q212" s="2">
        <v>4526.25</v>
      </c>
      <c r="R212" s="2">
        <v>7218.51</v>
      </c>
      <c r="S212" s="2">
        <v>9290.76</v>
      </c>
      <c r="T212" s="2">
        <v>11669.22</v>
      </c>
      <c r="U212" s="2">
        <v>14437.77</v>
      </c>
    </row>
    <row r="213" spans="1:21" x14ac:dyDescent="0.25">
      <c r="A213" t="s">
        <v>183</v>
      </c>
      <c r="D213">
        <v>20.22</v>
      </c>
      <c r="E213">
        <v>21.57</v>
      </c>
      <c r="F213">
        <v>119.76</v>
      </c>
      <c r="G213">
        <v>127.25</v>
      </c>
      <c r="H213">
        <v>132.82</v>
      </c>
      <c r="I213">
        <v>138.66</v>
      </c>
      <c r="J213">
        <v>143.04</v>
      </c>
      <c r="K213">
        <v>147.16999999999999</v>
      </c>
      <c r="L213">
        <v>152.49</v>
      </c>
      <c r="M213">
        <v>158.30000000000001</v>
      </c>
      <c r="N213">
        <v>163.06</v>
      </c>
      <c r="O213">
        <v>165.22</v>
      </c>
      <c r="P213">
        <v>169.32</v>
      </c>
      <c r="Q213">
        <v>171.76</v>
      </c>
      <c r="R213">
        <v>174.65</v>
      </c>
      <c r="S213">
        <v>175.05</v>
      </c>
      <c r="T213">
        <v>188.8</v>
      </c>
      <c r="U213">
        <v>189.5</v>
      </c>
    </row>
    <row r="214" spans="1:21" x14ac:dyDescent="0.25">
      <c r="A214" t="s">
        <v>424</v>
      </c>
      <c r="D214">
        <v>-6.19</v>
      </c>
      <c r="E214">
        <v>-7.02</v>
      </c>
      <c r="F214">
        <v>2.0099999999999998</v>
      </c>
      <c r="G214">
        <v>2.42</v>
      </c>
      <c r="H214">
        <v>3.65</v>
      </c>
      <c r="I214">
        <v>3.81</v>
      </c>
      <c r="J214">
        <v>4.01</v>
      </c>
      <c r="K214">
        <v>4.93</v>
      </c>
      <c r="L214">
        <v>8.36</v>
      </c>
      <c r="M214">
        <v>11.37</v>
      </c>
      <c r="N214">
        <v>15.93</v>
      </c>
      <c r="O214">
        <v>20.27</v>
      </c>
      <c r="P214">
        <v>26.12</v>
      </c>
      <c r="Q214">
        <v>31.19</v>
      </c>
    </row>
    <row r="215" spans="1:21" x14ac:dyDescent="0.25">
      <c r="A215" t="s">
        <v>17</v>
      </c>
    </row>
    <row r="216" spans="1:21" x14ac:dyDescent="0.25">
      <c r="A216" t="s">
        <v>188</v>
      </c>
    </row>
    <row r="217" spans="1:21" x14ac:dyDescent="0.25">
      <c r="A217" t="s">
        <v>189</v>
      </c>
    </row>
    <row r="218" spans="1:21" x14ac:dyDescent="0.25">
      <c r="A218" t="s">
        <v>121</v>
      </c>
      <c r="C218">
        <v>-12.83</v>
      </c>
      <c r="D218">
        <v>-27.44</v>
      </c>
      <c r="E218">
        <v>-35.46</v>
      </c>
      <c r="F218">
        <v>-33.65</v>
      </c>
      <c r="G218">
        <v>-28.66</v>
      </c>
      <c r="H218">
        <v>-115.12</v>
      </c>
      <c r="I218">
        <v>-262.02999999999997</v>
      </c>
      <c r="J218">
        <v>-390.28</v>
      </c>
      <c r="K218">
        <v>-202.34</v>
      </c>
      <c r="L218">
        <v>-57.71</v>
      </c>
      <c r="M218">
        <v>-41.48</v>
      </c>
      <c r="N218">
        <v>-63.18</v>
      </c>
      <c r="O218">
        <v>112.73</v>
      </c>
      <c r="P218">
        <v>199.33</v>
      </c>
      <c r="Q218">
        <v>180.54</v>
      </c>
      <c r="R218">
        <v>429.41</v>
      </c>
      <c r="S218">
        <v>600.46</v>
      </c>
      <c r="T218">
        <v>828.33</v>
      </c>
      <c r="U218" s="2">
        <v>1114.6099999999999</v>
      </c>
    </row>
    <row r="219" spans="1:21" x14ac:dyDescent="0.25">
      <c r="A219" t="s">
        <v>190</v>
      </c>
      <c r="D219">
        <v>4.87</v>
      </c>
      <c r="E219">
        <v>6.84</v>
      </c>
      <c r="F219">
        <v>7.99</v>
      </c>
      <c r="G219">
        <v>10.4</v>
      </c>
      <c r="H219">
        <v>17.73</v>
      </c>
      <c r="I219">
        <v>29.66</v>
      </c>
      <c r="J219">
        <v>40.46</v>
      </c>
      <c r="K219">
        <v>55.76</v>
      </c>
      <c r="L219">
        <v>66.31</v>
      </c>
      <c r="M219">
        <v>104.36</v>
      </c>
      <c r="N219">
        <v>148.54</v>
      </c>
      <c r="O219">
        <v>187.1</v>
      </c>
      <c r="P219">
        <v>218.09</v>
      </c>
      <c r="Q219">
        <v>257.27999999999997</v>
      </c>
      <c r="R219">
        <v>280.73</v>
      </c>
      <c r="S219">
        <v>316.41000000000003</v>
      </c>
      <c r="T219">
        <v>353.57</v>
      </c>
      <c r="U219">
        <v>391.62</v>
      </c>
    </row>
    <row r="220" spans="1:21" x14ac:dyDescent="0.25">
      <c r="A220" t="s">
        <v>61</v>
      </c>
    </row>
    <row r="221" spans="1:21" x14ac:dyDescent="0.25">
      <c r="A221" t="s">
        <v>1786</v>
      </c>
      <c r="D221">
        <v>5.52</v>
      </c>
      <c r="E221">
        <v>8.4700000000000006</v>
      </c>
      <c r="F221">
        <v>13.18</v>
      </c>
      <c r="G221">
        <v>18.649999999999999</v>
      </c>
      <c r="H221">
        <v>24.92</v>
      </c>
      <c r="I221">
        <v>40.56</v>
      </c>
      <c r="J221">
        <v>68.53</v>
      </c>
      <c r="K221">
        <v>98.72</v>
      </c>
      <c r="L221">
        <v>130.13999999999999</v>
      </c>
      <c r="M221">
        <v>166.31</v>
      </c>
      <c r="N221">
        <v>203.69</v>
      </c>
      <c r="O221">
        <v>227.66</v>
      </c>
      <c r="P221">
        <v>256.72000000000003</v>
      </c>
      <c r="Q221">
        <v>291.42</v>
      </c>
      <c r="R221">
        <v>387.17</v>
      </c>
      <c r="S221">
        <v>445.77</v>
      </c>
      <c r="T221">
        <v>510.23</v>
      </c>
      <c r="U221">
        <v>579.1</v>
      </c>
    </row>
    <row r="222" spans="1:21" x14ac:dyDescent="0.25">
      <c r="A222" t="s">
        <v>1787</v>
      </c>
      <c r="G222">
        <v>0.91</v>
      </c>
      <c r="H222">
        <v>3.38</v>
      </c>
      <c r="I222">
        <v>6.8</v>
      </c>
      <c r="J222">
        <v>9.01</v>
      </c>
      <c r="K222">
        <v>11.06</v>
      </c>
      <c r="L222">
        <v>14.62</v>
      </c>
      <c r="M222">
        <v>16.82</v>
      </c>
      <c r="N222">
        <v>43.47</v>
      </c>
      <c r="O222">
        <v>47.83</v>
      </c>
      <c r="P222">
        <v>45.05</v>
      </c>
      <c r="Q222">
        <v>41.33</v>
      </c>
      <c r="R222">
        <v>66.290000000000006</v>
      </c>
      <c r="S222">
        <v>72.849999999999994</v>
      </c>
      <c r="T222">
        <v>79.55</v>
      </c>
      <c r="U222">
        <v>86.29</v>
      </c>
    </row>
    <row r="223" spans="1:21" x14ac:dyDescent="0.25">
      <c r="A223" t="s">
        <v>67</v>
      </c>
      <c r="C223">
        <v>1.56</v>
      </c>
      <c r="D223">
        <v>3.62</v>
      </c>
      <c r="E223">
        <v>9.92</v>
      </c>
      <c r="F223">
        <v>11.22</v>
      </c>
      <c r="G223">
        <v>46.42</v>
      </c>
      <c r="H223">
        <v>121.4</v>
      </c>
      <c r="I223">
        <v>258.54000000000002</v>
      </c>
      <c r="J223">
        <v>409.56</v>
      </c>
      <c r="K223">
        <v>444.83</v>
      </c>
      <c r="L223">
        <v>527.67999999999995</v>
      </c>
      <c r="M223">
        <v>661.35</v>
      </c>
      <c r="N223">
        <v>821.92</v>
      </c>
      <c r="O223">
        <v>905.82</v>
      </c>
      <c r="P223">
        <v>997.91</v>
      </c>
      <c r="Q223" s="2">
        <v>1056.26</v>
      </c>
      <c r="R223" s="2">
        <v>1148.6600000000001</v>
      </c>
      <c r="S223" s="2">
        <v>1212.6099999999999</v>
      </c>
      <c r="T223" s="2">
        <v>1259.08</v>
      </c>
      <c r="U223" s="2">
        <v>1284.1500000000001</v>
      </c>
    </row>
    <row r="224" spans="1:21" x14ac:dyDescent="0.25">
      <c r="A224" t="s">
        <v>61</v>
      </c>
    </row>
    <row r="225" spans="1:21" x14ac:dyDescent="0.25">
      <c r="A225" t="s">
        <v>1788</v>
      </c>
      <c r="K225">
        <v>-3.32</v>
      </c>
      <c r="L225">
        <v>0.75</v>
      </c>
      <c r="M225">
        <v>0.37</v>
      </c>
      <c r="N225">
        <v>-0.77</v>
      </c>
      <c r="O225">
        <v>1.06</v>
      </c>
      <c r="P225">
        <v>1.06</v>
      </c>
    </row>
    <row r="226" spans="1:21" x14ac:dyDescent="0.25">
      <c r="A226" t="s">
        <v>1789</v>
      </c>
      <c r="G226">
        <v>-2.1800000000000002</v>
      </c>
      <c r="H226">
        <v>0.05</v>
      </c>
      <c r="I226">
        <v>11.72</v>
      </c>
      <c r="J226">
        <v>6.58</v>
      </c>
      <c r="K226">
        <v>-6.58</v>
      </c>
      <c r="L226">
        <v>-19.059999999999999</v>
      </c>
      <c r="M226">
        <v>-15.92</v>
      </c>
      <c r="N226">
        <v>-4.66</v>
      </c>
      <c r="O226">
        <v>-0.47</v>
      </c>
      <c r="P226">
        <v>-0.08</v>
      </c>
      <c r="Q226">
        <v>-0.23</v>
      </c>
    </row>
    <row r="227" spans="1:21" x14ac:dyDescent="0.25">
      <c r="A227" t="s">
        <v>549</v>
      </c>
      <c r="G227">
        <v>0</v>
      </c>
      <c r="H227">
        <v>4.8899999999999997</v>
      </c>
      <c r="I227">
        <v>51.92</v>
      </c>
      <c r="J227">
        <v>55.14</v>
      </c>
      <c r="K227">
        <v>3.89</v>
      </c>
      <c r="L227">
        <v>3.91</v>
      </c>
      <c r="M227">
        <v>4.29</v>
      </c>
      <c r="N227">
        <v>8.17</v>
      </c>
      <c r="O227">
        <v>6.94</v>
      </c>
      <c r="P227">
        <v>7.49</v>
      </c>
      <c r="Q227">
        <v>6.78</v>
      </c>
    </row>
    <row r="228" spans="1:21" x14ac:dyDescent="0.25">
      <c r="A228" t="s">
        <v>1790</v>
      </c>
      <c r="G228">
        <v>0</v>
      </c>
      <c r="H228">
        <v>13.56</v>
      </c>
      <c r="I228">
        <v>21</v>
      </c>
      <c r="J228">
        <v>25.63</v>
      </c>
      <c r="K228">
        <v>32.21</v>
      </c>
      <c r="L228">
        <v>49.45</v>
      </c>
      <c r="M228">
        <v>63</v>
      </c>
      <c r="N228">
        <v>82.93</v>
      </c>
      <c r="O228">
        <v>75.290000000000006</v>
      </c>
      <c r="P228">
        <v>77.400000000000006</v>
      </c>
      <c r="Q228">
        <v>99.98</v>
      </c>
      <c r="R228">
        <v>121.61</v>
      </c>
      <c r="S228">
        <v>133.28</v>
      </c>
      <c r="T228">
        <v>146.32</v>
      </c>
      <c r="U228">
        <v>160.81</v>
      </c>
    </row>
    <row r="229" spans="1:21" x14ac:dyDescent="0.25">
      <c r="A229" t="s">
        <v>212</v>
      </c>
    </row>
    <row r="230" spans="1:21" x14ac:dyDescent="0.25">
      <c r="A230" t="s">
        <v>338</v>
      </c>
    </row>
    <row r="231" spans="1:21" x14ac:dyDescent="0.25">
      <c r="A231" t="s">
        <v>141</v>
      </c>
      <c r="C231">
        <v>-4.72</v>
      </c>
      <c r="D231">
        <v>-6.19</v>
      </c>
      <c r="E231">
        <v>-14.56</v>
      </c>
      <c r="F231">
        <v>-22.56</v>
      </c>
      <c r="G231">
        <v>-31.73</v>
      </c>
      <c r="H231">
        <v>-54.22</v>
      </c>
      <c r="I231">
        <v>-111.61</v>
      </c>
      <c r="J231">
        <v>-143.34</v>
      </c>
      <c r="K231">
        <v>-183.86</v>
      </c>
      <c r="L231">
        <v>-152.96</v>
      </c>
      <c r="M231">
        <v>-256.01</v>
      </c>
      <c r="N231">
        <v>-139.99</v>
      </c>
      <c r="O231">
        <v>-159.99</v>
      </c>
      <c r="P231">
        <v>-208.12</v>
      </c>
      <c r="Q231">
        <v>-263.36</v>
      </c>
      <c r="R231">
        <v>-306.01</v>
      </c>
      <c r="S231">
        <v>-442.5</v>
      </c>
      <c r="T231">
        <v>-525.51</v>
      </c>
      <c r="U231">
        <v>-642.84</v>
      </c>
    </row>
    <row r="232" spans="1:21" x14ac:dyDescent="0.25">
      <c r="A232" t="s">
        <v>498</v>
      </c>
      <c r="D232">
        <v>-13.5</v>
      </c>
      <c r="E232">
        <v>-22</v>
      </c>
      <c r="F232">
        <v>-34.43</v>
      </c>
      <c r="G232">
        <v>-32.53</v>
      </c>
      <c r="H232">
        <v>-65.05</v>
      </c>
      <c r="I232">
        <v>-137.66999999999999</v>
      </c>
      <c r="J232">
        <v>-158.5</v>
      </c>
      <c r="K232">
        <v>-176.95</v>
      </c>
      <c r="L232">
        <v>-200.3</v>
      </c>
      <c r="M232">
        <v>-230.45</v>
      </c>
      <c r="N232">
        <v>-312.14999999999998</v>
      </c>
      <c r="O232">
        <v>-259.87</v>
      </c>
      <c r="P232">
        <v>-309.83999999999997</v>
      </c>
      <c r="Q232">
        <v>-372.36</v>
      </c>
      <c r="R232">
        <v>-456.93</v>
      </c>
      <c r="S232">
        <v>-528.6</v>
      </c>
      <c r="T232">
        <v>-605.41999999999996</v>
      </c>
      <c r="U232">
        <v>-707.36</v>
      </c>
    </row>
    <row r="233" spans="1:21" x14ac:dyDescent="0.25">
      <c r="A233" t="s">
        <v>1791</v>
      </c>
      <c r="D233">
        <v>-0.12</v>
      </c>
      <c r="E233">
        <v>-2.72</v>
      </c>
      <c r="F233">
        <v>-5.07</v>
      </c>
      <c r="G233">
        <v>-7.64</v>
      </c>
      <c r="H233">
        <v>-13.58</v>
      </c>
      <c r="I233">
        <v>-3.39</v>
      </c>
      <c r="J233">
        <v>-10.29</v>
      </c>
      <c r="K233">
        <v>-39.92</v>
      </c>
      <c r="L233">
        <v>-39.97</v>
      </c>
      <c r="M233">
        <v>-41.57</v>
      </c>
      <c r="N233">
        <v>-28.08</v>
      </c>
      <c r="O233">
        <v>-55.69</v>
      </c>
      <c r="P233">
        <v>-69.23</v>
      </c>
      <c r="Q233">
        <v>-113.32</v>
      </c>
      <c r="R233">
        <v>-460.95</v>
      </c>
      <c r="S233">
        <v>-459.94</v>
      </c>
      <c r="T233">
        <v>-507.16</v>
      </c>
      <c r="U233">
        <v>-592.87</v>
      </c>
    </row>
    <row r="234" spans="1:21" x14ac:dyDescent="0.25">
      <c r="A234" t="s">
        <v>158</v>
      </c>
      <c r="C234">
        <v>-0.39</v>
      </c>
      <c r="D234">
        <v>0.56000000000000005</v>
      </c>
      <c r="E234">
        <v>2.25</v>
      </c>
      <c r="F234">
        <v>-0.78</v>
      </c>
      <c r="G234">
        <v>0.5</v>
      </c>
      <c r="H234">
        <v>0.86</v>
      </c>
      <c r="I234">
        <v>7.45</v>
      </c>
      <c r="J234">
        <v>14.36</v>
      </c>
      <c r="K234">
        <v>-8.42</v>
      </c>
      <c r="L234">
        <v>4.16</v>
      </c>
      <c r="M234">
        <v>17.53</v>
      </c>
      <c r="N234">
        <v>-10.63</v>
      </c>
      <c r="O234">
        <v>4.6500000000000004</v>
      </c>
      <c r="P234">
        <v>7.69</v>
      </c>
      <c r="Q234">
        <v>7.76</v>
      </c>
      <c r="R234">
        <v>5.9</v>
      </c>
      <c r="S234">
        <v>13.9</v>
      </c>
      <c r="T234">
        <v>17.48</v>
      </c>
      <c r="U234">
        <v>19.46</v>
      </c>
    </row>
    <row r="235" spans="1:21" x14ac:dyDescent="0.25">
      <c r="A235" t="s">
        <v>1290</v>
      </c>
      <c r="D235">
        <v>2.09</v>
      </c>
      <c r="E235">
        <v>5.38</v>
      </c>
      <c r="F235">
        <v>2.08</v>
      </c>
      <c r="G235">
        <v>-0.34</v>
      </c>
      <c r="H235">
        <v>2.29</v>
      </c>
      <c r="I235">
        <v>6.53</v>
      </c>
      <c r="J235">
        <v>13.38</v>
      </c>
      <c r="K235">
        <v>26.81</v>
      </c>
      <c r="L235">
        <v>43.56</v>
      </c>
      <c r="M235">
        <v>5.18</v>
      </c>
      <c r="N235">
        <v>36.42</v>
      </c>
      <c r="O235">
        <v>15.83</v>
      </c>
      <c r="P235">
        <v>23.25</v>
      </c>
      <c r="Q235">
        <v>23.69</v>
      </c>
      <c r="R235">
        <v>49.04</v>
      </c>
      <c r="S235">
        <v>56.63</v>
      </c>
      <c r="T235">
        <v>64.44</v>
      </c>
      <c r="U235">
        <v>72.239999999999995</v>
      </c>
    </row>
    <row r="236" spans="1:21" x14ac:dyDescent="0.25">
      <c r="A236" t="s">
        <v>160</v>
      </c>
      <c r="D236">
        <v>2.6</v>
      </c>
      <c r="E236">
        <v>5.25</v>
      </c>
      <c r="F236">
        <v>11.79</v>
      </c>
      <c r="G236">
        <v>-1.85</v>
      </c>
      <c r="H236">
        <v>27.9</v>
      </c>
      <c r="I236">
        <v>43.88</v>
      </c>
      <c r="J236">
        <v>18.329999999999998</v>
      </c>
      <c r="K236">
        <v>24.54</v>
      </c>
      <c r="L236">
        <v>10.51</v>
      </c>
      <c r="M236">
        <v>21</v>
      </c>
      <c r="N236">
        <v>44.59</v>
      </c>
      <c r="O236">
        <v>10.1</v>
      </c>
      <c r="P236">
        <v>30.8</v>
      </c>
      <c r="Q236">
        <v>28</v>
      </c>
      <c r="R236">
        <v>41.04</v>
      </c>
      <c r="S236">
        <v>44.34</v>
      </c>
      <c r="T236">
        <v>47.27</v>
      </c>
      <c r="U236">
        <v>49.68</v>
      </c>
    </row>
    <row r="237" spans="1:21" x14ac:dyDescent="0.25">
      <c r="A237" t="s">
        <v>161</v>
      </c>
      <c r="D237">
        <v>16.13</v>
      </c>
      <c r="E237">
        <v>30.71</v>
      </c>
      <c r="F237">
        <v>67.400000000000006</v>
      </c>
      <c r="G237">
        <v>87.18</v>
      </c>
      <c r="H237">
        <v>118.02</v>
      </c>
      <c r="I237">
        <v>262.43</v>
      </c>
      <c r="J237">
        <v>391.18</v>
      </c>
      <c r="K237">
        <v>418.56</v>
      </c>
      <c r="L237">
        <v>450.31</v>
      </c>
      <c r="M237">
        <v>573.04999999999995</v>
      </c>
      <c r="N237">
        <v>379.87</v>
      </c>
      <c r="O237">
        <v>555</v>
      </c>
      <c r="P237">
        <v>606.28</v>
      </c>
      <c r="Q237">
        <v>687.28</v>
      </c>
      <c r="R237">
        <v>855.46</v>
      </c>
      <c r="S237">
        <v>942.2</v>
      </c>
      <c r="T237" s="2">
        <v>1028.48</v>
      </c>
      <c r="U237" s="2">
        <v>1126.8599999999999</v>
      </c>
    </row>
    <row r="238" spans="1:21" x14ac:dyDescent="0.25">
      <c r="A238" t="s">
        <v>1792</v>
      </c>
    </row>
    <row r="239" spans="1:21" x14ac:dyDescent="0.25">
      <c r="A239" t="s">
        <v>202</v>
      </c>
      <c r="G239">
        <v>0</v>
      </c>
      <c r="H239">
        <v>-7.6</v>
      </c>
      <c r="I239">
        <v>-22.05</v>
      </c>
      <c r="J239">
        <v>-27.66</v>
      </c>
      <c r="K239">
        <v>-32.200000000000003</v>
      </c>
      <c r="L239">
        <v>-49.24</v>
      </c>
      <c r="M239">
        <v>-62.01</v>
      </c>
      <c r="N239">
        <v>-67.599999999999994</v>
      </c>
      <c r="O239">
        <v>-43.99</v>
      </c>
      <c r="P239">
        <v>-38.1</v>
      </c>
      <c r="Q239">
        <v>-19.72</v>
      </c>
    </row>
    <row r="240" spans="1:21" x14ac:dyDescent="0.25">
      <c r="A240" t="s">
        <v>604</v>
      </c>
      <c r="G240">
        <v>-1.39</v>
      </c>
      <c r="H240">
        <v>-1.17</v>
      </c>
      <c r="I240">
        <v>-2.41</v>
      </c>
      <c r="J240">
        <v>-0.56000000000000005</v>
      </c>
      <c r="K240">
        <v>0.35</v>
      </c>
      <c r="L240">
        <v>-5.63</v>
      </c>
      <c r="M240">
        <v>-14.35</v>
      </c>
      <c r="N240">
        <v>-20.39</v>
      </c>
      <c r="O240">
        <v>-56.29</v>
      </c>
      <c r="P240">
        <v>-56.29</v>
      </c>
      <c r="Q240">
        <v>-89.52</v>
      </c>
    </row>
    <row r="241" spans="1:21" x14ac:dyDescent="0.25">
      <c r="A241" t="s">
        <v>78</v>
      </c>
      <c r="D241">
        <v>-0.06</v>
      </c>
      <c r="E241">
        <v>-0.09</v>
      </c>
      <c r="F241">
        <v>0.13</v>
      </c>
      <c r="G241">
        <v>0.28000000000000003</v>
      </c>
      <c r="H241">
        <v>0.32</v>
      </c>
      <c r="I241">
        <v>0.31</v>
      </c>
      <c r="J241">
        <v>0.4</v>
      </c>
      <c r="K241">
        <v>-0.82</v>
      </c>
      <c r="L241">
        <v>3.32</v>
      </c>
      <c r="M241">
        <v>0.99</v>
      </c>
      <c r="N241">
        <v>90.42</v>
      </c>
      <c r="O241">
        <v>1.25</v>
      </c>
      <c r="P241">
        <v>1.25</v>
      </c>
    </row>
    <row r="242" spans="1:21" x14ac:dyDescent="0.25">
      <c r="A242" t="s">
        <v>204</v>
      </c>
      <c r="C242">
        <v>-3.28</v>
      </c>
      <c r="D242">
        <v>-11.92</v>
      </c>
      <c r="E242">
        <v>-6.02</v>
      </c>
      <c r="F242">
        <v>17.309999999999999</v>
      </c>
      <c r="G242">
        <v>58.03</v>
      </c>
      <c r="H242">
        <v>79.319999999999993</v>
      </c>
      <c r="I242">
        <v>202.04</v>
      </c>
      <c r="J242">
        <v>321.91000000000003</v>
      </c>
      <c r="K242">
        <v>462.34</v>
      </c>
      <c r="L242">
        <v>779.85</v>
      </c>
      <c r="M242">
        <v>972.45</v>
      </c>
      <c r="N242" s="2">
        <v>1129.6500000000001</v>
      </c>
      <c r="O242" s="2">
        <v>1456.62</v>
      </c>
      <c r="P242" s="2">
        <v>1667.66</v>
      </c>
      <c r="Q242" s="2">
        <v>1882.93</v>
      </c>
      <c r="R242" s="2">
        <v>2298.19</v>
      </c>
      <c r="S242" s="2">
        <v>2690.69</v>
      </c>
      <c r="T242" s="2">
        <v>3089.14</v>
      </c>
      <c r="U242" s="2">
        <v>3476.33</v>
      </c>
    </row>
    <row r="243" spans="1:21" x14ac:dyDescent="0.25">
      <c r="A243" t="s">
        <v>83</v>
      </c>
      <c r="C243">
        <v>-6.11</v>
      </c>
      <c r="D243">
        <v>-14.83</v>
      </c>
      <c r="E243">
        <v>-4.79</v>
      </c>
      <c r="F243">
        <v>9.1</v>
      </c>
      <c r="G243">
        <v>19.16</v>
      </c>
      <c r="H243">
        <v>18.39</v>
      </c>
      <c r="I243">
        <v>30.02</v>
      </c>
      <c r="J243">
        <v>29.51</v>
      </c>
      <c r="K243">
        <v>28.59</v>
      </c>
      <c r="L243">
        <v>35.97</v>
      </c>
      <c r="M243">
        <v>36.380000000000003</v>
      </c>
      <c r="N243">
        <v>33.700000000000003</v>
      </c>
      <c r="O243">
        <v>37.26</v>
      </c>
      <c r="P243">
        <v>36.89</v>
      </c>
      <c r="Q243">
        <v>37.5</v>
      </c>
    </row>
    <row r="244" spans="1:21" x14ac:dyDescent="0.25">
      <c r="A244" t="s">
        <v>952</v>
      </c>
    </row>
    <row r="245" spans="1:21" x14ac:dyDescent="0.25">
      <c r="A245" t="s">
        <v>17</v>
      </c>
    </row>
    <row r="246" spans="1:21" x14ac:dyDescent="0.25">
      <c r="A246" t="s">
        <v>205</v>
      </c>
    </row>
    <row r="247" spans="1:21" x14ac:dyDescent="0.25">
      <c r="A247" t="s">
        <v>556</v>
      </c>
      <c r="C247">
        <v>-6.71</v>
      </c>
      <c r="D247">
        <v>-6.25</v>
      </c>
      <c r="E247">
        <v>-8.17</v>
      </c>
      <c r="F247">
        <v>-15.17</v>
      </c>
      <c r="G247">
        <v>-28.68</v>
      </c>
      <c r="H247">
        <v>-51.81</v>
      </c>
      <c r="I247">
        <v>-58.3</v>
      </c>
      <c r="J247">
        <v>-90.58</v>
      </c>
      <c r="K247">
        <v>-128.72</v>
      </c>
      <c r="L247">
        <v>-194.9</v>
      </c>
      <c r="M247">
        <v>-245.76</v>
      </c>
      <c r="N247">
        <v>-350.51</v>
      </c>
      <c r="O247">
        <v>-498.1</v>
      </c>
      <c r="P247">
        <v>-474.33</v>
      </c>
      <c r="Q247">
        <v>-504.22</v>
      </c>
    </row>
    <row r="248" spans="1:21" x14ac:dyDescent="0.25">
      <c r="A248" t="s">
        <v>557</v>
      </c>
      <c r="C248">
        <v>-6.71</v>
      </c>
      <c r="D248">
        <v>-5.4</v>
      </c>
      <c r="E248">
        <v>-7.78</v>
      </c>
      <c r="F248">
        <v>-13.4</v>
      </c>
      <c r="G248">
        <v>-25.52</v>
      </c>
      <c r="H248">
        <v>-43.07</v>
      </c>
      <c r="I248">
        <v>-48.17</v>
      </c>
      <c r="J248">
        <v>-69.3</v>
      </c>
      <c r="K248">
        <v>-97.2</v>
      </c>
      <c r="L248">
        <v>-144.59</v>
      </c>
      <c r="M248">
        <v>-164.25</v>
      </c>
      <c r="N248">
        <v>-277.3</v>
      </c>
      <c r="O248">
        <v>-452.16</v>
      </c>
      <c r="P248">
        <v>-417.06</v>
      </c>
      <c r="Q248">
        <v>-392.56</v>
      </c>
      <c r="R248">
        <v>-349.5</v>
      </c>
      <c r="S248">
        <v>-389.25</v>
      </c>
      <c r="T248">
        <v>-452</v>
      </c>
      <c r="U248">
        <v>-493.33</v>
      </c>
    </row>
    <row r="249" spans="1:21" x14ac:dyDescent="0.25">
      <c r="A249" t="s">
        <v>76</v>
      </c>
      <c r="C249">
        <v>12.48</v>
      </c>
      <c r="D249">
        <v>7.78</v>
      </c>
      <c r="E249">
        <v>6.5</v>
      </c>
      <c r="F249">
        <v>7.98</v>
      </c>
      <c r="G249">
        <v>9.4700000000000006</v>
      </c>
      <c r="H249">
        <v>12.01</v>
      </c>
      <c r="I249">
        <v>8.66</v>
      </c>
      <c r="J249">
        <v>8.3000000000000007</v>
      </c>
      <c r="K249">
        <v>7.96</v>
      </c>
      <c r="L249">
        <v>8.99</v>
      </c>
      <c r="M249">
        <v>9.19</v>
      </c>
      <c r="N249">
        <v>10.46</v>
      </c>
      <c r="O249">
        <v>13.75</v>
      </c>
      <c r="P249">
        <v>10.63</v>
      </c>
      <c r="Q249">
        <v>9.26</v>
      </c>
      <c r="R249">
        <v>6.6</v>
      </c>
      <c r="S249">
        <v>6.3</v>
      </c>
      <c r="T249">
        <v>6</v>
      </c>
      <c r="U249">
        <v>5.8</v>
      </c>
    </row>
    <row r="250" spans="1:21" x14ac:dyDescent="0.25">
      <c r="A250" t="s">
        <v>1793</v>
      </c>
      <c r="D250">
        <v>-0.85</v>
      </c>
      <c r="E250">
        <v>-0.39</v>
      </c>
      <c r="F250">
        <v>-1.77</v>
      </c>
      <c r="G250">
        <v>-3.16</v>
      </c>
      <c r="H250">
        <v>-8.74</v>
      </c>
      <c r="I250">
        <v>-10.130000000000001</v>
      </c>
      <c r="J250">
        <v>-21.28</v>
      </c>
      <c r="K250">
        <v>-31.53</v>
      </c>
      <c r="L250">
        <v>-50.31</v>
      </c>
      <c r="M250">
        <v>-81.510000000000005</v>
      </c>
      <c r="N250">
        <v>-73.209999999999994</v>
      </c>
      <c r="O250">
        <v>-85.14</v>
      </c>
      <c r="P250">
        <v>-94.55</v>
      </c>
      <c r="Q250">
        <v>-97.07</v>
      </c>
      <c r="R250">
        <v>-138.96</v>
      </c>
      <c r="S250">
        <v>-153.53</v>
      </c>
      <c r="T250">
        <v>-167.88</v>
      </c>
      <c r="U250">
        <v>-181.6</v>
      </c>
    </row>
    <row r="251" spans="1:21" x14ac:dyDescent="0.25">
      <c r="A251" t="s">
        <v>61</v>
      </c>
    </row>
    <row r="252" spans="1:21" x14ac:dyDescent="0.25">
      <c r="A252" t="s">
        <v>1794</v>
      </c>
      <c r="C252">
        <v>0</v>
      </c>
      <c r="D252">
        <v>0</v>
      </c>
      <c r="E252">
        <v>0</v>
      </c>
      <c r="F252">
        <v>0</v>
      </c>
      <c r="G252">
        <v>-11.43</v>
      </c>
      <c r="H252">
        <v>-39.6</v>
      </c>
      <c r="I252">
        <v>-40.53</v>
      </c>
      <c r="J252">
        <v>-25.29</v>
      </c>
      <c r="K252">
        <v>-15.64</v>
      </c>
      <c r="L252">
        <v>-374.7</v>
      </c>
      <c r="M252">
        <v>-0.83</v>
      </c>
      <c r="N252">
        <v>-918.07</v>
      </c>
      <c r="O252">
        <v>-37.5</v>
      </c>
      <c r="P252">
        <v>-25</v>
      </c>
      <c r="Q252">
        <v>-50</v>
      </c>
      <c r="R252">
        <v>0</v>
      </c>
      <c r="S252">
        <v>0</v>
      </c>
    </row>
    <row r="253" spans="1:21" x14ac:dyDescent="0.25">
      <c r="A253" t="s">
        <v>1795</v>
      </c>
      <c r="G253">
        <v>199.72</v>
      </c>
      <c r="H253">
        <v>289.79000000000002</v>
      </c>
      <c r="I253">
        <v>785.22</v>
      </c>
      <c r="J253" s="2">
        <v>1334.87</v>
      </c>
      <c r="K253">
        <v>901.85</v>
      </c>
      <c r="L253" s="2">
        <v>1132.27</v>
      </c>
      <c r="M253" s="2">
        <v>1101.03</v>
      </c>
      <c r="N253">
        <v>880.55</v>
      </c>
      <c r="O253">
        <v>425.29</v>
      </c>
      <c r="P253">
        <v>366.67</v>
      </c>
      <c r="Q253">
        <v>0</v>
      </c>
    </row>
    <row r="254" spans="1:21" x14ac:dyDescent="0.25">
      <c r="A254" t="s">
        <v>1796</v>
      </c>
      <c r="F254">
        <v>-163.37</v>
      </c>
      <c r="G254">
        <v>-335.19</v>
      </c>
      <c r="H254" s="2">
        <v>-1255.6300000000001</v>
      </c>
      <c r="I254">
        <v>-815.48</v>
      </c>
      <c r="J254">
        <v>-844.94</v>
      </c>
      <c r="K254" s="2">
        <v>-1064.1400000000001</v>
      </c>
      <c r="L254" s="2">
        <v>-1243.8499999999999</v>
      </c>
      <c r="M254" s="2">
        <v>-1280.6300000000001</v>
      </c>
      <c r="N254" s="2">
        <v>-2254.2800000000002</v>
      </c>
      <c r="O254">
        <v>-545.96</v>
      </c>
      <c r="P254">
        <v>-521.72</v>
      </c>
      <c r="Q254">
        <v>-467.13</v>
      </c>
    </row>
    <row r="255" spans="1:21" x14ac:dyDescent="0.25">
      <c r="A255" t="s">
        <v>1797</v>
      </c>
      <c r="G255">
        <v>14.99</v>
      </c>
      <c r="H255">
        <v>21.09</v>
      </c>
      <c r="I255">
        <v>22.5</v>
      </c>
      <c r="J255">
        <v>0</v>
      </c>
      <c r="K255">
        <v>50.53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21" x14ac:dyDescent="0.25">
      <c r="A256" t="s">
        <v>1798</v>
      </c>
      <c r="D256">
        <v>0</v>
      </c>
      <c r="E256">
        <v>0</v>
      </c>
      <c r="F256">
        <v>0</v>
      </c>
      <c r="G256">
        <v>0</v>
      </c>
      <c r="H256">
        <v>-2</v>
      </c>
      <c r="I256">
        <v>-3.08</v>
      </c>
      <c r="J256">
        <v>0</v>
      </c>
      <c r="K256">
        <v>-3.21</v>
      </c>
      <c r="L256">
        <v>-2</v>
      </c>
      <c r="M256">
        <v>-0.82</v>
      </c>
      <c r="N256">
        <v>-10.41</v>
      </c>
      <c r="O256">
        <v>0</v>
      </c>
      <c r="P256">
        <v>0</v>
      </c>
      <c r="Q256">
        <v>0</v>
      </c>
    </row>
    <row r="257" spans="1:21" x14ac:dyDescent="0.25">
      <c r="A257" t="s">
        <v>212</v>
      </c>
      <c r="C257">
        <v>6.11</v>
      </c>
      <c r="D257">
        <v>-0.4</v>
      </c>
      <c r="E257">
        <v>-0.17</v>
      </c>
      <c r="F257">
        <v>-162.93</v>
      </c>
      <c r="G257">
        <v>-120.48</v>
      </c>
      <c r="H257">
        <v>-946.75</v>
      </c>
      <c r="I257">
        <v>-10.84</v>
      </c>
      <c r="J257">
        <v>489.93</v>
      </c>
      <c r="K257">
        <v>-114.97</v>
      </c>
      <c r="L257">
        <v>-113.58</v>
      </c>
      <c r="M257">
        <v>-180.43</v>
      </c>
      <c r="N257" s="2">
        <v>-1384.15</v>
      </c>
      <c r="O257">
        <v>-568.82000000000005</v>
      </c>
      <c r="P257">
        <v>-549.46</v>
      </c>
      <c r="Q257">
        <v>-576.79</v>
      </c>
      <c r="R257">
        <v>-645.04</v>
      </c>
      <c r="S257">
        <v>-719.02</v>
      </c>
    </row>
    <row r="258" spans="1:21" x14ac:dyDescent="0.25">
      <c r="A258" t="s">
        <v>213</v>
      </c>
      <c r="C258">
        <v>-0.6</v>
      </c>
      <c r="D258">
        <v>-6.65</v>
      </c>
      <c r="E258">
        <v>-8.34</v>
      </c>
      <c r="F258">
        <v>-178.1</v>
      </c>
      <c r="G258">
        <v>-162.07</v>
      </c>
      <c r="H258" s="2">
        <v>-1038.1600000000001</v>
      </c>
      <c r="I258">
        <v>-109.67</v>
      </c>
      <c r="J258">
        <v>374.06</v>
      </c>
      <c r="K258">
        <v>-259.33999999999997</v>
      </c>
      <c r="L258">
        <v>-683.18</v>
      </c>
      <c r="M258">
        <v>-427.02</v>
      </c>
      <c r="N258" s="2">
        <v>-2652.73</v>
      </c>
      <c r="O258">
        <v>-606.32000000000005</v>
      </c>
      <c r="P258">
        <v>-574.46</v>
      </c>
      <c r="Q258">
        <v>-626.79</v>
      </c>
      <c r="R258">
        <v>-645.04</v>
      </c>
      <c r="S258">
        <v>-719.02</v>
      </c>
      <c r="T258">
        <v>-795.76</v>
      </c>
      <c r="U258">
        <v>-876.02</v>
      </c>
    </row>
    <row r="259" spans="1:21" x14ac:dyDescent="0.25">
      <c r="A259" t="s">
        <v>17</v>
      </c>
    </row>
    <row r="260" spans="1:21" x14ac:dyDescent="0.25">
      <c r="A260" t="s">
        <v>214</v>
      </c>
    </row>
    <row r="261" spans="1:21" x14ac:dyDescent="0.25">
      <c r="A261" t="s">
        <v>216</v>
      </c>
      <c r="D261">
        <v>1.77</v>
      </c>
      <c r="E261">
        <v>7.67</v>
      </c>
      <c r="F261">
        <v>5.85</v>
      </c>
      <c r="G261">
        <v>29.86</v>
      </c>
      <c r="H261">
        <v>21.6</v>
      </c>
      <c r="I261">
        <v>18.22</v>
      </c>
      <c r="J261">
        <v>6.94</v>
      </c>
      <c r="K261">
        <v>3.94</v>
      </c>
      <c r="L261">
        <v>12.25</v>
      </c>
      <c r="M261">
        <v>3.58</v>
      </c>
      <c r="N261">
        <v>3.98</v>
      </c>
      <c r="O261">
        <v>23.54</v>
      </c>
      <c r="P261">
        <v>30.48</v>
      </c>
      <c r="Q261">
        <v>39.840000000000003</v>
      </c>
      <c r="R261">
        <v>5.83</v>
      </c>
      <c r="S261">
        <v>6.42</v>
      </c>
      <c r="T261">
        <v>7.06</v>
      </c>
      <c r="U261">
        <v>7.76</v>
      </c>
    </row>
    <row r="262" spans="1:21" x14ac:dyDescent="0.25">
      <c r="A262" t="s">
        <v>1799</v>
      </c>
      <c r="D262">
        <v>24.96</v>
      </c>
      <c r="E262">
        <v>0</v>
      </c>
      <c r="F262">
        <v>205.34</v>
      </c>
      <c r="G262">
        <v>16.440000000000001</v>
      </c>
      <c r="H262">
        <v>15.33</v>
      </c>
      <c r="I262">
        <v>25.7</v>
      </c>
      <c r="J262">
        <v>34.65</v>
      </c>
      <c r="K262">
        <v>42.26</v>
      </c>
      <c r="L262">
        <v>52</v>
      </c>
      <c r="M262">
        <v>63.56</v>
      </c>
      <c r="N262">
        <v>59.42</v>
      </c>
      <c r="O262">
        <v>33</v>
      </c>
      <c r="P262">
        <v>30.29</v>
      </c>
      <c r="Q262">
        <v>36</v>
      </c>
    </row>
    <row r="263" spans="1:21" x14ac:dyDescent="0.25">
      <c r="A263" t="s">
        <v>522</v>
      </c>
      <c r="C263">
        <v>0.34</v>
      </c>
      <c r="D263">
        <v>0.83</v>
      </c>
      <c r="E263">
        <v>1.83</v>
      </c>
      <c r="F263">
        <v>1.01</v>
      </c>
      <c r="G263">
        <v>0.11</v>
      </c>
      <c r="H263">
        <v>0</v>
      </c>
      <c r="I263">
        <v>-2.25</v>
      </c>
      <c r="J263">
        <v>-0.26</v>
      </c>
      <c r="K263">
        <v>-0.22</v>
      </c>
      <c r="L263">
        <v>-0.04</v>
      </c>
      <c r="M263">
        <v>-24.94</v>
      </c>
      <c r="N263">
        <v>-0.79</v>
      </c>
      <c r="O263">
        <v>-0.09</v>
      </c>
      <c r="P263">
        <v>0</v>
      </c>
      <c r="Q263">
        <v>0</v>
      </c>
    </row>
    <row r="264" spans="1:21" x14ac:dyDescent="0.25">
      <c r="A264" t="s">
        <v>218</v>
      </c>
      <c r="C264">
        <v>85.62</v>
      </c>
      <c r="D264">
        <v>27.56</v>
      </c>
      <c r="E264">
        <v>9.5</v>
      </c>
      <c r="F264">
        <v>208.4</v>
      </c>
      <c r="G264">
        <v>46.38</v>
      </c>
      <c r="H264" s="2">
        <v>1022.21</v>
      </c>
      <c r="I264">
        <v>41.68</v>
      </c>
      <c r="J264">
        <v>41.34</v>
      </c>
      <c r="K264">
        <v>45.99</v>
      </c>
      <c r="L264">
        <v>64.209999999999994</v>
      </c>
      <c r="M264">
        <v>420.51</v>
      </c>
      <c r="N264">
        <v>62.41</v>
      </c>
      <c r="O264">
        <v>48.69</v>
      </c>
      <c r="P264">
        <v>-55.68</v>
      </c>
      <c r="Q264">
        <v>64.5</v>
      </c>
      <c r="R264">
        <v>68.94</v>
      </c>
      <c r="S264">
        <v>76.12</v>
      </c>
      <c r="T264">
        <v>84.14</v>
      </c>
      <c r="U264">
        <v>93.04</v>
      </c>
    </row>
    <row r="265" spans="1:21" x14ac:dyDescent="0.25">
      <c r="A265" t="s">
        <v>17</v>
      </c>
    </row>
    <row r="266" spans="1:21" x14ac:dyDescent="0.25">
      <c r="A266" t="s">
        <v>176</v>
      </c>
    </row>
    <row r="267" spans="1:21" x14ac:dyDescent="0.25">
      <c r="A267" t="s">
        <v>220</v>
      </c>
      <c r="C267">
        <v>81.739999999999995</v>
      </c>
      <c r="D267">
        <v>9</v>
      </c>
      <c r="E267">
        <v>-4.8600000000000003</v>
      </c>
      <c r="F267">
        <v>47.6</v>
      </c>
      <c r="G267">
        <v>-57.66</v>
      </c>
      <c r="H267">
        <v>63.37</v>
      </c>
      <c r="I267">
        <v>134.05000000000001</v>
      </c>
      <c r="J267">
        <v>737.31</v>
      </c>
      <c r="K267">
        <v>249</v>
      </c>
      <c r="L267">
        <v>160.87</v>
      </c>
      <c r="M267">
        <v>965.94</v>
      </c>
      <c r="N267" s="2">
        <v>-1460.67</v>
      </c>
      <c r="O267">
        <v>876.86</v>
      </c>
      <c r="P267">
        <v>996.42</v>
      </c>
      <c r="Q267" s="2">
        <v>1268.77</v>
      </c>
      <c r="R267" s="2">
        <v>1722.08</v>
      </c>
      <c r="S267" s="2">
        <v>2047.78</v>
      </c>
      <c r="T267" s="2">
        <v>2377.52</v>
      </c>
      <c r="U267" s="2">
        <v>2693.35</v>
      </c>
    </row>
    <row r="268" spans="1:21" x14ac:dyDescent="0.25">
      <c r="A268" t="s">
        <v>221</v>
      </c>
      <c r="D268">
        <v>83.84</v>
      </c>
      <c r="E268">
        <v>92.84</v>
      </c>
      <c r="F268">
        <v>87.98</v>
      </c>
      <c r="G268">
        <v>136.15</v>
      </c>
      <c r="H268">
        <v>78.48</v>
      </c>
      <c r="I268">
        <v>141.85</v>
      </c>
      <c r="J268">
        <v>275.89999999999998</v>
      </c>
      <c r="K268" s="2">
        <v>1013.21</v>
      </c>
      <c r="L268" s="2">
        <v>1262.21</v>
      </c>
      <c r="M268" s="2">
        <v>1423.08</v>
      </c>
      <c r="N268" s="2">
        <v>2389.02</v>
      </c>
      <c r="O268">
        <v>903.61</v>
      </c>
      <c r="P268" s="2">
        <v>1790.31</v>
      </c>
      <c r="Q268" s="2">
        <v>2643.97</v>
      </c>
      <c r="R268" s="2">
        <v>4430.49</v>
      </c>
      <c r="S268" s="2">
        <v>6152.58</v>
      </c>
      <c r="T268" s="2">
        <v>8200.36</v>
      </c>
      <c r="U268" s="2">
        <v>10577.88</v>
      </c>
    </row>
    <row r="269" spans="1:21" x14ac:dyDescent="0.25">
      <c r="A269" t="s">
        <v>222</v>
      </c>
      <c r="D269">
        <v>92.84</v>
      </c>
      <c r="E269">
        <v>87.98</v>
      </c>
      <c r="F269">
        <v>135.58000000000001</v>
      </c>
      <c r="G269">
        <v>78.48</v>
      </c>
      <c r="H269">
        <v>141.85</v>
      </c>
      <c r="I269">
        <v>275.89999999999998</v>
      </c>
      <c r="J269" s="2">
        <v>1013.21</v>
      </c>
      <c r="K269" s="2">
        <v>1262.21</v>
      </c>
      <c r="L269" s="2">
        <v>1423.08</v>
      </c>
      <c r="M269" s="2">
        <v>2389.02</v>
      </c>
      <c r="N269">
        <v>928.35</v>
      </c>
      <c r="O269" s="2">
        <v>1784.52</v>
      </c>
      <c r="P269" s="2">
        <v>2761.69</v>
      </c>
      <c r="Q269" s="2">
        <v>3907.55</v>
      </c>
      <c r="R269" s="2">
        <v>6152.58</v>
      </c>
      <c r="S269" s="2">
        <v>8200.36</v>
      </c>
      <c r="T269" s="2">
        <v>10577.88</v>
      </c>
      <c r="U269" s="2">
        <v>13271.23</v>
      </c>
    </row>
    <row r="270" spans="1:21" x14ac:dyDescent="0.25">
      <c r="A270" t="s">
        <v>178</v>
      </c>
    </row>
    <row r="271" spans="1:21" x14ac:dyDescent="0.25">
      <c r="A271" t="s">
        <v>225</v>
      </c>
      <c r="C271">
        <v>-9.98</v>
      </c>
      <c r="D271">
        <v>-18.16</v>
      </c>
      <c r="E271">
        <v>-14.19</v>
      </c>
      <c r="F271">
        <v>2.14</v>
      </c>
      <c r="G271">
        <v>29.35</v>
      </c>
      <c r="H271">
        <v>27.51</v>
      </c>
      <c r="I271">
        <v>143.74</v>
      </c>
      <c r="J271">
        <v>231.33</v>
      </c>
      <c r="K271">
        <v>333.62</v>
      </c>
      <c r="L271">
        <v>584.95000000000005</v>
      </c>
      <c r="M271">
        <v>726.69</v>
      </c>
      <c r="N271">
        <v>779.14</v>
      </c>
      <c r="O271">
        <v>911.75</v>
      </c>
      <c r="P271" s="2">
        <v>1150.53</v>
      </c>
      <c r="Q271" s="2">
        <v>1374.93</v>
      </c>
      <c r="R271" s="2">
        <v>1786.24</v>
      </c>
      <c r="S271" s="2">
        <v>2125</v>
      </c>
      <c r="T271" s="2">
        <v>2469.38</v>
      </c>
      <c r="U271" s="2">
        <v>2801.46</v>
      </c>
    </row>
    <row r="272" spans="1:21" x14ac:dyDescent="0.25">
      <c r="A272" t="s">
        <v>464</v>
      </c>
    </row>
    <row r="273" spans="1:21" x14ac:dyDescent="0.25">
      <c r="A273" t="s">
        <v>228</v>
      </c>
      <c r="C273">
        <v>-18.59</v>
      </c>
      <c r="D273">
        <v>-22.61</v>
      </c>
      <c r="E273">
        <v>-11.29</v>
      </c>
      <c r="F273">
        <v>1.1200000000000001</v>
      </c>
      <c r="G273">
        <v>9.69</v>
      </c>
      <c r="H273">
        <v>6.38</v>
      </c>
      <c r="I273">
        <v>21.36</v>
      </c>
      <c r="J273">
        <v>21.2</v>
      </c>
      <c r="K273">
        <v>20.63</v>
      </c>
      <c r="L273">
        <v>26.98</v>
      </c>
      <c r="M273">
        <v>27.19</v>
      </c>
      <c r="N273">
        <v>23.24</v>
      </c>
      <c r="O273">
        <v>23.23</v>
      </c>
      <c r="P273">
        <v>25.12</v>
      </c>
      <c r="Q273">
        <v>26.46</v>
      </c>
      <c r="R273">
        <v>28.74</v>
      </c>
      <c r="S273">
        <v>29.91</v>
      </c>
      <c r="T273">
        <v>30.69</v>
      </c>
      <c r="U273">
        <v>30.98</v>
      </c>
    </row>
    <row r="274" spans="1:21" x14ac:dyDescent="0.25">
      <c r="A274" t="s">
        <v>226</v>
      </c>
      <c r="C274">
        <v>-0.64</v>
      </c>
      <c r="D274">
        <v>-1.03</v>
      </c>
      <c r="E274">
        <v>-0.73</v>
      </c>
      <c r="F274">
        <v>0.03</v>
      </c>
      <c r="G274">
        <v>0.24</v>
      </c>
      <c r="H274">
        <v>0.21</v>
      </c>
      <c r="I274">
        <v>1.06</v>
      </c>
      <c r="J274">
        <v>1.64</v>
      </c>
      <c r="K274">
        <v>2.2999999999999998</v>
      </c>
      <c r="L274">
        <v>3.91</v>
      </c>
      <c r="M274">
        <v>4.71</v>
      </c>
      <c r="N274">
        <v>4.8600000000000003</v>
      </c>
      <c r="O274">
        <v>5.53</v>
      </c>
      <c r="P274">
        <v>7.2</v>
      </c>
      <c r="Q274">
        <v>8.68</v>
      </c>
      <c r="R274">
        <v>9.17</v>
      </c>
      <c r="S274">
        <v>11.52</v>
      </c>
      <c r="T274">
        <v>13.96</v>
      </c>
      <c r="U274">
        <v>16.07</v>
      </c>
    </row>
    <row r="275" spans="1:21" x14ac:dyDescent="0.25">
      <c r="A275" t="s">
        <v>1800</v>
      </c>
      <c r="C275">
        <v>-0.64</v>
      </c>
      <c r="D275">
        <v>-1.03</v>
      </c>
      <c r="E275">
        <v>-0.73</v>
      </c>
      <c r="F275">
        <v>0.03</v>
      </c>
      <c r="G275">
        <v>0.24</v>
      </c>
      <c r="H275">
        <v>0.21</v>
      </c>
      <c r="I275">
        <v>1.06</v>
      </c>
      <c r="J275">
        <v>1.64</v>
      </c>
      <c r="K275">
        <v>2.2999999999999998</v>
      </c>
      <c r="L275">
        <v>3.91</v>
      </c>
      <c r="M275">
        <v>4.71</v>
      </c>
      <c r="N275">
        <v>4.8600000000000003</v>
      </c>
      <c r="O275">
        <v>5.3</v>
      </c>
      <c r="P275">
        <v>6.45</v>
      </c>
      <c r="Q275">
        <v>8.26</v>
      </c>
      <c r="R275">
        <v>10.050000000000001</v>
      </c>
      <c r="S275">
        <v>11.44</v>
      </c>
      <c r="T275">
        <v>12.82</v>
      </c>
      <c r="U275">
        <v>14.23</v>
      </c>
    </row>
    <row r="276" spans="1:21" x14ac:dyDescent="0.25">
      <c r="A276" t="s">
        <v>17</v>
      </c>
    </row>
    <row r="277" spans="1:21" x14ac:dyDescent="0.25">
      <c r="A277" t="s">
        <v>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F8E-E050-4FC2-AB3B-762F8FA89C3B}">
  <dimension ref="A1:U249"/>
  <sheetViews>
    <sheetView workbookViewId="0">
      <selection sqref="A1:U249"/>
    </sheetView>
  </sheetViews>
  <sheetFormatPr defaultRowHeight="15" x14ac:dyDescent="0.25"/>
  <sheetData>
    <row r="1" spans="1:21" x14ac:dyDescent="0.25">
      <c r="A1" t="s">
        <v>1801</v>
      </c>
    </row>
    <row r="2" spans="1:21" x14ac:dyDescent="0.25">
      <c r="A2" t="s">
        <v>1802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I6">
        <v>0.2</v>
      </c>
      <c r="J6">
        <v>0.45</v>
      </c>
      <c r="K6">
        <v>0.26</v>
      </c>
      <c r="L6">
        <v>0.25</v>
      </c>
      <c r="M6">
        <v>0.41</v>
      </c>
      <c r="N6">
        <v>0.75</v>
      </c>
      <c r="O6">
        <v>1.61</v>
      </c>
      <c r="P6">
        <v>2.34</v>
      </c>
      <c r="Q6">
        <v>3.44</v>
      </c>
      <c r="R6">
        <v>5.2</v>
      </c>
      <c r="S6">
        <v>7.62</v>
      </c>
      <c r="T6">
        <v>11.32</v>
      </c>
      <c r="U6">
        <v>14.19</v>
      </c>
    </row>
    <row r="7" spans="1:21" x14ac:dyDescent="0.25">
      <c r="A7" t="s">
        <v>16</v>
      </c>
      <c r="I7" s="2">
        <v>1092.67</v>
      </c>
      <c r="J7" s="2">
        <v>1541.89</v>
      </c>
      <c r="K7" s="2">
        <v>1905.87</v>
      </c>
      <c r="L7" s="2">
        <v>2225.0100000000002</v>
      </c>
      <c r="M7" s="2">
        <v>2865.51</v>
      </c>
      <c r="N7" s="2">
        <v>4475.45</v>
      </c>
      <c r="O7" s="2">
        <v>8178.19</v>
      </c>
      <c r="P7" s="2">
        <v>12306</v>
      </c>
      <c r="Q7" s="2">
        <v>17605.46</v>
      </c>
      <c r="R7" s="2">
        <v>26396.86</v>
      </c>
      <c r="S7" s="2">
        <v>37895.17</v>
      </c>
      <c r="T7" s="2">
        <v>55703</v>
      </c>
      <c r="U7" s="2">
        <v>67151</v>
      </c>
    </row>
    <row r="8" spans="1:21" x14ac:dyDescent="0.25">
      <c r="A8" t="s">
        <v>17</v>
      </c>
    </row>
    <row r="9" spans="1:21" x14ac:dyDescent="0.25">
      <c r="A9" t="s">
        <v>24</v>
      </c>
      <c r="I9">
        <v>829.75</v>
      </c>
      <c r="J9" s="2">
        <v>1473.84</v>
      </c>
      <c r="K9" s="2">
        <v>1781.77</v>
      </c>
      <c r="L9" s="2">
        <v>2372</v>
      </c>
      <c r="M9" s="2">
        <v>2945</v>
      </c>
      <c r="N9" s="2">
        <v>4722</v>
      </c>
      <c r="O9" s="2">
        <v>7534.18</v>
      </c>
      <c r="P9" s="2">
        <v>11159.63</v>
      </c>
      <c r="Q9" s="2">
        <v>15643.37</v>
      </c>
      <c r="R9" s="2">
        <v>18337.240000000002</v>
      </c>
      <c r="S9" s="2">
        <v>22069.599999999999</v>
      </c>
      <c r="T9" s="2">
        <v>61192.38</v>
      </c>
    </row>
    <row r="10" spans="1:21" x14ac:dyDescent="0.25">
      <c r="A10" t="s">
        <v>1763</v>
      </c>
      <c r="I10">
        <v>0.14000000000000001</v>
      </c>
      <c r="J10">
        <v>0.24</v>
      </c>
      <c r="K10">
        <v>0.37</v>
      </c>
      <c r="L10">
        <v>0.5</v>
      </c>
      <c r="M10">
        <v>0.71</v>
      </c>
      <c r="N10">
        <v>0.95</v>
      </c>
      <c r="O10">
        <v>1.17</v>
      </c>
      <c r="P10">
        <v>1.39</v>
      </c>
      <c r="Q10">
        <v>1.68</v>
      </c>
      <c r="R10">
        <v>1.93</v>
      </c>
    </row>
    <row r="11" spans="1:21" x14ac:dyDescent="0.25">
      <c r="A11" t="s">
        <v>17</v>
      </c>
    </row>
    <row r="12" spans="1:21" x14ac:dyDescent="0.25">
      <c r="A12" t="s">
        <v>1760</v>
      </c>
      <c r="K12">
        <v>46</v>
      </c>
      <c r="N12">
        <v>106</v>
      </c>
      <c r="O12">
        <v>142.84</v>
      </c>
      <c r="P12">
        <v>109.31</v>
      </c>
      <c r="Q12">
        <v>106.76</v>
      </c>
      <c r="R12">
        <v>104.24</v>
      </c>
    </row>
    <row r="13" spans="1:21" x14ac:dyDescent="0.25">
      <c r="A13" t="s">
        <v>17</v>
      </c>
    </row>
    <row r="14" spans="1:21" x14ac:dyDescent="0.25">
      <c r="A14" t="s">
        <v>32</v>
      </c>
    </row>
    <row r="15" spans="1:21" x14ac:dyDescent="0.25">
      <c r="A15" t="s">
        <v>1803</v>
      </c>
      <c r="G15">
        <v>255.13</v>
      </c>
      <c r="H15">
        <v>345.52</v>
      </c>
      <c r="I15">
        <v>610.20000000000005</v>
      </c>
      <c r="J15">
        <v>897.36</v>
      </c>
      <c r="K15" s="2">
        <v>1072</v>
      </c>
      <c r="L15" s="2">
        <v>1220</v>
      </c>
      <c r="M15" s="2">
        <v>1570</v>
      </c>
      <c r="N15" s="2">
        <v>2403</v>
      </c>
      <c r="O15" s="2">
        <v>4021.05</v>
      </c>
      <c r="P15" s="2">
        <v>5443.2</v>
      </c>
      <c r="Q15" s="2">
        <v>7241.65</v>
      </c>
      <c r="R15" s="2">
        <v>11113.44</v>
      </c>
      <c r="S15" s="2">
        <v>17313.650000000001</v>
      </c>
      <c r="T15" s="2">
        <v>27470.07</v>
      </c>
      <c r="U15" s="2">
        <v>43793.71</v>
      </c>
    </row>
    <row r="16" spans="1:21" x14ac:dyDescent="0.25">
      <c r="A16" t="s">
        <v>473</v>
      </c>
      <c r="K16">
        <v>826</v>
      </c>
      <c r="L16">
        <v>921</v>
      </c>
      <c r="M16" s="2">
        <v>1198</v>
      </c>
      <c r="N16" s="2">
        <v>1855</v>
      </c>
      <c r="O16" s="2">
        <v>3255.47</v>
      </c>
      <c r="P16" s="2">
        <v>4427.49</v>
      </c>
      <c r="Q16" s="2">
        <v>5789.25</v>
      </c>
      <c r="R16" s="2">
        <v>7108.01</v>
      </c>
      <c r="S16" s="2">
        <v>8996.64</v>
      </c>
      <c r="T16" s="2">
        <v>16828.580000000002</v>
      </c>
    </row>
    <row r="17" spans="1:21" x14ac:dyDescent="0.25">
      <c r="A17" t="s">
        <v>1804</v>
      </c>
      <c r="K17">
        <v>246</v>
      </c>
      <c r="L17">
        <v>301</v>
      </c>
      <c r="M17">
        <v>372</v>
      </c>
      <c r="N17">
        <v>548</v>
      </c>
      <c r="O17">
        <v>745.92</v>
      </c>
      <c r="P17">
        <v>906.29</v>
      </c>
      <c r="Q17" s="2">
        <v>1077.8800000000001</v>
      </c>
      <c r="R17" s="2">
        <v>1205</v>
      </c>
      <c r="S17" s="2">
        <v>1528.78</v>
      </c>
      <c r="T17" s="2">
        <v>1917.82</v>
      </c>
    </row>
    <row r="18" spans="1:21" x14ac:dyDescent="0.25">
      <c r="A18" t="s">
        <v>1805</v>
      </c>
      <c r="G18">
        <v>340.28</v>
      </c>
      <c r="H18">
        <v>397.03</v>
      </c>
      <c r="I18">
        <v>482.48</v>
      </c>
      <c r="J18">
        <v>644.53</v>
      </c>
      <c r="K18">
        <v>834</v>
      </c>
      <c r="L18" s="2">
        <v>1003</v>
      </c>
      <c r="M18" s="2">
        <v>1296</v>
      </c>
      <c r="N18" s="2">
        <v>2073</v>
      </c>
      <c r="O18" s="2">
        <v>4152.3900000000003</v>
      </c>
      <c r="P18" s="2">
        <v>6785.98</v>
      </c>
      <c r="Q18" s="2">
        <v>10825.99</v>
      </c>
      <c r="R18" s="2">
        <v>18373.23</v>
      </c>
      <c r="S18" s="2">
        <v>29648.91</v>
      </c>
      <c r="T18" s="2">
        <v>46572.89</v>
      </c>
      <c r="U18" s="2">
        <v>61955.01</v>
      </c>
    </row>
    <row r="19" spans="1:21" x14ac:dyDescent="0.25">
      <c r="A19" t="s">
        <v>473</v>
      </c>
      <c r="K19">
        <v>335</v>
      </c>
      <c r="L19">
        <v>457</v>
      </c>
      <c r="M19">
        <v>702</v>
      </c>
      <c r="N19" s="2">
        <v>1465</v>
      </c>
      <c r="O19" s="2">
        <v>3434.44</v>
      </c>
      <c r="P19" s="2">
        <v>5931.34</v>
      </c>
      <c r="Q19" s="2">
        <v>9571.8799999999992</v>
      </c>
      <c r="R19" s="2">
        <v>14535.61</v>
      </c>
      <c r="S19" s="2">
        <v>19793.04</v>
      </c>
      <c r="T19" s="2">
        <v>40531.68</v>
      </c>
    </row>
    <row r="20" spans="1:21" x14ac:dyDescent="0.25">
      <c r="A20" t="s">
        <v>1804</v>
      </c>
      <c r="K20">
        <v>499</v>
      </c>
      <c r="L20">
        <v>546</v>
      </c>
      <c r="M20">
        <v>594</v>
      </c>
      <c r="N20">
        <v>608</v>
      </c>
      <c r="O20">
        <v>740.21</v>
      </c>
      <c r="P20">
        <v>902.72</v>
      </c>
      <c r="Q20" s="2">
        <v>1140.19</v>
      </c>
      <c r="R20">
        <v>921.45</v>
      </c>
      <c r="S20" s="2">
        <v>1057.8900000000001</v>
      </c>
      <c r="T20" s="2">
        <v>1292.56</v>
      </c>
    </row>
    <row r="21" spans="1:21" x14ac:dyDescent="0.25">
      <c r="A21" t="s">
        <v>17</v>
      </c>
    </row>
    <row r="22" spans="1:21" x14ac:dyDescent="0.25">
      <c r="A22" t="s">
        <v>378</v>
      </c>
      <c r="I22">
        <v>879.75</v>
      </c>
      <c r="J22" s="2">
        <v>1271.03</v>
      </c>
      <c r="K22" s="2">
        <v>1541.38</v>
      </c>
      <c r="L22" s="2">
        <v>1829.9</v>
      </c>
      <c r="M22" s="2">
        <v>2368.58</v>
      </c>
      <c r="N22" s="2">
        <v>3750.82</v>
      </c>
      <c r="O22" s="2">
        <v>7090.57</v>
      </c>
      <c r="P22" s="2">
        <v>10728.35</v>
      </c>
      <c r="Q22" s="2">
        <v>15643.85</v>
      </c>
      <c r="R22" s="2">
        <v>25305.919999999998</v>
      </c>
      <c r="S22" s="2">
        <v>39697.57</v>
      </c>
      <c r="T22" s="2">
        <v>51522</v>
      </c>
      <c r="U22" s="2">
        <v>62685.38</v>
      </c>
    </row>
    <row r="23" spans="1:21" x14ac:dyDescent="0.25">
      <c r="A23" t="s">
        <v>445</v>
      </c>
      <c r="I23">
        <v>80.510000000000005</v>
      </c>
      <c r="J23">
        <v>82.43</v>
      </c>
      <c r="K23">
        <v>80.88</v>
      </c>
      <c r="L23">
        <v>80.62</v>
      </c>
      <c r="M23">
        <v>82</v>
      </c>
      <c r="N23">
        <v>84</v>
      </c>
      <c r="O23">
        <v>86.28</v>
      </c>
      <c r="P23">
        <v>86.34</v>
      </c>
      <c r="Q23">
        <v>86.43</v>
      </c>
      <c r="R23">
        <v>86.42</v>
      </c>
      <c r="S23">
        <v>85.99</v>
      </c>
      <c r="T23">
        <v>86.05</v>
      </c>
      <c r="U23">
        <v>86.41</v>
      </c>
    </row>
    <row r="24" spans="1:21" x14ac:dyDescent="0.25">
      <c r="A24" t="s">
        <v>17</v>
      </c>
    </row>
    <row r="25" spans="1:21" x14ac:dyDescent="0.25">
      <c r="A25" t="s">
        <v>29</v>
      </c>
      <c r="I25">
        <v>189.87</v>
      </c>
      <c r="J25">
        <v>473.45</v>
      </c>
      <c r="K25">
        <v>420.75</v>
      </c>
      <c r="L25">
        <v>632.78</v>
      </c>
      <c r="M25" s="2">
        <v>1128.06</v>
      </c>
      <c r="N25" s="2">
        <v>2254.1</v>
      </c>
      <c r="O25" s="2">
        <v>4795.76</v>
      </c>
      <c r="P25" s="2">
        <v>7215.6</v>
      </c>
      <c r="Q25" s="2">
        <v>10806.77</v>
      </c>
      <c r="R25" s="2">
        <v>17864</v>
      </c>
      <c r="S25" s="2">
        <v>26641</v>
      </c>
      <c r="T25" s="2">
        <v>37535.67</v>
      </c>
      <c r="U25" s="2">
        <v>47119</v>
      </c>
    </row>
    <row r="26" spans="1:21" x14ac:dyDescent="0.25">
      <c r="A26" t="s">
        <v>240</v>
      </c>
      <c r="I26">
        <v>17.38</v>
      </c>
      <c r="J26">
        <v>30.71</v>
      </c>
      <c r="K26">
        <v>22.08</v>
      </c>
      <c r="L26">
        <v>28.44</v>
      </c>
      <c r="M26">
        <v>39.369999999999997</v>
      </c>
      <c r="N26">
        <v>50.37</v>
      </c>
      <c r="O26">
        <v>60.42</v>
      </c>
      <c r="P26">
        <v>61.09</v>
      </c>
      <c r="Q26">
        <v>62.75</v>
      </c>
      <c r="R26">
        <v>65.09</v>
      </c>
      <c r="S26">
        <v>65.11</v>
      </c>
      <c r="T26">
        <v>62.45</v>
      </c>
      <c r="U26">
        <v>64.36</v>
      </c>
    </row>
    <row r="27" spans="1:21" x14ac:dyDescent="0.25">
      <c r="A27" t="s">
        <v>17</v>
      </c>
    </row>
    <row r="28" spans="1:21" x14ac:dyDescent="0.25">
      <c r="A28" t="s">
        <v>680</v>
      </c>
      <c r="I28">
        <v>203.74</v>
      </c>
      <c r="J28">
        <v>488.35</v>
      </c>
      <c r="K28">
        <v>443.28</v>
      </c>
      <c r="L28">
        <v>666.13</v>
      </c>
      <c r="M28" s="2">
        <v>1159.6500000000001</v>
      </c>
      <c r="N28" s="2">
        <v>2280.25</v>
      </c>
      <c r="O28" s="2">
        <v>5015.55</v>
      </c>
      <c r="P28" s="2">
        <v>7794.25</v>
      </c>
      <c r="Q28" s="2">
        <v>11913.4</v>
      </c>
      <c r="R28" s="2">
        <v>22212.5</v>
      </c>
      <c r="S28" s="2">
        <v>30805.33</v>
      </c>
      <c r="T28" s="2">
        <v>47363.5</v>
      </c>
      <c r="U28" s="2">
        <v>71732</v>
      </c>
    </row>
    <row r="29" spans="1:21" x14ac:dyDescent="0.25">
      <c r="A29" t="s">
        <v>528</v>
      </c>
      <c r="I29">
        <v>197.15</v>
      </c>
      <c r="J29">
        <v>922.87</v>
      </c>
      <c r="K29">
        <v>581.57000000000005</v>
      </c>
      <c r="L29">
        <v>571.61</v>
      </c>
      <c r="M29" s="2">
        <v>1001.85</v>
      </c>
      <c r="N29" s="2">
        <v>1915.64</v>
      </c>
      <c r="O29" s="2">
        <v>4165.29</v>
      </c>
      <c r="P29" s="2">
        <v>6186.54</v>
      </c>
      <c r="Q29" s="2">
        <v>9256.58</v>
      </c>
      <c r="R29" s="2">
        <v>13803.83</v>
      </c>
      <c r="S29" s="2">
        <v>20427.400000000001</v>
      </c>
      <c r="T29" s="2">
        <v>31484</v>
      </c>
      <c r="U29" s="2">
        <v>39783</v>
      </c>
    </row>
    <row r="30" spans="1:21" x14ac:dyDescent="0.25">
      <c r="A30" t="s">
        <v>17</v>
      </c>
    </row>
    <row r="31" spans="1:21" x14ac:dyDescent="0.25">
      <c r="A31" t="s">
        <v>36</v>
      </c>
      <c r="G31">
        <v>-54.42</v>
      </c>
      <c r="H31">
        <v>-178.31</v>
      </c>
      <c r="I31">
        <v>-308.83999999999997</v>
      </c>
      <c r="J31">
        <v>321.22000000000003</v>
      </c>
      <c r="K31">
        <v>183.71</v>
      </c>
      <c r="L31">
        <v>697.07</v>
      </c>
      <c r="M31" s="2">
        <v>1141.23</v>
      </c>
      <c r="N31" s="2">
        <v>2100.59</v>
      </c>
      <c r="O31" s="2">
        <v>4459.6000000000004</v>
      </c>
      <c r="P31" s="2">
        <v>7071.25</v>
      </c>
      <c r="Q31" s="2">
        <v>10487</v>
      </c>
      <c r="R31" s="2">
        <v>15046.64</v>
      </c>
      <c r="S31" s="2">
        <v>21741.43</v>
      </c>
      <c r="T31" s="2">
        <v>29481</v>
      </c>
      <c r="U31" s="2">
        <v>38965</v>
      </c>
    </row>
    <row r="32" spans="1:21" x14ac:dyDescent="0.25">
      <c r="A32" t="s">
        <v>17</v>
      </c>
    </row>
    <row r="33" spans="1:21" x14ac:dyDescent="0.25">
      <c r="A33" t="s">
        <v>37</v>
      </c>
    </row>
    <row r="34" spans="1:21" x14ac:dyDescent="0.25">
      <c r="A34" t="s">
        <v>17</v>
      </c>
    </row>
    <row r="35" spans="1:21" x14ac:dyDescent="0.25">
      <c r="A35" t="s">
        <v>38</v>
      </c>
    </row>
    <row r="36" spans="1:21" x14ac:dyDescent="0.25">
      <c r="A36" t="s">
        <v>1806</v>
      </c>
      <c r="I36">
        <v>0.14000000000000001</v>
      </c>
      <c r="J36">
        <v>0.24</v>
      </c>
      <c r="K36">
        <v>0.37</v>
      </c>
      <c r="L36">
        <v>0.5</v>
      </c>
      <c r="M36">
        <v>0.71</v>
      </c>
      <c r="N36">
        <v>0.95</v>
      </c>
      <c r="O36">
        <v>1.17</v>
      </c>
      <c r="P36">
        <v>1.39</v>
      </c>
      <c r="Q36">
        <v>1.68</v>
      </c>
      <c r="R36">
        <v>1.93</v>
      </c>
    </row>
    <row r="37" spans="1:21" x14ac:dyDescent="0.25">
      <c r="A37" t="s">
        <v>1807</v>
      </c>
      <c r="M37">
        <v>0.56999999999999995</v>
      </c>
      <c r="N37">
        <v>0.78</v>
      </c>
      <c r="O37">
        <v>0.97</v>
      </c>
      <c r="P37">
        <v>1.1599999999999999</v>
      </c>
      <c r="Q37">
        <v>1.41</v>
      </c>
    </row>
    <row r="38" spans="1:21" x14ac:dyDescent="0.25">
      <c r="A38" t="s">
        <v>1808</v>
      </c>
      <c r="M38">
        <v>0.14000000000000001</v>
      </c>
      <c r="N38">
        <v>0.17</v>
      </c>
      <c r="O38">
        <v>0.19</v>
      </c>
      <c r="P38">
        <v>0.22</v>
      </c>
      <c r="Q38">
        <v>0.25</v>
      </c>
      <c r="R38">
        <v>0.24</v>
      </c>
      <c r="S38">
        <v>0.23</v>
      </c>
      <c r="T38">
        <v>0.24</v>
      </c>
      <c r="U38">
        <v>0.25</v>
      </c>
    </row>
    <row r="39" spans="1:21" x14ac:dyDescent="0.25">
      <c r="A39" t="s">
        <v>17</v>
      </c>
    </row>
    <row r="40" spans="1:21" x14ac:dyDescent="0.25">
      <c r="A40" t="s">
        <v>1809</v>
      </c>
      <c r="I40">
        <v>7</v>
      </c>
      <c r="J40">
        <v>98</v>
      </c>
      <c r="K40">
        <v>130</v>
      </c>
      <c r="L40">
        <v>130</v>
      </c>
      <c r="M40">
        <v>214</v>
      </c>
      <c r="N40">
        <v>195</v>
      </c>
      <c r="O40">
        <v>186</v>
      </c>
      <c r="P40">
        <v>212</v>
      </c>
      <c r="Q40">
        <v>246</v>
      </c>
      <c r="R40">
        <v>220</v>
      </c>
    </row>
    <row r="41" spans="1:21" x14ac:dyDescent="0.25">
      <c r="A41" t="s">
        <v>17</v>
      </c>
    </row>
    <row r="42" spans="1:21" x14ac:dyDescent="0.25">
      <c r="A42" t="s">
        <v>1725</v>
      </c>
      <c r="J42">
        <v>131</v>
      </c>
      <c r="K42">
        <v>115</v>
      </c>
      <c r="L42">
        <v>108</v>
      </c>
      <c r="M42">
        <v>120</v>
      </c>
      <c r="N42">
        <v>139</v>
      </c>
      <c r="O42">
        <v>163.72999999999999</v>
      </c>
      <c r="P42">
        <v>145.06</v>
      </c>
      <c r="Q42">
        <v>142.53</v>
      </c>
      <c r="R42">
        <v>134</v>
      </c>
    </row>
    <row r="43" spans="1:21" x14ac:dyDescent="0.25">
      <c r="A43" t="s">
        <v>17</v>
      </c>
    </row>
    <row r="44" spans="1:21" x14ac:dyDescent="0.25">
      <c r="A44" t="s">
        <v>1810</v>
      </c>
      <c r="H44">
        <v>266.8</v>
      </c>
      <c r="I44">
        <v>597.4</v>
      </c>
      <c r="J44" s="2">
        <v>1100</v>
      </c>
      <c r="K44">
        <v>972.7</v>
      </c>
      <c r="L44" s="2">
        <v>1200</v>
      </c>
      <c r="M44" s="2">
        <v>1700</v>
      </c>
      <c r="N44" s="2">
        <v>4210</v>
      </c>
      <c r="O44" s="2">
        <v>7108.27</v>
      </c>
      <c r="P44" s="2">
        <v>11884.39</v>
      </c>
      <c r="Q44" s="2">
        <v>16794.71</v>
      </c>
    </row>
    <row r="45" spans="1:21" x14ac:dyDescent="0.25">
      <c r="A45" t="s">
        <v>24</v>
      </c>
      <c r="I45">
        <v>829.75</v>
      </c>
      <c r="J45" s="2">
        <v>1473.84</v>
      </c>
      <c r="K45" s="2">
        <v>1781.77</v>
      </c>
      <c r="L45" s="2">
        <v>2372</v>
      </c>
      <c r="M45" s="2">
        <v>2945</v>
      </c>
      <c r="N45" s="2">
        <v>4722</v>
      </c>
      <c r="O45" s="2">
        <v>7534.18</v>
      </c>
      <c r="P45" s="2">
        <v>11159.63</v>
      </c>
      <c r="Q45" s="2">
        <v>15643.37</v>
      </c>
      <c r="R45" s="2">
        <v>18337.240000000002</v>
      </c>
      <c r="S45" s="2">
        <v>22069.599999999999</v>
      </c>
      <c r="T45" s="2">
        <v>61192.38</v>
      </c>
    </row>
    <row r="46" spans="1:21" x14ac:dyDescent="0.25">
      <c r="A46" t="s">
        <v>17</v>
      </c>
    </row>
    <row r="47" spans="1:21" x14ac:dyDescent="0.25">
      <c r="A47" t="s">
        <v>1811</v>
      </c>
      <c r="J47">
        <v>899.43</v>
      </c>
      <c r="K47" s="2">
        <v>1035.17</v>
      </c>
      <c r="L47" s="2">
        <v>1245.56</v>
      </c>
      <c r="M47" s="2">
        <v>1719.95</v>
      </c>
      <c r="N47" s="2">
        <v>2942.7</v>
      </c>
      <c r="O47" s="2">
        <v>5933.11</v>
      </c>
      <c r="P47" s="2">
        <v>8820.5499999999993</v>
      </c>
      <c r="Q47" s="2">
        <v>12752.29</v>
      </c>
      <c r="R47" s="2">
        <v>19252.080000000002</v>
      </c>
    </row>
    <row r="48" spans="1:21" x14ac:dyDescent="0.25">
      <c r="A48" t="s">
        <v>1812</v>
      </c>
      <c r="I48">
        <v>54</v>
      </c>
      <c r="J48">
        <v>58</v>
      </c>
      <c r="K48">
        <v>54</v>
      </c>
      <c r="L48">
        <v>56</v>
      </c>
      <c r="M48">
        <v>60</v>
      </c>
      <c r="N48">
        <v>66</v>
      </c>
      <c r="O48">
        <v>72.349999999999994</v>
      </c>
      <c r="P48">
        <v>74.05</v>
      </c>
      <c r="Q48">
        <v>75.78</v>
      </c>
      <c r="R48">
        <v>79.16</v>
      </c>
    </row>
    <row r="49" spans="1:21" x14ac:dyDescent="0.25">
      <c r="A49" t="s">
        <v>17</v>
      </c>
    </row>
    <row r="50" spans="1:21" x14ac:dyDescent="0.25">
      <c r="A50" t="s">
        <v>277</v>
      </c>
      <c r="I50">
        <v>203.74</v>
      </c>
      <c r="J50">
        <v>488.35</v>
      </c>
      <c r="K50">
        <v>443.28</v>
      </c>
      <c r="L50">
        <v>666.13</v>
      </c>
      <c r="M50" s="2">
        <v>1159.6500000000001</v>
      </c>
      <c r="N50" s="2">
        <v>2280.25</v>
      </c>
      <c r="O50" s="2">
        <v>5015.55</v>
      </c>
      <c r="P50" s="2">
        <v>7794.25</v>
      </c>
      <c r="Q50" s="2">
        <v>11913.4</v>
      </c>
      <c r="R50" s="2">
        <v>22212.5</v>
      </c>
      <c r="S50" s="2">
        <v>30805.33</v>
      </c>
      <c r="T50" s="2">
        <v>47363.5</v>
      </c>
      <c r="U50" s="2">
        <v>71732</v>
      </c>
    </row>
    <row r="51" spans="1:21" x14ac:dyDescent="0.25">
      <c r="A51" t="s">
        <v>481</v>
      </c>
      <c r="K51">
        <v>23</v>
      </c>
      <c r="L51">
        <v>30</v>
      </c>
      <c r="M51">
        <v>40</v>
      </c>
      <c r="N51">
        <v>51</v>
      </c>
      <c r="O51">
        <v>60.59</v>
      </c>
      <c r="P51">
        <v>61.74</v>
      </c>
      <c r="Q51">
        <v>64.34</v>
      </c>
      <c r="R51">
        <v>66.95</v>
      </c>
      <c r="S51">
        <v>67.55</v>
      </c>
      <c r="T51">
        <v>60.16</v>
      </c>
    </row>
    <row r="52" spans="1:21" x14ac:dyDescent="0.25">
      <c r="A52" t="s">
        <v>17</v>
      </c>
    </row>
    <row r="53" spans="1:21" x14ac:dyDescent="0.25">
      <c r="A53" t="s">
        <v>43</v>
      </c>
      <c r="J53" s="2">
        <v>2920</v>
      </c>
      <c r="K53" s="2">
        <v>3838</v>
      </c>
      <c r="L53" s="2">
        <v>3735</v>
      </c>
      <c r="M53" s="2">
        <v>3936</v>
      </c>
      <c r="N53" s="2">
        <v>4429</v>
      </c>
    </row>
    <row r="54" spans="1:21" x14ac:dyDescent="0.25">
      <c r="A54" t="s">
        <v>17</v>
      </c>
    </row>
    <row r="55" spans="1:21" x14ac:dyDescent="0.25">
      <c r="A55" t="s">
        <v>463</v>
      </c>
    </row>
    <row r="56" spans="1:21" x14ac:dyDescent="0.25">
      <c r="A56" t="s">
        <v>1813</v>
      </c>
      <c r="I56">
        <v>-30.91</v>
      </c>
      <c r="J56">
        <v>24.73</v>
      </c>
      <c r="K56">
        <v>-61.15</v>
      </c>
      <c r="L56">
        <v>79.510000000000005</v>
      </c>
      <c r="M56">
        <v>22.36</v>
      </c>
      <c r="N56">
        <v>0</v>
      </c>
      <c r="O56">
        <v>232.9</v>
      </c>
      <c r="P56">
        <v>426.53</v>
      </c>
      <c r="Q56">
        <v>403.6</v>
      </c>
      <c r="R56">
        <v>259.08</v>
      </c>
      <c r="S56">
        <v>277.25</v>
      </c>
      <c r="T56">
        <v>320.56</v>
      </c>
      <c r="U56">
        <v>16.71</v>
      </c>
    </row>
    <row r="57" spans="1:21" x14ac:dyDescent="0.25">
      <c r="A57" t="s">
        <v>58</v>
      </c>
    </row>
    <row r="58" spans="1:21" x14ac:dyDescent="0.25">
      <c r="A58" t="s">
        <v>16</v>
      </c>
      <c r="I58" s="2">
        <v>1092.67</v>
      </c>
      <c r="J58" s="2">
        <v>1541.89</v>
      </c>
      <c r="K58" s="2">
        <v>1905.87</v>
      </c>
      <c r="L58" s="2">
        <v>2225.0100000000002</v>
      </c>
      <c r="M58" s="2">
        <v>2865.51</v>
      </c>
      <c r="N58" s="2">
        <v>4475.45</v>
      </c>
      <c r="O58" s="2">
        <v>8178.19</v>
      </c>
      <c r="P58" s="2">
        <v>12306</v>
      </c>
      <c r="Q58" s="2">
        <v>17605.46</v>
      </c>
      <c r="R58" s="2">
        <v>26396.86</v>
      </c>
      <c r="S58" s="2">
        <v>37895.17</v>
      </c>
      <c r="T58" s="2">
        <v>55703</v>
      </c>
      <c r="U58" s="2">
        <v>67151</v>
      </c>
    </row>
    <row r="59" spans="1:21" x14ac:dyDescent="0.25">
      <c r="A59" t="s">
        <v>1803</v>
      </c>
      <c r="G59">
        <v>255.13</v>
      </c>
      <c r="H59">
        <v>345.52</v>
      </c>
      <c r="I59">
        <v>610.20000000000005</v>
      </c>
      <c r="J59">
        <v>897.36</v>
      </c>
      <c r="K59" s="2">
        <v>1072</v>
      </c>
      <c r="L59" s="2">
        <v>1220</v>
      </c>
      <c r="M59" s="2">
        <v>1570</v>
      </c>
      <c r="N59" s="2">
        <v>2403</v>
      </c>
      <c r="O59" s="2">
        <v>4021.05</v>
      </c>
      <c r="P59" s="2">
        <v>5443.2</v>
      </c>
      <c r="Q59" s="2">
        <v>7241.65</v>
      </c>
      <c r="R59" s="2">
        <v>11113.44</v>
      </c>
      <c r="S59" s="2">
        <v>17313.650000000001</v>
      </c>
      <c r="T59" s="2">
        <v>27470.07</v>
      </c>
      <c r="U59" s="2">
        <v>43793.71</v>
      </c>
    </row>
    <row r="60" spans="1:21" x14ac:dyDescent="0.25">
      <c r="A60" t="s">
        <v>1814</v>
      </c>
      <c r="H60">
        <v>47</v>
      </c>
      <c r="I60">
        <v>56</v>
      </c>
      <c r="J60">
        <v>59</v>
      </c>
      <c r="K60">
        <v>56</v>
      </c>
      <c r="L60">
        <v>55</v>
      </c>
      <c r="M60">
        <v>55</v>
      </c>
      <c r="N60">
        <v>54</v>
      </c>
      <c r="O60">
        <v>49.1</v>
      </c>
      <c r="P60">
        <v>44.51</v>
      </c>
      <c r="Q60">
        <v>39.36</v>
      </c>
      <c r="R60">
        <v>37.44</v>
      </c>
      <c r="S60">
        <v>41.31</v>
      </c>
    </row>
    <row r="61" spans="1:21" x14ac:dyDescent="0.25">
      <c r="A61" t="s">
        <v>1805</v>
      </c>
      <c r="G61">
        <v>340.28</v>
      </c>
      <c r="H61">
        <v>397.03</v>
      </c>
      <c r="I61">
        <v>482.48</v>
      </c>
      <c r="J61">
        <v>644.53</v>
      </c>
      <c r="K61">
        <v>834</v>
      </c>
      <c r="L61" s="2">
        <v>1003</v>
      </c>
      <c r="M61" s="2">
        <v>1296</v>
      </c>
      <c r="N61" s="2">
        <v>2073</v>
      </c>
      <c r="O61" s="2">
        <v>4152.3900000000003</v>
      </c>
      <c r="P61" s="2">
        <v>6785.98</v>
      </c>
      <c r="Q61" s="2">
        <v>10825.99</v>
      </c>
      <c r="R61" s="2">
        <v>18373.23</v>
      </c>
      <c r="S61" s="2">
        <v>29648.91</v>
      </c>
      <c r="T61" s="2">
        <v>46572.89</v>
      </c>
      <c r="U61" s="2">
        <v>61955.01</v>
      </c>
    </row>
    <row r="62" spans="1:21" x14ac:dyDescent="0.25">
      <c r="A62" t="s">
        <v>1814</v>
      </c>
      <c r="H62">
        <v>53</v>
      </c>
      <c r="I62">
        <v>44</v>
      </c>
      <c r="J62">
        <v>41</v>
      </c>
      <c r="K62">
        <v>44</v>
      </c>
      <c r="L62">
        <v>45</v>
      </c>
      <c r="M62">
        <v>45</v>
      </c>
      <c r="N62">
        <v>46</v>
      </c>
      <c r="O62">
        <v>50.89</v>
      </c>
      <c r="P62">
        <v>55.49</v>
      </c>
      <c r="Q62">
        <v>60.64</v>
      </c>
      <c r="R62">
        <v>62.56</v>
      </c>
      <c r="S62">
        <v>58.69</v>
      </c>
    </row>
    <row r="63" spans="1:21" x14ac:dyDescent="0.25">
      <c r="A63" t="s">
        <v>17</v>
      </c>
    </row>
    <row r="64" spans="1:21" x14ac:dyDescent="0.25">
      <c r="A64" t="s">
        <v>72</v>
      </c>
    </row>
    <row r="65" spans="1:20" x14ac:dyDescent="0.25">
      <c r="A65" t="s">
        <v>385</v>
      </c>
    </row>
    <row r="66" spans="1:20" x14ac:dyDescent="0.25">
      <c r="A66" t="s">
        <v>60</v>
      </c>
      <c r="G66">
        <v>208.62</v>
      </c>
      <c r="H66">
        <v>295.75</v>
      </c>
      <c r="I66">
        <v>573.54999999999995</v>
      </c>
      <c r="J66">
        <v>879.16</v>
      </c>
      <c r="K66" s="2">
        <v>1161.42</v>
      </c>
      <c r="L66" s="2">
        <v>1378.25</v>
      </c>
      <c r="M66" s="2">
        <v>1900.25</v>
      </c>
      <c r="N66" s="2">
        <v>3320.04</v>
      </c>
      <c r="O66" s="2">
        <v>6542.2</v>
      </c>
      <c r="P66" s="2">
        <v>9964.43</v>
      </c>
      <c r="Q66" s="2">
        <v>15391.68</v>
      </c>
      <c r="R66" s="2">
        <v>20040.849999999999</v>
      </c>
      <c r="S66" s="2">
        <v>20774.29</v>
      </c>
    </row>
    <row r="67" spans="1:20" x14ac:dyDescent="0.25">
      <c r="A67" t="s">
        <v>61</v>
      </c>
      <c r="K67">
        <v>61</v>
      </c>
      <c r="L67">
        <v>62</v>
      </c>
      <c r="M67">
        <v>66</v>
      </c>
      <c r="N67">
        <v>74</v>
      </c>
      <c r="O67">
        <v>80.67</v>
      </c>
      <c r="P67">
        <v>81.75</v>
      </c>
      <c r="Q67">
        <v>84.16</v>
      </c>
    </row>
    <row r="68" spans="1:20" x14ac:dyDescent="0.25">
      <c r="A68" t="s">
        <v>1643</v>
      </c>
      <c r="K68">
        <v>335</v>
      </c>
      <c r="L68">
        <v>457</v>
      </c>
      <c r="M68">
        <v>702</v>
      </c>
      <c r="N68" s="2">
        <v>1465</v>
      </c>
      <c r="O68" s="2">
        <v>3434.44</v>
      </c>
      <c r="P68" s="2">
        <v>5931.34</v>
      </c>
      <c r="Q68" s="2">
        <v>9571.8799999999992</v>
      </c>
      <c r="R68" s="2">
        <v>14535.61</v>
      </c>
      <c r="S68" s="2">
        <v>19793.04</v>
      </c>
      <c r="T68" s="2">
        <v>40531.68</v>
      </c>
    </row>
    <row r="69" spans="1:20" x14ac:dyDescent="0.25">
      <c r="A69" t="s">
        <v>1815</v>
      </c>
      <c r="K69">
        <v>826</v>
      </c>
      <c r="L69">
        <v>921</v>
      </c>
      <c r="M69" s="2">
        <v>1198</v>
      </c>
      <c r="N69" s="2">
        <v>1855</v>
      </c>
      <c r="O69" s="2">
        <v>3255.47</v>
      </c>
      <c r="P69" s="2">
        <v>4427.49</v>
      </c>
      <c r="Q69" s="2">
        <v>5789.25</v>
      </c>
      <c r="R69" s="2">
        <v>7108.01</v>
      </c>
      <c r="S69" s="2">
        <v>8996.64</v>
      </c>
      <c r="T69" s="2">
        <v>16828.580000000002</v>
      </c>
    </row>
    <row r="70" spans="1:20" x14ac:dyDescent="0.25">
      <c r="A70" t="s">
        <v>17</v>
      </c>
    </row>
    <row r="71" spans="1:20" x14ac:dyDescent="0.25">
      <c r="A71" t="s">
        <v>978</v>
      </c>
    </row>
    <row r="72" spans="1:20" x14ac:dyDescent="0.25">
      <c r="A72" t="s">
        <v>60</v>
      </c>
      <c r="G72">
        <v>121.56</v>
      </c>
      <c r="H72">
        <v>120.19</v>
      </c>
      <c r="I72">
        <v>132.43</v>
      </c>
      <c r="J72">
        <v>173.36</v>
      </c>
      <c r="K72">
        <v>220.94</v>
      </c>
      <c r="L72">
        <v>235.26</v>
      </c>
      <c r="M72">
        <v>304.58</v>
      </c>
      <c r="N72">
        <v>427.4</v>
      </c>
      <c r="O72">
        <v>671.45</v>
      </c>
      <c r="P72">
        <v>960.95</v>
      </c>
      <c r="Q72" s="2">
        <v>1154.6300000000001</v>
      </c>
      <c r="R72" s="2">
        <v>1385.55</v>
      </c>
      <c r="S72" s="2">
        <v>1662.66</v>
      </c>
    </row>
    <row r="73" spans="1:20" x14ac:dyDescent="0.25">
      <c r="A73" t="s">
        <v>61</v>
      </c>
      <c r="K73">
        <v>12</v>
      </c>
      <c r="L73">
        <v>11</v>
      </c>
      <c r="M73">
        <v>11</v>
      </c>
      <c r="N73">
        <v>10</v>
      </c>
      <c r="O73">
        <v>7.97</v>
      </c>
      <c r="P73">
        <v>7.97</v>
      </c>
    </row>
    <row r="74" spans="1:20" x14ac:dyDescent="0.25">
      <c r="A74" t="s">
        <v>17</v>
      </c>
    </row>
    <row r="75" spans="1:20" x14ac:dyDescent="0.25">
      <c r="A75" t="s">
        <v>980</v>
      </c>
    </row>
    <row r="76" spans="1:20" x14ac:dyDescent="0.25">
      <c r="A76" t="s">
        <v>60</v>
      </c>
      <c r="G76">
        <v>200.8</v>
      </c>
      <c r="H76">
        <v>250.4</v>
      </c>
      <c r="I76">
        <v>289</v>
      </c>
      <c r="J76">
        <v>403.72</v>
      </c>
      <c r="K76">
        <v>523.51</v>
      </c>
      <c r="L76">
        <v>611.51</v>
      </c>
      <c r="M76">
        <v>660.69</v>
      </c>
      <c r="N76">
        <v>728.01</v>
      </c>
      <c r="O76">
        <v>987.12</v>
      </c>
      <c r="P76" s="2">
        <v>1315.06</v>
      </c>
      <c r="Q76" s="2">
        <v>1154.58</v>
      </c>
      <c r="R76" s="2">
        <v>1327.76</v>
      </c>
      <c r="S76" s="2">
        <v>1526.93</v>
      </c>
    </row>
    <row r="77" spans="1:20" x14ac:dyDescent="0.25">
      <c r="A77" t="s">
        <v>61</v>
      </c>
      <c r="K77">
        <v>27</v>
      </c>
      <c r="L77">
        <v>27</v>
      </c>
      <c r="M77">
        <v>23</v>
      </c>
      <c r="N77">
        <v>16</v>
      </c>
    </row>
    <row r="78" spans="1:20" x14ac:dyDescent="0.25">
      <c r="A78" t="s">
        <v>17</v>
      </c>
    </row>
    <row r="79" spans="1:20" x14ac:dyDescent="0.25">
      <c r="A79" t="s">
        <v>386</v>
      </c>
    </row>
    <row r="80" spans="1:20" x14ac:dyDescent="0.25">
      <c r="A80" t="s">
        <v>1805</v>
      </c>
      <c r="K80">
        <v>499</v>
      </c>
      <c r="L80">
        <v>546</v>
      </c>
      <c r="M80">
        <v>594</v>
      </c>
      <c r="N80">
        <v>608</v>
      </c>
      <c r="O80">
        <v>740.21</v>
      </c>
      <c r="P80">
        <v>902.72</v>
      </c>
      <c r="Q80" s="2">
        <v>1140.19</v>
      </c>
      <c r="R80">
        <v>921.45</v>
      </c>
      <c r="S80" s="2">
        <v>1057.8900000000001</v>
      </c>
      <c r="T80" s="2">
        <v>1292.56</v>
      </c>
    </row>
    <row r="81" spans="1:21" x14ac:dyDescent="0.25">
      <c r="A81" t="s">
        <v>1803</v>
      </c>
      <c r="K81">
        <v>246</v>
      </c>
      <c r="L81">
        <v>301</v>
      </c>
      <c r="M81">
        <v>372</v>
      </c>
      <c r="N81">
        <v>548</v>
      </c>
      <c r="O81">
        <v>745.92</v>
      </c>
      <c r="P81">
        <v>906.29</v>
      </c>
      <c r="Q81" s="2">
        <v>1077.8800000000001</v>
      </c>
      <c r="R81" s="2">
        <v>1205</v>
      </c>
      <c r="S81" s="2">
        <v>1528.78</v>
      </c>
      <c r="T81" s="2">
        <v>1917.82</v>
      </c>
    </row>
    <row r="82" spans="1:21" x14ac:dyDescent="0.25">
      <c r="A82" t="s">
        <v>17</v>
      </c>
    </row>
    <row r="83" spans="1:21" x14ac:dyDescent="0.25">
      <c r="A83" t="s">
        <v>51</v>
      </c>
    </row>
    <row r="84" spans="1:21" x14ac:dyDescent="0.25">
      <c r="A84" t="s">
        <v>1816</v>
      </c>
      <c r="G84">
        <v>64.430000000000007</v>
      </c>
      <c r="H84">
        <v>76.22</v>
      </c>
      <c r="I84">
        <v>97.7</v>
      </c>
      <c r="J84">
        <v>85.65</v>
      </c>
    </row>
    <row r="85" spans="1:21" x14ac:dyDescent="0.25">
      <c r="A85" t="s">
        <v>17</v>
      </c>
    </row>
    <row r="86" spans="1:21" x14ac:dyDescent="0.25">
      <c r="A86" t="s">
        <v>79</v>
      </c>
    </row>
    <row r="87" spans="1:21" x14ac:dyDescent="0.25">
      <c r="A87" t="s">
        <v>80</v>
      </c>
      <c r="I87" s="2">
        <v>1092.67</v>
      </c>
      <c r="J87" s="2">
        <v>1541.89</v>
      </c>
      <c r="K87" s="2">
        <v>1905.87</v>
      </c>
      <c r="L87" s="2">
        <v>2225.0100000000002</v>
      </c>
      <c r="M87" s="2">
        <v>2865.51</v>
      </c>
      <c r="N87" s="2">
        <v>4475.45</v>
      </c>
      <c r="O87" s="2">
        <v>8178.19</v>
      </c>
      <c r="P87" s="2">
        <v>12306</v>
      </c>
      <c r="Q87" s="2">
        <v>17605.46</v>
      </c>
      <c r="R87" s="2">
        <v>26396.86</v>
      </c>
      <c r="S87" s="2">
        <v>37895.17</v>
      </c>
      <c r="T87" s="2">
        <v>55703</v>
      </c>
      <c r="U87" s="2">
        <v>67151</v>
      </c>
    </row>
    <row r="88" spans="1:21" x14ac:dyDescent="0.25">
      <c r="A88" t="s">
        <v>17</v>
      </c>
    </row>
    <row r="89" spans="1:21" x14ac:dyDescent="0.25">
      <c r="A89" t="s">
        <v>82</v>
      </c>
      <c r="G89">
        <v>165.4</v>
      </c>
      <c r="H89">
        <v>242.37</v>
      </c>
      <c r="I89">
        <v>352.55</v>
      </c>
      <c r="J89">
        <v>339.4</v>
      </c>
      <c r="K89">
        <v>408.55</v>
      </c>
      <c r="L89">
        <v>431.11</v>
      </c>
      <c r="M89">
        <v>565.99</v>
      </c>
      <c r="N89">
        <v>789.18</v>
      </c>
      <c r="O89" s="2">
        <v>1232.24</v>
      </c>
      <c r="P89" s="2">
        <v>1794.88</v>
      </c>
      <c r="Q89" s="2">
        <v>2561.75</v>
      </c>
      <c r="R89" s="2">
        <v>3434.67</v>
      </c>
      <c r="S89" s="2">
        <v>4606.03</v>
      </c>
      <c r="T89" s="2">
        <v>7140.94</v>
      </c>
      <c r="U89" s="2">
        <v>6588.55</v>
      </c>
    </row>
    <row r="90" spans="1:21" x14ac:dyDescent="0.25">
      <c r="A90" t="s">
        <v>83</v>
      </c>
      <c r="G90">
        <v>27.78</v>
      </c>
      <c r="H90">
        <v>32.64</v>
      </c>
      <c r="I90">
        <v>32.26</v>
      </c>
      <c r="J90">
        <v>22.01</v>
      </c>
      <c r="K90">
        <v>21.44</v>
      </c>
      <c r="L90">
        <v>19.38</v>
      </c>
      <c r="M90">
        <v>19.75</v>
      </c>
      <c r="N90">
        <v>17.63</v>
      </c>
      <c r="O90">
        <v>15.09</v>
      </c>
      <c r="P90">
        <v>14.21</v>
      </c>
      <c r="Q90">
        <v>13.76</v>
      </c>
      <c r="R90">
        <v>13.13</v>
      </c>
      <c r="S90">
        <v>13.03</v>
      </c>
      <c r="T90">
        <v>14.88</v>
      </c>
    </row>
    <row r="91" spans="1:21" x14ac:dyDescent="0.25">
      <c r="A91" t="s">
        <v>84</v>
      </c>
      <c r="G91">
        <v>430.01</v>
      </c>
      <c r="H91">
        <v>500.18</v>
      </c>
      <c r="I91">
        <v>740.13</v>
      </c>
      <c r="J91" s="2">
        <v>1202.49</v>
      </c>
      <c r="K91" s="2">
        <v>1497.32</v>
      </c>
      <c r="L91" s="2">
        <v>1793.91</v>
      </c>
      <c r="M91" s="2">
        <v>2299.52</v>
      </c>
      <c r="N91" s="2">
        <v>3686.27</v>
      </c>
      <c r="O91" s="2">
        <v>6928.83</v>
      </c>
      <c r="P91" s="2">
        <v>10360.459999999999</v>
      </c>
      <c r="Q91" s="2">
        <v>14764.43</v>
      </c>
      <c r="R91" s="2">
        <v>20036.77</v>
      </c>
      <c r="S91" s="2">
        <v>26270.71</v>
      </c>
      <c r="T91" s="2">
        <v>38121.81</v>
      </c>
      <c r="U91" s="2">
        <v>30855.02</v>
      </c>
    </row>
    <row r="92" spans="1:21" x14ac:dyDescent="0.25">
      <c r="A92" t="s">
        <v>85</v>
      </c>
      <c r="G92">
        <v>72</v>
      </c>
      <c r="H92">
        <v>67</v>
      </c>
      <c r="I92">
        <v>68</v>
      </c>
      <c r="J92">
        <v>78</v>
      </c>
      <c r="K92">
        <v>79</v>
      </c>
      <c r="L92">
        <v>81</v>
      </c>
      <c r="M92">
        <v>80</v>
      </c>
      <c r="N92">
        <v>82</v>
      </c>
      <c r="O92">
        <v>85.14</v>
      </c>
      <c r="P92">
        <v>85.46</v>
      </c>
      <c r="Q92">
        <v>85.75</v>
      </c>
      <c r="R92">
        <v>86.78</v>
      </c>
      <c r="S92">
        <v>86.95</v>
      </c>
      <c r="T92">
        <v>86.02</v>
      </c>
      <c r="U92">
        <v>86.95</v>
      </c>
    </row>
    <row r="93" spans="1:21" x14ac:dyDescent="0.25">
      <c r="A93" t="s">
        <v>17</v>
      </c>
    </row>
    <row r="94" spans="1:21" x14ac:dyDescent="0.25">
      <c r="A94" t="s">
        <v>275</v>
      </c>
      <c r="G94" s="2">
        <v>1053.45</v>
      </c>
      <c r="H94" s="2">
        <v>1076.6300000000001</v>
      </c>
      <c r="I94" s="2">
        <v>1913.81</v>
      </c>
      <c r="J94" s="2">
        <v>1613.53</v>
      </c>
      <c r="K94" s="2">
        <v>1658.52</v>
      </c>
      <c r="L94" s="2">
        <v>1673.94</v>
      </c>
      <c r="M94" s="2">
        <v>1989.11</v>
      </c>
      <c r="N94" s="2">
        <v>2272.25</v>
      </c>
      <c r="O94" s="2">
        <v>3263.58</v>
      </c>
      <c r="P94" s="2">
        <v>4630.38</v>
      </c>
      <c r="Q94" s="2">
        <v>6022.53</v>
      </c>
      <c r="R94" s="2">
        <v>7449.42</v>
      </c>
      <c r="S94" s="2">
        <v>9587.5499999999993</v>
      </c>
      <c r="T94" s="2">
        <v>15519.75</v>
      </c>
      <c r="U94" s="2">
        <v>13870.3</v>
      </c>
    </row>
    <row r="95" spans="1:21" x14ac:dyDescent="0.25">
      <c r="A95" t="s">
        <v>83</v>
      </c>
      <c r="G95">
        <v>176.93</v>
      </c>
      <c r="H95">
        <v>144.99</v>
      </c>
      <c r="I95">
        <v>175.15</v>
      </c>
      <c r="J95">
        <v>104.65</v>
      </c>
      <c r="K95">
        <v>87.02</v>
      </c>
      <c r="L95">
        <v>75.23</v>
      </c>
      <c r="M95">
        <v>69.42</v>
      </c>
      <c r="N95">
        <v>50.77</v>
      </c>
      <c r="O95">
        <v>40.33</v>
      </c>
      <c r="P95">
        <v>41.5</v>
      </c>
    </row>
    <row r="96" spans="1:21" x14ac:dyDescent="0.25">
      <c r="A96" t="s">
        <v>387</v>
      </c>
      <c r="G96">
        <v>461.76</v>
      </c>
      <c r="H96">
        <v>450.12</v>
      </c>
      <c r="I96">
        <v>683.7</v>
      </c>
      <c r="J96">
        <v>614.51</v>
      </c>
      <c r="K96">
        <v>702.51</v>
      </c>
      <c r="L96">
        <v>744.99</v>
      </c>
      <c r="M96">
        <v>887.76</v>
      </c>
      <c r="N96" s="2">
        <v>1056.8599999999999</v>
      </c>
      <c r="O96" s="2">
        <v>1551.98</v>
      </c>
      <c r="P96" s="2">
        <v>2243.5700000000002</v>
      </c>
      <c r="Q96" s="2">
        <v>2942.32</v>
      </c>
      <c r="R96" s="2">
        <v>3812.81</v>
      </c>
      <c r="S96" s="2">
        <v>5196.01</v>
      </c>
      <c r="T96" s="2">
        <v>8103.75</v>
      </c>
      <c r="U96" s="2">
        <v>7385.26</v>
      </c>
    </row>
    <row r="97" spans="1:21" x14ac:dyDescent="0.25">
      <c r="A97" t="s">
        <v>88</v>
      </c>
      <c r="G97">
        <v>306.24</v>
      </c>
      <c r="H97">
        <v>320.94</v>
      </c>
      <c r="I97">
        <v>669.44</v>
      </c>
      <c r="J97">
        <v>611.53</v>
      </c>
      <c r="K97">
        <v>596.33000000000004</v>
      </c>
      <c r="L97">
        <v>524.33000000000004</v>
      </c>
      <c r="M97">
        <v>593.48</v>
      </c>
      <c r="N97">
        <v>657.72</v>
      </c>
      <c r="O97">
        <v>895.27</v>
      </c>
      <c r="P97" s="2">
        <v>1287.02</v>
      </c>
      <c r="Q97" s="2">
        <v>1696.9</v>
      </c>
      <c r="R97" s="2">
        <v>2153.64</v>
      </c>
      <c r="S97" s="2">
        <v>2729.14</v>
      </c>
      <c r="T97" s="2">
        <v>3894.03</v>
      </c>
      <c r="U97" s="2">
        <v>4042.38</v>
      </c>
    </row>
    <row r="98" spans="1:21" x14ac:dyDescent="0.25">
      <c r="A98" t="s">
        <v>89</v>
      </c>
      <c r="G98">
        <v>285.45</v>
      </c>
      <c r="H98">
        <v>305.56</v>
      </c>
      <c r="I98">
        <v>560.66</v>
      </c>
      <c r="J98">
        <v>387.49</v>
      </c>
      <c r="K98">
        <v>359.68</v>
      </c>
      <c r="L98">
        <v>404.62</v>
      </c>
      <c r="M98">
        <v>507.88</v>
      </c>
      <c r="N98">
        <v>557.67999999999995</v>
      </c>
      <c r="O98">
        <v>860.23</v>
      </c>
      <c r="P98" s="2">
        <v>1265.32</v>
      </c>
      <c r="Q98" s="2">
        <v>1620.48</v>
      </c>
      <c r="R98" s="2">
        <v>1990.89</v>
      </c>
      <c r="S98" s="2">
        <v>2486.0100000000002</v>
      </c>
      <c r="T98" s="2">
        <v>3521.97</v>
      </c>
      <c r="U98" s="2">
        <v>2442.66</v>
      </c>
    </row>
    <row r="99" spans="1:21" x14ac:dyDescent="0.25">
      <c r="A99" t="s">
        <v>61</v>
      </c>
      <c r="G99">
        <v>47.94</v>
      </c>
      <c r="H99">
        <v>41.15</v>
      </c>
      <c r="I99">
        <v>51.31</v>
      </c>
      <c r="J99">
        <v>25.13</v>
      </c>
      <c r="K99">
        <v>18.87</v>
      </c>
      <c r="L99">
        <v>18.190000000000001</v>
      </c>
      <c r="M99">
        <v>17.72</v>
      </c>
      <c r="N99">
        <v>12.46</v>
      </c>
      <c r="O99">
        <v>10.210000000000001</v>
      </c>
      <c r="P99">
        <v>9.84</v>
      </c>
      <c r="Q99">
        <v>8.82</v>
      </c>
      <c r="R99">
        <v>6.93</v>
      </c>
      <c r="S99">
        <v>6.2</v>
      </c>
      <c r="T99">
        <v>8.0299999999999994</v>
      </c>
    </row>
    <row r="100" spans="1:21" x14ac:dyDescent="0.25">
      <c r="A100" t="s">
        <v>17</v>
      </c>
    </row>
    <row r="101" spans="1:21" x14ac:dyDescent="0.25">
      <c r="A101" t="s">
        <v>91</v>
      </c>
      <c r="G101">
        <v>-623.44000000000005</v>
      </c>
      <c r="H101">
        <v>-576.44000000000005</v>
      </c>
      <c r="I101" s="2">
        <v>-1173.68</v>
      </c>
      <c r="J101">
        <v>-411.05</v>
      </c>
      <c r="K101">
        <v>-161.19999999999999</v>
      </c>
      <c r="L101">
        <v>119.97</v>
      </c>
      <c r="M101">
        <v>310.39999999999998</v>
      </c>
      <c r="N101" s="2">
        <v>1414.02</v>
      </c>
      <c r="O101" s="2">
        <v>3642.95</v>
      </c>
      <c r="P101" s="2">
        <v>5572.68</v>
      </c>
      <c r="Q101" s="2">
        <v>8485.33</v>
      </c>
      <c r="R101" s="2">
        <v>12161.36</v>
      </c>
      <c r="S101" s="2">
        <v>16227.84</v>
      </c>
      <c r="T101" s="2">
        <v>23165.7</v>
      </c>
      <c r="U101" s="2">
        <v>24793.86</v>
      </c>
    </row>
    <row r="102" spans="1:21" x14ac:dyDescent="0.25">
      <c r="A102" t="s">
        <v>92</v>
      </c>
      <c r="G102">
        <v>-104.71</v>
      </c>
      <c r="H102">
        <v>-77.63</v>
      </c>
      <c r="I102">
        <v>-107.41</v>
      </c>
      <c r="J102">
        <v>-26.66</v>
      </c>
      <c r="K102">
        <v>-8.4600000000000009</v>
      </c>
      <c r="L102">
        <v>5.39</v>
      </c>
      <c r="M102">
        <v>10.83</v>
      </c>
      <c r="N102">
        <v>31.59</v>
      </c>
      <c r="O102">
        <v>44.65</v>
      </c>
      <c r="P102">
        <v>45.53</v>
      </c>
      <c r="Q102">
        <v>49.05</v>
      </c>
      <c r="R102">
        <v>50.82</v>
      </c>
      <c r="S102">
        <v>52.78</v>
      </c>
      <c r="T102">
        <v>51.97</v>
      </c>
      <c r="U102">
        <v>53.21</v>
      </c>
    </row>
    <row r="103" spans="1:21" x14ac:dyDescent="0.25">
      <c r="A103" t="s">
        <v>17</v>
      </c>
    </row>
    <row r="104" spans="1:21" x14ac:dyDescent="0.25">
      <c r="A104" t="s">
        <v>93</v>
      </c>
      <c r="G104">
        <v>13.91</v>
      </c>
      <c r="H104">
        <v>12.26</v>
      </c>
      <c r="I104">
        <v>13.87</v>
      </c>
      <c r="J104">
        <v>14.9</v>
      </c>
      <c r="K104">
        <v>22.52</v>
      </c>
      <c r="L104">
        <v>33.35</v>
      </c>
      <c r="M104">
        <v>31.59</v>
      </c>
      <c r="N104">
        <v>26.15</v>
      </c>
      <c r="O104">
        <v>34.26</v>
      </c>
      <c r="P104">
        <v>42.33</v>
      </c>
      <c r="Q104">
        <v>55.57</v>
      </c>
      <c r="R104">
        <v>90.44</v>
      </c>
      <c r="S104">
        <v>102.19</v>
      </c>
      <c r="T104">
        <v>47.76</v>
      </c>
      <c r="U104">
        <v>35.049999999999997</v>
      </c>
    </row>
    <row r="105" spans="1:21" x14ac:dyDescent="0.25">
      <c r="A105" t="s">
        <v>83</v>
      </c>
      <c r="G105">
        <v>2.3199999999999998</v>
      </c>
      <c r="H105">
        <v>1.65</v>
      </c>
      <c r="I105">
        <v>1.27</v>
      </c>
      <c r="J105">
        <v>0.97</v>
      </c>
      <c r="K105">
        <v>1.18</v>
      </c>
      <c r="L105">
        <v>1.07</v>
      </c>
      <c r="M105">
        <v>0.83</v>
      </c>
      <c r="N105">
        <v>0.57999999999999996</v>
      </c>
      <c r="O105">
        <v>0.43</v>
      </c>
      <c r="P105">
        <v>0.44</v>
      </c>
      <c r="Q105">
        <v>0.44</v>
      </c>
      <c r="R105">
        <v>0.41</v>
      </c>
    </row>
    <row r="106" spans="1:21" x14ac:dyDescent="0.25">
      <c r="A106" t="s">
        <v>277</v>
      </c>
      <c r="I106">
        <v>203.74</v>
      </c>
      <c r="J106">
        <v>488.35</v>
      </c>
      <c r="K106">
        <v>443.28</v>
      </c>
      <c r="L106">
        <v>666.13</v>
      </c>
      <c r="M106" s="2">
        <v>1159.6500000000001</v>
      </c>
      <c r="N106" s="2">
        <v>2280.25</v>
      </c>
      <c r="O106" s="2">
        <v>5015.55</v>
      </c>
      <c r="P106" s="2">
        <v>7794.25</v>
      </c>
      <c r="Q106" s="2">
        <v>11913.4</v>
      </c>
      <c r="R106" s="2">
        <v>22212.5</v>
      </c>
      <c r="S106" s="2">
        <v>30805.33</v>
      </c>
      <c r="T106" s="2">
        <v>47363.5</v>
      </c>
      <c r="U106" s="2">
        <v>71732</v>
      </c>
    </row>
    <row r="107" spans="1:21" x14ac:dyDescent="0.25">
      <c r="A107" t="s">
        <v>17</v>
      </c>
    </row>
    <row r="108" spans="1:21" x14ac:dyDescent="0.25">
      <c r="A108" t="s">
        <v>483</v>
      </c>
      <c r="G108">
        <v>-7.06</v>
      </c>
      <c r="H108">
        <v>-12.03</v>
      </c>
      <c r="I108">
        <v>9.4600000000000009</v>
      </c>
      <c r="J108">
        <v>2.0299999999999998</v>
      </c>
      <c r="K108">
        <v>-16.25</v>
      </c>
      <c r="L108">
        <v>-129.1</v>
      </c>
      <c r="M108">
        <v>-196.79</v>
      </c>
      <c r="N108">
        <v>-229.18</v>
      </c>
      <c r="O108">
        <v>-312.99</v>
      </c>
      <c r="P108">
        <v>-359.76</v>
      </c>
      <c r="Q108">
        <v>-413.94</v>
      </c>
      <c r="R108">
        <v>-241.51</v>
      </c>
      <c r="S108">
        <v>-241.51</v>
      </c>
    </row>
    <row r="109" spans="1:21" x14ac:dyDescent="0.25">
      <c r="A109" t="s">
        <v>484</v>
      </c>
      <c r="G109">
        <v>3.44</v>
      </c>
      <c r="H109">
        <v>3.06</v>
      </c>
      <c r="I109">
        <v>14.14</v>
      </c>
      <c r="J109">
        <v>3.64</v>
      </c>
      <c r="K109">
        <v>4.0599999999999996</v>
      </c>
      <c r="L109">
        <v>3.47</v>
      </c>
      <c r="M109">
        <v>0</v>
      </c>
      <c r="N109">
        <v>0</v>
      </c>
      <c r="O109">
        <v>0</v>
      </c>
      <c r="P109">
        <v>0</v>
      </c>
    </row>
    <row r="110" spans="1:21" x14ac:dyDescent="0.25">
      <c r="A110" t="s">
        <v>398</v>
      </c>
      <c r="G110">
        <v>10.5</v>
      </c>
      <c r="H110">
        <v>15.09</v>
      </c>
      <c r="I110">
        <v>4.68</v>
      </c>
      <c r="J110">
        <v>1.61</v>
      </c>
      <c r="K110">
        <v>20.309999999999999</v>
      </c>
      <c r="L110">
        <v>132.57</v>
      </c>
      <c r="M110">
        <v>196.79</v>
      </c>
      <c r="N110">
        <v>229.18</v>
      </c>
      <c r="O110">
        <v>291.95</v>
      </c>
      <c r="P110">
        <v>389.39</v>
      </c>
      <c r="Q110">
        <v>588.07000000000005</v>
      </c>
      <c r="R110">
        <v>967.5</v>
      </c>
      <c r="S110" s="2">
        <v>1860.13</v>
      </c>
      <c r="T110" s="2">
        <v>2940.37</v>
      </c>
      <c r="U110" s="2">
        <v>3765.7</v>
      </c>
    </row>
    <row r="111" spans="1:21" x14ac:dyDescent="0.25">
      <c r="A111" t="s">
        <v>391</v>
      </c>
      <c r="G111">
        <v>-45.46</v>
      </c>
      <c r="H111">
        <v>2.86</v>
      </c>
      <c r="I111">
        <v>-4.1100000000000003</v>
      </c>
      <c r="J111">
        <v>75.42</v>
      </c>
      <c r="K111">
        <v>216.08</v>
      </c>
      <c r="L111">
        <v>11.98</v>
      </c>
      <c r="M111">
        <v>18.02</v>
      </c>
      <c r="N111">
        <v>-14.17</v>
      </c>
      <c r="O111">
        <v>-126.4</v>
      </c>
      <c r="P111">
        <v>-74.599999999999994</v>
      </c>
      <c r="Q111">
        <v>-113.98</v>
      </c>
      <c r="R111">
        <v>9.66</v>
      </c>
      <c r="S111">
        <v>11.42</v>
      </c>
      <c r="T111">
        <v>28.54</v>
      </c>
      <c r="U111">
        <v>35.68</v>
      </c>
    </row>
    <row r="112" spans="1:21" x14ac:dyDescent="0.25">
      <c r="A112" t="s">
        <v>100</v>
      </c>
      <c r="G112">
        <v>-570.92999999999995</v>
      </c>
      <c r="H112">
        <v>-567.27</v>
      </c>
      <c r="I112" s="2">
        <v>-1179.03</v>
      </c>
      <c r="J112">
        <v>-488.49</v>
      </c>
      <c r="K112">
        <v>-361.03</v>
      </c>
      <c r="L112">
        <v>237.09</v>
      </c>
      <c r="M112">
        <v>489.17</v>
      </c>
      <c r="N112" s="2">
        <v>1657.37</v>
      </c>
      <c r="O112" s="2">
        <v>4130.7299999999996</v>
      </c>
      <c r="P112" s="2">
        <v>6145.62</v>
      </c>
      <c r="Q112" s="2">
        <v>9416.61</v>
      </c>
      <c r="R112" s="2">
        <v>13729.31</v>
      </c>
      <c r="S112" s="2">
        <v>18532.349999999999</v>
      </c>
      <c r="T112" s="2">
        <v>24976.45</v>
      </c>
      <c r="U112" s="2">
        <v>20435.650000000001</v>
      </c>
    </row>
    <row r="113" spans="1:21" x14ac:dyDescent="0.25">
      <c r="A113" t="s">
        <v>83</v>
      </c>
      <c r="G113">
        <v>-95.89</v>
      </c>
      <c r="H113">
        <v>-76.39</v>
      </c>
      <c r="I113">
        <v>-107.9</v>
      </c>
      <c r="J113">
        <v>-31.68</v>
      </c>
      <c r="K113">
        <v>-18.940000000000001</v>
      </c>
      <c r="L113">
        <v>10.66</v>
      </c>
      <c r="M113">
        <v>17.07</v>
      </c>
      <c r="N113">
        <v>37.03</v>
      </c>
      <c r="O113">
        <v>50.67</v>
      </c>
      <c r="P113">
        <v>48.68</v>
      </c>
      <c r="Q113">
        <v>47.98</v>
      </c>
    </row>
    <row r="114" spans="1:21" x14ac:dyDescent="0.25">
      <c r="A114" t="s">
        <v>17</v>
      </c>
    </row>
    <row r="115" spans="1:21" x14ac:dyDescent="0.25">
      <c r="A115" t="s">
        <v>101</v>
      </c>
      <c r="G115">
        <v>9.1</v>
      </c>
      <c r="H115">
        <v>12.38</v>
      </c>
      <c r="I115">
        <v>-12.64</v>
      </c>
      <c r="J115">
        <v>31.89</v>
      </c>
      <c r="K115">
        <v>10.07</v>
      </c>
      <c r="L115">
        <v>19.72</v>
      </c>
      <c r="M115">
        <v>21.26</v>
      </c>
      <c r="N115">
        <v>22.72</v>
      </c>
      <c r="O115">
        <v>176.33</v>
      </c>
      <c r="P115">
        <v>450.58</v>
      </c>
      <c r="Q115" s="2">
        <v>1066.26</v>
      </c>
      <c r="R115" s="2">
        <v>2575.17</v>
      </c>
      <c r="S115" s="2">
        <v>3833.39</v>
      </c>
      <c r="T115" s="2">
        <v>7004.63</v>
      </c>
      <c r="U115" s="2">
        <v>8043.68</v>
      </c>
    </row>
    <row r="116" spans="1:21" x14ac:dyDescent="0.25">
      <c r="A116" t="s">
        <v>17</v>
      </c>
    </row>
    <row r="117" spans="1:21" x14ac:dyDescent="0.25">
      <c r="A117" t="s">
        <v>106</v>
      </c>
      <c r="I117" s="2">
        <v>-1166.3900000000001</v>
      </c>
      <c r="J117">
        <v>-520.38</v>
      </c>
      <c r="K117">
        <v>-373.71</v>
      </c>
      <c r="L117">
        <v>209.83</v>
      </c>
      <c r="M117">
        <v>462.19</v>
      </c>
      <c r="N117" s="2">
        <v>1625.03</v>
      </c>
      <c r="O117" s="2">
        <v>3907.78</v>
      </c>
      <c r="P117" s="2">
        <v>5547.17</v>
      </c>
      <c r="Q117" s="2">
        <v>8251.82</v>
      </c>
      <c r="R117" s="2">
        <v>11857.71</v>
      </c>
      <c r="S117" s="2">
        <v>17411.5</v>
      </c>
      <c r="T117" s="2">
        <v>25535.5</v>
      </c>
      <c r="U117" s="2">
        <v>32218.67</v>
      </c>
    </row>
    <row r="118" spans="1:21" x14ac:dyDescent="0.25">
      <c r="A118" t="s">
        <v>280</v>
      </c>
      <c r="G118">
        <v>-100.46</v>
      </c>
      <c r="H118">
        <v>-78.06</v>
      </c>
      <c r="I118">
        <v>-106.75</v>
      </c>
      <c r="J118">
        <v>-33.75</v>
      </c>
      <c r="K118">
        <v>-19.61</v>
      </c>
      <c r="L118">
        <v>9.43</v>
      </c>
      <c r="M118">
        <v>16.13</v>
      </c>
      <c r="N118">
        <v>36.31</v>
      </c>
      <c r="O118">
        <v>46.3</v>
      </c>
      <c r="P118">
        <v>43.23</v>
      </c>
      <c r="Q118">
        <v>41.91</v>
      </c>
      <c r="R118">
        <v>30.9</v>
      </c>
      <c r="S118">
        <v>31.6</v>
      </c>
    </row>
    <row r="119" spans="1:21" x14ac:dyDescent="0.25">
      <c r="A119" t="s">
        <v>105</v>
      </c>
      <c r="G119">
        <v>0</v>
      </c>
      <c r="H119">
        <v>0</v>
      </c>
      <c r="I119">
        <v>0</v>
      </c>
      <c r="J119">
        <v>0</v>
      </c>
      <c r="K119">
        <v>2.61</v>
      </c>
      <c r="L119">
        <v>7.55</v>
      </c>
      <c r="M119">
        <v>5.73</v>
      </c>
      <c r="N119">
        <v>9.61</v>
      </c>
      <c r="O119">
        <v>15.08</v>
      </c>
      <c r="P119">
        <v>13.74</v>
      </c>
      <c r="Q119">
        <v>18.190000000000001</v>
      </c>
      <c r="R119">
        <v>29.96</v>
      </c>
      <c r="S119">
        <v>35.03</v>
      </c>
      <c r="T119">
        <v>37.08</v>
      </c>
      <c r="U119">
        <v>46.89</v>
      </c>
    </row>
    <row r="120" spans="1:21" x14ac:dyDescent="0.25">
      <c r="A120" t="s">
        <v>1817</v>
      </c>
      <c r="G120">
        <v>-598.13</v>
      </c>
      <c r="H120">
        <v>-588.13</v>
      </c>
      <c r="I120" s="2">
        <v>-1166.3900000000001</v>
      </c>
      <c r="J120">
        <v>-520.38</v>
      </c>
      <c r="K120">
        <v>-373.71</v>
      </c>
      <c r="L120">
        <v>209.83</v>
      </c>
      <c r="M120">
        <v>462.19</v>
      </c>
      <c r="N120" s="2">
        <v>1625.03</v>
      </c>
      <c r="O120" s="2">
        <v>3936.22</v>
      </c>
      <c r="P120" s="2">
        <v>5573.43</v>
      </c>
      <c r="Q120" s="2">
        <v>8101.3</v>
      </c>
      <c r="R120" s="2">
        <v>11724.85</v>
      </c>
      <c r="S120" s="2">
        <v>15365.17</v>
      </c>
      <c r="T120" s="2">
        <v>15201.8</v>
      </c>
      <c r="U120" s="2">
        <v>19502.849999999999</v>
      </c>
    </row>
    <row r="121" spans="1:21" x14ac:dyDescent="0.25">
      <c r="A121" t="s">
        <v>17</v>
      </c>
    </row>
    <row r="122" spans="1:21" x14ac:dyDescent="0.25">
      <c r="A122" t="s">
        <v>108</v>
      </c>
      <c r="G122">
        <v>537.28</v>
      </c>
      <c r="H122">
        <v>576.96</v>
      </c>
      <c r="I122">
        <v>977.72</v>
      </c>
      <c r="J122" s="2">
        <v>1923.62</v>
      </c>
      <c r="K122" s="2">
        <v>2063.79</v>
      </c>
      <c r="L122" s="2">
        <v>2147.4499999999998</v>
      </c>
      <c r="M122" s="2">
        <v>2250.16</v>
      </c>
      <c r="N122" s="2">
        <v>2369.61</v>
      </c>
      <c r="O122" s="2">
        <v>2419.88</v>
      </c>
      <c r="P122" s="2">
        <v>2461.7800000000002</v>
      </c>
      <c r="Q122" s="2">
        <v>2484.9299999999998</v>
      </c>
      <c r="R122" s="2">
        <v>2569.2800000000002</v>
      </c>
      <c r="S122" s="2">
        <v>2552.63</v>
      </c>
      <c r="T122" s="2">
        <v>2590.0500000000002</v>
      </c>
      <c r="U122" s="2">
        <v>2517.6</v>
      </c>
    </row>
    <row r="123" spans="1:21" x14ac:dyDescent="0.25">
      <c r="A123" t="s">
        <v>888</v>
      </c>
      <c r="G123">
        <v>-1.1100000000000001</v>
      </c>
      <c r="H123">
        <v>-1.02</v>
      </c>
      <c r="I123">
        <v>-1.2</v>
      </c>
      <c r="J123">
        <v>-0.27</v>
      </c>
      <c r="K123">
        <v>-0.18</v>
      </c>
      <c r="L123">
        <v>0.1</v>
      </c>
      <c r="M123">
        <v>0.21</v>
      </c>
      <c r="N123">
        <v>0.69</v>
      </c>
      <c r="O123">
        <v>1.56</v>
      </c>
      <c r="P123">
        <v>2.13</v>
      </c>
      <c r="Q123">
        <v>2.97</v>
      </c>
      <c r="R123">
        <v>4.24</v>
      </c>
      <c r="S123">
        <v>6.42</v>
      </c>
      <c r="T123">
        <v>9.19</v>
      </c>
    </row>
    <row r="124" spans="1:21" x14ac:dyDescent="0.25">
      <c r="A124" t="s">
        <v>17</v>
      </c>
    </row>
    <row r="125" spans="1:21" x14ac:dyDescent="0.25">
      <c r="A125" t="s">
        <v>109</v>
      </c>
      <c r="G125">
        <v>544.01</v>
      </c>
      <c r="H125">
        <v>576.96</v>
      </c>
      <c r="I125">
        <v>979.33</v>
      </c>
      <c r="J125" s="2">
        <v>1923.62</v>
      </c>
      <c r="K125" s="2">
        <v>2063.79</v>
      </c>
      <c r="L125" s="2">
        <v>2297.9299999999998</v>
      </c>
      <c r="M125" s="2">
        <v>2450.8200000000002</v>
      </c>
      <c r="N125" s="2">
        <v>2565.1999999999998</v>
      </c>
      <c r="O125" s="2">
        <v>2578.1799999999998</v>
      </c>
      <c r="P125" s="2">
        <v>2594.31</v>
      </c>
      <c r="Q125" s="2">
        <v>2616.8000000000002</v>
      </c>
      <c r="R125" s="2">
        <v>2565.85</v>
      </c>
      <c r="S125" s="2">
        <v>2565.85</v>
      </c>
    </row>
    <row r="126" spans="1:21" x14ac:dyDescent="0.25">
      <c r="A126" t="s">
        <v>110</v>
      </c>
      <c r="I126">
        <v>-1.2</v>
      </c>
      <c r="J126">
        <v>-0.27</v>
      </c>
      <c r="K126">
        <v>-0.18</v>
      </c>
      <c r="L126">
        <v>0.09</v>
      </c>
      <c r="M126">
        <v>0.19</v>
      </c>
      <c r="N126">
        <v>0.63</v>
      </c>
      <c r="O126">
        <v>1.52</v>
      </c>
      <c r="P126">
        <v>2.13</v>
      </c>
      <c r="Q126">
        <v>3.19</v>
      </c>
      <c r="R126">
        <v>5.04</v>
      </c>
      <c r="S126">
        <v>6.48</v>
      </c>
      <c r="T126">
        <v>9.39</v>
      </c>
      <c r="U126">
        <v>11.49</v>
      </c>
    </row>
    <row r="127" spans="1:21" x14ac:dyDescent="0.25">
      <c r="A127" t="s">
        <v>17</v>
      </c>
    </row>
    <row r="128" spans="1:21" x14ac:dyDescent="0.25">
      <c r="A128" t="s">
        <v>111</v>
      </c>
    </row>
    <row r="129" spans="1:21" x14ac:dyDescent="0.25">
      <c r="A129" t="s">
        <v>62</v>
      </c>
      <c r="I129">
        <v>212.92</v>
      </c>
      <c r="J129">
        <v>270.86</v>
      </c>
      <c r="K129">
        <v>364.49</v>
      </c>
      <c r="L129">
        <v>395.11</v>
      </c>
      <c r="M129">
        <v>496.93</v>
      </c>
      <c r="N129">
        <v>724.62</v>
      </c>
      <c r="O129" s="2">
        <v>1091.44</v>
      </c>
      <c r="P129" s="2">
        <v>1635.58</v>
      </c>
      <c r="Q129" s="2">
        <v>2418.04</v>
      </c>
      <c r="R129" s="2">
        <v>3854.33</v>
      </c>
      <c r="S129" s="2">
        <v>6028.41</v>
      </c>
      <c r="T129" s="2">
        <v>7824.93</v>
      </c>
      <c r="U129" s="2">
        <v>8910.76</v>
      </c>
    </row>
    <row r="130" spans="1:21" x14ac:dyDescent="0.25">
      <c r="A130" t="s">
        <v>63</v>
      </c>
      <c r="I130">
        <v>879.75</v>
      </c>
      <c r="J130" s="2">
        <v>1271.03</v>
      </c>
      <c r="K130" s="2">
        <v>1541.38</v>
      </c>
      <c r="L130" s="2">
        <v>1829.9</v>
      </c>
      <c r="M130" s="2">
        <v>2368.58</v>
      </c>
      <c r="N130" s="2">
        <v>3750.82</v>
      </c>
      <c r="O130" s="2">
        <v>7090.57</v>
      </c>
      <c r="P130" s="2">
        <v>10728.35</v>
      </c>
      <c r="Q130" s="2">
        <v>15643.85</v>
      </c>
      <c r="R130" s="2">
        <v>25305.919999999998</v>
      </c>
      <c r="S130" s="2">
        <v>39697.57</v>
      </c>
      <c r="T130" s="2">
        <v>51522</v>
      </c>
      <c r="U130" s="2">
        <v>62685.38</v>
      </c>
    </row>
    <row r="131" spans="1:21" x14ac:dyDescent="0.25">
      <c r="A131" t="s">
        <v>64</v>
      </c>
      <c r="I131">
        <v>80.510000000000005</v>
      </c>
      <c r="J131">
        <v>82.43</v>
      </c>
      <c r="K131">
        <v>80.88</v>
      </c>
      <c r="L131">
        <v>80.62</v>
      </c>
      <c r="M131">
        <v>82</v>
      </c>
      <c r="N131">
        <v>84</v>
      </c>
      <c r="O131">
        <v>86.28</v>
      </c>
      <c r="P131">
        <v>86.34</v>
      </c>
      <c r="Q131">
        <v>86.43</v>
      </c>
      <c r="R131">
        <v>86.42</v>
      </c>
      <c r="S131">
        <v>85.99</v>
      </c>
      <c r="T131">
        <v>86.05</v>
      </c>
      <c r="U131">
        <v>86.41</v>
      </c>
    </row>
    <row r="132" spans="1:21" x14ac:dyDescent="0.25">
      <c r="A132" t="s">
        <v>87</v>
      </c>
      <c r="I132">
        <v>782.73</v>
      </c>
      <c r="J132">
        <v>903.86</v>
      </c>
      <c r="K132" s="2">
        <v>1137.79</v>
      </c>
      <c r="L132" s="2">
        <v>1234.03</v>
      </c>
      <c r="M132" s="2">
        <v>1366.54</v>
      </c>
      <c r="N132" s="2">
        <v>2272.25</v>
      </c>
      <c r="O132" s="2">
        <v>2176.38</v>
      </c>
      <c r="P132" s="2">
        <v>3273.19</v>
      </c>
      <c r="Q132" s="2">
        <v>4603.62</v>
      </c>
      <c r="R132" s="2">
        <v>7033.81</v>
      </c>
      <c r="S132" s="2">
        <v>11217.66</v>
      </c>
      <c r="T132" s="2">
        <v>14133.28</v>
      </c>
      <c r="U132" s="2">
        <v>15566.3</v>
      </c>
    </row>
    <row r="133" spans="1:21" x14ac:dyDescent="0.25">
      <c r="A133" t="s">
        <v>394</v>
      </c>
      <c r="I133">
        <v>285.5</v>
      </c>
      <c r="J133">
        <v>371.6</v>
      </c>
      <c r="K133">
        <v>506.21</v>
      </c>
      <c r="L133">
        <v>584.35</v>
      </c>
      <c r="M133">
        <v>648.63</v>
      </c>
      <c r="N133" s="2">
        <v>1056.8599999999999</v>
      </c>
      <c r="O133" s="2">
        <v>1109.1099999999999</v>
      </c>
      <c r="P133" s="2">
        <v>1699.34</v>
      </c>
      <c r="Q133" s="2">
        <v>2333.3000000000002</v>
      </c>
      <c r="R133" s="2">
        <v>3703.86</v>
      </c>
      <c r="S133" s="2">
        <v>6136</v>
      </c>
      <c r="T133" s="2">
        <v>7631.92</v>
      </c>
      <c r="U133" s="2">
        <v>8554.1200000000008</v>
      </c>
    </row>
    <row r="134" spans="1:21" x14ac:dyDescent="0.25">
      <c r="A134" t="s">
        <v>114</v>
      </c>
      <c r="I134">
        <v>203.6</v>
      </c>
      <c r="J134">
        <v>237.19</v>
      </c>
      <c r="K134">
        <v>265.81</v>
      </c>
      <c r="L134">
        <v>306.56</v>
      </c>
      <c r="M134">
        <v>342.81</v>
      </c>
      <c r="N134">
        <v>557.67999999999995</v>
      </c>
      <c r="O134">
        <v>598.35</v>
      </c>
      <c r="P134">
        <v>871.68</v>
      </c>
      <c r="Q134" s="2">
        <v>1230.67</v>
      </c>
      <c r="R134" s="2">
        <v>1875.65</v>
      </c>
      <c r="S134" s="2">
        <v>2835.73</v>
      </c>
      <c r="T134" s="2">
        <v>3560.4</v>
      </c>
      <c r="U134" s="2">
        <v>3743.57</v>
      </c>
    </row>
    <row r="135" spans="1:21" x14ac:dyDescent="0.25">
      <c r="A135" t="s">
        <v>115</v>
      </c>
      <c r="I135">
        <v>293.64</v>
      </c>
      <c r="J135">
        <v>295.07</v>
      </c>
      <c r="K135">
        <v>365.77</v>
      </c>
      <c r="L135">
        <v>343.13</v>
      </c>
      <c r="M135">
        <v>375.09</v>
      </c>
      <c r="N135">
        <v>657.72</v>
      </c>
      <c r="O135">
        <v>552.62</v>
      </c>
      <c r="P135">
        <v>822.99</v>
      </c>
      <c r="Q135" s="2">
        <v>1167.97</v>
      </c>
      <c r="R135" s="2">
        <v>1585.8</v>
      </c>
      <c r="S135" s="2">
        <v>2163.7199999999998</v>
      </c>
      <c r="T135" s="2">
        <v>2846.88</v>
      </c>
      <c r="U135" s="2">
        <v>2686.99</v>
      </c>
    </row>
    <row r="136" spans="1:21" x14ac:dyDescent="0.25">
      <c r="A136" t="s">
        <v>116</v>
      </c>
      <c r="I136">
        <v>189.87</v>
      </c>
      <c r="J136">
        <v>473.45</v>
      </c>
      <c r="K136">
        <v>420.75</v>
      </c>
      <c r="L136">
        <v>632.78</v>
      </c>
      <c r="M136" s="2">
        <v>1128.06</v>
      </c>
      <c r="N136" s="2">
        <v>2254.1</v>
      </c>
      <c r="O136" s="2">
        <v>4795.76</v>
      </c>
      <c r="P136" s="2">
        <v>7215.6</v>
      </c>
      <c r="Q136" s="2">
        <v>10806.77</v>
      </c>
      <c r="R136" s="2">
        <v>17864</v>
      </c>
      <c r="S136" s="2">
        <v>26641</v>
      </c>
      <c r="T136" s="2">
        <v>37535.67</v>
      </c>
      <c r="U136" s="2">
        <v>47119</v>
      </c>
    </row>
    <row r="137" spans="1:21" x14ac:dyDescent="0.25">
      <c r="A137" t="s">
        <v>269</v>
      </c>
      <c r="I137">
        <v>17.38</v>
      </c>
      <c r="J137">
        <v>30.71</v>
      </c>
      <c r="K137">
        <v>22.08</v>
      </c>
      <c r="L137">
        <v>28.44</v>
      </c>
      <c r="M137">
        <v>39.369999999999997</v>
      </c>
      <c r="N137">
        <v>50.37</v>
      </c>
      <c r="O137">
        <v>60.42</v>
      </c>
      <c r="P137">
        <v>61.09</v>
      </c>
      <c r="Q137">
        <v>62.75</v>
      </c>
      <c r="R137">
        <v>65.09</v>
      </c>
      <c r="S137">
        <v>65.11</v>
      </c>
      <c r="T137">
        <v>62.45</v>
      </c>
      <c r="U137">
        <v>64.36</v>
      </c>
    </row>
    <row r="138" spans="1:21" x14ac:dyDescent="0.25">
      <c r="A138" t="s">
        <v>119</v>
      </c>
      <c r="I138">
        <v>740.13</v>
      </c>
      <c r="J138">
        <v>289.72000000000003</v>
      </c>
      <c r="K138">
        <v>-361.03</v>
      </c>
      <c r="L138">
        <v>598.88</v>
      </c>
      <c r="M138" s="2">
        <v>1180.81</v>
      </c>
      <c r="N138" s="2">
        <v>2497.4499999999998</v>
      </c>
      <c r="O138" s="2">
        <v>5395.89</v>
      </c>
      <c r="P138" s="2">
        <v>7774.5</v>
      </c>
      <c r="Q138" s="2">
        <v>11734.87</v>
      </c>
      <c r="R138" s="2">
        <v>19542.75</v>
      </c>
      <c r="S138" s="2">
        <v>31067</v>
      </c>
      <c r="T138" s="2">
        <v>40466.33</v>
      </c>
      <c r="U138" s="2">
        <v>50867</v>
      </c>
    </row>
    <row r="139" spans="1:21" x14ac:dyDescent="0.25">
      <c r="A139" t="s">
        <v>121</v>
      </c>
      <c r="I139">
        <v>197.15</v>
      </c>
      <c r="J139">
        <v>922.87</v>
      </c>
      <c r="K139">
        <v>581.57000000000005</v>
      </c>
      <c r="L139">
        <v>571.61</v>
      </c>
      <c r="M139" s="2">
        <v>1001.85</v>
      </c>
      <c r="N139" s="2">
        <v>1915.64</v>
      </c>
      <c r="O139" s="2">
        <v>4165.29</v>
      </c>
      <c r="P139" s="2">
        <v>6186.54</v>
      </c>
      <c r="Q139" s="2">
        <v>9256.58</v>
      </c>
      <c r="R139" s="2">
        <v>13803.83</v>
      </c>
      <c r="S139" s="2">
        <v>20427.400000000001</v>
      </c>
      <c r="T139" s="2">
        <v>31484</v>
      </c>
      <c r="U139" s="2">
        <v>39783</v>
      </c>
    </row>
    <row r="140" spans="1:21" x14ac:dyDescent="0.25">
      <c r="A140" t="s">
        <v>122</v>
      </c>
      <c r="J140">
        <v>19.98</v>
      </c>
      <c r="K140">
        <v>7.1</v>
      </c>
      <c r="L140">
        <v>25.69</v>
      </c>
      <c r="M140">
        <v>34.96</v>
      </c>
      <c r="N140">
        <v>42.8</v>
      </c>
      <c r="O140">
        <v>50.81</v>
      </c>
      <c r="P140">
        <v>49.15</v>
      </c>
      <c r="Q140">
        <v>48.9</v>
      </c>
      <c r="R140">
        <v>46.6</v>
      </c>
      <c r="S140">
        <v>45.24</v>
      </c>
      <c r="T140">
        <v>56.91</v>
      </c>
      <c r="U140">
        <v>57.59</v>
      </c>
    </row>
    <row r="141" spans="1:21" x14ac:dyDescent="0.25">
      <c r="A141" t="s">
        <v>123</v>
      </c>
      <c r="J141" s="2">
        <v>2323.2399999999998</v>
      </c>
      <c r="K141" s="2">
        <v>2223.52</v>
      </c>
      <c r="L141" s="2">
        <v>2297.9299999999998</v>
      </c>
      <c r="M141" s="2">
        <v>2450.8200000000002</v>
      </c>
      <c r="N141" s="2">
        <v>2565.1999999999998</v>
      </c>
      <c r="O141" s="2">
        <v>2578.84</v>
      </c>
      <c r="P141" s="2">
        <v>2623.62</v>
      </c>
      <c r="Q141" s="2">
        <v>2645.53</v>
      </c>
      <c r="R141" s="2">
        <v>2674.4</v>
      </c>
      <c r="S141" s="2">
        <v>2717.6</v>
      </c>
      <c r="T141" s="2">
        <v>2837.12</v>
      </c>
      <c r="U141" s="2">
        <v>2921.63</v>
      </c>
    </row>
    <row r="142" spans="1:21" x14ac:dyDescent="0.25">
      <c r="A142" t="s">
        <v>124</v>
      </c>
      <c r="I142">
        <v>0.2</v>
      </c>
      <c r="J142">
        <v>0.45</v>
      </c>
      <c r="K142">
        <v>0.26</v>
      </c>
      <c r="L142">
        <v>0.25</v>
      </c>
      <c r="M142">
        <v>0.41</v>
      </c>
      <c r="N142">
        <v>0.75</v>
      </c>
      <c r="O142">
        <v>1.61</v>
      </c>
      <c r="P142">
        <v>2.34</v>
      </c>
      <c r="Q142">
        <v>3.44</v>
      </c>
      <c r="R142">
        <v>5.2</v>
      </c>
      <c r="S142">
        <v>7.62</v>
      </c>
      <c r="T142">
        <v>11.32</v>
      </c>
      <c r="U142">
        <v>14.19</v>
      </c>
    </row>
    <row r="143" spans="1:21" x14ac:dyDescent="0.25">
      <c r="A143" t="s">
        <v>17</v>
      </c>
    </row>
    <row r="144" spans="1:21" x14ac:dyDescent="0.25">
      <c r="A144" t="s">
        <v>125</v>
      </c>
    </row>
    <row r="145" spans="1:21" x14ac:dyDescent="0.25">
      <c r="A145" t="s">
        <v>1818</v>
      </c>
      <c r="G145">
        <v>81.39</v>
      </c>
      <c r="H145">
        <v>157.18</v>
      </c>
      <c r="I145">
        <v>594.26</v>
      </c>
      <c r="J145">
        <v>899.43</v>
      </c>
      <c r="K145" s="2">
        <v>1035.17</v>
      </c>
    </row>
    <row r="146" spans="1:21" x14ac:dyDescent="0.25">
      <c r="A146" t="s">
        <v>67</v>
      </c>
      <c r="G146">
        <v>248.5</v>
      </c>
      <c r="H146">
        <v>241.97</v>
      </c>
      <c r="I146" s="2">
        <v>1270.7</v>
      </c>
      <c r="J146">
        <v>778.22</v>
      </c>
      <c r="K146">
        <v>564.79999999999995</v>
      </c>
      <c r="L146">
        <v>475.9</v>
      </c>
      <c r="M146">
        <v>691.64</v>
      </c>
      <c r="N146">
        <v>684.03</v>
      </c>
      <c r="O146" s="2">
        <v>1149.94</v>
      </c>
      <c r="P146" s="2">
        <v>1648.2</v>
      </c>
      <c r="Q146" s="2">
        <v>2200.85</v>
      </c>
      <c r="R146" s="2">
        <v>3069.58</v>
      </c>
      <c r="S146" s="2">
        <v>4506.28</v>
      </c>
      <c r="T146" s="2">
        <v>6795.36</v>
      </c>
      <c r="U146" s="2">
        <v>9601.34</v>
      </c>
    </row>
    <row r="147" spans="1:21" x14ac:dyDescent="0.25">
      <c r="A147" t="s">
        <v>126</v>
      </c>
      <c r="G147">
        <v>19.63</v>
      </c>
      <c r="H147">
        <v>27.9</v>
      </c>
      <c r="I147">
        <v>139.63</v>
      </c>
      <c r="J147">
        <v>68.55</v>
      </c>
      <c r="K147">
        <v>44.06</v>
      </c>
      <c r="L147">
        <v>36</v>
      </c>
      <c r="M147">
        <v>69.069999999999993</v>
      </c>
      <c r="N147">
        <v>64.56</v>
      </c>
      <c r="O147">
        <v>137.47</v>
      </c>
      <c r="P147">
        <v>192.02</v>
      </c>
      <c r="Q147">
        <v>249.96</v>
      </c>
      <c r="R147">
        <v>373.19</v>
      </c>
      <c r="S147">
        <v>610.34</v>
      </c>
      <c r="T147">
        <v>751.66</v>
      </c>
      <c r="U147" s="2">
        <v>1281.51</v>
      </c>
    </row>
    <row r="148" spans="1:21" x14ac:dyDescent="0.25">
      <c r="A148" t="s">
        <v>115</v>
      </c>
      <c r="G148">
        <v>63.33</v>
      </c>
      <c r="H148">
        <v>66.92</v>
      </c>
      <c r="I148">
        <v>375.81</v>
      </c>
      <c r="J148">
        <v>316.45999999999998</v>
      </c>
      <c r="K148">
        <v>230.57</v>
      </c>
      <c r="L148">
        <v>181.2</v>
      </c>
      <c r="M148">
        <v>218.39</v>
      </c>
      <c r="N148">
        <v>233.91</v>
      </c>
      <c r="O148">
        <v>333.46</v>
      </c>
      <c r="P148">
        <v>471.78</v>
      </c>
      <c r="Q148">
        <v>636.42999999999995</v>
      </c>
      <c r="R148">
        <v>904.52</v>
      </c>
      <c r="S148" s="2">
        <v>1345.92</v>
      </c>
      <c r="T148" s="2">
        <v>1628.35</v>
      </c>
      <c r="U148" s="2">
        <v>2326.6</v>
      </c>
    </row>
    <row r="149" spans="1:21" x14ac:dyDescent="0.25">
      <c r="A149" t="s">
        <v>394</v>
      </c>
      <c r="G149">
        <v>93.51</v>
      </c>
      <c r="H149">
        <v>79.22</v>
      </c>
      <c r="I149">
        <v>398.21</v>
      </c>
      <c r="J149">
        <v>242.91</v>
      </c>
      <c r="K149">
        <v>196.3</v>
      </c>
      <c r="L149">
        <v>160.65</v>
      </c>
      <c r="M149">
        <v>239.12</v>
      </c>
      <c r="N149">
        <v>248.73</v>
      </c>
      <c r="O149">
        <v>466.25</v>
      </c>
      <c r="P149">
        <v>684.94</v>
      </c>
      <c r="Q149">
        <v>944.39</v>
      </c>
      <c r="R149" s="2">
        <v>1559.05</v>
      </c>
      <c r="S149" s="2">
        <v>2554.81</v>
      </c>
      <c r="T149" s="2">
        <v>3025.2</v>
      </c>
      <c r="U149" s="2">
        <v>3877.76</v>
      </c>
    </row>
    <row r="150" spans="1:21" x14ac:dyDescent="0.25">
      <c r="A150" t="s">
        <v>114</v>
      </c>
      <c r="G150">
        <v>72.040000000000006</v>
      </c>
      <c r="H150">
        <v>67.930000000000007</v>
      </c>
      <c r="I150">
        <v>357.06</v>
      </c>
      <c r="J150">
        <v>150.30000000000001</v>
      </c>
      <c r="K150">
        <v>93.87</v>
      </c>
      <c r="L150">
        <v>98.06</v>
      </c>
      <c r="M150">
        <v>165.07</v>
      </c>
      <c r="N150">
        <v>136.84</v>
      </c>
      <c r="O150">
        <v>256.27</v>
      </c>
      <c r="P150">
        <v>387.83</v>
      </c>
      <c r="Q150">
        <v>488.51</v>
      </c>
      <c r="R150">
        <v>735.01</v>
      </c>
      <c r="S150" s="2">
        <v>1143.68</v>
      </c>
      <c r="T150" s="2">
        <v>1390.14</v>
      </c>
      <c r="U150" s="2">
        <v>2115.4699999999998</v>
      </c>
    </row>
    <row r="151" spans="1:21" x14ac:dyDescent="0.25">
      <c r="A151" t="s">
        <v>1778</v>
      </c>
      <c r="J151">
        <v>106.28</v>
      </c>
      <c r="K151">
        <v>17.16</v>
      </c>
      <c r="L151">
        <v>36.909999999999997</v>
      </c>
      <c r="M151">
        <v>126.02</v>
      </c>
      <c r="N151">
        <v>156.05000000000001</v>
      </c>
      <c r="O151">
        <v>119.05</v>
      </c>
      <c r="P151">
        <v>208.91</v>
      </c>
      <c r="Q151">
        <v>276.69</v>
      </c>
      <c r="R151">
        <v>376.46</v>
      </c>
      <c r="S151">
        <v>491.21</v>
      </c>
      <c r="T151">
        <v>686.66</v>
      </c>
      <c r="U151">
        <v>891.28</v>
      </c>
    </row>
    <row r="152" spans="1:21" x14ac:dyDescent="0.25">
      <c r="A152" t="s">
        <v>1819</v>
      </c>
      <c r="J152">
        <v>-56.04</v>
      </c>
      <c r="K152">
        <v>-28.57</v>
      </c>
      <c r="L152">
        <v>-151.03</v>
      </c>
      <c r="M152">
        <v>-278</v>
      </c>
      <c r="N152">
        <v>-549.48</v>
      </c>
      <c r="O152" s="2">
        <v>-1008.23</v>
      </c>
      <c r="P152" s="2">
        <v>-1326.79</v>
      </c>
      <c r="Q152" s="2">
        <v>-1599.83</v>
      </c>
      <c r="R152" s="2">
        <v>-1060.1500000000001</v>
      </c>
      <c r="S152" s="2">
        <v>-1187.3800000000001</v>
      </c>
      <c r="T152" s="2">
        <v>-2960.71</v>
      </c>
      <c r="U152" s="2">
        <v>-3731.29</v>
      </c>
    </row>
    <row r="153" spans="1:21" x14ac:dyDescent="0.25">
      <c r="A153" t="s">
        <v>17</v>
      </c>
    </row>
    <row r="154" spans="1:21" x14ac:dyDescent="0.25">
      <c r="A154" t="s">
        <v>176</v>
      </c>
    </row>
    <row r="155" spans="1:21" x14ac:dyDescent="0.25">
      <c r="A155" t="s">
        <v>1820</v>
      </c>
      <c r="G155" s="2">
        <v>1218.8499999999999</v>
      </c>
      <c r="H155" s="2">
        <v>1319</v>
      </c>
      <c r="I155" s="2">
        <v>2266.35</v>
      </c>
      <c r="J155" s="2">
        <v>1952.94</v>
      </c>
      <c r="K155" s="2">
        <v>2067.0700000000002</v>
      </c>
      <c r="L155" s="2">
        <v>2105.0500000000002</v>
      </c>
      <c r="M155" s="2">
        <v>2555.1</v>
      </c>
      <c r="N155" s="2">
        <v>3061.43</v>
      </c>
      <c r="O155" s="2">
        <v>4551.76</v>
      </c>
      <c r="P155" s="2">
        <v>6616.26</v>
      </c>
      <c r="Q155" s="2">
        <v>8875.66</v>
      </c>
      <c r="R155" s="2">
        <v>10884.08</v>
      </c>
      <c r="S155" s="2">
        <v>14193.58</v>
      </c>
      <c r="T155" s="2">
        <v>22660.69</v>
      </c>
      <c r="U155" s="2">
        <v>20458.849999999999</v>
      </c>
    </row>
    <row r="156" spans="1:21" x14ac:dyDescent="0.25">
      <c r="A156" t="s">
        <v>17</v>
      </c>
    </row>
    <row r="157" spans="1:21" x14ac:dyDescent="0.25">
      <c r="A157" t="s">
        <v>134</v>
      </c>
    </row>
    <row r="158" spans="1:21" x14ac:dyDescent="0.25">
      <c r="A158" t="s">
        <v>135</v>
      </c>
    </row>
    <row r="159" spans="1:21" x14ac:dyDescent="0.25">
      <c r="A159" t="s">
        <v>136</v>
      </c>
      <c r="G159" s="2">
        <v>1220.08</v>
      </c>
      <c r="H159" s="2">
        <v>1214.1500000000001</v>
      </c>
      <c r="I159" s="2">
        <v>2257.4299999999998</v>
      </c>
      <c r="J159" s="2">
        <v>2863.25</v>
      </c>
      <c r="K159" s="2">
        <v>3041.58</v>
      </c>
      <c r="L159" s="2">
        <v>4138.62</v>
      </c>
      <c r="M159" s="2">
        <v>5934.29</v>
      </c>
      <c r="N159" s="2">
        <v>8358.17</v>
      </c>
      <c r="O159" s="2">
        <v>12915.74</v>
      </c>
      <c r="P159" s="2">
        <v>20734.009999999998</v>
      </c>
      <c r="Q159" s="2">
        <v>31375.66</v>
      </c>
      <c r="R159" s="2">
        <v>46472.59</v>
      </c>
      <c r="S159" s="2">
        <v>71378.67</v>
      </c>
      <c r="T159" s="2">
        <v>104310.11</v>
      </c>
      <c r="U159" s="2">
        <v>148106.01</v>
      </c>
    </row>
    <row r="160" spans="1:21" x14ac:dyDescent="0.25">
      <c r="A160" t="s">
        <v>1005</v>
      </c>
      <c r="G160" s="2">
        <v>1116.3399999999999</v>
      </c>
      <c r="H160" s="2">
        <v>1079.1500000000001</v>
      </c>
      <c r="I160" s="2">
        <v>2011.32</v>
      </c>
      <c r="J160" s="2">
        <v>2524.83</v>
      </c>
      <c r="K160" s="2">
        <v>2633.68</v>
      </c>
      <c r="L160" s="2">
        <v>3674.18</v>
      </c>
      <c r="M160" s="2">
        <v>5229.99</v>
      </c>
      <c r="N160" s="2">
        <v>7177.04</v>
      </c>
      <c r="O160" s="2">
        <v>11727.43</v>
      </c>
      <c r="P160" s="2">
        <v>18360.57</v>
      </c>
      <c r="Q160" s="2">
        <v>27766.82</v>
      </c>
      <c r="R160" s="2">
        <v>39510.949999999997</v>
      </c>
      <c r="S160" s="2">
        <v>56006.7</v>
      </c>
      <c r="T160" s="2">
        <v>82944.399999999994</v>
      </c>
      <c r="U160" s="2">
        <v>99511.28</v>
      </c>
    </row>
    <row r="161" spans="1:21" x14ac:dyDescent="0.25">
      <c r="A161" t="s">
        <v>139</v>
      </c>
      <c r="G161" s="2">
        <v>1116.3399999999999</v>
      </c>
      <c r="H161" s="2">
        <v>1079.1500000000001</v>
      </c>
      <c r="I161" s="2">
        <v>2011.32</v>
      </c>
      <c r="J161" s="2">
        <v>2290.67</v>
      </c>
      <c r="K161" s="2">
        <v>2598.54</v>
      </c>
      <c r="L161">
        <v>831.05</v>
      </c>
      <c r="M161" s="2">
        <v>2098.52</v>
      </c>
      <c r="N161" s="2">
        <v>1423.8</v>
      </c>
      <c r="O161" s="2">
        <v>4236.58</v>
      </c>
      <c r="P161" s="2">
        <v>10366.450000000001</v>
      </c>
      <c r="Q161" s="2">
        <v>21591.279999999999</v>
      </c>
      <c r="R161" s="2">
        <v>35413.300000000003</v>
      </c>
      <c r="S161" s="2">
        <v>57970.29</v>
      </c>
      <c r="T161" s="2">
        <v>89997.18</v>
      </c>
      <c r="U161" s="2">
        <v>133318.13</v>
      </c>
    </row>
    <row r="162" spans="1:21" x14ac:dyDescent="0.25">
      <c r="A162" t="s">
        <v>805</v>
      </c>
      <c r="J162">
        <v>234.15</v>
      </c>
      <c r="K162">
        <v>35.14</v>
      </c>
      <c r="L162" s="2">
        <v>2843.13</v>
      </c>
      <c r="M162" s="2">
        <v>3131.46</v>
      </c>
      <c r="N162" s="2">
        <v>5753.25</v>
      </c>
      <c r="O162" s="2">
        <v>7144.4</v>
      </c>
      <c r="P162" s="2">
        <v>7791.77</v>
      </c>
      <c r="Q162" s="2">
        <v>7442.46</v>
      </c>
      <c r="R162" s="2">
        <v>7379.05</v>
      </c>
      <c r="S162" s="2">
        <v>7379.05</v>
      </c>
      <c r="T162" s="2">
        <v>7379.05</v>
      </c>
      <c r="U162" s="2">
        <v>7379.05</v>
      </c>
    </row>
    <row r="163" spans="1:21" x14ac:dyDescent="0.25">
      <c r="A163" t="s">
        <v>408</v>
      </c>
      <c r="G163">
        <v>10.48</v>
      </c>
      <c r="H163">
        <v>52.1</v>
      </c>
      <c r="I163">
        <v>37.29</v>
      </c>
      <c r="J163">
        <v>36.630000000000003</v>
      </c>
      <c r="K163">
        <v>16.239999999999998</v>
      </c>
    </row>
    <row r="164" spans="1:21" x14ac:dyDescent="0.25">
      <c r="A164" t="s">
        <v>141</v>
      </c>
      <c r="G164">
        <v>19.190000000000001</v>
      </c>
      <c r="H164">
        <v>50.32</v>
      </c>
      <c r="I164">
        <v>156.93</v>
      </c>
      <c r="J164">
        <v>190.92</v>
      </c>
      <c r="K164">
        <v>258.35000000000002</v>
      </c>
      <c r="L164">
        <v>364.78</v>
      </c>
      <c r="M164">
        <v>575.04999999999995</v>
      </c>
      <c r="N164" s="2">
        <v>1042.07</v>
      </c>
      <c r="O164" s="2">
        <v>1839.87</v>
      </c>
      <c r="P164" s="2">
        <v>2657.91</v>
      </c>
      <c r="Q164" s="2">
        <v>3530.19</v>
      </c>
      <c r="R164" s="2">
        <v>4755.68</v>
      </c>
      <c r="S164" s="2">
        <v>7151.18</v>
      </c>
      <c r="T164" s="2">
        <v>9256.7900000000009</v>
      </c>
      <c r="U164" s="2">
        <v>10995.77</v>
      </c>
    </row>
    <row r="165" spans="1:21" x14ac:dyDescent="0.25">
      <c r="A165" t="s">
        <v>203</v>
      </c>
      <c r="G165">
        <v>74.06</v>
      </c>
      <c r="H165">
        <v>32.590000000000003</v>
      </c>
      <c r="I165">
        <v>51.89</v>
      </c>
      <c r="J165">
        <v>110.87</v>
      </c>
      <c r="K165">
        <v>133.31</v>
      </c>
      <c r="L165">
        <v>99.66</v>
      </c>
      <c r="M165">
        <v>129.25</v>
      </c>
      <c r="N165">
        <v>139.07</v>
      </c>
      <c r="O165">
        <v>200.71</v>
      </c>
      <c r="P165">
        <v>262.67</v>
      </c>
      <c r="Q165">
        <v>259.5</v>
      </c>
      <c r="R165">
        <v>261.91000000000003</v>
      </c>
      <c r="S165">
        <v>154.11000000000001</v>
      </c>
      <c r="T165">
        <v>205.17</v>
      </c>
      <c r="U165">
        <v>205.17</v>
      </c>
    </row>
    <row r="166" spans="1:21" x14ac:dyDescent="0.25">
      <c r="A166" t="s">
        <v>146</v>
      </c>
      <c r="G166">
        <v>210.89</v>
      </c>
      <c r="H166">
        <v>379.87</v>
      </c>
      <c r="I166">
        <v>433.08</v>
      </c>
      <c r="J166">
        <v>384.2</v>
      </c>
      <c r="K166">
        <v>419.66</v>
      </c>
      <c r="L166">
        <v>383.81</v>
      </c>
      <c r="M166">
        <v>406.6</v>
      </c>
      <c r="N166">
        <v>542.22</v>
      </c>
      <c r="O166">
        <v>635.42999999999995</v>
      </c>
      <c r="P166">
        <v>778.71</v>
      </c>
      <c r="Q166">
        <v>664.9</v>
      </c>
      <c r="R166">
        <v>816.69</v>
      </c>
      <c r="S166">
        <v>575.99</v>
      </c>
    </row>
    <row r="167" spans="1:21" x14ac:dyDescent="0.25">
      <c r="A167" t="s">
        <v>409</v>
      </c>
      <c r="G167">
        <v>30.03</v>
      </c>
      <c r="H167">
        <v>31.59</v>
      </c>
      <c r="I167">
        <v>29.54</v>
      </c>
      <c r="J167">
        <v>31.3</v>
      </c>
      <c r="K167">
        <v>69.17</v>
      </c>
      <c r="L167">
        <v>47.76</v>
      </c>
      <c r="M167">
        <v>39.64</v>
      </c>
      <c r="N167">
        <v>51.96</v>
      </c>
      <c r="O167">
        <v>92.63</v>
      </c>
      <c r="P167">
        <v>132.91999999999999</v>
      </c>
      <c r="Q167">
        <v>157.04</v>
      </c>
      <c r="R167">
        <v>191.5</v>
      </c>
      <c r="S167">
        <v>261.95999999999998</v>
      </c>
      <c r="T167">
        <v>244.61</v>
      </c>
      <c r="U167">
        <v>56.88</v>
      </c>
    </row>
    <row r="168" spans="1:21" x14ac:dyDescent="0.25">
      <c r="A168" t="s">
        <v>692</v>
      </c>
      <c r="I168">
        <v>217.08</v>
      </c>
      <c r="J168">
        <v>216.9</v>
      </c>
      <c r="K168">
        <v>200.24</v>
      </c>
      <c r="L168">
        <v>182.86</v>
      </c>
      <c r="M168">
        <v>200.74</v>
      </c>
      <c r="N168">
        <v>200.11</v>
      </c>
      <c r="O168">
        <v>253.2</v>
      </c>
      <c r="P168">
        <v>272.35000000000002</v>
      </c>
      <c r="Q168">
        <v>223.56</v>
      </c>
      <c r="R168">
        <v>231.04</v>
      </c>
      <c r="S168">
        <v>232.58</v>
      </c>
      <c r="T168">
        <v>233.76</v>
      </c>
      <c r="U168">
        <v>239.62</v>
      </c>
    </row>
    <row r="169" spans="1:21" x14ac:dyDescent="0.25">
      <c r="A169" t="s">
        <v>693</v>
      </c>
      <c r="G169">
        <v>140.01</v>
      </c>
      <c r="H169">
        <v>270.70999999999998</v>
      </c>
      <c r="I169">
        <v>79.540000000000006</v>
      </c>
      <c r="J169">
        <v>39.61</v>
      </c>
      <c r="K169">
        <v>12.55</v>
      </c>
      <c r="M169">
        <v>0</v>
      </c>
      <c r="N169">
        <v>0</v>
      </c>
    </row>
    <row r="170" spans="1:21" x14ac:dyDescent="0.25">
      <c r="A170" t="s">
        <v>78</v>
      </c>
      <c r="G170">
        <v>23.35</v>
      </c>
      <c r="H170">
        <v>51.43</v>
      </c>
      <c r="I170">
        <v>106.92</v>
      </c>
      <c r="J170">
        <v>96.39</v>
      </c>
      <c r="K170">
        <v>137.69999999999999</v>
      </c>
      <c r="L170">
        <v>153.19</v>
      </c>
      <c r="M170">
        <v>166.22</v>
      </c>
      <c r="N170">
        <v>290.14999999999998</v>
      </c>
      <c r="O170">
        <v>373.29</v>
      </c>
      <c r="P170">
        <v>473.19</v>
      </c>
      <c r="Q170">
        <v>416.62</v>
      </c>
      <c r="R170">
        <v>444.45</v>
      </c>
      <c r="S170">
        <v>233.26</v>
      </c>
      <c r="T170">
        <v>219.01</v>
      </c>
      <c r="U170">
        <v>287.38</v>
      </c>
    </row>
    <row r="171" spans="1:21" x14ac:dyDescent="0.25">
      <c r="A171" t="s">
        <v>155</v>
      </c>
      <c r="G171" s="2">
        <v>1430.97</v>
      </c>
      <c r="H171" s="2">
        <v>1594.03</v>
      </c>
      <c r="I171" s="2">
        <v>2690.5</v>
      </c>
      <c r="J171" s="2">
        <v>3247.45</v>
      </c>
      <c r="K171" s="2">
        <v>3461.24</v>
      </c>
      <c r="L171" s="2">
        <v>4522.43</v>
      </c>
      <c r="M171" s="2">
        <v>6340.88</v>
      </c>
      <c r="N171" s="2">
        <v>8900.39</v>
      </c>
      <c r="O171" s="2">
        <v>13492.87</v>
      </c>
      <c r="P171" s="2">
        <v>21261.66</v>
      </c>
      <c r="Q171" s="2">
        <v>31229.45</v>
      </c>
      <c r="R171" s="2">
        <v>43775.07</v>
      </c>
      <c r="S171" s="2">
        <v>64124.88</v>
      </c>
      <c r="T171" s="2">
        <v>104775.02</v>
      </c>
      <c r="U171" s="2">
        <v>148397.95000000001</v>
      </c>
    </row>
    <row r="172" spans="1:21" x14ac:dyDescent="0.25">
      <c r="A172" t="s">
        <v>17</v>
      </c>
    </row>
    <row r="173" spans="1:21" x14ac:dyDescent="0.25">
      <c r="A173" t="s">
        <v>156</v>
      </c>
    </row>
    <row r="174" spans="1:21" x14ac:dyDescent="0.25">
      <c r="A174" t="s">
        <v>157</v>
      </c>
      <c r="G174">
        <v>531.9</v>
      </c>
      <c r="H174">
        <v>728.6</v>
      </c>
      <c r="I174">
        <v>603.82000000000005</v>
      </c>
      <c r="J174">
        <v>660.06</v>
      </c>
      <c r="K174">
        <v>587.94000000000005</v>
      </c>
      <c r="L174">
        <v>746.02</v>
      </c>
      <c r="M174">
        <v>996.02</v>
      </c>
      <c r="N174" s="2">
        <v>1175.58</v>
      </c>
      <c r="O174" s="2">
        <v>1732.65</v>
      </c>
      <c r="P174" s="2">
        <v>2418.36</v>
      </c>
      <c r="Q174" s="2">
        <v>2748.18</v>
      </c>
      <c r="R174" s="2">
        <v>2723.78</v>
      </c>
      <c r="S174" s="2">
        <v>2499.35</v>
      </c>
      <c r="T174" s="2">
        <v>2849.31</v>
      </c>
      <c r="U174" s="2">
        <v>1744.65</v>
      </c>
    </row>
    <row r="175" spans="1:21" x14ac:dyDescent="0.25">
      <c r="A175" t="s">
        <v>158</v>
      </c>
      <c r="G175">
        <v>27.4</v>
      </c>
      <c r="H175">
        <v>51.74</v>
      </c>
      <c r="I175">
        <v>16.36</v>
      </c>
      <c r="J175">
        <v>74.91</v>
      </c>
      <c r="K175">
        <v>44.79</v>
      </c>
      <c r="L175">
        <v>12.12</v>
      </c>
      <c r="M175">
        <v>0.1</v>
      </c>
      <c r="N175">
        <v>8.06</v>
      </c>
      <c r="O175">
        <v>79.05</v>
      </c>
      <c r="P175">
        <v>101.63</v>
      </c>
      <c r="Q175">
        <v>40.43</v>
      </c>
      <c r="R175">
        <v>44.15</v>
      </c>
      <c r="S175">
        <v>64.180000000000007</v>
      </c>
      <c r="T175">
        <v>84.81</v>
      </c>
    </row>
    <row r="176" spans="1:21" x14ac:dyDescent="0.25">
      <c r="A176" t="s">
        <v>202</v>
      </c>
      <c r="I176">
        <v>29.08</v>
      </c>
      <c r="J176">
        <v>39.93</v>
      </c>
      <c r="K176">
        <v>45.1</v>
      </c>
      <c r="L176">
        <v>54.18</v>
      </c>
      <c r="M176">
        <v>43.99</v>
      </c>
      <c r="N176">
        <v>45.86</v>
      </c>
      <c r="O176">
        <v>34.69</v>
      </c>
      <c r="P176">
        <v>42.46</v>
      </c>
      <c r="Q176">
        <v>34.43</v>
      </c>
      <c r="R176">
        <v>45.86</v>
      </c>
      <c r="S176">
        <v>45.86</v>
      </c>
      <c r="T176">
        <v>45.86</v>
      </c>
    </row>
    <row r="177" spans="1:21" x14ac:dyDescent="0.25">
      <c r="A177" t="s">
        <v>161</v>
      </c>
      <c r="G177">
        <v>239.12</v>
      </c>
      <c r="H177">
        <v>186.11</v>
      </c>
      <c r="I177">
        <v>189.52</v>
      </c>
      <c r="J177">
        <v>227.82</v>
      </c>
      <c r="K177">
        <v>183.35</v>
      </c>
      <c r="L177">
        <v>246.9</v>
      </c>
      <c r="M177">
        <v>259.62</v>
      </c>
      <c r="N177">
        <v>408.96</v>
      </c>
      <c r="O177">
        <v>581.61</v>
      </c>
      <c r="P177">
        <v>856.3</v>
      </c>
      <c r="Q177" s="2">
        <v>1138.54</v>
      </c>
      <c r="R177" s="2">
        <v>1201.69</v>
      </c>
      <c r="S177" s="2">
        <v>1482.4</v>
      </c>
      <c r="T177" s="2">
        <v>1802.43</v>
      </c>
      <c r="U177">
        <v>648.78</v>
      </c>
    </row>
    <row r="178" spans="1:21" x14ac:dyDescent="0.25">
      <c r="A178" t="s">
        <v>1136</v>
      </c>
      <c r="I178">
        <v>531.88</v>
      </c>
      <c r="J178">
        <v>463.3</v>
      </c>
      <c r="K178">
        <v>339.2</v>
      </c>
      <c r="L178">
        <v>486.3</v>
      </c>
      <c r="M178">
        <v>566.4</v>
      </c>
      <c r="N178">
        <v>812.3</v>
      </c>
      <c r="O178" s="2">
        <v>1321.77</v>
      </c>
      <c r="P178" s="2">
        <v>2203.38</v>
      </c>
      <c r="Q178" s="2">
        <v>3601.41</v>
      </c>
    </row>
    <row r="179" spans="1:21" x14ac:dyDescent="0.25">
      <c r="A179" t="s">
        <v>414</v>
      </c>
      <c r="G179">
        <v>123.75</v>
      </c>
      <c r="H179">
        <v>126.62</v>
      </c>
      <c r="I179">
        <v>158.55000000000001</v>
      </c>
      <c r="J179">
        <v>155.81</v>
      </c>
      <c r="K179">
        <v>172.72</v>
      </c>
      <c r="L179">
        <v>222.99</v>
      </c>
      <c r="M179">
        <v>427.05</v>
      </c>
      <c r="N179">
        <v>355.62</v>
      </c>
      <c r="O179">
        <v>526.82000000000005</v>
      </c>
      <c r="P179">
        <v>694.7</v>
      </c>
      <c r="Q179">
        <v>821.06</v>
      </c>
      <c r="R179">
        <v>986.43</v>
      </c>
      <c r="S179">
        <v>497.67</v>
      </c>
      <c r="T179">
        <v>508.58</v>
      </c>
      <c r="U179">
        <v>589.69000000000005</v>
      </c>
    </row>
    <row r="180" spans="1:21" x14ac:dyDescent="0.25">
      <c r="A180" t="s">
        <v>1821</v>
      </c>
      <c r="G180">
        <v>141.63999999999999</v>
      </c>
      <c r="H180">
        <v>364.14</v>
      </c>
      <c r="I180">
        <v>210.32</v>
      </c>
      <c r="J180">
        <v>161.61000000000001</v>
      </c>
      <c r="K180">
        <v>141.99</v>
      </c>
      <c r="L180">
        <v>209.83</v>
      </c>
      <c r="M180">
        <v>265.25</v>
      </c>
      <c r="N180">
        <v>357.07</v>
      </c>
      <c r="O180">
        <v>479.13</v>
      </c>
      <c r="P180">
        <v>629.39</v>
      </c>
      <c r="Q180">
        <v>645.99</v>
      </c>
      <c r="R180">
        <v>506.42</v>
      </c>
      <c r="S180">
        <v>465.82</v>
      </c>
      <c r="T180">
        <v>472.96</v>
      </c>
      <c r="U180">
        <v>506.18</v>
      </c>
    </row>
    <row r="181" spans="1:21" x14ac:dyDescent="0.25">
      <c r="A181" t="s">
        <v>1227</v>
      </c>
      <c r="G181">
        <v>380.76</v>
      </c>
      <c r="H181">
        <v>550.24</v>
      </c>
      <c r="I181">
        <v>399.84</v>
      </c>
      <c r="J181">
        <v>389.42</v>
      </c>
      <c r="K181">
        <v>325.33999999999997</v>
      </c>
      <c r="L181">
        <v>456.73</v>
      </c>
      <c r="M181">
        <v>524.88</v>
      </c>
      <c r="N181">
        <v>766.03</v>
      </c>
      <c r="O181" s="2">
        <v>1279.28</v>
      </c>
      <c r="P181" s="2">
        <v>2132.56</v>
      </c>
      <c r="Q181" s="2">
        <v>3485.65</v>
      </c>
      <c r="R181" s="2">
        <v>1201.69</v>
      </c>
      <c r="S181" s="2">
        <v>1482.4</v>
      </c>
      <c r="T181" s="2">
        <v>1802.43</v>
      </c>
      <c r="U181">
        <v>648.78</v>
      </c>
    </row>
    <row r="182" spans="1:21" x14ac:dyDescent="0.25">
      <c r="A182" t="s">
        <v>164</v>
      </c>
      <c r="G182">
        <v>390.77</v>
      </c>
      <c r="H182">
        <v>718.84</v>
      </c>
      <c r="I182">
        <v>564.13</v>
      </c>
      <c r="J182">
        <v>296.36</v>
      </c>
      <c r="K182">
        <v>230.86</v>
      </c>
      <c r="L182">
        <v>215.44</v>
      </c>
      <c r="M182">
        <v>250.46</v>
      </c>
      <c r="N182">
        <v>236.8</v>
      </c>
      <c r="O182">
        <v>236.19</v>
      </c>
      <c r="P182">
        <v>247.12</v>
      </c>
      <c r="Q182">
        <v>301.39999999999998</v>
      </c>
    </row>
    <row r="183" spans="1:21" x14ac:dyDescent="0.25">
      <c r="A183" t="s">
        <v>315</v>
      </c>
      <c r="G183">
        <v>0</v>
      </c>
      <c r="H183">
        <v>396.07</v>
      </c>
      <c r="I183">
        <v>197.98</v>
      </c>
      <c r="J183">
        <v>0</v>
      </c>
    </row>
    <row r="184" spans="1:21" x14ac:dyDescent="0.25">
      <c r="A184" t="s">
        <v>202</v>
      </c>
      <c r="I184">
        <v>229.8</v>
      </c>
      <c r="J184">
        <v>220.15</v>
      </c>
      <c r="K184">
        <v>204.31</v>
      </c>
      <c r="L184">
        <v>175.22</v>
      </c>
      <c r="M184">
        <v>195.23</v>
      </c>
      <c r="N184">
        <v>183.47</v>
      </c>
      <c r="O184">
        <v>209.8</v>
      </c>
      <c r="P184">
        <v>222.33</v>
      </c>
      <c r="Q184">
        <v>207.85</v>
      </c>
      <c r="R184">
        <v>212.1</v>
      </c>
      <c r="S184">
        <v>213.52</v>
      </c>
      <c r="T184">
        <v>214.6</v>
      </c>
      <c r="U184">
        <v>219.98</v>
      </c>
    </row>
    <row r="185" spans="1:21" x14ac:dyDescent="0.25">
      <c r="A185" t="s">
        <v>161</v>
      </c>
      <c r="G185">
        <v>169.98</v>
      </c>
      <c r="H185">
        <v>77.03</v>
      </c>
      <c r="I185">
        <v>50.53</v>
      </c>
      <c r="J185">
        <v>40.22</v>
      </c>
      <c r="K185">
        <v>9.9700000000000006</v>
      </c>
      <c r="L185">
        <v>28.05</v>
      </c>
      <c r="M185">
        <v>39.89</v>
      </c>
      <c r="N185">
        <v>46.22</v>
      </c>
      <c r="O185">
        <v>47.94</v>
      </c>
      <c r="P185">
        <v>69.239999999999995</v>
      </c>
      <c r="Q185">
        <v>93.41</v>
      </c>
      <c r="R185">
        <v>102.93</v>
      </c>
      <c r="S185">
        <v>191.55</v>
      </c>
      <c r="T185">
        <v>35.28</v>
      </c>
      <c r="U185">
        <v>37.76</v>
      </c>
    </row>
    <row r="186" spans="1:21" x14ac:dyDescent="0.25">
      <c r="A186" t="s">
        <v>1821</v>
      </c>
      <c r="G186">
        <v>106.38</v>
      </c>
      <c r="H186">
        <v>167.54</v>
      </c>
      <c r="I186">
        <v>81.510000000000005</v>
      </c>
      <c r="J186">
        <v>33.700000000000003</v>
      </c>
      <c r="K186">
        <v>3.94</v>
      </c>
      <c r="L186">
        <v>1.48</v>
      </c>
      <c r="M186">
        <v>1.66</v>
      </c>
      <c r="N186">
        <v>0.02</v>
      </c>
      <c r="O186">
        <v>1.1499999999999999</v>
      </c>
      <c r="P186">
        <v>1.57</v>
      </c>
      <c r="Q186">
        <v>0.74</v>
      </c>
      <c r="R186">
        <v>0.54</v>
      </c>
      <c r="S186">
        <v>0.54</v>
      </c>
      <c r="T186">
        <v>0.54</v>
      </c>
      <c r="U186">
        <v>0.54</v>
      </c>
    </row>
    <row r="187" spans="1:21" x14ac:dyDescent="0.25">
      <c r="A187" t="s">
        <v>78</v>
      </c>
      <c r="G187">
        <v>0.48</v>
      </c>
      <c r="H187">
        <v>0.89</v>
      </c>
      <c r="I187">
        <v>4.32</v>
      </c>
      <c r="J187">
        <v>2.2999999999999998</v>
      </c>
      <c r="K187">
        <v>12.66</v>
      </c>
      <c r="L187">
        <v>10.7</v>
      </c>
      <c r="M187">
        <v>13.69</v>
      </c>
      <c r="N187">
        <v>7.09</v>
      </c>
      <c r="O187">
        <v>12.3</v>
      </c>
      <c r="P187">
        <v>13.84</v>
      </c>
      <c r="Q187">
        <v>14.96</v>
      </c>
      <c r="R187">
        <v>12.44</v>
      </c>
      <c r="S187">
        <v>12.44</v>
      </c>
      <c r="T187">
        <v>12.44</v>
      </c>
      <c r="U187">
        <v>12.44</v>
      </c>
    </row>
    <row r="188" spans="1:21" x14ac:dyDescent="0.25">
      <c r="A188" t="s">
        <v>167</v>
      </c>
      <c r="G188">
        <v>922.67</v>
      </c>
      <c r="H188" s="2">
        <v>1447.44</v>
      </c>
      <c r="I188" s="2">
        <v>1167.95</v>
      </c>
      <c r="J188">
        <v>956.42</v>
      </c>
      <c r="K188">
        <v>818.8</v>
      </c>
      <c r="L188">
        <v>961.46</v>
      </c>
      <c r="M188" s="2">
        <v>1246.48</v>
      </c>
      <c r="N188" s="2">
        <v>1412.38</v>
      </c>
      <c r="O188" s="2">
        <v>2019.19</v>
      </c>
      <c r="P188" s="2">
        <v>2833.7</v>
      </c>
      <c r="Q188" s="2">
        <v>3537.52</v>
      </c>
      <c r="R188" s="2">
        <v>3380.88</v>
      </c>
      <c r="S188" s="2">
        <v>3792.4</v>
      </c>
      <c r="T188" s="2">
        <v>3112.17</v>
      </c>
      <c r="U188" s="2">
        <v>2015.36</v>
      </c>
    </row>
    <row r="189" spans="1:21" x14ac:dyDescent="0.25">
      <c r="A189" t="s">
        <v>170</v>
      </c>
      <c r="G189">
        <v>508.3</v>
      </c>
      <c r="H189">
        <v>146.59</v>
      </c>
      <c r="I189" s="2">
        <v>1522.55</v>
      </c>
      <c r="J189" s="2">
        <v>2291.0300000000002</v>
      </c>
      <c r="K189" s="2">
        <v>2565.33</v>
      </c>
      <c r="L189" s="2">
        <v>3475.56</v>
      </c>
      <c r="M189" s="2">
        <v>5003.28</v>
      </c>
      <c r="N189" s="2">
        <v>7387.27</v>
      </c>
      <c r="O189" s="2">
        <v>12064.53</v>
      </c>
      <c r="P189" s="2">
        <v>19029.939999999999</v>
      </c>
      <c r="Q189" s="2">
        <v>28458.18</v>
      </c>
      <c r="R189" s="2">
        <v>39338.75</v>
      </c>
      <c r="S189" s="2">
        <v>52724.67</v>
      </c>
      <c r="T189" s="2">
        <v>86526</v>
      </c>
      <c r="U189" s="2">
        <v>100716</v>
      </c>
    </row>
    <row r="190" spans="1:21" x14ac:dyDescent="0.25">
      <c r="A190" t="s">
        <v>169</v>
      </c>
      <c r="G190">
        <v>0</v>
      </c>
      <c r="H190">
        <v>0</v>
      </c>
      <c r="I190">
        <v>0</v>
      </c>
      <c r="J190">
        <v>0</v>
      </c>
      <c r="K190">
        <v>77.11</v>
      </c>
      <c r="L190">
        <v>85.4</v>
      </c>
      <c r="M190">
        <v>91.13</v>
      </c>
      <c r="N190">
        <v>100.74</v>
      </c>
      <c r="O190">
        <v>111.06</v>
      </c>
      <c r="P190">
        <v>116.02</v>
      </c>
      <c r="Q190">
        <v>115.67</v>
      </c>
      <c r="R190">
        <v>107.46</v>
      </c>
      <c r="S190">
        <v>105.85</v>
      </c>
      <c r="T190">
        <v>110.69</v>
      </c>
    </row>
    <row r="191" spans="1:21" x14ac:dyDescent="0.25">
      <c r="A191" t="s">
        <v>171</v>
      </c>
      <c r="G191">
        <v>0.56999999999999995</v>
      </c>
      <c r="H191">
        <v>0.59</v>
      </c>
      <c r="I191">
        <v>1.79</v>
      </c>
      <c r="J191">
        <v>2.0299999999999998</v>
      </c>
      <c r="K191">
        <v>2.1</v>
      </c>
      <c r="L191">
        <v>2.2000000000000002</v>
      </c>
      <c r="M191">
        <v>2.34</v>
      </c>
      <c r="N191">
        <v>2.39</v>
      </c>
      <c r="O191">
        <v>2.4</v>
      </c>
      <c r="P191">
        <v>2.4</v>
      </c>
      <c r="Q191">
        <v>2.4</v>
      </c>
      <c r="R191">
        <v>2.4</v>
      </c>
      <c r="S191">
        <v>2.4</v>
      </c>
      <c r="T191">
        <v>2.4</v>
      </c>
    </row>
    <row r="192" spans="1:21" x14ac:dyDescent="0.25">
      <c r="A192" t="s">
        <v>503</v>
      </c>
      <c r="G192" s="2">
        <v>1627.74</v>
      </c>
      <c r="H192" s="2">
        <v>1857.33</v>
      </c>
      <c r="I192" s="2">
        <v>6488.86</v>
      </c>
      <c r="J192" s="2">
        <v>7777.09</v>
      </c>
      <c r="K192" s="2">
        <v>8428</v>
      </c>
      <c r="L192" s="2">
        <v>9122.17</v>
      </c>
      <c r="M192" s="2">
        <v>10193.969999999999</v>
      </c>
      <c r="N192" s="2">
        <v>10933.33</v>
      </c>
      <c r="O192" s="2">
        <v>11680.98</v>
      </c>
      <c r="P192" s="2">
        <v>12884.53</v>
      </c>
      <c r="Q192" s="2">
        <v>13519.94</v>
      </c>
      <c r="R192" s="2">
        <v>14330.74</v>
      </c>
      <c r="S192" s="2">
        <v>11408.87</v>
      </c>
      <c r="T192" s="2">
        <v>11408.87</v>
      </c>
    </row>
    <row r="193" spans="1:21" x14ac:dyDescent="0.25">
      <c r="A193" t="s">
        <v>173</v>
      </c>
      <c r="G193" s="2">
        <v>-3231.88</v>
      </c>
      <c r="H193" s="2">
        <v>-3798.96</v>
      </c>
      <c r="I193" s="2">
        <v>-4965.3500000000004</v>
      </c>
      <c r="J193" s="2">
        <v>-5485.73</v>
      </c>
      <c r="K193" s="2">
        <v>-5859.44</v>
      </c>
      <c r="L193" s="2">
        <v>-5649.61</v>
      </c>
      <c r="M193" s="2">
        <v>-5187.42</v>
      </c>
      <c r="N193" s="2">
        <v>-3562.39</v>
      </c>
      <c r="O193">
        <v>64.88</v>
      </c>
      <c r="P193" s="2">
        <v>5648.71</v>
      </c>
      <c r="Q193" s="2">
        <v>14903.94</v>
      </c>
      <c r="R193" s="2">
        <v>30482.46</v>
      </c>
      <c r="S193" s="2">
        <v>54995.54</v>
      </c>
      <c r="T193" s="2">
        <v>85296.03</v>
      </c>
    </row>
    <row r="194" spans="1:21" x14ac:dyDescent="0.25">
      <c r="A194" t="s">
        <v>700</v>
      </c>
      <c r="G194">
        <v>0.76</v>
      </c>
      <c r="H194">
        <v>-0.7</v>
      </c>
      <c r="I194">
        <v>-2.75</v>
      </c>
      <c r="J194">
        <v>-2.35</v>
      </c>
      <c r="K194">
        <v>-5.33</v>
      </c>
      <c r="L194">
        <v>0.8</v>
      </c>
      <c r="M194">
        <v>-5.61</v>
      </c>
      <c r="N194">
        <v>13.94</v>
      </c>
      <c r="O194">
        <v>-2.72</v>
      </c>
      <c r="P194">
        <v>-10.88</v>
      </c>
      <c r="Q194">
        <v>-7.1</v>
      </c>
      <c r="R194">
        <v>-7.1</v>
      </c>
      <c r="S194">
        <v>-7.1</v>
      </c>
      <c r="T194">
        <v>-7.1</v>
      </c>
    </row>
    <row r="195" spans="1:21" x14ac:dyDescent="0.25">
      <c r="A195" t="s">
        <v>326</v>
      </c>
      <c r="G195" s="2">
        <v>1430.97</v>
      </c>
      <c r="H195" s="2">
        <v>1594.03</v>
      </c>
      <c r="I195" s="2">
        <v>2690.5</v>
      </c>
      <c r="J195" s="2">
        <v>3247.45</v>
      </c>
      <c r="K195" s="2">
        <v>3461.24</v>
      </c>
      <c r="L195" s="2">
        <v>4522.43</v>
      </c>
      <c r="M195" s="2">
        <v>6340.88</v>
      </c>
      <c r="N195" s="2">
        <v>8900.39</v>
      </c>
      <c r="O195" s="2">
        <v>13492.87</v>
      </c>
      <c r="P195" s="2">
        <v>21261.66</v>
      </c>
      <c r="Q195" s="2">
        <v>31229.45</v>
      </c>
      <c r="R195" s="2">
        <v>43775.07</v>
      </c>
      <c r="S195" s="2">
        <v>64124.88</v>
      </c>
      <c r="T195" s="2">
        <v>104775.02</v>
      </c>
      <c r="U195" s="2">
        <v>148397.95000000001</v>
      </c>
    </row>
    <row r="196" spans="1:21" x14ac:dyDescent="0.25">
      <c r="A196" t="s">
        <v>17</v>
      </c>
    </row>
    <row r="197" spans="1:21" x14ac:dyDescent="0.25">
      <c r="A197" t="s">
        <v>176</v>
      </c>
    </row>
    <row r="198" spans="1:21" x14ac:dyDescent="0.25">
      <c r="A198" t="s">
        <v>179</v>
      </c>
      <c r="H198">
        <v>-38.32</v>
      </c>
      <c r="I198">
        <v>-54.45</v>
      </c>
      <c r="J198">
        <v>-17.53</v>
      </c>
      <c r="K198">
        <v>-11.14</v>
      </c>
      <c r="L198">
        <v>5.26</v>
      </c>
      <c r="M198">
        <v>8.51</v>
      </c>
      <c r="N198">
        <v>21.32</v>
      </c>
      <c r="O198">
        <v>25.75</v>
      </c>
      <c r="P198">
        <v>22.5</v>
      </c>
      <c r="Q198">
        <v>23.5</v>
      </c>
      <c r="R198">
        <v>22.3</v>
      </c>
      <c r="S198">
        <v>22.5</v>
      </c>
    </row>
    <row r="199" spans="1:21" x14ac:dyDescent="0.25">
      <c r="A199" t="s">
        <v>180</v>
      </c>
      <c r="J199">
        <v>-27.29</v>
      </c>
      <c r="K199">
        <v>-15.39</v>
      </c>
      <c r="L199">
        <v>6.95</v>
      </c>
      <c r="M199">
        <v>10.9</v>
      </c>
      <c r="N199">
        <v>26.23</v>
      </c>
      <c r="O199">
        <v>37.5</v>
      </c>
      <c r="P199">
        <v>30.5</v>
      </c>
      <c r="Q199">
        <v>27.9</v>
      </c>
      <c r="R199">
        <v>26.3</v>
      </c>
      <c r="S199">
        <v>26.3</v>
      </c>
    </row>
    <row r="200" spans="1:21" x14ac:dyDescent="0.25">
      <c r="A200" t="s">
        <v>611</v>
      </c>
      <c r="G200">
        <v>11.76</v>
      </c>
      <c r="H200">
        <v>24.73</v>
      </c>
      <c r="I200">
        <v>52.57</v>
      </c>
      <c r="J200">
        <v>45.2</v>
      </c>
      <c r="K200">
        <v>49.48</v>
      </c>
      <c r="L200">
        <v>59.84</v>
      </c>
      <c r="M200">
        <v>73.45</v>
      </c>
      <c r="N200">
        <v>84.99</v>
      </c>
      <c r="O200">
        <v>83.19</v>
      </c>
      <c r="P200">
        <v>84.83</v>
      </c>
      <c r="Q200">
        <v>78.14</v>
      </c>
      <c r="R200">
        <v>62.82</v>
      </c>
      <c r="S200">
        <v>61.87</v>
      </c>
      <c r="T200">
        <v>55.15</v>
      </c>
    </row>
    <row r="201" spans="1:21" x14ac:dyDescent="0.25">
      <c r="A201" t="s">
        <v>183</v>
      </c>
      <c r="G201">
        <v>549.37</v>
      </c>
      <c r="H201">
        <v>581.5</v>
      </c>
      <c r="I201" s="2">
        <v>1792.14</v>
      </c>
      <c r="J201" s="2">
        <v>2027.47</v>
      </c>
      <c r="K201" s="2">
        <v>2099.08</v>
      </c>
      <c r="L201" s="2">
        <v>2200.13</v>
      </c>
      <c r="M201" s="2">
        <v>2338.8000000000002</v>
      </c>
      <c r="N201" s="2">
        <v>2342.59</v>
      </c>
    </row>
    <row r="202" spans="1:21" x14ac:dyDescent="0.25">
      <c r="A202" t="s">
        <v>333</v>
      </c>
      <c r="G202">
        <v>688.17</v>
      </c>
      <c r="H202">
        <v>485.56</v>
      </c>
      <c r="I202" s="2">
        <v>1653.61</v>
      </c>
      <c r="J202" s="2">
        <v>2203.19</v>
      </c>
      <c r="K202" s="2">
        <v>2453.64</v>
      </c>
      <c r="L202" s="2">
        <v>3392.6</v>
      </c>
      <c r="M202" s="2">
        <v>4938.2700000000004</v>
      </c>
      <c r="N202" s="2">
        <v>7182.59</v>
      </c>
      <c r="O202" s="2">
        <v>12460.52</v>
      </c>
      <c r="P202" s="2">
        <v>19998.490000000002</v>
      </c>
      <c r="Q202" s="2">
        <v>31072.48</v>
      </c>
      <c r="R202" s="2">
        <v>43748.82</v>
      </c>
      <c r="S202" s="2">
        <v>68879.320000000007</v>
      </c>
      <c r="T202" s="2">
        <v>101460.8</v>
      </c>
      <c r="U202" s="2">
        <v>146361.35999999999</v>
      </c>
    </row>
    <row r="203" spans="1:21" x14ac:dyDescent="0.25">
      <c r="A203" t="s">
        <v>424</v>
      </c>
      <c r="G203">
        <v>-3.19</v>
      </c>
      <c r="H203">
        <v>-3.39</v>
      </c>
      <c r="I203">
        <v>0.85</v>
      </c>
      <c r="J203">
        <v>1.1299999999999999</v>
      </c>
      <c r="K203">
        <v>1.22</v>
      </c>
      <c r="L203">
        <v>1.58</v>
      </c>
      <c r="M203">
        <v>2.14</v>
      </c>
      <c r="N203">
        <v>3.15</v>
      </c>
      <c r="O203">
        <v>4.8499999999999996</v>
      </c>
      <c r="P203">
        <v>7.86</v>
      </c>
      <c r="Q203">
        <v>11.91</v>
      </c>
    </row>
    <row r="204" spans="1:21" x14ac:dyDescent="0.25">
      <c r="A204" t="s">
        <v>17</v>
      </c>
    </row>
    <row r="205" spans="1:21" x14ac:dyDescent="0.25">
      <c r="A205" t="s">
        <v>188</v>
      </c>
    </row>
    <row r="206" spans="1:21" x14ac:dyDescent="0.25">
      <c r="A206" t="s">
        <v>189</v>
      </c>
    </row>
    <row r="207" spans="1:21" x14ac:dyDescent="0.25">
      <c r="A207" t="s">
        <v>121</v>
      </c>
      <c r="I207" s="2">
        <v>-1166.3900000000001</v>
      </c>
      <c r="J207">
        <v>-520.38</v>
      </c>
      <c r="K207">
        <v>-373.71</v>
      </c>
      <c r="L207">
        <v>209.83</v>
      </c>
      <c r="M207">
        <v>462.19</v>
      </c>
      <c r="N207" s="2">
        <v>1625.03</v>
      </c>
      <c r="O207" s="2">
        <v>3907.78</v>
      </c>
      <c r="P207" s="2">
        <v>5547.17</v>
      </c>
      <c r="Q207" s="2">
        <v>8251.82</v>
      </c>
      <c r="R207" s="2">
        <v>11857.71</v>
      </c>
      <c r="S207" s="2">
        <v>17411.5</v>
      </c>
      <c r="T207" s="2">
        <v>25535.5</v>
      </c>
      <c r="U207" s="2">
        <v>32218.67</v>
      </c>
    </row>
    <row r="208" spans="1:21" x14ac:dyDescent="0.25">
      <c r="A208" t="s">
        <v>190</v>
      </c>
      <c r="G208">
        <v>13.91</v>
      </c>
      <c r="H208">
        <v>12.26</v>
      </c>
      <c r="I208">
        <v>13.87</v>
      </c>
      <c r="J208">
        <v>14.9</v>
      </c>
      <c r="K208">
        <v>22.52</v>
      </c>
      <c r="L208">
        <v>33.35</v>
      </c>
      <c r="M208">
        <v>31.59</v>
      </c>
      <c r="N208">
        <v>26.15</v>
      </c>
      <c r="O208">
        <v>34.26</v>
      </c>
      <c r="P208">
        <v>42.33</v>
      </c>
      <c r="Q208">
        <v>55.57</v>
      </c>
      <c r="R208">
        <v>90.44</v>
      </c>
      <c r="S208">
        <v>102.19</v>
      </c>
      <c r="T208">
        <v>47.76</v>
      </c>
      <c r="U208">
        <v>35.049999999999997</v>
      </c>
    </row>
    <row r="209" spans="1:21" x14ac:dyDescent="0.25">
      <c r="A209" t="s">
        <v>1744</v>
      </c>
      <c r="G209">
        <v>0.42</v>
      </c>
      <c r="H209">
        <v>2.5499999999999998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21" x14ac:dyDescent="0.25">
      <c r="A210" t="s">
        <v>1822</v>
      </c>
      <c r="G210">
        <v>23.7</v>
      </c>
      <c r="H210">
        <v>23.41</v>
      </c>
      <c r="I210">
        <v>0.67</v>
      </c>
    </row>
    <row r="211" spans="1:21" x14ac:dyDescent="0.25">
      <c r="A211" t="s">
        <v>1823</v>
      </c>
      <c r="G211">
        <v>-1.32</v>
      </c>
      <c r="H211">
        <v>-3.41</v>
      </c>
      <c r="I211">
        <v>3.51</v>
      </c>
      <c r="J211">
        <v>-3.19</v>
      </c>
      <c r="K211">
        <v>-7.0000000000000007E-2</v>
      </c>
      <c r="L211">
        <v>0.06</v>
      </c>
      <c r="M211">
        <v>4.55</v>
      </c>
      <c r="N211">
        <v>-54.86</v>
      </c>
      <c r="O211">
        <v>-18.850000000000001</v>
      </c>
      <c r="P211">
        <v>11.93</v>
      </c>
      <c r="Q211">
        <v>2.88</v>
      </c>
    </row>
    <row r="212" spans="1:21" x14ac:dyDescent="0.25">
      <c r="A212" t="s">
        <v>1824</v>
      </c>
      <c r="G212">
        <v>0</v>
      </c>
      <c r="H212">
        <v>0.22</v>
      </c>
      <c r="I212">
        <v>0</v>
      </c>
      <c r="J212">
        <v>73.31</v>
      </c>
      <c r="K212">
        <v>272.11</v>
      </c>
      <c r="L212">
        <v>13.16</v>
      </c>
      <c r="M212">
        <v>19.309999999999999</v>
      </c>
      <c r="N212">
        <v>21.23</v>
      </c>
      <c r="O212">
        <v>-48.21</v>
      </c>
      <c r="P212">
        <v>-20.350000000000001</v>
      </c>
    </row>
    <row r="213" spans="1:21" x14ac:dyDescent="0.25">
      <c r="A213" t="s">
        <v>1825</v>
      </c>
      <c r="G213">
        <v>8.6199999999999992</v>
      </c>
      <c r="H213">
        <v>0</v>
      </c>
      <c r="I213">
        <v>0.25</v>
      </c>
      <c r="J213">
        <v>0</v>
      </c>
      <c r="K213">
        <v>52.32</v>
      </c>
      <c r="L213" s="2">
        <v>2889.27</v>
      </c>
      <c r="M213" s="2">
        <v>5073.51</v>
      </c>
      <c r="N213" s="2">
        <v>5026.32</v>
      </c>
    </row>
    <row r="214" spans="1:21" x14ac:dyDescent="0.25">
      <c r="A214" t="s">
        <v>338</v>
      </c>
    </row>
    <row r="215" spans="1:21" x14ac:dyDescent="0.25">
      <c r="A215" t="s">
        <v>141</v>
      </c>
      <c r="G215">
        <v>-10.48</v>
      </c>
      <c r="H215">
        <v>-23.91</v>
      </c>
      <c r="I215">
        <v>-108.48</v>
      </c>
      <c r="J215">
        <v>-35.24</v>
      </c>
      <c r="K215">
        <v>-77.52</v>
      </c>
      <c r="L215">
        <v>-106.16</v>
      </c>
      <c r="M215">
        <v>-211.16</v>
      </c>
      <c r="N215">
        <v>-450.43</v>
      </c>
      <c r="O215">
        <v>-813.96</v>
      </c>
      <c r="P215">
        <v>-753.6</v>
      </c>
      <c r="Q215">
        <v>-726.6</v>
      </c>
      <c r="R215" s="2">
        <v>-1278.68</v>
      </c>
      <c r="S215" s="2">
        <v>-1970.5</v>
      </c>
      <c r="T215" s="2">
        <v>-2404.3200000000002</v>
      </c>
    </row>
    <row r="216" spans="1:21" x14ac:dyDescent="0.25">
      <c r="A216" t="s">
        <v>203</v>
      </c>
      <c r="G216">
        <v>-19.36</v>
      </c>
      <c r="H216">
        <v>18.809999999999999</v>
      </c>
      <c r="I216">
        <v>-18.57</v>
      </c>
      <c r="J216">
        <v>-10.93</v>
      </c>
      <c r="K216">
        <v>-26</v>
      </c>
      <c r="L216">
        <v>-6.2</v>
      </c>
      <c r="M216">
        <v>7.2</v>
      </c>
      <c r="N216">
        <v>51.98</v>
      </c>
      <c r="O216">
        <v>-88.09</v>
      </c>
      <c r="P216">
        <v>-116.68</v>
      </c>
      <c r="Q216">
        <v>-101.93</v>
      </c>
      <c r="R216">
        <v>-123.45</v>
      </c>
    </row>
    <row r="217" spans="1:21" x14ac:dyDescent="0.25">
      <c r="A217" t="s">
        <v>158</v>
      </c>
      <c r="G217">
        <v>10.97</v>
      </c>
      <c r="H217">
        <v>23.42</v>
      </c>
      <c r="I217">
        <v>-34.68</v>
      </c>
      <c r="J217">
        <v>57.77</v>
      </c>
      <c r="K217">
        <v>-29.86</v>
      </c>
      <c r="L217">
        <v>-31.83</v>
      </c>
      <c r="M217">
        <v>-18.84</v>
      </c>
      <c r="O217">
        <v>45.22</v>
      </c>
      <c r="P217">
        <v>48.87</v>
      </c>
      <c r="Q217">
        <v>18.079999999999998</v>
      </c>
      <c r="R217">
        <v>13.78</v>
      </c>
      <c r="S217">
        <v>18.7</v>
      </c>
      <c r="T217">
        <v>23.76</v>
      </c>
    </row>
    <row r="218" spans="1:21" x14ac:dyDescent="0.25">
      <c r="A218" t="s">
        <v>414</v>
      </c>
      <c r="G218">
        <v>26.42</v>
      </c>
      <c r="H218">
        <v>3.73</v>
      </c>
      <c r="I218">
        <v>38.51</v>
      </c>
      <c r="J218">
        <v>15.25</v>
      </c>
      <c r="K218">
        <v>5.53</v>
      </c>
      <c r="L218">
        <v>52.9</v>
      </c>
      <c r="M218">
        <v>115.63</v>
      </c>
      <c r="N218">
        <v>0</v>
      </c>
      <c r="O218">
        <v>104.73</v>
      </c>
      <c r="P218">
        <v>279.54000000000002</v>
      </c>
      <c r="Q218">
        <v>241.75</v>
      </c>
      <c r="R218">
        <v>259.89</v>
      </c>
      <c r="S218">
        <v>20.97</v>
      </c>
      <c r="T218">
        <v>21.81</v>
      </c>
      <c r="U218">
        <v>22.68</v>
      </c>
    </row>
    <row r="219" spans="1:21" x14ac:dyDescent="0.25">
      <c r="A219" t="s">
        <v>161</v>
      </c>
      <c r="I219">
        <v>-30.91</v>
      </c>
      <c r="J219">
        <v>24.73</v>
      </c>
      <c r="K219">
        <v>-61.15</v>
      </c>
      <c r="L219">
        <v>79.510000000000005</v>
      </c>
      <c r="M219">
        <v>22.36</v>
      </c>
      <c r="N219">
        <v>0</v>
      </c>
      <c r="O219">
        <v>232.9</v>
      </c>
      <c r="P219">
        <v>426.53</v>
      </c>
      <c r="Q219">
        <v>403.6</v>
      </c>
      <c r="R219">
        <v>259.08</v>
      </c>
      <c r="S219">
        <v>277.25</v>
      </c>
      <c r="T219">
        <v>320.56</v>
      </c>
      <c r="U219">
        <v>16.71</v>
      </c>
    </row>
    <row r="220" spans="1:21" x14ac:dyDescent="0.25">
      <c r="A220" t="s">
        <v>1821</v>
      </c>
      <c r="G220">
        <v>126.03</v>
      </c>
      <c r="H220">
        <v>279.23</v>
      </c>
      <c r="I220">
        <v>-230.87</v>
      </c>
      <c r="J220">
        <v>-104.94</v>
      </c>
      <c r="K220">
        <v>-49.47</v>
      </c>
      <c r="L220">
        <v>64.349999999999994</v>
      </c>
      <c r="M220">
        <v>54.44</v>
      </c>
      <c r="N220">
        <v>0</v>
      </c>
      <c r="O220">
        <v>78.540000000000006</v>
      </c>
      <c r="P220">
        <v>153.96</v>
      </c>
      <c r="Q220">
        <v>157.63</v>
      </c>
      <c r="R220">
        <v>31.75</v>
      </c>
      <c r="S220">
        <v>9.4</v>
      </c>
      <c r="T220">
        <v>14.29</v>
      </c>
      <c r="U220">
        <v>12.32</v>
      </c>
    </row>
    <row r="221" spans="1:21" x14ac:dyDescent="0.25">
      <c r="A221" t="s">
        <v>202</v>
      </c>
      <c r="I221">
        <v>-43.64</v>
      </c>
      <c r="J221">
        <v>-32.159999999999997</v>
      </c>
      <c r="K221">
        <v>-34.590000000000003</v>
      </c>
      <c r="L221">
        <v>-49.63</v>
      </c>
      <c r="M221">
        <v>-48.97</v>
      </c>
      <c r="N221">
        <v>0</v>
      </c>
      <c r="O221">
        <v>28.98</v>
      </c>
      <c r="P221">
        <v>67.760000000000005</v>
      </c>
      <c r="Q221">
        <v>-20</v>
      </c>
      <c r="R221">
        <v>2.11</v>
      </c>
      <c r="S221">
        <v>2.14</v>
      </c>
      <c r="T221">
        <v>2.16</v>
      </c>
      <c r="U221">
        <v>2.1800000000000002</v>
      </c>
    </row>
    <row r="222" spans="1:21" x14ac:dyDescent="0.25">
      <c r="A222" t="s">
        <v>514</v>
      </c>
      <c r="G222">
        <v>170.32</v>
      </c>
      <c r="H222">
        <v>-163.84</v>
      </c>
      <c r="I222">
        <v>-28.99</v>
      </c>
      <c r="J222">
        <v>-3.35</v>
      </c>
      <c r="K222">
        <v>6.03</v>
      </c>
      <c r="L222">
        <v>3.24</v>
      </c>
      <c r="M222">
        <v>4.68</v>
      </c>
      <c r="N222">
        <v>0</v>
      </c>
      <c r="O222">
        <v>-189.51</v>
      </c>
      <c r="P222">
        <v>-124.36</v>
      </c>
      <c r="Q222">
        <v>-55.19</v>
      </c>
      <c r="R222">
        <v>-114.91</v>
      </c>
    </row>
    <row r="223" spans="1:21" x14ac:dyDescent="0.25">
      <c r="A223" t="s">
        <v>204</v>
      </c>
      <c r="G223">
        <v>-39.01</v>
      </c>
      <c r="H223">
        <v>-165.22</v>
      </c>
      <c r="I223">
        <v>-296.61</v>
      </c>
      <c r="J223">
        <v>333.85</v>
      </c>
      <c r="K223">
        <v>223.74</v>
      </c>
      <c r="L223">
        <v>712.18</v>
      </c>
      <c r="M223" s="2">
        <v>1153.8699999999999</v>
      </c>
      <c r="N223" s="2">
        <v>2134.4699999999998</v>
      </c>
      <c r="O223" s="2">
        <v>4611.84</v>
      </c>
      <c r="P223" s="2">
        <v>7084.19</v>
      </c>
      <c r="Q223" s="2">
        <v>10172.06</v>
      </c>
      <c r="R223" s="2">
        <v>13954.99</v>
      </c>
      <c r="S223" s="2">
        <v>18984.12</v>
      </c>
      <c r="T223" s="2">
        <v>23964.76</v>
      </c>
      <c r="U223" s="2">
        <v>24631.18</v>
      </c>
    </row>
    <row r="224" spans="1:21" x14ac:dyDescent="0.25">
      <c r="A224" t="s">
        <v>17</v>
      </c>
    </row>
    <row r="225" spans="1:21" x14ac:dyDescent="0.25">
      <c r="A225" t="s">
        <v>205</v>
      </c>
    </row>
    <row r="226" spans="1:21" x14ac:dyDescent="0.25">
      <c r="A226" t="s">
        <v>206</v>
      </c>
      <c r="G226">
        <v>-15.4</v>
      </c>
      <c r="H226">
        <v>-13.1</v>
      </c>
      <c r="I226">
        <v>-12.24</v>
      </c>
      <c r="J226">
        <v>-12.63</v>
      </c>
      <c r="K226">
        <v>-40.03</v>
      </c>
      <c r="L226">
        <v>-15.11</v>
      </c>
      <c r="M226">
        <v>-12.63</v>
      </c>
      <c r="N226">
        <v>-33.880000000000003</v>
      </c>
      <c r="O226">
        <v>-52.49</v>
      </c>
      <c r="P226">
        <v>-74.3</v>
      </c>
      <c r="Q226">
        <v>-101.2</v>
      </c>
      <c r="R226">
        <v>-118.13</v>
      </c>
      <c r="S226">
        <v>-144.28</v>
      </c>
      <c r="T226">
        <v>-148.97</v>
      </c>
      <c r="U226">
        <v>-35.1</v>
      </c>
    </row>
    <row r="227" spans="1:21" x14ac:dyDescent="0.25">
      <c r="A227" t="s">
        <v>1826</v>
      </c>
      <c r="G227">
        <v>0</v>
      </c>
      <c r="H227">
        <v>-25.87</v>
      </c>
      <c r="I227">
        <v>-2.93</v>
      </c>
      <c r="J227">
        <v>-382.27</v>
      </c>
      <c r="K227">
        <v>-124.5</v>
      </c>
      <c r="L227" s="2">
        <v>-5636.41</v>
      </c>
      <c r="M227" s="2">
        <v>-5395.91</v>
      </c>
      <c r="N227" s="2">
        <v>-7774.98</v>
      </c>
      <c r="O227" s="2">
        <v>-3990.63</v>
      </c>
      <c r="P227" s="2">
        <v>-3428.89</v>
      </c>
    </row>
    <row r="228" spans="1:21" x14ac:dyDescent="0.25">
      <c r="A228" t="s">
        <v>213</v>
      </c>
      <c r="G228">
        <v>-6.78</v>
      </c>
      <c r="H228">
        <v>-21.96</v>
      </c>
      <c r="I228">
        <v>-14.92</v>
      </c>
      <c r="J228">
        <v>-397.91</v>
      </c>
      <c r="K228">
        <v>-45.43</v>
      </c>
      <c r="L228" s="2">
        <v>-2711.18</v>
      </c>
      <c r="M228">
        <v>-340.66</v>
      </c>
      <c r="N228" s="2">
        <v>-2783.55</v>
      </c>
      <c r="O228" s="2">
        <v>-1508.65</v>
      </c>
      <c r="P228">
        <v>-896.73</v>
      </c>
      <c r="Q228">
        <v>-259.94</v>
      </c>
      <c r="R228">
        <v>-86.71</v>
      </c>
      <c r="S228">
        <v>-69.680000000000007</v>
      </c>
      <c r="T228">
        <v>-68.2</v>
      </c>
      <c r="U228">
        <v>-35.119999999999997</v>
      </c>
    </row>
    <row r="229" spans="1:21" x14ac:dyDescent="0.25">
      <c r="A229" t="s">
        <v>17</v>
      </c>
    </row>
    <row r="230" spans="1:21" x14ac:dyDescent="0.25">
      <c r="A230" t="s">
        <v>214</v>
      </c>
    </row>
    <row r="231" spans="1:21" x14ac:dyDescent="0.25">
      <c r="A231" t="s">
        <v>675</v>
      </c>
      <c r="G231">
        <v>-7.71</v>
      </c>
      <c r="H231">
        <v>-11.2</v>
      </c>
      <c r="I231">
        <v>-3.78</v>
      </c>
      <c r="J231">
        <v>0</v>
      </c>
      <c r="K231">
        <v>0</v>
      </c>
      <c r="L231">
        <v>0</v>
      </c>
      <c r="M231">
        <v>-64.2</v>
      </c>
      <c r="N231">
        <v>-74.989999999999995</v>
      </c>
      <c r="O231">
        <v>-54.5</v>
      </c>
      <c r="P231">
        <v>-88.75</v>
      </c>
      <c r="Q231">
        <v>-140</v>
      </c>
      <c r="R231">
        <v>-140</v>
      </c>
      <c r="S231">
        <v>-140</v>
      </c>
      <c r="T231">
        <v>-80</v>
      </c>
      <c r="U231">
        <v>-80</v>
      </c>
    </row>
    <row r="232" spans="1:21" x14ac:dyDescent="0.25">
      <c r="A232" t="s">
        <v>215</v>
      </c>
      <c r="G232">
        <v>96.48</v>
      </c>
      <c r="H232">
        <v>100</v>
      </c>
      <c r="I232">
        <v>942.53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21" x14ac:dyDescent="0.25">
      <c r="A233" t="s">
        <v>352</v>
      </c>
      <c r="G233">
        <v>0</v>
      </c>
      <c r="H233">
        <v>544.41</v>
      </c>
      <c r="I233">
        <v>199.37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21" x14ac:dyDescent="0.25">
      <c r="A234" t="s">
        <v>1827</v>
      </c>
      <c r="G234">
        <v>12.67</v>
      </c>
      <c r="H234">
        <v>16.899999999999999</v>
      </c>
      <c r="I234">
        <v>298.83</v>
      </c>
      <c r="J234">
        <v>507.46</v>
      </c>
      <c r="K234">
        <v>86.09</v>
      </c>
      <c r="L234">
        <v>218.24</v>
      </c>
      <c r="M234">
        <v>745.4</v>
      </c>
      <c r="N234">
        <v>129.11000000000001</v>
      </c>
      <c r="O234">
        <v>58.62</v>
      </c>
      <c r="P234">
        <v>176.28</v>
      </c>
      <c r="Q234">
        <v>400</v>
      </c>
      <c r="U234">
        <v>10.15</v>
      </c>
    </row>
    <row r="235" spans="1:21" x14ac:dyDescent="0.25">
      <c r="A235" t="s">
        <v>1828</v>
      </c>
      <c r="G235">
        <v>-56.49</v>
      </c>
      <c r="H235">
        <v>-150</v>
      </c>
      <c r="I235">
        <v>-400</v>
      </c>
      <c r="J235">
        <v>-200</v>
      </c>
      <c r="K235">
        <v>0</v>
      </c>
      <c r="L235">
        <v>0</v>
      </c>
      <c r="M235">
        <v>0</v>
      </c>
      <c r="N235">
        <v>0</v>
      </c>
    </row>
    <row r="236" spans="1:21" x14ac:dyDescent="0.25">
      <c r="A236" t="s">
        <v>522</v>
      </c>
      <c r="G236">
        <v>1.2</v>
      </c>
      <c r="H236">
        <v>-1.2</v>
      </c>
      <c r="I236">
        <v>-0.5</v>
      </c>
      <c r="J236">
        <v>-0.71</v>
      </c>
      <c r="K236">
        <v>-0.09</v>
      </c>
      <c r="L236">
        <v>0.6</v>
      </c>
      <c r="M236">
        <v>-217.84</v>
      </c>
      <c r="N236">
        <v>-81.03</v>
      </c>
      <c r="O236">
        <v>-1.38</v>
      </c>
      <c r="P236">
        <v>0</v>
      </c>
    </row>
    <row r="237" spans="1:21" x14ac:dyDescent="0.25">
      <c r="A237" t="s">
        <v>218</v>
      </c>
      <c r="G237">
        <v>46.15</v>
      </c>
      <c r="H237">
        <v>324.52999999999997</v>
      </c>
      <c r="I237" s="2">
        <v>1036.45</v>
      </c>
      <c r="J237">
        <v>306.75</v>
      </c>
      <c r="K237">
        <v>86</v>
      </c>
      <c r="L237">
        <v>218.84</v>
      </c>
      <c r="M237">
        <v>463.36</v>
      </c>
      <c r="N237">
        <v>-26.91</v>
      </c>
      <c r="O237">
        <v>29.71</v>
      </c>
      <c r="P237">
        <v>50.24</v>
      </c>
      <c r="Q237">
        <v>65.2</v>
      </c>
      <c r="R237">
        <v>-80</v>
      </c>
      <c r="S237">
        <v>-80</v>
      </c>
      <c r="T237">
        <v>-80</v>
      </c>
      <c r="U237">
        <v>-69.849999999999994</v>
      </c>
    </row>
    <row r="238" spans="1:21" x14ac:dyDescent="0.25">
      <c r="A238" t="s">
        <v>17</v>
      </c>
    </row>
    <row r="239" spans="1:21" x14ac:dyDescent="0.25">
      <c r="A239" t="s">
        <v>176</v>
      </c>
    </row>
    <row r="240" spans="1:21" x14ac:dyDescent="0.25">
      <c r="A240" t="s">
        <v>219</v>
      </c>
      <c r="G240">
        <v>-3.7</v>
      </c>
      <c r="H240">
        <v>-2.23</v>
      </c>
      <c r="I240">
        <v>1.26</v>
      </c>
      <c r="J240">
        <v>-3.92</v>
      </c>
      <c r="K240">
        <v>-3.89</v>
      </c>
      <c r="L240">
        <v>2.93</v>
      </c>
      <c r="M240">
        <v>-6.75</v>
      </c>
      <c r="N240">
        <v>7.48</v>
      </c>
      <c r="O240">
        <v>-1.73</v>
      </c>
      <c r="P240">
        <v>0</v>
      </c>
      <c r="Q240">
        <v>0</v>
      </c>
    </row>
    <row r="241" spans="1:21" x14ac:dyDescent="0.25">
      <c r="A241" t="s">
        <v>220</v>
      </c>
      <c r="G241">
        <v>-3.35</v>
      </c>
      <c r="H241">
        <v>135.13</v>
      </c>
      <c r="I241">
        <v>726.18</v>
      </c>
      <c r="J241">
        <v>238.77</v>
      </c>
      <c r="K241">
        <v>260.42</v>
      </c>
      <c r="L241" s="2">
        <v>-1777.23</v>
      </c>
      <c r="M241" s="2">
        <v>1269.83</v>
      </c>
      <c r="N241">
        <v>-668.51</v>
      </c>
      <c r="O241" s="2">
        <v>2908.65</v>
      </c>
      <c r="P241" s="2">
        <v>6046.2</v>
      </c>
      <c r="Q241" s="2">
        <v>9590.16</v>
      </c>
      <c r="R241" s="2">
        <v>12919.21</v>
      </c>
      <c r="S241" s="2">
        <v>17478.07</v>
      </c>
      <c r="T241" s="2">
        <v>23856.560000000001</v>
      </c>
      <c r="U241" s="2">
        <v>24526.21</v>
      </c>
    </row>
    <row r="242" spans="1:21" x14ac:dyDescent="0.25">
      <c r="A242" t="s">
        <v>221</v>
      </c>
      <c r="G242" s="2">
        <v>1270.18</v>
      </c>
      <c r="H242" s="2">
        <v>1266.8399999999999</v>
      </c>
      <c r="I242" s="2">
        <v>1401.96</v>
      </c>
      <c r="J242" s="2">
        <v>2128.15</v>
      </c>
      <c r="K242" s="2">
        <v>2366.91</v>
      </c>
      <c r="L242" s="2">
        <v>2627.34</v>
      </c>
      <c r="M242">
        <v>850.11</v>
      </c>
      <c r="N242" s="2">
        <v>2119.94</v>
      </c>
      <c r="O242" s="2">
        <v>1449.08</v>
      </c>
      <c r="P242" s="2">
        <v>4192.6400000000003</v>
      </c>
      <c r="Q242" s="2">
        <v>11143.01</v>
      </c>
      <c r="R242" s="2">
        <v>22007.7</v>
      </c>
      <c r="S242" s="2">
        <v>35069.879999999997</v>
      </c>
      <c r="T242" s="2">
        <v>55052.89</v>
      </c>
    </row>
    <row r="243" spans="1:21" x14ac:dyDescent="0.25">
      <c r="A243" t="s">
        <v>222</v>
      </c>
      <c r="G243" s="2">
        <v>1266.8399999999999</v>
      </c>
      <c r="H243" s="2">
        <v>1401.96</v>
      </c>
      <c r="I243" s="2">
        <v>2128.15</v>
      </c>
      <c r="J243" s="2">
        <v>2366.91</v>
      </c>
      <c r="K243" s="2">
        <v>2627.34</v>
      </c>
      <c r="L243">
        <v>850.11</v>
      </c>
      <c r="M243" s="2">
        <v>2119.94</v>
      </c>
      <c r="N243" s="2">
        <v>1451.43</v>
      </c>
      <c r="O243" s="2">
        <v>4403.25</v>
      </c>
      <c r="P243" s="2">
        <v>10899</v>
      </c>
      <c r="Q243" s="2">
        <v>21726.54</v>
      </c>
      <c r="R243" s="2">
        <v>35230.559999999998</v>
      </c>
      <c r="S243" s="2">
        <v>55052.89</v>
      </c>
      <c r="T243" s="2">
        <v>83548.039999999994</v>
      </c>
    </row>
    <row r="244" spans="1:21" x14ac:dyDescent="0.25">
      <c r="A244" t="s">
        <v>178</v>
      </c>
    </row>
    <row r="245" spans="1:21" x14ac:dyDescent="0.25">
      <c r="A245" t="s">
        <v>225</v>
      </c>
      <c r="G245">
        <v>-54.42</v>
      </c>
      <c r="H245">
        <v>-178.31</v>
      </c>
      <c r="I245">
        <v>-308.83999999999997</v>
      </c>
      <c r="J245">
        <v>321.22000000000003</v>
      </c>
      <c r="K245">
        <v>183.71</v>
      </c>
      <c r="L245">
        <v>697.07</v>
      </c>
      <c r="M245" s="2">
        <v>1141.23</v>
      </c>
      <c r="N245" s="2">
        <v>2100.59</v>
      </c>
      <c r="O245" s="2">
        <v>4459.6000000000004</v>
      </c>
      <c r="P245" s="2">
        <v>7071.25</v>
      </c>
      <c r="Q245" s="2">
        <v>10487</v>
      </c>
      <c r="R245" s="2">
        <v>15046.64</v>
      </c>
      <c r="S245" s="2">
        <v>21741.43</v>
      </c>
      <c r="T245" s="2">
        <v>29481</v>
      </c>
      <c r="U245" s="2">
        <v>38965</v>
      </c>
    </row>
    <row r="246" spans="1:21" x14ac:dyDescent="0.25">
      <c r="A246" t="s">
        <v>228</v>
      </c>
      <c r="G246">
        <v>-9.14</v>
      </c>
      <c r="H246">
        <v>-24.01</v>
      </c>
      <c r="I246">
        <v>-28.26</v>
      </c>
      <c r="J246">
        <v>20.83</v>
      </c>
      <c r="K246">
        <v>9.64</v>
      </c>
      <c r="L246">
        <v>31.33</v>
      </c>
      <c r="M246">
        <v>39.83</v>
      </c>
      <c r="N246">
        <v>46.94</v>
      </c>
      <c r="O246">
        <v>55.06</v>
      </c>
      <c r="P246">
        <v>56.77</v>
      </c>
      <c r="Q246">
        <v>57.46</v>
      </c>
      <c r="R246">
        <v>52.95</v>
      </c>
    </row>
    <row r="247" spans="1:21" x14ac:dyDescent="0.25">
      <c r="A247" t="s">
        <v>227</v>
      </c>
      <c r="G247">
        <v>-0.1</v>
      </c>
      <c r="H247">
        <v>-0.31</v>
      </c>
      <c r="I247">
        <v>-0.32</v>
      </c>
      <c r="J247">
        <v>0.17</v>
      </c>
      <c r="K247">
        <v>0.09</v>
      </c>
      <c r="L247">
        <v>0.3</v>
      </c>
      <c r="M247">
        <v>0.47</v>
      </c>
      <c r="N247">
        <v>0.82</v>
      </c>
      <c r="O247">
        <v>1.75</v>
      </c>
      <c r="P247">
        <v>2.6</v>
      </c>
      <c r="Q247">
        <v>4.13</v>
      </c>
      <c r="R247">
        <v>4.8099999999999996</v>
      </c>
      <c r="S247">
        <v>8.4700000000000006</v>
      </c>
    </row>
    <row r="248" spans="1:21" x14ac:dyDescent="0.25">
      <c r="A248" t="s">
        <v>17</v>
      </c>
    </row>
    <row r="249" spans="1:21" x14ac:dyDescent="0.25">
      <c r="A249" t="s">
        <v>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B90E-6FC7-4029-91F6-5180BB7E3A06}">
  <dimension ref="A1:U254"/>
  <sheetViews>
    <sheetView workbookViewId="0">
      <selection sqref="A1:U254"/>
    </sheetView>
  </sheetViews>
  <sheetFormatPr defaultRowHeight="15" x14ac:dyDescent="0.25"/>
  <sheetData>
    <row r="1" spans="1:21" x14ac:dyDescent="0.25">
      <c r="A1" t="s">
        <v>1829</v>
      </c>
    </row>
    <row r="2" spans="1:21" x14ac:dyDescent="0.25">
      <c r="A2" t="s">
        <v>1830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C6">
        <v>0.1</v>
      </c>
      <c r="D6">
        <v>0.15</v>
      </c>
      <c r="E6">
        <v>0.21</v>
      </c>
      <c r="F6">
        <v>0.35</v>
      </c>
      <c r="G6">
        <v>0.5</v>
      </c>
      <c r="H6">
        <v>0.61</v>
      </c>
      <c r="I6">
        <v>0.65</v>
      </c>
      <c r="J6">
        <v>0.72</v>
      </c>
      <c r="K6">
        <v>1.1499999999999999</v>
      </c>
      <c r="L6">
        <v>1.74</v>
      </c>
      <c r="M6">
        <v>2.27</v>
      </c>
      <c r="N6">
        <v>2.98</v>
      </c>
      <c r="O6">
        <v>4.07</v>
      </c>
      <c r="P6">
        <v>5.18</v>
      </c>
      <c r="Q6">
        <v>6.36</v>
      </c>
      <c r="R6">
        <v>7.46</v>
      </c>
      <c r="S6">
        <v>9.18</v>
      </c>
      <c r="T6">
        <v>10.73</v>
      </c>
      <c r="U6">
        <v>12.55</v>
      </c>
    </row>
    <row r="7" spans="1:21" x14ac:dyDescent="0.25">
      <c r="A7" t="s">
        <v>16</v>
      </c>
      <c r="C7">
        <v>584.11</v>
      </c>
      <c r="D7">
        <v>837.59</v>
      </c>
      <c r="E7" s="2">
        <v>1129.17</v>
      </c>
      <c r="F7" s="2">
        <v>1646.19</v>
      </c>
      <c r="G7" s="2">
        <v>2151.37</v>
      </c>
      <c r="H7" s="2">
        <v>2410.71</v>
      </c>
      <c r="I7" s="2">
        <v>2317.5100000000002</v>
      </c>
      <c r="J7" s="2">
        <v>2948.04</v>
      </c>
      <c r="K7" s="2">
        <v>4381.3100000000004</v>
      </c>
      <c r="L7" s="2">
        <v>5860.17</v>
      </c>
      <c r="M7" s="2">
        <v>7003.15</v>
      </c>
      <c r="N7" s="2">
        <v>9005.7000000000007</v>
      </c>
      <c r="O7" s="2">
        <v>12642.16</v>
      </c>
      <c r="P7" s="2">
        <v>16362.28</v>
      </c>
      <c r="Q7" s="2">
        <v>20089.080000000002</v>
      </c>
      <c r="R7" s="2">
        <v>22870.5</v>
      </c>
      <c r="S7" s="2">
        <v>27555</v>
      </c>
      <c r="T7" s="2">
        <v>31787.67</v>
      </c>
      <c r="U7" s="2">
        <v>35757.5</v>
      </c>
    </row>
    <row r="8" spans="1:21" x14ac:dyDescent="0.25">
      <c r="A8" t="s">
        <v>17</v>
      </c>
    </row>
    <row r="9" spans="1:21" x14ac:dyDescent="0.25">
      <c r="A9" t="s">
        <v>465</v>
      </c>
    </row>
    <row r="10" spans="1:21" x14ac:dyDescent="0.25">
      <c r="A10" t="s">
        <v>60</v>
      </c>
      <c r="D10">
        <v>744.88</v>
      </c>
      <c r="E10">
        <v>991.34</v>
      </c>
      <c r="F10" s="2">
        <v>1432.81</v>
      </c>
      <c r="G10" s="2">
        <v>1841.1</v>
      </c>
      <c r="H10" s="2">
        <v>2021.15</v>
      </c>
      <c r="I10" s="2">
        <v>1830.84</v>
      </c>
      <c r="J10" s="2">
        <v>2377.73</v>
      </c>
      <c r="K10" s="2">
        <v>3716.08</v>
      </c>
      <c r="L10" s="2">
        <v>5029.49</v>
      </c>
      <c r="M10" s="2">
        <v>5884.02</v>
      </c>
      <c r="N10" s="2">
        <v>7576.9</v>
      </c>
      <c r="O10" s="2">
        <v>10434.799999999999</v>
      </c>
      <c r="P10" s="2">
        <v>13852.09</v>
      </c>
      <c r="Q10" s="2">
        <v>17160.75</v>
      </c>
      <c r="R10" s="2">
        <v>20235.939999999999</v>
      </c>
      <c r="S10" s="2">
        <v>23663.59</v>
      </c>
      <c r="T10" s="2">
        <v>26769.91</v>
      </c>
      <c r="U10" s="2">
        <v>29517.29</v>
      </c>
    </row>
    <row r="11" spans="1:21" x14ac:dyDescent="0.25">
      <c r="A11" t="s">
        <v>62</v>
      </c>
      <c r="D11">
        <v>263.58999999999997</v>
      </c>
      <c r="E11">
        <v>369.77</v>
      </c>
      <c r="F11">
        <v>538.04</v>
      </c>
      <c r="G11">
        <v>720.58</v>
      </c>
      <c r="H11">
        <v>792.38</v>
      </c>
      <c r="I11">
        <v>749.96</v>
      </c>
      <c r="J11">
        <v>958.36</v>
      </c>
      <c r="K11" s="2">
        <v>1573.63</v>
      </c>
      <c r="L11" s="2">
        <v>2061.17</v>
      </c>
      <c r="M11" s="2">
        <v>2299.06</v>
      </c>
      <c r="N11" s="2">
        <v>2978.7</v>
      </c>
      <c r="O11" s="2">
        <v>4019.06</v>
      </c>
      <c r="P11" s="2">
        <v>5603.6</v>
      </c>
      <c r="Q11" s="2">
        <v>6794.6</v>
      </c>
      <c r="R11" s="2">
        <v>8098.46</v>
      </c>
      <c r="S11" s="2">
        <v>9231.4</v>
      </c>
      <c r="T11" s="2">
        <v>10093.02</v>
      </c>
      <c r="U11" s="2">
        <v>11236.59</v>
      </c>
    </row>
    <row r="12" spans="1:21" x14ac:dyDescent="0.25">
      <c r="A12" t="s">
        <v>63</v>
      </c>
      <c r="M12" s="2">
        <v>3584.96</v>
      </c>
      <c r="N12" s="2">
        <v>4598.2</v>
      </c>
      <c r="O12" s="2">
        <v>6488.67</v>
      </c>
      <c r="P12" s="2">
        <v>8323.91</v>
      </c>
      <c r="Q12" s="2">
        <v>10136.51</v>
      </c>
      <c r="R12" s="2">
        <v>12011.63</v>
      </c>
      <c r="S12" s="2">
        <v>14280.13</v>
      </c>
      <c r="T12" s="2">
        <v>16122.84</v>
      </c>
      <c r="U12" s="2">
        <v>18298.32</v>
      </c>
    </row>
    <row r="13" spans="1:21" x14ac:dyDescent="0.25">
      <c r="A13" t="s">
        <v>468</v>
      </c>
    </row>
    <row r="14" spans="1:21" x14ac:dyDescent="0.25">
      <c r="A14" t="s">
        <v>60</v>
      </c>
      <c r="D14">
        <v>92.71</v>
      </c>
      <c r="E14">
        <v>137.83000000000001</v>
      </c>
      <c r="F14">
        <v>213.38</v>
      </c>
      <c r="G14">
        <v>310.27</v>
      </c>
      <c r="H14">
        <v>389.56</v>
      </c>
      <c r="I14">
        <v>486.67</v>
      </c>
      <c r="J14">
        <v>570.30999999999995</v>
      </c>
      <c r="K14">
        <v>665.23</v>
      </c>
      <c r="L14">
        <v>830.68</v>
      </c>
      <c r="M14" s="2">
        <v>1119.1300000000001</v>
      </c>
      <c r="N14" s="2">
        <v>1428.8</v>
      </c>
      <c r="O14" s="2">
        <v>1733.74</v>
      </c>
      <c r="P14" s="2">
        <v>2220.5</v>
      </c>
      <c r="Q14" s="2">
        <v>2761.53</v>
      </c>
      <c r="R14" s="2">
        <v>3441.89</v>
      </c>
      <c r="S14" s="2">
        <v>4063.04</v>
      </c>
      <c r="T14" s="2">
        <v>5017.84</v>
      </c>
      <c r="U14" s="2">
        <v>6240.11</v>
      </c>
    </row>
    <row r="15" spans="1:21" x14ac:dyDescent="0.25">
      <c r="A15" t="s">
        <v>62</v>
      </c>
      <c r="D15">
        <v>30.45</v>
      </c>
      <c r="E15">
        <v>36.28</v>
      </c>
      <c r="F15">
        <v>46.38</v>
      </c>
      <c r="G15">
        <v>57.41</v>
      </c>
      <c r="H15">
        <v>73.989999999999995</v>
      </c>
      <c r="I15">
        <v>85.66</v>
      </c>
      <c r="J15">
        <v>108.9</v>
      </c>
      <c r="K15">
        <v>131.99</v>
      </c>
      <c r="L15">
        <v>168.72</v>
      </c>
      <c r="M15">
        <v>212.78</v>
      </c>
      <c r="N15">
        <v>258.3</v>
      </c>
      <c r="O15">
        <v>297.45</v>
      </c>
      <c r="P15">
        <v>408.13</v>
      </c>
      <c r="Q15">
        <v>498.87</v>
      </c>
      <c r="R15">
        <v>514.52</v>
      </c>
      <c r="S15">
        <v>697.27</v>
      </c>
      <c r="T15">
        <v>884.69</v>
      </c>
      <c r="U15" s="2">
        <v>1049.43</v>
      </c>
    </row>
    <row r="16" spans="1:21" x14ac:dyDescent="0.25">
      <c r="A16" t="s">
        <v>63</v>
      </c>
      <c r="M16">
        <v>906.35</v>
      </c>
      <c r="N16" s="2">
        <v>1170.5</v>
      </c>
      <c r="O16" s="2">
        <v>1481.55</v>
      </c>
      <c r="P16" s="2">
        <v>1861.79</v>
      </c>
      <c r="Q16" s="2">
        <v>2267.83</v>
      </c>
      <c r="R16" s="2">
        <v>2838.26</v>
      </c>
      <c r="S16" s="2">
        <v>3413.69</v>
      </c>
      <c r="T16" s="2">
        <v>4347.34</v>
      </c>
      <c r="U16" s="2">
        <v>5203.16</v>
      </c>
    </row>
    <row r="17" spans="1:21" x14ac:dyDescent="0.25">
      <c r="A17" t="s">
        <v>17</v>
      </c>
    </row>
    <row r="18" spans="1:21" x14ac:dyDescent="0.25">
      <c r="A18" t="s">
        <v>1831</v>
      </c>
      <c r="B18">
        <v>122.69</v>
      </c>
      <c r="C18">
        <v>192.02</v>
      </c>
      <c r="D18">
        <v>294.02999999999997</v>
      </c>
      <c r="E18">
        <v>406.05</v>
      </c>
      <c r="F18">
        <v>584.41999999999996</v>
      </c>
      <c r="G18">
        <v>777.99</v>
      </c>
      <c r="H18">
        <v>866.37</v>
      </c>
      <c r="I18">
        <v>835.63</v>
      </c>
      <c r="J18" s="2">
        <v>1067.26</v>
      </c>
      <c r="K18" s="2">
        <v>1705.61</v>
      </c>
      <c r="L18" s="2">
        <v>2229.89</v>
      </c>
      <c r="M18" s="2">
        <v>2511.84</v>
      </c>
      <c r="N18" s="2">
        <v>3237</v>
      </c>
      <c r="O18" s="2">
        <v>4674.18</v>
      </c>
      <c r="P18" s="2">
        <v>6110.68</v>
      </c>
      <c r="Q18" s="2">
        <v>7504.57</v>
      </c>
      <c r="R18" s="2">
        <v>9035.9</v>
      </c>
      <c r="S18" s="2">
        <v>10509.53</v>
      </c>
      <c r="T18" s="2">
        <v>11366.76</v>
      </c>
      <c r="U18" s="2">
        <v>12286.02</v>
      </c>
    </row>
    <row r="19" spans="1:21" x14ac:dyDescent="0.25">
      <c r="A19" t="s">
        <v>30</v>
      </c>
      <c r="C19">
        <v>67.39</v>
      </c>
      <c r="D19">
        <v>63.6</v>
      </c>
      <c r="E19">
        <v>64.400000000000006</v>
      </c>
      <c r="F19">
        <v>64.8</v>
      </c>
      <c r="G19">
        <v>64.400000000000006</v>
      </c>
      <c r="H19">
        <v>64.099999999999994</v>
      </c>
      <c r="I19">
        <v>65</v>
      </c>
      <c r="J19">
        <v>64.8</v>
      </c>
      <c r="K19">
        <v>61.9</v>
      </c>
      <c r="L19">
        <v>62.6</v>
      </c>
      <c r="M19">
        <v>64.599999999999994</v>
      </c>
      <c r="N19">
        <v>64.599999999999994</v>
      </c>
      <c r="O19">
        <v>62.93</v>
      </c>
      <c r="P19">
        <v>62.78</v>
      </c>
      <c r="Q19">
        <v>62.85</v>
      </c>
      <c r="R19">
        <v>63.13</v>
      </c>
      <c r="S19">
        <v>63.85</v>
      </c>
      <c r="T19">
        <v>64.400000000000006</v>
      </c>
      <c r="U19">
        <v>65.64</v>
      </c>
    </row>
    <row r="20" spans="1:21" x14ac:dyDescent="0.25">
      <c r="A20" t="s">
        <v>31</v>
      </c>
      <c r="B20">
        <v>21.12</v>
      </c>
      <c r="C20">
        <v>26.22</v>
      </c>
      <c r="D20">
        <v>28.18</v>
      </c>
      <c r="E20">
        <v>29.96</v>
      </c>
      <c r="F20">
        <v>35.6</v>
      </c>
      <c r="G20">
        <v>36.67</v>
      </c>
      <c r="H20">
        <v>38.28</v>
      </c>
      <c r="I20">
        <v>37.75</v>
      </c>
      <c r="J20">
        <v>38.700000000000003</v>
      </c>
      <c r="K20">
        <v>41</v>
      </c>
      <c r="L20">
        <v>44.43</v>
      </c>
      <c r="M20">
        <v>47.5</v>
      </c>
      <c r="N20">
        <v>48.16</v>
      </c>
      <c r="O20">
        <v>48.67</v>
      </c>
      <c r="P20">
        <v>48.7</v>
      </c>
      <c r="Q20">
        <v>48.9</v>
      </c>
      <c r="R20">
        <v>48.64</v>
      </c>
      <c r="S20">
        <v>49.43</v>
      </c>
      <c r="T20">
        <v>50.43</v>
      </c>
      <c r="U20">
        <v>52.23</v>
      </c>
    </row>
    <row r="21" spans="1:21" x14ac:dyDescent="0.25">
      <c r="A21" t="s">
        <v>528</v>
      </c>
      <c r="C21">
        <v>105.54</v>
      </c>
      <c r="D21">
        <v>174.19</v>
      </c>
      <c r="E21">
        <v>241.42</v>
      </c>
      <c r="F21">
        <v>442.83</v>
      </c>
      <c r="G21">
        <v>643.32000000000005</v>
      </c>
      <c r="H21">
        <v>786.84</v>
      </c>
      <c r="I21">
        <v>826.67</v>
      </c>
      <c r="J21">
        <v>915</v>
      </c>
      <c r="K21" s="2">
        <v>1448.26</v>
      </c>
      <c r="L21" s="2">
        <v>2199.41</v>
      </c>
      <c r="M21" s="2">
        <v>2909.52</v>
      </c>
      <c r="N21" s="2">
        <v>3806</v>
      </c>
      <c r="O21" s="2">
        <v>5215.63</v>
      </c>
      <c r="P21" s="2">
        <v>6688.52</v>
      </c>
      <c r="Q21" s="2">
        <v>8263.7999999999993</v>
      </c>
      <c r="R21" s="2">
        <v>9567.86</v>
      </c>
      <c r="S21" s="2">
        <v>11557.4</v>
      </c>
      <c r="T21" s="2">
        <v>13369</v>
      </c>
      <c r="U21" s="2">
        <v>15305.5</v>
      </c>
    </row>
    <row r="22" spans="1:21" x14ac:dyDescent="0.25">
      <c r="A22" t="s">
        <v>17</v>
      </c>
    </row>
    <row r="23" spans="1:21" x14ac:dyDescent="0.25">
      <c r="A23" t="s">
        <v>37</v>
      </c>
    </row>
    <row r="24" spans="1:21" x14ac:dyDescent="0.25">
      <c r="A24" t="s">
        <v>17</v>
      </c>
    </row>
    <row r="25" spans="1:21" x14ac:dyDescent="0.25">
      <c r="A25" t="s">
        <v>38</v>
      </c>
    </row>
    <row r="26" spans="1:21" x14ac:dyDescent="0.25">
      <c r="A26" t="s">
        <v>17</v>
      </c>
    </row>
    <row r="27" spans="1:21" x14ac:dyDescent="0.25">
      <c r="A27" t="s">
        <v>1832</v>
      </c>
      <c r="B27">
        <v>1.8</v>
      </c>
      <c r="C27">
        <v>0.3</v>
      </c>
      <c r="D27">
        <v>2.2999999999999998</v>
      </c>
      <c r="E27">
        <v>261.89999999999998</v>
      </c>
      <c r="F27">
        <v>195.1</v>
      </c>
      <c r="G27">
        <v>389.2</v>
      </c>
      <c r="H27">
        <v>294.7</v>
      </c>
      <c r="I27">
        <v>454</v>
      </c>
      <c r="J27" s="2">
        <v>2540.1</v>
      </c>
      <c r="K27" s="2">
        <v>3700</v>
      </c>
      <c r="L27" s="2">
        <v>1586.7</v>
      </c>
      <c r="M27" s="2">
        <v>3100</v>
      </c>
      <c r="N27" s="2">
        <v>6800</v>
      </c>
      <c r="O27" s="2">
        <v>9700</v>
      </c>
      <c r="P27" s="2">
        <v>9700</v>
      </c>
      <c r="Q27" s="2">
        <v>9700</v>
      </c>
    </row>
    <row r="28" spans="1:21" x14ac:dyDescent="0.25">
      <c r="A28" t="s">
        <v>1833</v>
      </c>
      <c r="B28">
        <v>129.32</v>
      </c>
      <c r="C28">
        <v>8.17</v>
      </c>
      <c r="D28">
        <v>55.96</v>
      </c>
      <c r="E28">
        <v>275.67</v>
      </c>
      <c r="F28">
        <v>210.34</v>
      </c>
      <c r="G28">
        <v>408.33</v>
      </c>
      <c r="H28">
        <v>315.25</v>
      </c>
      <c r="I28">
        <v>475.73</v>
      </c>
      <c r="J28" s="2">
        <v>2318.6</v>
      </c>
      <c r="K28" s="2">
        <v>2900</v>
      </c>
      <c r="L28" s="2">
        <v>1547.2</v>
      </c>
      <c r="M28" s="2">
        <v>2800</v>
      </c>
      <c r="N28" s="2">
        <v>6300</v>
      </c>
    </row>
    <row r="29" spans="1:21" x14ac:dyDescent="0.25">
      <c r="A29" t="s">
        <v>43</v>
      </c>
      <c r="B29">
        <v>750</v>
      </c>
      <c r="C29" s="2">
        <v>1000</v>
      </c>
      <c r="D29" s="2">
        <v>1200</v>
      </c>
      <c r="E29" s="2">
        <v>1500</v>
      </c>
      <c r="F29" s="2">
        <v>1800</v>
      </c>
      <c r="G29" s="2">
        <v>2300</v>
      </c>
      <c r="H29" s="2">
        <v>2300</v>
      </c>
      <c r="I29" s="2">
        <v>2613</v>
      </c>
      <c r="J29" s="2">
        <v>2993</v>
      </c>
      <c r="K29" s="2">
        <v>3612</v>
      </c>
      <c r="L29" s="2">
        <v>4023</v>
      </c>
      <c r="M29" s="2">
        <v>4412</v>
      </c>
      <c r="N29" s="2">
        <v>5115</v>
      </c>
    </row>
    <row r="30" spans="1:21" x14ac:dyDescent="0.25">
      <c r="A30" t="s">
        <v>17</v>
      </c>
    </row>
    <row r="31" spans="1:21" x14ac:dyDescent="0.25">
      <c r="A31" t="s">
        <v>252</v>
      </c>
    </row>
    <row r="32" spans="1:21" x14ac:dyDescent="0.25">
      <c r="A32" t="s">
        <v>49</v>
      </c>
      <c r="B32">
        <v>78.81</v>
      </c>
      <c r="C32">
        <v>60.6</v>
      </c>
      <c r="D32">
        <v>62.87</v>
      </c>
      <c r="E32">
        <v>82.04</v>
      </c>
      <c r="F32">
        <v>54.84</v>
      </c>
      <c r="G32">
        <v>56.29</v>
      </c>
      <c r="H32">
        <v>59.35</v>
      </c>
      <c r="I32">
        <v>61.52</v>
      </c>
      <c r="J32">
        <v>63.95</v>
      </c>
      <c r="K32">
        <v>76.900000000000006</v>
      </c>
      <c r="L32">
        <v>64.430000000000007</v>
      </c>
      <c r="M32">
        <v>59.6</v>
      </c>
      <c r="N32">
        <v>76.48</v>
      </c>
      <c r="O32">
        <v>68.64</v>
      </c>
      <c r="P32">
        <v>66.95</v>
      </c>
      <c r="Q32">
        <v>64</v>
      </c>
      <c r="R32">
        <v>57.57</v>
      </c>
      <c r="S32">
        <v>55.9</v>
      </c>
      <c r="T32">
        <v>55.58</v>
      </c>
      <c r="U32">
        <v>48.17</v>
      </c>
    </row>
    <row r="33" spans="1:21" x14ac:dyDescent="0.25">
      <c r="A33" t="s">
        <v>789</v>
      </c>
      <c r="B33">
        <v>199.61</v>
      </c>
      <c r="C33">
        <v>153.06</v>
      </c>
      <c r="D33">
        <v>114.37</v>
      </c>
      <c r="E33">
        <v>213.16</v>
      </c>
      <c r="F33">
        <v>191.24</v>
      </c>
      <c r="G33">
        <v>124.12</v>
      </c>
      <c r="H33">
        <v>102.72</v>
      </c>
      <c r="I33">
        <v>210.09</v>
      </c>
      <c r="J33">
        <v>222.34</v>
      </c>
      <c r="K33">
        <v>276</v>
      </c>
      <c r="L33">
        <v>318.39999999999998</v>
      </c>
      <c r="M33">
        <v>267.32</v>
      </c>
      <c r="N33">
        <v>253.38</v>
      </c>
      <c r="O33">
        <v>225.49</v>
      </c>
      <c r="P33">
        <v>229.63</v>
      </c>
      <c r="Q33">
        <v>226.36</v>
      </c>
      <c r="R33">
        <v>250</v>
      </c>
      <c r="S33">
        <v>250</v>
      </c>
      <c r="T33">
        <v>250</v>
      </c>
      <c r="U33">
        <v>143.05000000000001</v>
      </c>
    </row>
    <row r="34" spans="1:21" x14ac:dyDescent="0.25">
      <c r="A34" t="s">
        <v>569</v>
      </c>
      <c r="B34">
        <v>2.69</v>
      </c>
      <c r="C34">
        <v>2.6</v>
      </c>
      <c r="D34">
        <v>3.41</v>
      </c>
      <c r="E34">
        <v>2.4700000000000002</v>
      </c>
      <c r="F34">
        <v>2.15</v>
      </c>
      <c r="G34">
        <v>2.73</v>
      </c>
      <c r="H34">
        <v>3.41</v>
      </c>
      <c r="I34">
        <v>2.31</v>
      </c>
      <c r="J34">
        <v>1.89</v>
      </c>
      <c r="K34">
        <v>1.76</v>
      </c>
      <c r="L34">
        <v>1.38</v>
      </c>
      <c r="M34">
        <v>1.33</v>
      </c>
      <c r="N34">
        <v>1.59</v>
      </c>
      <c r="O34">
        <v>1.67</v>
      </c>
      <c r="P34">
        <v>1.67</v>
      </c>
      <c r="Q34">
        <v>1.52</v>
      </c>
      <c r="R34">
        <v>2.08</v>
      </c>
      <c r="S34">
        <v>2.0499999999999998</v>
      </c>
      <c r="T34">
        <v>2.0099999999999998</v>
      </c>
      <c r="U34">
        <v>2.34</v>
      </c>
    </row>
    <row r="35" spans="1:21" x14ac:dyDescent="0.25">
      <c r="A35" t="s">
        <v>963</v>
      </c>
      <c r="B35">
        <v>1.35</v>
      </c>
      <c r="C35">
        <v>4.71</v>
      </c>
      <c r="D35">
        <v>4.1500000000000004</v>
      </c>
      <c r="E35">
        <v>3.32</v>
      </c>
      <c r="F35">
        <v>4.28</v>
      </c>
      <c r="G35">
        <v>4.4800000000000004</v>
      </c>
      <c r="H35">
        <v>5.81</v>
      </c>
      <c r="I35">
        <v>4.99</v>
      </c>
      <c r="J35">
        <v>4.34</v>
      </c>
      <c r="K35">
        <v>4.29</v>
      </c>
      <c r="L35">
        <v>4.38</v>
      </c>
      <c r="M35">
        <v>4.3600000000000003</v>
      </c>
      <c r="N35">
        <v>3.05</v>
      </c>
      <c r="O35">
        <v>3.41</v>
      </c>
      <c r="P35">
        <v>3.98</v>
      </c>
      <c r="Q35">
        <v>4.87</v>
      </c>
      <c r="R35">
        <v>4.34</v>
      </c>
      <c r="S35">
        <v>4.83</v>
      </c>
      <c r="T35">
        <v>5.39</v>
      </c>
      <c r="U35">
        <v>6.02</v>
      </c>
    </row>
    <row r="36" spans="1:21" x14ac:dyDescent="0.25">
      <c r="A36" t="s">
        <v>17</v>
      </c>
    </row>
    <row r="37" spans="1:21" x14ac:dyDescent="0.25">
      <c r="A37" t="s">
        <v>570</v>
      </c>
    </row>
    <row r="38" spans="1:21" x14ac:dyDescent="0.25">
      <c r="A38" t="s">
        <v>1834</v>
      </c>
    </row>
    <row r="39" spans="1:21" x14ac:dyDescent="0.25">
      <c r="A39" t="s">
        <v>1835</v>
      </c>
      <c r="J39">
        <v>884.41</v>
      </c>
      <c r="K39" s="2">
        <v>2015.4</v>
      </c>
      <c r="L39" s="2">
        <v>2519.87</v>
      </c>
      <c r="M39" s="2">
        <v>3361.51</v>
      </c>
      <c r="O39" s="2">
        <v>6060.79</v>
      </c>
      <c r="P39" s="2">
        <v>7524.3</v>
      </c>
      <c r="Q39" s="2">
        <v>9673.19</v>
      </c>
      <c r="R39" s="2">
        <v>12300.91</v>
      </c>
    </row>
    <row r="40" spans="1:21" x14ac:dyDescent="0.25">
      <c r="A40" t="s">
        <v>1836</v>
      </c>
      <c r="O40" s="2">
        <v>2945.81</v>
      </c>
      <c r="P40" s="2">
        <v>3582.45</v>
      </c>
      <c r="Q40" s="2">
        <v>4553.92</v>
      </c>
      <c r="R40" s="2">
        <v>5277.96</v>
      </c>
    </row>
    <row r="41" spans="1:21" x14ac:dyDescent="0.25">
      <c r="A41" t="s">
        <v>1837</v>
      </c>
      <c r="O41" s="2">
        <v>1786.29</v>
      </c>
      <c r="P41" s="2">
        <v>2130.1999999999998</v>
      </c>
      <c r="Q41" s="2">
        <v>2763.89</v>
      </c>
      <c r="R41" s="2">
        <v>4259.04</v>
      </c>
    </row>
    <row r="42" spans="1:21" x14ac:dyDescent="0.25">
      <c r="A42" t="s">
        <v>78</v>
      </c>
      <c r="O42" s="2">
        <v>1411.19</v>
      </c>
      <c r="P42" s="2">
        <v>1692.06</v>
      </c>
      <c r="Q42" s="2">
        <v>2210.0700000000002</v>
      </c>
      <c r="R42" s="2">
        <v>2763.91</v>
      </c>
    </row>
    <row r="43" spans="1:21" x14ac:dyDescent="0.25">
      <c r="A43" t="s">
        <v>1838</v>
      </c>
      <c r="J43" s="2">
        <v>1179.21</v>
      </c>
      <c r="K43" s="2">
        <v>1402.02</v>
      </c>
      <c r="L43" s="2">
        <v>2109.66</v>
      </c>
      <c r="M43" s="2">
        <v>2451.1</v>
      </c>
      <c r="O43" s="2">
        <v>3526.1</v>
      </c>
      <c r="P43" s="2">
        <v>4381.8900000000003</v>
      </c>
      <c r="Q43" s="2">
        <v>5208.49</v>
      </c>
      <c r="R43" s="2">
        <v>5148.38</v>
      </c>
    </row>
    <row r="44" spans="1:21" x14ac:dyDescent="0.25">
      <c r="A44" t="s">
        <v>1839</v>
      </c>
      <c r="O44" s="2">
        <v>1150.79</v>
      </c>
      <c r="P44" s="2">
        <v>1496.61</v>
      </c>
      <c r="Q44" s="2">
        <v>1435.6</v>
      </c>
    </row>
    <row r="45" spans="1:21" x14ac:dyDescent="0.25">
      <c r="A45" t="s">
        <v>1840</v>
      </c>
      <c r="O45" s="2">
        <v>2297.9499999999998</v>
      </c>
      <c r="P45" s="2">
        <v>2353.4699999999998</v>
      </c>
      <c r="Q45" s="2">
        <v>2387.13</v>
      </c>
      <c r="R45" s="2">
        <v>2421.85</v>
      </c>
    </row>
    <row r="46" spans="1:21" x14ac:dyDescent="0.25">
      <c r="A46" t="s">
        <v>1841</v>
      </c>
      <c r="J46">
        <v>884.41</v>
      </c>
      <c r="K46">
        <v>963.89</v>
      </c>
      <c r="L46" s="2">
        <v>1230.6400000000001</v>
      </c>
      <c r="M46" s="2">
        <v>1190.53</v>
      </c>
      <c r="O46" s="2">
        <v>2472.36</v>
      </c>
      <c r="P46" s="2">
        <v>3274.47</v>
      </c>
      <c r="Q46" s="2">
        <v>4347.9799999999996</v>
      </c>
      <c r="R46" s="2">
        <v>6227.84</v>
      </c>
    </row>
    <row r="47" spans="1:21" x14ac:dyDescent="0.25">
      <c r="A47" t="s">
        <v>17</v>
      </c>
    </row>
    <row r="48" spans="1:21" x14ac:dyDescent="0.25">
      <c r="A48" t="s">
        <v>1842</v>
      </c>
    </row>
    <row r="49" spans="1:21" x14ac:dyDescent="0.25">
      <c r="A49" t="s">
        <v>1835</v>
      </c>
      <c r="J49">
        <v>30</v>
      </c>
      <c r="K49">
        <v>46</v>
      </c>
      <c r="L49">
        <v>43</v>
      </c>
      <c r="M49">
        <v>48</v>
      </c>
      <c r="O49">
        <v>47.24</v>
      </c>
      <c r="P49">
        <v>48.45</v>
      </c>
      <c r="Q49">
        <v>49.38</v>
      </c>
      <c r="R49">
        <v>52</v>
      </c>
    </row>
    <row r="50" spans="1:21" x14ac:dyDescent="0.25">
      <c r="A50" t="s">
        <v>1838</v>
      </c>
      <c r="J50">
        <v>40</v>
      </c>
      <c r="K50">
        <v>32</v>
      </c>
      <c r="L50">
        <v>36</v>
      </c>
      <c r="M50">
        <v>35</v>
      </c>
      <c r="O50">
        <v>28.75</v>
      </c>
      <c r="P50">
        <v>28.26</v>
      </c>
      <c r="Q50">
        <v>28.1</v>
      </c>
      <c r="R50">
        <v>21.75</v>
      </c>
    </row>
    <row r="51" spans="1:21" x14ac:dyDescent="0.25">
      <c r="A51" t="s">
        <v>1841</v>
      </c>
      <c r="J51">
        <v>30</v>
      </c>
      <c r="K51">
        <v>22</v>
      </c>
      <c r="L51">
        <v>21</v>
      </c>
      <c r="M51">
        <v>17</v>
      </c>
      <c r="O51">
        <v>18.57</v>
      </c>
      <c r="P51">
        <v>19.23</v>
      </c>
      <c r="Q51">
        <v>21.59</v>
      </c>
      <c r="R51">
        <v>23.11</v>
      </c>
      <c r="S51">
        <v>16.68</v>
      </c>
      <c r="T51">
        <v>16.53</v>
      </c>
      <c r="U51">
        <v>16.38</v>
      </c>
    </row>
    <row r="52" spans="1:21" x14ac:dyDescent="0.25">
      <c r="A52" t="s">
        <v>17</v>
      </c>
    </row>
    <row r="53" spans="1:21" x14ac:dyDescent="0.25">
      <c r="A53" t="s">
        <v>1843</v>
      </c>
    </row>
    <row r="54" spans="1:21" x14ac:dyDescent="0.25">
      <c r="A54" t="s">
        <v>530</v>
      </c>
      <c r="O54" s="2">
        <v>8960.73</v>
      </c>
      <c r="P54" s="2">
        <v>11115.21</v>
      </c>
      <c r="Q54" s="2">
        <v>16871.599999999999</v>
      </c>
    </row>
    <row r="55" spans="1:21" x14ac:dyDescent="0.25">
      <c r="A55" t="s">
        <v>1844</v>
      </c>
      <c r="O55" s="2">
        <v>2194.48</v>
      </c>
      <c r="P55" s="2">
        <v>2847.72</v>
      </c>
      <c r="Q55" s="2">
        <v>3841.81</v>
      </c>
      <c r="R55" s="2">
        <v>5103.8</v>
      </c>
    </row>
    <row r="56" spans="1:21" x14ac:dyDescent="0.25">
      <c r="A56" t="s">
        <v>1845</v>
      </c>
      <c r="O56" s="2">
        <v>1150.79</v>
      </c>
      <c r="P56" s="2">
        <v>1496.61</v>
      </c>
      <c r="Q56" s="2">
        <v>1435.6</v>
      </c>
    </row>
    <row r="57" spans="1:21" x14ac:dyDescent="0.25">
      <c r="A57" t="s">
        <v>1846</v>
      </c>
      <c r="O57">
        <v>865.57</v>
      </c>
      <c r="P57" s="2">
        <v>1103.4000000000001</v>
      </c>
    </row>
    <row r="58" spans="1:21" x14ac:dyDescent="0.25">
      <c r="A58" t="s">
        <v>1847</v>
      </c>
      <c r="O58" s="2">
        <v>1216.96</v>
      </c>
      <c r="P58" s="2">
        <v>1055.92</v>
      </c>
      <c r="Q58">
        <v>153.05000000000001</v>
      </c>
      <c r="R58">
        <v>107.1</v>
      </c>
    </row>
    <row r="59" spans="1:21" x14ac:dyDescent="0.25">
      <c r="A59" t="s">
        <v>17</v>
      </c>
    </row>
    <row r="60" spans="1:21" x14ac:dyDescent="0.25">
      <c r="A60" t="s">
        <v>58</v>
      </c>
    </row>
    <row r="61" spans="1:21" x14ac:dyDescent="0.25">
      <c r="A61" t="s">
        <v>465</v>
      </c>
    </row>
    <row r="62" spans="1:21" x14ac:dyDescent="0.25">
      <c r="A62" t="s">
        <v>60</v>
      </c>
      <c r="D62">
        <v>744.88</v>
      </c>
      <c r="E62">
        <v>991.34</v>
      </c>
      <c r="F62" s="2">
        <v>1432.81</v>
      </c>
      <c r="G62" s="2">
        <v>1841.1</v>
      </c>
      <c r="H62" s="2">
        <v>2021.15</v>
      </c>
      <c r="I62" s="2">
        <v>1830.84</v>
      </c>
      <c r="J62" s="2">
        <v>2377.73</v>
      </c>
      <c r="K62" s="2">
        <v>3716.08</v>
      </c>
      <c r="L62" s="2">
        <v>5029.49</v>
      </c>
      <c r="M62" s="2">
        <v>5884.02</v>
      </c>
      <c r="N62" s="2">
        <v>7576.9</v>
      </c>
      <c r="O62" s="2">
        <v>10434.799999999999</v>
      </c>
      <c r="P62" s="2">
        <v>13852.09</v>
      </c>
      <c r="Q62" s="2">
        <v>17160.75</v>
      </c>
      <c r="R62" s="2">
        <v>20235.939999999999</v>
      </c>
      <c r="S62" s="2">
        <v>23663.59</v>
      </c>
      <c r="T62" s="2">
        <v>26769.91</v>
      </c>
      <c r="U62" s="2">
        <v>29517.29</v>
      </c>
    </row>
    <row r="63" spans="1:21" x14ac:dyDescent="0.25">
      <c r="A63" t="s">
        <v>61</v>
      </c>
      <c r="D63">
        <v>88.9</v>
      </c>
      <c r="E63">
        <v>87.8</v>
      </c>
      <c r="F63">
        <v>87</v>
      </c>
      <c r="G63">
        <v>85.6</v>
      </c>
      <c r="H63">
        <v>83.8</v>
      </c>
      <c r="I63">
        <v>79</v>
      </c>
      <c r="J63">
        <v>80.7</v>
      </c>
      <c r="K63">
        <v>84.8</v>
      </c>
      <c r="L63">
        <v>85.8</v>
      </c>
      <c r="M63">
        <v>84</v>
      </c>
      <c r="N63">
        <v>84.1</v>
      </c>
      <c r="O63">
        <v>85.73</v>
      </c>
      <c r="P63">
        <v>86.07</v>
      </c>
      <c r="Q63">
        <v>86.39</v>
      </c>
      <c r="R63">
        <v>85.47</v>
      </c>
      <c r="S63">
        <v>85.4</v>
      </c>
      <c r="T63">
        <v>84.38</v>
      </c>
      <c r="U63">
        <v>83</v>
      </c>
    </row>
    <row r="64" spans="1:21" x14ac:dyDescent="0.25">
      <c r="A64" t="s">
        <v>62</v>
      </c>
      <c r="D64">
        <v>263.58999999999997</v>
      </c>
      <c r="E64">
        <v>369.77</v>
      </c>
      <c r="F64">
        <v>538.04</v>
      </c>
      <c r="G64">
        <v>720.58</v>
      </c>
      <c r="H64">
        <v>792.38</v>
      </c>
      <c r="I64">
        <v>749.96</v>
      </c>
      <c r="J64">
        <v>958.36</v>
      </c>
      <c r="K64" s="2">
        <v>1573.63</v>
      </c>
      <c r="L64" s="2">
        <v>2061.17</v>
      </c>
      <c r="M64" s="2">
        <v>2299.06</v>
      </c>
      <c r="N64" s="2">
        <v>2978.7</v>
      </c>
      <c r="O64" s="2">
        <v>4019.06</v>
      </c>
      <c r="P64" s="2">
        <v>5603.6</v>
      </c>
      <c r="Q64" s="2">
        <v>6794.6</v>
      </c>
      <c r="R64" s="2">
        <v>8098.46</v>
      </c>
      <c r="S64" s="2">
        <v>9231.4</v>
      </c>
      <c r="T64" s="2">
        <v>10093.02</v>
      </c>
      <c r="U64" s="2">
        <v>11236.59</v>
      </c>
    </row>
    <row r="65" spans="1:21" x14ac:dyDescent="0.25">
      <c r="A65" t="s">
        <v>63</v>
      </c>
      <c r="M65" s="2">
        <v>3584.96</v>
      </c>
      <c r="N65" s="2">
        <v>4598.2</v>
      </c>
      <c r="O65" s="2">
        <v>6488.67</v>
      </c>
      <c r="P65" s="2">
        <v>8323.91</v>
      </c>
      <c r="Q65" s="2">
        <v>10136.51</v>
      </c>
      <c r="R65" s="2">
        <v>12011.63</v>
      </c>
      <c r="S65" s="2">
        <v>14280.13</v>
      </c>
      <c r="T65" s="2">
        <v>16122.84</v>
      </c>
      <c r="U65" s="2">
        <v>18298.32</v>
      </c>
    </row>
    <row r="66" spans="1:21" x14ac:dyDescent="0.25">
      <c r="A66" t="s">
        <v>64</v>
      </c>
      <c r="M66">
        <v>60.93</v>
      </c>
      <c r="N66">
        <v>60.69</v>
      </c>
      <c r="O66">
        <v>62.98</v>
      </c>
      <c r="P66">
        <v>62.63</v>
      </c>
      <c r="Q66">
        <v>62.42</v>
      </c>
      <c r="R66">
        <v>63.95</v>
      </c>
      <c r="S66">
        <v>66.64</v>
      </c>
      <c r="T66">
        <v>64.25</v>
      </c>
      <c r="U66">
        <v>62.85</v>
      </c>
    </row>
    <row r="67" spans="1:21" x14ac:dyDescent="0.25">
      <c r="A67" t="s">
        <v>17</v>
      </c>
    </row>
    <row r="68" spans="1:21" x14ac:dyDescent="0.25">
      <c r="A68" t="s">
        <v>468</v>
      </c>
    </row>
    <row r="69" spans="1:21" x14ac:dyDescent="0.25">
      <c r="A69" t="s">
        <v>60</v>
      </c>
      <c r="D69">
        <v>92.71</v>
      </c>
      <c r="E69">
        <v>137.83000000000001</v>
      </c>
      <c r="F69">
        <v>213.38</v>
      </c>
      <c r="G69">
        <v>310.27</v>
      </c>
      <c r="H69">
        <v>389.56</v>
      </c>
      <c r="I69">
        <v>486.67</v>
      </c>
      <c r="J69">
        <v>570.30999999999995</v>
      </c>
      <c r="K69">
        <v>665.23</v>
      </c>
      <c r="L69">
        <v>830.68</v>
      </c>
      <c r="M69" s="2">
        <v>1119.1300000000001</v>
      </c>
      <c r="N69" s="2">
        <v>1428.8</v>
      </c>
      <c r="O69" s="2">
        <v>1733.74</v>
      </c>
      <c r="P69" s="2">
        <v>2220.5</v>
      </c>
      <c r="Q69" s="2">
        <v>2761.53</v>
      </c>
      <c r="R69" s="2">
        <v>3441.89</v>
      </c>
      <c r="S69" s="2">
        <v>4063.04</v>
      </c>
      <c r="T69" s="2">
        <v>5017.84</v>
      </c>
      <c r="U69" s="2">
        <v>6240.11</v>
      </c>
    </row>
    <row r="70" spans="1:21" x14ac:dyDescent="0.25">
      <c r="A70" t="s">
        <v>61</v>
      </c>
      <c r="D70">
        <v>11.1</v>
      </c>
      <c r="E70">
        <v>12.2</v>
      </c>
      <c r="F70">
        <v>13</v>
      </c>
      <c r="G70">
        <v>14.4</v>
      </c>
      <c r="H70">
        <v>16.2</v>
      </c>
      <c r="I70">
        <v>21</v>
      </c>
      <c r="J70">
        <v>19.3</v>
      </c>
      <c r="K70">
        <v>15.2</v>
      </c>
      <c r="L70">
        <v>14.2</v>
      </c>
      <c r="M70">
        <v>16</v>
      </c>
      <c r="N70">
        <v>15.9</v>
      </c>
      <c r="O70">
        <v>14.29</v>
      </c>
      <c r="P70">
        <v>13.99</v>
      </c>
      <c r="Q70">
        <v>13.8</v>
      </c>
      <c r="R70">
        <v>14.53</v>
      </c>
      <c r="S70">
        <v>14.6</v>
      </c>
      <c r="T70">
        <v>15.62</v>
      </c>
      <c r="U70">
        <v>17</v>
      </c>
    </row>
    <row r="71" spans="1:21" x14ac:dyDescent="0.25">
      <c r="A71" t="s">
        <v>62</v>
      </c>
      <c r="D71">
        <v>30.45</v>
      </c>
      <c r="E71">
        <v>36.28</v>
      </c>
      <c r="F71">
        <v>46.38</v>
      </c>
      <c r="G71">
        <v>57.41</v>
      </c>
      <c r="H71">
        <v>73.989999999999995</v>
      </c>
      <c r="I71">
        <v>85.66</v>
      </c>
      <c r="J71">
        <v>108.9</v>
      </c>
      <c r="K71">
        <v>131.99</v>
      </c>
      <c r="L71">
        <v>168.72</v>
      </c>
      <c r="M71">
        <v>212.78</v>
      </c>
      <c r="N71">
        <v>258.3</v>
      </c>
      <c r="O71">
        <v>297.45</v>
      </c>
      <c r="P71">
        <v>408.13</v>
      </c>
      <c r="Q71">
        <v>498.87</v>
      </c>
      <c r="R71">
        <v>514.52</v>
      </c>
      <c r="S71">
        <v>697.27</v>
      </c>
      <c r="T71">
        <v>884.69</v>
      </c>
      <c r="U71" s="2">
        <v>1049.43</v>
      </c>
    </row>
    <row r="72" spans="1:21" x14ac:dyDescent="0.25">
      <c r="A72" t="s">
        <v>63</v>
      </c>
      <c r="M72">
        <v>906.35</v>
      </c>
      <c r="N72" s="2">
        <v>1170.5</v>
      </c>
      <c r="O72" s="2">
        <v>1481.55</v>
      </c>
      <c r="P72" s="2">
        <v>1861.79</v>
      </c>
      <c r="Q72" s="2">
        <v>2267.83</v>
      </c>
      <c r="R72" s="2">
        <v>2838.26</v>
      </c>
      <c r="S72" s="2">
        <v>3413.69</v>
      </c>
      <c r="T72" s="2">
        <v>4347.34</v>
      </c>
      <c r="U72" s="2">
        <v>5203.16</v>
      </c>
    </row>
    <row r="73" spans="1:21" x14ac:dyDescent="0.25">
      <c r="A73" t="s">
        <v>64</v>
      </c>
      <c r="M73">
        <v>80.989999999999995</v>
      </c>
      <c r="N73">
        <v>81.92</v>
      </c>
      <c r="O73">
        <v>82.24</v>
      </c>
      <c r="P73">
        <v>82.09</v>
      </c>
      <c r="Q73">
        <v>81.8</v>
      </c>
      <c r="R73">
        <v>82.57</v>
      </c>
      <c r="S73">
        <v>83.6</v>
      </c>
      <c r="T73">
        <v>83.32</v>
      </c>
      <c r="U73">
        <v>83.44</v>
      </c>
    </row>
    <row r="74" spans="1:21" x14ac:dyDescent="0.25">
      <c r="A74" t="s">
        <v>17</v>
      </c>
    </row>
    <row r="75" spans="1:21" x14ac:dyDescent="0.25">
      <c r="A75" t="s">
        <v>72</v>
      </c>
    </row>
    <row r="76" spans="1:21" x14ac:dyDescent="0.25">
      <c r="A76" t="s">
        <v>1848</v>
      </c>
    </row>
    <row r="77" spans="1:21" x14ac:dyDescent="0.25">
      <c r="A77" t="s">
        <v>472</v>
      </c>
      <c r="E77">
        <v>874.74</v>
      </c>
      <c r="F77" s="2">
        <v>1192.29</v>
      </c>
      <c r="G77" s="2">
        <v>1550.45</v>
      </c>
      <c r="H77" s="2">
        <v>1833.16</v>
      </c>
      <c r="I77" s="2">
        <v>1771.99</v>
      </c>
      <c r="J77" s="2">
        <v>2156.1799999999998</v>
      </c>
      <c r="K77" s="2">
        <v>3462.62</v>
      </c>
      <c r="L77" s="2">
        <v>4651.1899999999996</v>
      </c>
      <c r="M77" s="2">
        <v>5729.04</v>
      </c>
      <c r="N77" s="2">
        <v>7122.1</v>
      </c>
      <c r="O77" s="2">
        <v>4628</v>
      </c>
    </row>
    <row r="78" spans="1:21" x14ac:dyDescent="0.25">
      <c r="A78" t="s">
        <v>1849</v>
      </c>
      <c r="E78">
        <v>77.5</v>
      </c>
      <c r="F78">
        <v>72.400000000000006</v>
      </c>
      <c r="G78">
        <v>72.099999999999994</v>
      </c>
      <c r="H78">
        <v>76.099999999999994</v>
      </c>
      <c r="I78">
        <v>76.5</v>
      </c>
      <c r="J78">
        <v>73.2</v>
      </c>
      <c r="K78">
        <v>79</v>
      </c>
      <c r="L78">
        <v>79.400000000000006</v>
      </c>
      <c r="M78">
        <v>81.8</v>
      </c>
      <c r="N78">
        <v>79.099999999999994</v>
      </c>
      <c r="O78">
        <v>56.7</v>
      </c>
      <c r="P78">
        <v>71.58</v>
      </c>
    </row>
    <row r="79" spans="1:21" x14ac:dyDescent="0.25">
      <c r="A79" t="s">
        <v>1850</v>
      </c>
      <c r="B79">
        <v>40.58</v>
      </c>
      <c r="C79">
        <v>74.56</v>
      </c>
      <c r="D79">
        <v>128.4</v>
      </c>
      <c r="E79">
        <v>168.79</v>
      </c>
      <c r="F79">
        <v>299.55</v>
      </c>
      <c r="G79">
        <v>414.07</v>
      </c>
      <c r="H79">
        <v>381.65</v>
      </c>
      <c r="I79">
        <v>326.73</v>
      </c>
      <c r="J79">
        <v>486.84</v>
      </c>
      <c r="K79">
        <v>529.79999999999995</v>
      </c>
      <c r="L79">
        <v>670.96</v>
      </c>
      <c r="M79">
        <v>713.18</v>
      </c>
      <c r="N79" s="2">
        <v>1070.3</v>
      </c>
      <c r="O79">
        <v>673.2</v>
      </c>
    </row>
    <row r="80" spans="1:21" x14ac:dyDescent="0.25">
      <c r="A80" t="s">
        <v>1849</v>
      </c>
      <c r="B80">
        <v>11.2</v>
      </c>
      <c r="C80">
        <v>12.8</v>
      </c>
      <c r="D80">
        <v>15.3</v>
      </c>
      <c r="E80">
        <v>14.9</v>
      </c>
      <c r="F80">
        <v>18.2</v>
      </c>
      <c r="G80">
        <v>19.2</v>
      </c>
      <c r="H80">
        <v>15.8</v>
      </c>
      <c r="I80">
        <v>14.1</v>
      </c>
      <c r="J80">
        <v>16.5</v>
      </c>
      <c r="K80">
        <v>12.1</v>
      </c>
      <c r="L80">
        <v>11.4</v>
      </c>
      <c r="M80">
        <v>10.199999999999999</v>
      </c>
      <c r="N80">
        <v>11.9</v>
      </c>
      <c r="O80">
        <v>5.33</v>
      </c>
    </row>
    <row r="81" spans="1:21" x14ac:dyDescent="0.25">
      <c r="A81" t="s">
        <v>1774</v>
      </c>
      <c r="B81">
        <v>21.03</v>
      </c>
      <c r="C81">
        <v>44.01</v>
      </c>
      <c r="D81">
        <v>62.27</v>
      </c>
      <c r="E81">
        <v>85.64</v>
      </c>
      <c r="F81">
        <v>154.35</v>
      </c>
      <c r="G81">
        <v>186.85</v>
      </c>
      <c r="H81">
        <v>195.89</v>
      </c>
      <c r="I81">
        <v>218.79</v>
      </c>
      <c r="J81">
        <v>305.02</v>
      </c>
      <c r="K81">
        <v>388.89</v>
      </c>
      <c r="L81">
        <v>538.02</v>
      </c>
      <c r="M81">
        <v>560.92999999999995</v>
      </c>
      <c r="N81">
        <v>813.3</v>
      </c>
      <c r="O81">
        <v>443.75</v>
      </c>
    </row>
    <row r="82" spans="1:21" x14ac:dyDescent="0.25">
      <c r="A82" t="s">
        <v>1849</v>
      </c>
      <c r="B82">
        <v>5.9</v>
      </c>
      <c r="C82">
        <v>7.5</v>
      </c>
      <c r="D82">
        <v>7.4</v>
      </c>
      <c r="E82">
        <v>7.6</v>
      </c>
      <c r="F82">
        <v>9.4</v>
      </c>
      <c r="G82">
        <v>8.6999999999999993</v>
      </c>
      <c r="H82">
        <v>8.1</v>
      </c>
      <c r="I82">
        <v>9.4</v>
      </c>
      <c r="J82">
        <v>10.3</v>
      </c>
      <c r="K82">
        <v>8.9</v>
      </c>
      <c r="L82">
        <v>9.1999999999999993</v>
      </c>
      <c r="M82">
        <v>8</v>
      </c>
      <c r="N82">
        <v>9</v>
      </c>
      <c r="O82">
        <v>3.51</v>
      </c>
    </row>
    <row r="83" spans="1:21" x14ac:dyDescent="0.25">
      <c r="A83" t="s">
        <v>17</v>
      </c>
    </row>
    <row r="84" spans="1:21" x14ac:dyDescent="0.25">
      <c r="A84" t="s">
        <v>79</v>
      </c>
    </row>
    <row r="85" spans="1:21" x14ac:dyDescent="0.25">
      <c r="A85" t="s">
        <v>80</v>
      </c>
      <c r="C85">
        <v>584.11</v>
      </c>
      <c r="D85">
        <v>837.59</v>
      </c>
      <c r="E85" s="2">
        <v>1129.17</v>
      </c>
      <c r="F85" s="2">
        <v>1646.19</v>
      </c>
      <c r="G85" s="2">
        <v>2151.37</v>
      </c>
      <c r="H85" s="2">
        <v>2410.71</v>
      </c>
      <c r="I85" s="2">
        <v>2317.5100000000002</v>
      </c>
      <c r="J85" s="2">
        <v>2948.04</v>
      </c>
      <c r="K85" s="2">
        <v>4381.3100000000004</v>
      </c>
      <c r="L85" s="2">
        <v>5860.17</v>
      </c>
      <c r="M85" s="2">
        <v>7003.15</v>
      </c>
      <c r="N85" s="2">
        <v>9005.7000000000007</v>
      </c>
      <c r="O85" s="2">
        <v>12642.16</v>
      </c>
      <c r="P85" s="2">
        <v>16362.28</v>
      </c>
      <c r="Q85" s="2">
        <v>20089.080000000002</v>
      </c>
      <c r="R85" s="2">
        <v>22870.5</v>
      </c>
      <c r="S85" s="2">
        <v>27555</v>
      </c>
      <c r="T85" s="2">
        <v>31787.67</v>
      </c>
      <c r="U85" s="2">
        <v>35757.5</v>
      </c>
    </row>
    <row r="86" spans="1:21" x14ac:dyDescent="0.25">
      <c r="A86" t="s">
        <v>82</v>
      </c>
      <c r="B86">
        <v>122.69</v>
      </c>
      <c r="C86">
        <v>192.02</v>
      </c>
      <c r="D86">
        <v>294.02999999999997</v>
      </c>
      <c r="E86">
        <v>406.05</v>
      </c>
      <c r="F86">
        <v>584.41999999999996</v>
      </c>
      <c r="G86">
        <v>777.99</v>
      </c>
      <c r="H86">
        <v>866.37</v>
      </c>
      <c r="I86">
        <v>835.63</v>
      </c>
      <c r="J86" s="2">
        <v>1067.26</v>
      </c>
      <c r="K86" s="2">
        <v>1705.61</v>
      </c>
      <c r="L86" s="2">
        <v>2229.89</v>
      </c>
      <c r="M86" s="2">
        <v>2511.84</v>
      </c>
      <c r="N86" s="2">
        <v>3237</v>
      </c>
      <c r="O86" s="2">
        <v>4674.18</v>
      </c>
      <c r="P86" s="2">
        <v>6110.68</v>
      </c>
      <c r="Q86" s="2">
        <v>7504.57</v>
      </c>
      <c r="R86" s="2">
        <v>9035.9</v>
      </c>
      <c r="S86" s="2">
        <v>10509.53</v>
      </c>
      <c r="T86" s="2">
        <v>11366.76</v>
      </c>
      <c r="U86" s="2">
        <v>12286.02</v>
      </c>
    </row>
    <row r="87" spans="1:21" x14ac:dyDescent="0.25">
      <c r="A87" t="s">
        <v>84</v>
      </c>
      <c r="B87">
        <v>238.54</v>
      </c>
      <c r="C87">
        <v>392.09</v>
      </c>
      <c r="D87">
        <v>543.55999999999995</v>
      </c>
      <c r="E87">
        <v>723.12</v>
      </c>
      <c r="F87" s="2">
        <v>1061.77</v>
      </c>
      <c r="G87" s="2">
        <v>1373.38</v>
      </c>
      <c r="H87" s="2">
        <v>1544.34</v>
      </c>
      <c r="I87" s="2">
        <v>1481.89</v>
      </c>
      <c r="J87" s="2">
        <v>1880.78</v>
      </c>
      <c r="K87" s="2">
        <v>2675.7</v>
      </c>
      <c r="L87" s="2">
        <v>3630.28</v>
      </c>
      <c r="M87" s="2">
        <v>4491.3</v>
      </c>
      <c r="N87" s="2">
        <v>5768.7</v>
      </c>
      <c r="O87" s="2">
        <v>7866.43</v>
      </c>
      <c r="P87" s="2">
        <v>10249.34</v>
      </c>
      <c r="Q87" s="2">
        <v>12468.82</v>
      </c>
      <c r="R87" s="2">
        <v>14871.13</v>
      </c>
      <c r="S87" s="2">
        <v>17186.61</v>
      </c>
      <c r="T87" s="2">
        <v>19424.79</v>
      </c>
      <c r="U87" s="2">
        <v>20480.34</v>
      </c>
    </row>
    <row r="88" spans="1:21" x14ac:dyDescent="0.25">
      <c r="A88" t="s">
        <v>85</v>
      </c>
      <c r="B88">
        <v>66</v>
      </c>
      <c r="C88">
        <v>67.099999999999994</v>
      </c>
      <c r="D88">
        <v>64.900000000000006</v>
      </c>
      <c r="E88">
        <v>64</v>
      </c>
      <c r="F88">
        <v>64.5</v>
      </c>
      <c r="G88">
        <v>63.8</v>
      </c>
      <c r="H88">
        <v>64.099999999999994</v>
      </c>
      <c r="I88">
        <v>63.9</v>
      </c>
      <c r="J88">
        <v>63.8</v>
      </c>
      <c r="K88">
        <v>61.1</v>
      </c>
      <c r="L88">
        <v>61.9</v>
      </c>
      <c r="M88">
        <v>64.099999999999994</v>
      </c>
      <c r="N88">
        <v>64.099999999999994</v>
      </c>
    </row>
    <row r="89" spans="1:21" x14ac:dyDescent="0.25">
      <c r="A89" t="s">
        <v>17</v>
      </c>
    </row>
    <row r="90" spans="1:21" x14ac:dyDescent="0.25">
      <c r="A90" t="s">
        <v>275</v>
      </c>
      <c r="B90">
        <v>172.39</v>
      </c>
      <c r="C90">
        <v>266.58</v>
      </c>
      <c r="D90">
        <v>394.25</v>
      </c>
      <c r="E90">
        <v>479.71</v>
      </c>
      <c r="F90">
        <v>591.5</v>
      </c>
      <c r="G90" s="2">
        <v>1100.03</v>
      </c>
      <c r="H90">
        <v>738.56</v>
      </c>
      <c r="I90">
        <v>782.2</v>
      </c>
      <c r="J90">
        <v>956.04</v>
      </c>
      <c r="K90" s="2">
        <v>1148.5899999999999</v>
      </c>
      <c r="L90" s="2">
        <v>1373.03</v>
      </c>
      <c r="M90" s="2">
        <v>1546.69</v>
      </c>
      <c r="N90" s="2">
        <v>1912.6</v>
      </c>
      <c r="O90" s="2">
        <v>2284.5500000000002</v>
      </c>
      <c r="P90" s="2">
        <v>2919.74</v>
      </c>
      <c r="Q90" s="2">
        <v>3537.76</v>
      </c>
      <c r="R90" s="2">
        <v>4426.7299999999996</v>
      </c>
      <c r="S90" s="2">
        <v>5174.8100000000004</v>
      </c>
      <c r="T90" s="2">
        <v>5391.24</v>
      </c>
      <c r="U90" s="2">
        <v>5045.42</v>
      </c>
    </row>
    <row r="91" spans="1:21" x14ac:dyDescent="0.25">
      <c r="A91" t="s">
        <v>819</v>
      </c>
      <c r="B91">
        <v>47.72</v>
      </c>
      <c r="C91">
        <v>45.64</v>
      </c>
      <c r="D91">
        <v>47.07</v>
      </c>
      <c r="E91">
        <v>42.48</v>
      </c>
      <c r="F91">
        <v>35.93</v>
      </c>
      <c r="G91">
        <v>51.13</v>
      </c>
      <c r="H91">
        <v>30.64</v>
      </c>
      <c r="I91">
        <v>33.75</v>
      </c>
      <c r="J91">
        <v>32.43</v>
      </c>
      <c r="K91">
        <v>26.22</v>
      </c>
      <c r="L91">
        <v>23.43</v>
      </c>
      <c r="M91">
        <v>22.09</v>
      </c>
      <c r="N91">
        <v>21.24</v>
      </c>
      <c r="O91">
        <v>18.37</v>
      </c>
      <c r="P91">
        <v>18.02</v>
      </c>
      <c r="Q91">
        <v>18.420000000000002</v>
      </c>
      <c r="R91">
        <v>18.55</v>
      </c>
      <c r="S91">
        <v>18.78</v>
      </c>
      <c r="T91">
        <v>16.11</v>
      </c>
      <c r="U91">
        <v>15.95</v>
      </c>
    </row>
    <row r="92" spans="1:21" x14ac:dyDescent="0.25">
      <c r="A92" t="s">
        <v>1851</v>
      </c>
      <c r="B92">
        <v>18.690000000000001</v>
      </c>
      <c r="C92">
        <v>32.33</v>
      </c>
      <c r="D92">
        <v>75.72</v>
      </c>
      <c r="E92">
        <v>75.239999999999995</v>
      </c>
      <c r="F92">
        <v>86.8</v>
      </c>
      <c r="G92">
        <v>65.42</v>
      </c>
      <c r="H92">
        <v>61.9</v>
      </c>
      <c r="I92">
        <v>66.239999999999995</v>
      </c>
      <c r="J92">
        <v>83.12</v>
      </c>
      <c r="K92">
        <v>93.24</v>
      </c>
      <c r="L92">
        <v>119.08</v>
      </c>
      <c r="M92">
        <v>122.71</v>
      </c>
      <c r="N92">
        <v>141.9</v>
      </c>
      <c r="O92">
        <v>148.87</v>
      </c>
      <c r="P92">
        <v>195.4</v>
      </c>
      <c r="Q92">
        <v>233.04</v>
      </c>
      <c r="R92">
        <v>273.27999999999997</v>
      </c>
      <c r="S92">
        <v>332.28</v>
      </c>
      <c r="T92">
        <v>312.43</v>
      </c>
      <c r="U92">
        <v>325.14999999999998</v>
      </c>
    </row>
    <row r="93" spans="1:21" x14ac:dyDescent="0.25">
      <c r="A93" t="s">
        <v>1852</v>
      </c>
      <c r="B93">
        <v>55.12</v>
      </c>
      <c r="C93">
        <v>85.34</v>
      </c>
      <c r="D93">
        <v>109.08</v>
      </c>
      <c r="E93">
        <v>130.88999999999999</v>
      </c>
      <c r="F93">
        <v>155.11000000000001</v>
      </c>
      <c r="G93">
        <v>187.14</v>
      </c>
      <c r="H93">
        <v>213.91</v>
      </c>
      <c r="I93">
        <v>229.37</v>
      </c>
      <c r="J93">
        <v>286.17</v>
      </c>
      <c r="K93">
        <v>326.95999999999998</v>
      </c>
      <c r="L93">
        <v>399.03</v>
      </c>
      <c r="M93">
        <v>427.26</v>
      </c>
      <c r="N93">
        <v>533.4</v>
      </c>
      <c r="O93">
        <v>638.63</v>
      </c>
      <c r="P93">
        <v>812.43</v>
      </c>
      <c r="Q93">
        <v>979.52</v>
      </c>
      <c r="R93" s="2">
        <v>1153.2</v>
      </c>
      <c r="S93" s="2">
        <v>1332.26</v>
      </c>
      <c r="T93" s="2">
        <v>1496.78</v>
      </c>
      <c r="U93" s="2">
        <v>1403.51</v>
      </c>
    </row>
    <row r="94" spans="1:21" x14ac:dyDescent="0.25">
      <c r="A94" t="s">
        <v>1853</v>
      </c>
      <c r="B94">
        <v>98.59</v>
      </c>
      <c r="C94">
        <v>148.91</v>
      </c>
      <c r="D94">
        <v>209.45</v>
      </c>
      <c r="E94">
        <v>273.58</v>
      </c>
      <c r="F94">
        <v>349.59</v>
      </c>
      <c r="G94">
        <v>442.47</v>
      </c>
      <c r="H94">
        <v>462.76</v>
      </c>
      <c r="I94">
        <v>486.59</v>
      </c>
      <c r="J94">
        <v>586.75</v>
      </c>
      <c r="K94">
        <v>728.39</v>
      </c>
      <c r="L94">
        <v>854.92</v>
      </c>
      <c r="M94">
        <v>996.72</v>
      </c>
      <c r="N94" s="2">
        <v>1237.3</v>
      </c>
      <c r="O94" s="2">
        <v>1508.72</v>
      </c>
      <c r="P94" s="2">
        <v>1928.12</v>
      </c>
      <c r="Q94" s="2">
        <v>2344.9</v>
      </c>
      <c r="R94" s="2">
        <v>2746.65</v>
      </c>
      <c r="S94" s="2">
        <v>3202.06</v>
      </c>
      <c r="T94" s="2">
        <v>3582.03</v>
      </c>
      <c r="U94" s="2">
        <v>3316.76</v>
      </c>
    </row>
    <row r="95" spans="1:21" x14ac:dyDescent="0.25">
      <c r="A95" t="s">
        <v>61</v>
      </c>
      <c r="B95">
        <v>27.29</v>
      </c>
      <c r="C95">
        <v>25.49</v>
      </c>
      <c r="D95">
        <v>25.01</v>
      </c>
      <c r="E95">
        <v>24.23</v>
      </c>
      <c r="F95">
        <v>21.24</v>
      </c>
      <c r="G95">
        <v>20.57</v>
      </c>
      <c r="H95">
        <v>19.2</v>
      </c>
      <c r="I95">
        <v>21</v>
      </c>
      <c r="J95">
        <v>19.899999999999999</v>
      </c>
      <c r="K95">
        <v>16.63</v>
      </c>
      <c r="L95">
        <v>14.59</v>
      </c>
      <c r="M95">
        <v>14.23</v>
      </c>
      <c r="N95">
        <v>13.74</v>
      </c>
      <c r="O95">
        <v>12.24</v>
      </c>
      <c r="P95">
        <v>11.69</v>
      </c>
      <c r="Q95">
        <v>11.53</v>
      </c>
      <c r="R95">
        <v>12.04</v>
      </c>
      <c r="S95">
        <v>12.15</v>
      </c>
      <c r="T95">
        <v>10.57</v>
      </c>
      <c r="U95">
        <v>10.48</v>
      </c>
    </row>
    <row r="96" spans="1:21" x14ac:dyDescent="0.25">
      <c r="A96" t="s">
        <v>17</v>
      </c>
    </row>
    <row r="97" spans="1:21" x14ac:dyDescent="0.25">
      <c r="A97" t="s">
        <v>91</v>
      </c>
      <c r="B97">
        <v>66.150000000000006</v>
      </c>
      <c r="C97">
        <v>125.51</v>
      </c>
      <c r="D97">
        <v>149.31</v>
      </c>
      <c r="E97">
        <v>243.41</v>
      </c>
      <c r="F97">
        <v>470.27</v>
      </c>
      <c r="G97">
        <v>273.35000000000002</v>
      </c>
      <c r="H97">
        <v>805.77</v>
      </c>
      <c r="I97">
        <v>699.68</v>
      </c>
      <c r="J97">
        <v>924.74</v>
      </c>
      <c r="K97" s="2">
        <v>1527.11</v>
      </c>
      <c r="L97" s="2">
        <v>2257.25</v>
      </c>
      <c r="M97" s="2">
        <v>2944.62</v>
      </c>
      <c r="N97" s="2">
        <v>3856.1</v>
      </c>
      <c r="O97" s="2">
        <v>5641.66</v>
      </c>
      <c r="P97" s="2">
        <v>7289.65</v>
      </c>
      <c r="Q97" s="2">
        <v>8912.56</v>
      </c>
      <c r="R97" s="2">
        <v>10662.07</v>
      </c>
      <c r="S97" s="2">
        <v>12320.01</v>
      </c>
      <c r="T97" s="2">
        <v>14033.55</v>
      </c>
      <c r="U97" s="2">
        <v>15434.92</v>
      </c>
    </row>
    <row r="98" spans="1:21" x14ac:dyDescent="0.25">
      <c r="A98" t="s">
        <v>92</v>
      </c>
      <c r="B98">
        <v>18.309999999999999</v>
      </c>
      <c r="C98">
        <v>21.49</v>
      </c>
      <c r="D98">
        <v>17.829999999999998</v>
      </c>
      <c r="E98">
        <v>21.56</v>
      </c>
      <c r="F98">
        <v>28.57</v>
      </c>
      <c r="G98">
        <v>12.71</v>
      </c>
      <c r="H98">
        <v>33.42</v>
      </c>
      <c r="I98">
        <v>30.19</v>
      </c>
      <c r="J98">
        <v>31.37</v>
      </c>
      <c r="K98">
        <v>34.86</v>
      </c>
      <c r="L98">
        <v>38.520000000000003</v>
      </c>
      <c r="M98">
        <v>42.05</v>
      </c>
      <c r="N98">
        <v>42.82</v>
      </c>
      <c r="O98">
        <v>43.97</v>
      </c>
      <c r="P98">
        <v>44.57</v>
      </c>
      <c r="Q98">
        <v>44.62</v>
      </c>
      <c r="R98">
        <v>45.47</v>
      </c>
      <c r="S98">
        <v>45.32</v>
      </c>
      <c r="T98">
        <v>45.98</v>
      </c>
      <c r="U98">
        <v>48.78</v>
      </c>
    </row>
    <row r="99" spans="1:21" x14ac:dyDescent="0.25">
      <c r="A99" t="s">
        <v>17</v>
      </c>
    </row>
    <row r="100" spans="1:21" x14ac:dyDescent="0.25">
      <c r="A100" t="s">
        <v>93</v>
      </c>
      <c r="B100">
        <v>5.04</v>
      </c>
      <c r="C100">
        <v>10.02</v>
      </c>
      <c r="D100">
        <v>13.67</v>
      </c>
      <c r="E100">
        <v>19.75</v>
      </c>
      <c r="F100">
        <v>20.64</v>
      </c>
      <c r="G100">
        <v>27.67</v>
      </c>
      <c r="H100">
        <v>32.85</v>
      </c>
      <c r="I100">
        <v>44.59</v>
      </c>
      <c r="J100">
        <v>50.33</v>
      </c>
      <c r="K100">
        <v>62.7</v>
      </c>
      <c r="L100">
        <v>70.63</v>
      </c>
      <c r="M100">
        <v>62.04</v>
      </c>
      <c r="N100">
        <v>72.599999999999994</v>
      </c>
      <c r="O100">
        <v>98.46</v>
      </c>
      <c r="P100">
        <v>123.79</v>
      </c>
      <c r="Q100">
        <v>135.4</v>
      </c>
      <c r="R100">
        <v>153.81</v>
      </c>
      <c r="S100">
        <v>150.82</v>
      </c>
      <c r="T100">
        <v>119.18</v>
      </c>
      <c r="U100">
        <v>107.13</v>
      </c>
    </row>
    <row r="101" spans="1:21" x14ac:dyDescent="0.25">
      <c r="A101" t="s">
        <v>127</v>
      </c>
      <c r="G101">
        <v>5.1100000000000003</v>
      </c>
      <c r="H101">
        <v>13.4</v>
      </c>
      <c r="I101">
        <v>24.1</v>
      </c>
      <c r="J101">
        <v>29.2</v>
      </c>
      <c r="K101">
        <v>33.65</v>
      </c>
      <c r="L101">
        <v>33.4</v>
      </c>
      <c r="M101">
        <v>26.76</v>
      </c>
      <c r="N101">
        <v>41.7</v>
      </c>
      <c r="O101">
        <v>63.51</v>
      </c>
      <c r="P101">
        <v>51.75</v>
      </c>
      <c r="Q101">
        <v>52.7</v>
      </c>
      <c r="R101">
        <v>41.22</v>
      </c>
      <c r="S101">
        <v>42.09</v>
      </c>
      <c r="T101">
        <v>55.4</v>
      </c>
      <c r="U101">
        <v>35.770000000000003</v>
      </c>
    </row>
    <row r="102" spans="1:21" x14ac:dyDescent="0.25">
      <c r="A102" t="s">
        <v>277</v>
      </c>
      <c r="B102">
        <v>71.19</v>
      </c>
      <c r="C102">
        <v>135.53</v>
      </c>
      <c r="D102">
        <v>162.97999999999999</v>
      </c>
      <c r="E102">
        <v>263.16000000000003</v>
      </c>
      <c r="F102">
        <v>490.91</v>
      </c>
      <c r="G102">
        <v>301.02</v>
      </c>
      <c r="H102">
        <v>861.17</v>
      </c>
      <c r="I102">
        <v>767.67</v>
      </c>
      <c r="J102">
        <v>998.3</v>
      </c>
      <c r="K102" s="2">
        <v>1613.94</v>
      </c>
      <c r="L102" s="2">
        <v>2351.42</v>
      </c>
      <c r="M102" s="2">
        <v>3006.65</v>
      </c>
      <c r="N102" s="2">
        <v>3928.7</v>
      </c>
      <c r="O102" s="2">
        <v>5767.11</v>
      </c>
      <c r="P102" s="2">
        <v>7406.65</v>
      </c>
      <c r="Q102" s="2">
        <v>9033.82</v>
      </c>
      <c r="R102" s="2">
        <v>10899.83</v>
      </c>
      <c r="S102" s="2">
        <v>13189</v>
      </c>
    </row>
    <row r="103" spans="1:21" x14ac:dyDescent="0.25">
      <c r="A103" t="s">
        <v>17</v>
      </c>
    </row>
    <row r="104" spans="1:21" x14ac:dyDescent="0.25">
      <c r="A104" t="s">
        <v>1854</v>
      </c>
      <c r="B104">
        <v>7.87</v>
      </c>
      <c r="C104">
        <v>4.01</v>
      </c>
      <c r="D104">
        <v>3.3</v>
      </c>
      <c r="E104">
        <v>1.18</v>
      </c>
      <c r="F104">
        <v>-4.49</v>
      </c>
      <c r="G104">
        <v>-15.45</v>
      </c>
      <c r="H104">
        <v>-56.5</v>
      </c>
      <c r="I104">
        <v>-39.18</v>
      </c>
      <c r="J104">
        <v>-6.14</v>
      </c>
      <c r="K104">
        <v>-54.69</v>
      </c>
      <c r="L104">
        <v>-164.78</v>
      </c>
      <c r="M104">
        <v>-320.42</v>
      </c>
      <c r="N104">
        <v>-393.6</v>
      </c>
      <c r="O104">
        <v>-492.13</v>
      </c>
      <c r="P104">
        <v>-555.17999999999995</v>
      </c>
      <c r="Q104">
        <v>-636.83000000000004</v>
      </c>
      <c r="R104">
        <v>-746.82</v>
      </c>
      <c r="S104" s="2">
        <v>-1006.82</v>
      </c>
      <c r="T104" s="2">
        <v>-1344.08</v>
      </c>
      <c r="U104" s="2">
        <v>-1520.21</v>
      </c>
    </row>
    <row r="105" spans="1:21" x14ac:dyDescent="0.25">
      <c r="A105" t="s">
        <v>398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51.14</v>
      </c>
      <c r="I105">
        <v>27.14</v>
      </c>
      <c r="J105">
        <v>7.22</v>
      </c>
      <c r="K105">
        <v>27.56</v>
      </c>
      <c r="L105">
        <v>152.41999999999999</v>
      </c>
      <c r="M105">
        <v>311</v>
      </c>
      <c r="N105">
        <v>383.4</v>
      </c>
      <c r="O105">
        <v>510.98</v>
      </c>
      <c r="P105">
        <v>691.43</v>
      </c>
      <c r="Q105">
        <v>796.52</v>
      </c>
    </row>
    <row r="106" spans="1:21" x14ac:dyDescent="0.25">
      <c r="A106" t="s">
        <v>1275</v>
      </c>
      <c r="B106">
        <v>0.75</v>
      </c>
      <c r="C106">
        <v>-2.2799999999999998</v>
      </c>
      <c r="D106">
        <v>0.15</v>
      </c>
      <c r="E106">
        <v>-1.95</v>
      </c>
      <c r="F106">
        <v>-7.27</v>
      </c>
      <c r="G106">
        <v>-18.16</v>
      </c>
      <c r="H106">
        <v>-5.35</v>
      </c>
      <c r="I106">
        <v>-12.04</v>
      </c>
      <c r="J106">
        <v>1.08</v>
      </c>
      <c r="K106">
        <v>-27.13</v>
      </c>
      <c r="L106">
        <v>-12.36</v>
      </c>
      <c r="M106">
        <v>-9.42</v>
      </c>
      <c r="N106">
        <v>-10.199999999999999</v>
      </c>
      <c r="O106">
        <v>-10.4</v>
      </c>
    </row>
    <row r="107" spans="1:21" x14ac:dyDescent="0.25">
      <c r="A107" t="s">
        <v>17</v>
      </c>
    </row>
    <row r="108" spans="1:21" x14ac:dyDescent="0.25">
      <c r="A108" t="s">
        <v>100</v>
      </c>
      <c r="B108">
        <v>58.28</v>
      </c>
      <c r="C108">
        <v>121.51</v>
      </c>
      <c r="D108">
        <v>146.01</v>
      </c>
      <c r="E108">
        <v>242.23</v>
      </c>
      <c r="F108">
        <v>474.76</v>
      </c>
      <c r="G108">
        <v>288.8</v>
      </c>
      <c r="H108">
        <v>862.27</v>
      </c>
      <c r="I108">
        <v>738.86</v>
      </c>
      <c r="J108">
        <v>930.88</v>
      </c>
      <c r="K108" s="2">
        <v>1581.8</v>
      </c>
      <c r="L108" s="2">
        <v>2422.0300000000002</v>
      </c>
      <c r="M108" s="2">
        <v>3265.03</v>
      </c>
      <c r="N108" s="2">
        <v>4249.7</v>
      </c>
      <c r="O108" s="2">
        <v>6112.46</v>
      </c>
      <c r="P108" s="2">
        <v>7830.55</v>
      </c>
      <c r="Q108" s="2">
        <v>9529.58</v>
      </c>
      <c r="R108" s="2">
        <v>11357.94</v>
      </c>
      <c r="S108" s="2">
        <v>13288.6</v>
      </c>
      <c r="T108" s="2">
        <v>15230.38</v>
      </c>
      <c r="U108" s="2">
        <v>16441</v>
      </c>
    </row>
    <row r="109" spans="1:21" x14ac:dyDescent="0.25">
      <c r="A109" t="s">
        <v>588</v>
      </c>
      <c r="B109">
        <v>16.13</v>
      </c>
      <c r="C109">
        <v>20.8</v>
      </c>
      <c r="D109">
        <v>17.43</v>
      </c>
      <c r="E109">
        <v>21.45</v>
      </c>
      <c r="F109">
        <v>28.84</v>
      </c>
      <c r="G109">
        <v>13.42</v>
      </c>
      <c r="H109">
        <v>35.770000000000003</v>
      </c>
      <c r="I109">
        <v>31.88</v>
      </c>
      <c r="J109">
        <v>31.58</v>
      </c>
      <c r="K109">
        <v>36.1</v>
      </c>
      <c r="L109">
        <v>41.33</v>
      </c>
      <c r="M109">
        <v>46.62</v>
      </c>
      <c r="N109">
        <v>47.19</v>
      </c>
      <c r="O109">
        <v>48.35</v>
      </c>
      <c r="P109">
        <v>47.27</v>
      </c>
      <c r="Q109">
        <v>46.67</v>
      </c>
      <c r="R109">
        <v>46.47</v>
      </c>
      <c r="S109">
        <v>46.48</v>
      </c>
      <c r="T109">
        <v>46.13</v>
      </c>
      <c r="U109">
        <v>45.72</v>
      </c>
    </row>
    <row r="110" spans="1:21" x14ac:dyDescent="0.25">
      <c r="A110" t="s">
        <v>17</v>
      </c>
    </row>
    <row r="111" spans="1:21" x14ac:dyDescent="0.25">
      <c r="A111" t="s">
        <v>101</v>
      </c>
      <c r="B111">
        <v>15.82</v>
      </c>
      <c r="C111">
        <v>34.659999999999997</v>
      </c>
      <c r="D111">
        <v>24.91</v>
      </c>
      <c r="E111">
        <v>58.04</v>
      </c>
      <c r="F111">
        <v>51.56</v>
      </c>
      <c r="G111">
        <v>-39.31</v>
      </c>
      <c r="H111">
        <v>2.4</v>
      </c>
      <c r="I111">
        <v>104.31</v>
      </c>
      <c r="J111">
        <v>90.03</v>
      </c>
      <c r="K111">
        <v>229.35</v>
      </c>
      <c r="L111">
        <v>334.71</v>
      </c>
      <c r="M111">
        <v>412.98</v>
      </c>
      <c r="N111">
        <v>738.3</v>
      </c>
      <c r="O111" s="2">
        <v>1225.26</v>
      </c>
      <c r="P111" s="2">
        <v>1647.94</v>
      </c>
      <c r="Q111" s="2">
        <v>1980.39</v>
      </c>
      <c r="R111" s="2">
        <v>2355.73</v>
      </c>
      <c r="S111" s="2">
        <v>2766.77</v>
      </c>
      <c r="T111" s="2">
        <v>3231.44</v>
      </c>
      <c r="U111" s="2">
        <v>3534.81</v>
      </c>
    </row>
    <row r="112" spans="1:21" x14ac:dyDescent="0.25">
      <c r="A112" t="s">
        <v>102</v>
      </c>
      <c r="B112">
        <v>27.14</v>
      </c>
      <c r="C112">
        <v>28.52</v>
      </c>
      <c r="D112">
        <v>17.059999999999999</v>
      </c>
      <c r="E112">
        <v>23.96</v>
      </c>
      <c r="F112">
        <v>10.86</v>
      </c>
      <c r="H112">
        <v>0.28000000000000003</v>
      </c>
      <c r="I112">
        <v>14.12</v>
      </c>
      <c r="J112">
        <v>9.67</v>
      </c>
      <c r="K112">
        <v>14.5</v>
      </c>
      <c r="L112">
        <v>13.82</v>
      </c>
      <c r="M112">
        <v>12.65</v>
      </c>
      <c r="N112">
        <v>17.37</v>
      </c>
      <c r="O112">
        <v>20.010000000000002</v>
      </c>
      <c r="P112">
        <v>20.87</v>
      </c>
      <c r="Q112">
        <v>20.8</v>
      </c>
      <c r="R112">
        <v>21.29</v>
      </c>
      <c r="S112">
        <v>21.52</v>
      </c>
      <c r="T112">
        <v>21.6</v>
      </c>
      <c r="U112">
        <v>21.98</v>
      </c>
    </row>
    <row r="113" spans="1:21" x14ac:dyDescent="0.25">
      <c r="A113" t="s">
        <v>17</v>
      </c>
    </row>
    <row r="114" spans="1:21" x14ac:dyDescent="0.25">
      <c r="A114" t="s">
        <v>106</v>
      </c>
      <c r="C114">
        <v>86.85</v>
      </c>
      <c r="D114">
        <v>121.1</v>
      </c>
      <c r="E114">
        <v>182.97</v>
      </c>
      <c r="F114">
        <v>423.2</v>
      </c>
      <c r="G114">
        <v>328.12</v>
      </c>
      <c r="H114">
        <v>859.87</v>
      </c>
      <c r="I114">
        <v>634.55999999999995</v>
      </c>
      <c r="J114">
        <v>840.85</v>
      </c>
      <c r="K114" s="2">
        <v>1352.45</v>
      </c>
      <c r="L114" s="2">
        <v>2087.3200000000002</v>
      </c>
      <c r="M114" s="2">
        <v>2852.05</v>
      </c>
      <c r="N114" s="2">
        <v>3511.4</v>
      </c>
      <c r="O114" s="2">
        <v>4858.78</v>
      </c>
      <c r="P114" s="2">
        <v>6425.79</v>
      </c>
      <c r="Q114" s="2">
        <v>7986</v>
      </c>
      <c r="R114" s="2">
        <v>9264.75</v>
      </c>
      <c r="S114" s="2">
        <v>10981.67</v>
      </c>
      <c r="T114" s="2">
        <v>12346.67</v>
      </c>
      <c r="U114" s="2">
        <v>14057.33</v>
      </c>
    </row>
    <row r="115" spans="1:21" x14ac:dyDescent="0.25">
      <c r="A115" t="s">
        <v>280</v>
      </c>
      <c r="B115">
        <v>11.75</v>
      </c>
      <c r="C115">
        <v>14.87</v>
      </c>
      <c r="D115">
        <v>14.46</v>
      </c>
      <c r="E115">
        <v>16.309999999999999</v>
      </c>
      <c r="F115">
        <v>25.71</v>
      </c>
      <c r="G115">
        <v>15.25</v>
      </c>
      <c r="H115">
        <v>35.67</v>
      </c>
      <c r="I115">
        <v>27.38</v>
      </c>
      <c r="J115">
        <v>28.52</v>
      </c>
      <c r="K115">
        <v>30.87</v>
      </c>
      <c r="L115">
        <v>35.619999999999997</v>
      </c>
      <c r="M115">
        <v>40.729999999999997</v>
      </c>
      <c r="N115">
        <v>38.99</v>
      </c>
      <c r="O115">
        <v>38.67</v>
      </c>
      <c r="P115">
        <v>38.33</v>
      </c>
      <c r="Q115">
        <v>38.36</v>
      </c>
      <c r="R115">
        <v>38.4</v>
      </c>
      <c r="S115">
        <v>38.46</v>
      </c>
      <c r="T115">
        <v>40.32</v>
      </c>
      <c r="U115">
        <v>40.79</v>
      </c>
    </row>
    <row r="116" spans="1:21" x14ac:dyDescent="0.25">
      <c r="A116" t="s">
        <v>17</v>
      </c>
    </row>
    <row r="117" spans="1:21" x14ac:dyDescent="0.25">
      <c r="A117" t="s">
        <v>108</v>
      </c>
      <c r="B117">
        <v>437.12</v>
      </c>
      <c r="C117">
        <v>774.83</v>
      </c>
      <c r="D117" s="2">
        <v>1055.42</v>
      </c>
      <c r="E117" s="2">
        <v>1100.3399999999999</v>
      </c>
      <c r="F117" s="2">
        <v>1156.1300000000001</v>
      </c>
      <c r="G117" s="2">
        <v>1196</v>
      </c>
      <c r="H117" s="2">
        <v>1220.99</v>
      </c>
      <c r="I117" s="2">
        <v>1215.74</v>
      </c>
      <c r="J117" s="2">
        <v>1226.05</v>
      </c>
      <c r="K117" s="2">
        <v>1225.8900000000001</v>
      </c>
      <c r="L117" s="2">
        <v>1237.42</v>
      </c>
      <c r="M117" s="2">
        <v>1256.3</v>
      </c>
      <c r="N117" s="2">
        <v>1258</v>
      </c>
      <c r="O117" s="2">
        <v>1253.8800000000001</v>
      </c>
      <c r="P117" s="2">
        <v>1260.74</v>
      </c>
      <c r="Q117" s="2">
        <v>1254.79</v>
      </c>
      <c r="R117" s="2">
        <v>1239.6300000000001</v>
      </c>
      <c r="S117" s="2">
        <v>1254.54</v>
      </c>
      <c r="T117" s="2">
        <v>1223.1300000000001</v>
      </c>
      <c r="U117" s="2">
        <v>1164.8499999999999</v>
      </c>
    </row>
    <row r="118" spans="1:21" x14ac:dyDescent="0.25">
      <c r="A118" t="s">
        <v>888</v>
      </c>
      <c r="B118">
        <v>0.05</v>
      </c>
      <c r="C118">
        <v>0.09</v>
      </c>
      <c r="D118">
        <v>0.11</v>
      </c>
      <c r="E118">
        <v>0.17</v>
      </c>
      <c r="F118">
        <v>0.37</v>
      </c>
      <c r="G118">
        <v>0.27</v>
      </c>
      <c r="H118">
        <v>0.7</v>
      </c>
      <c r="I118">
        <v>0.52</v>
      </c>
      <c r="J118">
        <v>0.69</v>
      </c>
      <c r="K118">
        <v>1.1000000000000001</v>
      </c>
      <c r="L118">
        <v>1.69</v>
      </c>
      <c r="M118">
        <v>2.27</v>
      </c>
      <c r="N118">
        <v>2.79</v>
      </c>
      <c r="O118">
        <v>3.88</v>
      </c>
      <c r="P118">
        <v>5.07</v>
      </c>
      <c r="Q118">
        <v>6.14</v>
      </c>
      <c r="R118">
        <v>7.44</v>
      </c>
      <c r="S118">
        <v>8.34</v>
      </c>
      <c r="T118">
        <v>9.81</v>
      </c>
      <c r="U118">
        <v>11.08</v>
      </c>
    </row>
    <row r="119" spans="1:21" x14ac:dyDescent="0.25">
      <c r="A119" t="s">
        <v>17</v>
      </c>
    </row>
    <row r="120" spans="1:21" x14ac:dyDescent="0.25">
      <c r="A120" t="s">
        <v>109</v>
      </c>
      <c r="B120">
        <v>997.33</v>
      </c>
      <c r="C120" s="2">
        <v>1094.19</v>
      </c>
      <c r="D120" s="2">
        <v>1142.58</v>
      </c>
      <c r="E120" s="2">
        <v>4686.21</v>
      </c>
      <c r="F120" s="2">
        <v>5054.53</v>
      </c>
      <c r="G120" s="2">
        <v>5174.0200000000004</v>
      </c>
      <c r="H120" s="2">
        <v>5176.26</v>
      </c>
      <c r="I120" s="2">
        <v>5085.76</v>
      </c>
      <c r="J120" s="2">
        <v>1276.95</v>
      </c>
      <c r="K120" s="2">
        <v>1265.8399999999999</v>
      </c>
      <c r="L120" s="2">
        <v>1268.54</v>
      </c>
      <c r="M120" s="2">
        <v>1281.08</v>
      </c>
      <c r="N120" s="2">
        <v>1275.7</v>
      </c>
      <c r="O120" s="2">
        <v>1273.3699999999999</v>
      </c>
      <c r="P120" s="2">
        <v>1277.9100000000001</v>
      </c>
      <c r="Q120" s="2">
        <v>1274.47</v>
      </c>
      <c r="R120" s="2">
        <v>1258.95</v>
      </c>
      <c r="S120" s="2">
        <v>1266.75</v>
      </c>
      <c r="T120" s="2">
        <v>1266.22</v>
      </c>
      <c r="U120" s="2">
        <v>1290.6099999999999</v>
      </c>
    </row>
    <row r="121" spans="1:21" x14ac:dyDescent="0.25">
      <c r="A121" t="s">
        <v>110</v>
      </c>
      <c r="C121">
        <v>0.08</v>
      </c>
      <c r="D121">
        <v>0.1</v>
      </c>
      <c r="E121">
        <v>0.16</v>
      </c>
      <c r="F121">
        <v>0.33</v>
      </c>
      <c r="G121">
        <v>0.25</v>
      </c>
      <c r="H121">
        <v>0.66</v>
      </c>
      <c r="I121">
        <v>0.5</v>
      </c>
      <c r="J121">
        <v>0.66</v>
      </c>
      <c r="K121">
        <v>1.07</v>
      </c>
      <c r="L121">
        <v>1.65</v>
      </c>
      <c r="M121">
        <v>2.23</v>
      </c>
      <c r="N121">
        <v>2.75</v>
      </c>
      <c r="O121">
        <v>3.86</v>
      </c>
      <c r="P121">
        <v>5.07</v>
      </c>
      <c r="Q121">
        <v>6.11</v>
      </c>
      <c r="R121">
        <v>7.18</v>
      </c>
      <c r="S121">
        <v>8.41</v>
      </c>
      <c r="T121">
        <v>9.91</v>
      </c>
      <c r="U121">
        <v>11.59</v>
      </c>
    </row>
    <row r="122" spans="1:21" x14ac:dyDescent="0.25">
      <c r="A122" t="s">
        <v>17</v>
      </c>
    </row>
    <row r="123" spans="1:21" x14ac:dyDescent="0.25">
      <c r="A123" t="s">
        <v>487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 x14ac:dyDescent="0.25">
      <c r="A124" t="s">
        <v>17</v>
      </c>
    </row>
    <row r="125" spans="1:21" x14ac:dyDescent="0.25">
      <c r="A125" t="s">
        <v>111</v>
      </c>
    </row>
    <row r="126" spans="1:21" x14ac:dyDescent="0.25">
      <c r="A126" t="s">
        <v>63</v>
      </c>
      <c r="B126">
        <v>238.95</v>
      </c>
      <c r="C126">
        <v>393.63</v>
      </c>
      <c r="D126">
        <v>546.61</v>
      </c>
      <c r="E126">
        <v>726.74</v>
      </c>
      <c r="F126" s="2">
        <v>1066.1199999999999</v>
      </c>
      <c r="G126" s="2">
        <v>1385.43</v>
      </c>
      <c r="H126" s="2">
        <v>1559.48</v>
      </c>
      <c r="I126" s="2">
        <v>1505.64</v>
      </c>
      <c r="J126" s="2">
        <v>1910.08</v>
      </c>
      <c r="K126" s="2">
        <v>2710.76</v>
      </c>
      <c r="L126" s="2">
        <v>3666.53</v>
      </c>
      <c r="M126" s="2">
        <v>4523.87</v>
      </c>
      <c r="N126" s="2">
        <v>5815.4</v>
      </c>
      <c r="O126" s="2">
        <v>7880.86</v>
      </c>
      <c r="P126" s="2">
        <v>10270.51</v>
      </c>
      <c r="Q126" s="2">
        <v>12635.72</v>
      </c>
      <c r="R126" s="2">
        <v>15221.5</v>
      </c>
      <c r="S126" s="2">
        <v>18083.939999999999</v>
      </c>
      <c r="T126" s="2">
        <v>20477.16</v>
      </c>
      <c r="U126" s="2">
        <v>23501.48</v>
      </c>
    </row>
    <row r="127" spans="1:21" x14ac:dyDescent="0.25">
      <c r="A127" t="s">
        <v>64</v>
      </c>
      <c r="C127">
        <v>67.39</v>
      </c>
      <c r="D127">
        <v>63.6</v>
      </c>
      <c r="E127">
        <v>64.400000000000006</v>
      </c>
      <c r="F127">
        <v>64.8</v>
      </c>
      <c r="G127">
        <v>64.400000000000006</v>
      </c>
      <c r="H127">
        <v>64.099999999999994</v>
      </c>
      <c r="I127">
        <v>65</v>
      </c>
      <c r="J127">
        <v>64.8</v>
      </c>
      <c r="K127">
        <v>61.9</v>
      </c>
      <c r="L127">
        <v>62.6</v>
      </c>
      <c r="M127">
        <v>64.599999999999994</v>
      </c>
      <c r="N127">
        <v>64.599999999999994</v>
      </c>
      <c r="O127">
        <v>62.93</v>
      </c>
      <c r="P127">
        <v>62.78</v>
      </c>
      <c r="Q127">
        <v>62.85</v>
      </c>
      <c r="R127">
        <v>63.13</v>
      </c>
      <c r="S127">
        <v>63.85</v>
      </c>
      <c r="T127">
        <v>64.400000000000006</v>
      </c>
      <c r="U127">
        <v>65.64</v>
      </c>
    </row>
    <row r="128" spans="1:21" x14ac:dyDescent="0.25">
      <c r="A128" t="s">
        <v>87</v>
      </c>
      <c r="N128" s="2">
        <v>1478.4</v>
      </c>
      <c r="O128" s="2">
        <v>1786.4</v>
      </c>
      <c r="P128" s="2">
        <v>2316.25</v>
      </c>
      <c r="Q128" s="2">
        <v>2795.55</v>
      </c>
      <c r="R128" s="2">
        <v>3480.1</v>
      </c>
      <c r="S128" s="2">
        <v>4063.37</v>
      </c>
      <c r="T128" s="2">
        <v>4459.0600000000004</v>
      </c>
      <c r="U128" s="2">
        <v>4829.29</v>
      </c>
    </row>
    <row r="129" spans="1:21" x14ac:dyDescent="0.25">
      <c r="A129" t="s">
        <v>89</v>
      </c>
      <c r="N129">
        <v>976.6</v>
      </c>
      <c r="O129" s="2">
        <v>1200.5</v>
      </c>
      <c r="P129" s="2">
        <v>1552.34</v>
      </c>
      <c r="Q129" s="2">
        <v>1887.69</v>
      </c>
      <c r="R129" s="2">
        <v>2307.21</v>
      </c>
      <c r="S129" s="2">
        <v>2701.91</v>
      </c>
      <c r="T129" s="2">
        <v>2979.63</v>
      </c>
      <c r="U129" s="2">
        <v>3207.29</v>
      </c>
    </row>
    <row r="130" spans="1:21" x14ac:dyDescent="0.25">
      <c r="A130" t="s">
        <v>1731</v>
      </c>
      <c r="N130">
        <v>429.3</v>
      </c>
      <c r="O130">
        <v>495.91</v>
      </c>
      <c r="P130">
        <v>644.04999999999995</v>
      </c>
      <c r="Q130">
        <v>787.08</v>
      </c>
      <c r="R130">
        <v>982.75</v>
      </c>
      <c r="S130" s="2">
        <v>1134.97</v>
      </c>
      <c r="T130" s="2">
        <v>1245.08</v>
      </c>
      <c r="U130" s="2">
        <v>1348.96</v>
      </c>
    </row>
    <row r="131" spans="1:21" x14ac:dyDescent="0.25">
      <c r="A131" t="s">
        <v>1327</v>
      </c>
      <c r="C131">
        <v>153.13</v>
      </c>
      <c r="D131">
        <v>236.04</v>
      </c>
      <c r="E131">
        <v>338.27</v>
      </c>
      <c r="F131">
        <v>586.04999999999995</v>
      </c>
      <c r="G131">
        <v>788.97</v>
      </c>
      <c r="H131">
        <v>922.72</v>
      </c>
      <c r="I131">
        <v>874.75</v>
      </c>
      <c r="J131" s="2">
        <v>1140.8499999999999</v>
      </c>
      <c r="K131" s="2">
        <v>1796.38</v>
      </c>
      <c r="L131" s="2">
        <v>2603.44</v>
      </c>
      <c r="M131" s="2">
        <v>3326.74</v>
      </c>
      <c r="N131" s="2">
        <v>4337</v>
      </c>
      <c r="O131" s="2">
        <v>6107.04</v>
      </c>
      <c r="P131" s="2">
        <v>7922.62</v>
      </c>
      <c r="Q131" s="2">
        <v>9831.92</v>
      </c>
      <c r="R131" s="2">
        <v>11672.14</v>
      </c>
      <c r="S131" s="2">
        <v>14252</v>
      </c>
      <c r="T131" s="2">
        <v>16018</v>
      </c>
      <c r="U131" s="2">
        <v>18672</v>
      </c>
    </row>
    <row r="132" spans="1:21" x14ac:dyDescent="0.25">
      <c r="A132" t="s">
        <v>1855</v>
      </c>
      <c r="B132">
        <v>21.12</v>
      </c>
      <c r="C132">
        <v>26.22</v>
      </c>
      <c r="D132">
        <v>28.18</v>
      </c>
      <c r="E132">
        <v>29.96</v>
      </c>
      <c r="F132">
        <v>35.6</v>
      </c>
      <c r="G132">
        <v>36.67</v>
      </c>
      <c r="H132">
        <v>38.28</v>
      </c>
      <c r="I132">
        <v>37.75</v>
      </c>
      <c r="J132">
        <v>38.700000000000003</v>
      </c>
      <c r="K132">
        <v>41</v>
      </c>
      <c r="L132">
        <v>44.43</v>
      </c>
      <c r="M132">
        <v>47.5</v>
      </c>
      <c r="N132">
        <v>48.16</v>
      </c>
      <c r="O132">
        <v>48.67</v>
      </c>
      <c r="P132">
        <v>48.7</v>
      </c>
      <c r="Q132">
        <v>48.9</v>
      </c>
      <c r="R132">
        <v>48.64</v>
      </c>
      <c r="S132">
        <v>49.43</v>
      </c>
      <c r="T132">
        <v>50.43</v>
      </c>
      <c r="U132">
        <v>52.23</v>
      </c>
    </row>
    <row r="133" spans="1:21" x14ac:dyDescent="0.25">
      <c r="A133" t="s">
        <v>117</v>
      </c>
      <c r="D133">
        <v>249.71</v>
      </c>
      <c r="E133">
        <v>358.02</v>
      </c>
      <c r="F133">
        <v>606.69000000000005</v>
      </c>
      <c r="G133">
        <v>816.64</v>
      </c>
      <c r="H133">
        <v>955.57</v>
      </c>
      <c r="I133">
        <v>919.34</v>
      </c>
      <c r="J133" s="2">
        <v>1191.18</v>
      </c>
      <c r="K133" s="2">
        <v>1859.08</v>
      </c>
      <c r="L133" s="2">
        <v>2674.07</v>
      </c>
      <c r="M133" s="2">
        <v>3388.78</v>
      </c>
      <c r="N133" s="2">
        <v>4409.6000000000004</v>
      </c>
      <c r="O133" s="2">
        <v>6217</v>
      </c>
      <c r="P133" s="2">
        <v>7958.17</v>
      </c>
      <c r="Q133" s="2">
        <v>9776.42</v>
      </c>
      <c r="R133" s="2">
        <v>11260</v>
      </c>
      <c r="S133" s="2">
        <v>14032.4</v>
      </c>
      <c r="T133" s="2">
        <v>16173.67</v>
      </c>
      <c r="U133" s="2">
        <v>18779.5</v>
      </c>
    </row>
    <row r="134" spans="1:21" x14ac:dyDescent="0.25">
      <c r="A134" t="s">
        <v>286</v>
      </c>
      <c r="O134">
        <v>49.13</v>
      </c>
      <c r="P134">
        <v>49.18</v>
      </c>
      <c r="Q134">
        <v>49.47</v>
      </c>
      <c r="R134">
        <v>49.86</v>
      </c>
      <c r="S134">
        <v>51.33</v>
      </c>
      <c r="T134">
        <v>51.98</v>
      </c>
      <c r="U134">
        <v>52.53</v>
      </c>
    </row>
    <row r="135" spans="1:21" x14ac:dyDescent="0.25">
      <c r="A135" t="s">
        <v>1856</v>
      </c>
      <c r="E135">
        <v>1.18</v>
      </c>
      <c r="F135">
        <v>-4.49</v>
      </c>
      <c r="G135">
        <v>-29.25</v>
      </c>
      <c r="H135">
        <v>-51.07</v>
      </c>
      <c r="I135">
        <v>-35.020000000000003</v>
      </c>
      <c r="J135">
        <v>-6.14</v>
      </c>
      <c r="K135">
        <v>-27.21</v>
      </c>
      <c r="L135">
        <v>-146.08000000000001</v>
      </c>
      <c r="M135">
        <v>-308.02</v>
      </c>
      <c r="N135">
        <v>-380.2</v>
      </c>
      <c r="O135">
        <v>-474.48</v>
      </c>
      <c r="P135">
        <v>-556.69000000000005</v>
      </c>
      <c r="Q135">
        <v>-619.21</v>
      </c>
      <c r="R135">
        <v>-649.16999999999996</v>
      </c>
      <c r="S135">
        <v>-792.39</v>
      </c>
      <c r="T135">
        <v>-768.91</v>
      </c>
      <c r="U135">
        <v>-825.13</v>
      </c>
    </row>
    <row r="136" spans="1:21" x14ac:dyDescent="0.25">
      <c r="A136" t="s">
        <v>119</v>
      </c>
      <c r="C136">
        <v>149.13</v>
      </c>
      <c r="D136">
        <v>232.74</v>
      </c>
      <c r="E136">
        <v>337.09</v>
      </c>
      <c r="F136">
        <v>590.54</v>
      </c>
      <c r="G136">
        <v>824.08</v>
      </c>
      <c r="H136">
        <v>973.79</v>
      </c>
      <c r="I136">
        <v>895.83</v>
      </c>
      <c r="J136" s="2">
        <v>1146.99</v>
      </c>
      <c r="K136" s="2">
        <v>1823.59</v>
      </c>
      <c r="L136" s="2">
        <v>2749.52</v>
      </c>
      <c r="M136" s="2">
        <v>3647.16</v>
      </c>
      <c r="N136" s="2">
        <v>4730.6000000000004</v>
      </c>
      <c r="O136" s="2">
        <v>6579.35</v>
      </c>
      <c r="P136" s="2">
        <v>8458.2900000000009</v>
      </c>
      <c r="Q136" s="2">
        <v>10504.33</v>
      </c>
      <c r="R136" s="2">
        <v>12407</v>
      </c>
      <c r="S136" s="2">
        <v>15186</v>
      </c>
      <c r="T136" s="2">
        <v>17030.669999999998</v>
      </c>
      <c r="U136" s="2">
        <v>19497</v>
      </c>
    </row>
    <row r="137" spans="1:21" x14ac:dyDescent="0.25">
      <c r="A137" t="s">
        <v>1600</v>
      </c>
      <c r="D137">
        <v>-26.29</v>
      </c>
      <c r="E137">
        <v>-31.34</v>
      </c>
      <c r="F137">
        <v>-36.42</v>
      </c>
      <c r="G137">
        <v>-114.77</v>
      </c>
      <c r="H137">
        <v>-19.09</v>
      </c>
      <c r="I137">
        <v>-26.16</v>
      </c>
      <c r="J137">
        <v>-26.81</v>
      </c>
      <c r="K137">
        <v>-32.479999999999997</v>
      </c>
      <c r="L137">
        <v>-41.28</v>
      </c>
      <c r="M137">
        <v>-57.59</v>
      </c>
      <c r="N137">
        <v>-48.6</v>
      </c>
      <c r="O137">
        <v>-52.61</v>
      </c>
      <c r="P137">
        <v>-43.43</v>
      </c>
      <c r="Q137">
        <v>-41.16</v>
      </c>
      <c r="R137">
        <v>-39.39</v>
      </c>
      <c r="S137">
        <v>-60</v>
      </c>
      <c r="T137">
        <v>-60</v>
      </c>
    </row>
    <row r="138" spans="1:21" x14ac:dyDescent="0.25">
      <c r="A138" t="s">
        <v>1857</v>
      </c>
      <c r="E138">
        <v>-6.29</v>
      </c>
      <c r="F138">
        <v>-111.54</v>
      </c>
      <c r="G138">
        <v>-92.68</v>
      </c>
      <c r="H138">
        <v>-89.42</v>
      </c>
      <c r="I138">
        <v>-60.88</v>
      </c>
      <c r="J138">
        <v>-115.15</v>
      </c>
      <c r="K138">
        <v>-113.5</v>
      </c>
      <c r="L138">
        <v>-174.12</v>
      </c>
      <c r="M138">
        <v>-254.66</v>
      </c>
      <c r="N138">
        <v>-146.9</v>
      </c>
      <c r="O138">
        <v>-132.99</v>
      </c>
      <c r="P138">
        <v>-152.63</v>
      </c>
      <c r="Q138">
        <v>-175.2</v>
      </c>
      <c r="R138">
        <v>-197.74</v>
      </c>
      <c r="S138">
        <v>-281.49</v>
      </c>
      <c r="T138">
        <v>-325.26</v>
      </c>
    </row>
    <row r="139" spans="1:21" x14ac:dyDescent="0.25">
      <c r="A139" t="s">
        <v>1858</v>
      </c>
      <c r="O139">
        <v>21.23</v>
      </c>
      <c r="P139">
        <v>21.48</v>
      </c>
      <c r="Q139">
        <v>21.52</v>
      </c>
      <c r="R139">
        <v>21.42</v>
      </c>
      <c r="S139">
        <v>21.48</v>
      </c>
      <c r="T139">
        <v>21.5</v>
      </c>
      <c r="U139">
        <v>21.5</v>
      </c>
    </row>
    <row r="140" spans="1:21" x14ac:dyDescent="0.25">
      <c r="A140" t="s">
        <v>121</v>
      </c>
      <c r="C140">
        <v>105.54</v>
      </c>
      <c r="D140">
        <v>174.19</v>
      </c>
      <c r="E140">
        <v>241.42</v>
      </c>
      <c r="F140">
        <v>442.83</v>
      </c>
      <c r="G140">
        <v>643.32000000000005</v>
      </c>
      <c r="H140">
        <v>786.84</v>
      </c>
      <c r="I140">
        <v>826.67</v>
      </c>
      <c r="J140">
        <v>915</v>
      </c>
      <c r="K140" s="2">
        <v>1448.26</v>
      </c>
      <c r="L140" s="2">
        <v>2199.41</v>
      </c>
      <c r="M140" s="2">
        <v>2909.52</v>
      </c>
      <c r="N140" s="2">
        <v>3806</v>
      </c>
      <c r="O140" s="2">
        <v>5215.63</v>
      </c>
      <c r="P140" s="2">
        <v>6688.52</v>
      </c>
      <c r="Q140" s="2">
        <v>8263.7999999999993</v>
      </c>
      <c r="R140" s="2">
        <v>9567.86</v>
      </c>
      <c r="S140" s="2">
        <v>11557.4</v>
      </c>
      <c r="T140" s="2">
        <v>13369</v>
      </c>
      <c r="U140" s="2">
        <v>15305.5</v>
      </c>
    </row>
    <row r="141" spans="1:21" x14ac:dyDescent="0.25">
      <c r="A141" t="s">
        <v>122</v>
      </c>
      <c r="B141">
        <v>14.57</v>
      </c>
      <c r="C141">
        <v>18.07</v>
      </c>
      <c r="D141">
        <v>20.8</v>
      </c>
      <c r="E141">
        <v>21.38</v>
      </c>
      <c r="F141">
        <v>26.9</v>
      </c>
      <c r="G141">
        <v>29.9</v>
      </c>
      <c r="H141">
        <v>32.64</v>
      </c>
      <c r="I141">
        <v>31</v>
      </c>
      <c r="J141">
        <v>31.04</v>
      </c>
      <c r="K141">
        <v>33.06</v>
      </c>
      <c r="L141">
        <v>37.53</v>
      </c>
      <c r="M141">
        <v>41.55</v>
      </c>
      <c r="N141">
        <v>42.26</v>
      </c>
      <c r="O141">
        <v>41.34</v>
      </c>
      <c r="P141">
        <v>40.93</v>
      </c>
      <c r="Q141">
        <v>40.950000000000003</v>
      </c>
      <c r="R141">
        <v>40.46</v>
      </c>
      <c r="S141">
        <v>41.27</v>
      </c>
      <c r="T141">
        <v>43.14</v>
      </c>
      <c r="U141">
        <v>43.55</v>
      </c>
    </row>
    <row r="142" spans="1:21" x14ac:dyDescent="0.25">
      <c r="A142" t="s">
        <v>124</v>
      </c>
      <c r="C142">
        <v>0.1</v>
      </c>
      <c r="D142">
        <v>0.15</v>
      </c>
      <c r="E142">
        <v>0.21</v>
      </c>
      <c r="F142">
        <v>0.35</v>
      </c>
      <c r="G142">
        <v>0.5</v>
      </c>
      <c r="H142">
        <v>0.61</v>
      </c>
      <c r="I142">
        <v>0.65</v>
      </c>
      <c r="J142">
        <v>0.72</v>
      </c>
      <c r="K142">
        <v>1.1499999999999999</v>
      </c>
      <c r="L142">
        <v>1.74</v>
      </c>
      <c r="M142">
        <v>2.27</v>
      </c>
      <c r="N142">
        <v>2.98</v>
      </c>
      <c r="O142">
        <v>4.07</v>
      </c>
      <c r="P142">
        <v>5.18</v>
      </c>
      <c r="Q142">
        <v>6.36</v>
      </c>
      <c r="R142">
        <v>7.46</v>
      </c>
      <c r="S142">
        <v>9.18</v>
      </c>
      <c r="T142">
        <v>10.73</v>
      </c>
      <c r="U142">
        <v>12.55</v>
      </c>
    </row>
    <row r="143" spans="1:21" x14ac:dyDescent="0.25">
      <c r="A143" t="s">
        <v>17</v>
      </c>
    </row>
    <row r="144" spans="1:21" x14ac:dyDescent="0.25">
      <c r="A144" t="s">
        <v>125</v>
      </c>
    </row>
    <row r="145" spans="1:21" x14ac:dyDescent="0.25">
      <c r="A145" t="s">
        <v>535</v>
      </c>
      <c r="B145">
        <v>100</v>
      </c>
      <c r="C145">
        <v>100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  <c r="P145">
        <v>100</v>
      </c>
      <c r="Q145">
        <v>100</v>
      </c>
      <c r="R145">
        <v>100</v>
      </c>
      <c r="S145">
        <v>100</v>
      </c>
      <c r="T145">
        <v>100</v>
      </c>
      <c r="U145">
        <v>100</v>
      </c>
    </row>
    <row r="146" spans="1:21" x14ac:dyDescent="0.25">
      <c r="A146" t="s">
        <v>67</v>
      </c>
    </row>
    <row r="147" spans="1:21" x14ac:dyDescent="0.25">
      <c r="A147" t="s">
        <v>126</v>
      </c>
      <c r="B147">
        <v>0.41</v>
      </c>
      <c r="C147">
        <v>1.54</v>
      </c>
      <c r="D147">
        <v>3.05</v>
      </c>
      <c r="E147">
        <v>3.62</v>
      </c>
      <c r="F147">
        <v>4.3499999999999996</v>
      </c>
      <c r="G147">
        <v>5.09</v>
      </c>
      <c r="H147">
        <v>4.6399999999999997</v>
      </c>
      <c r="I147">
        <v>6.27</v>
      </c>
      <c r="J147">
        <v>7.44</v>
      </c>
      <c r="K147">
        <v>9.69</v>
      </c>
      <c r="L147">
        <v>12.79</v>
      </c>
      <c r="M147">
        <v>15.79</v>
      </c>
      <c r="N147">
        <v>26.9</v>
      </c>
      <c r="O147">
        <v>30.75</v>
      </c>
      <c r="P147">
        <v>37.1</v>
      </c>
      <c r="Q147">
        <v>44.38</v>
      </c>
      <c r="R147">
        <v>55.02</v>
      </c>
      <c r="S147">
        <v>74.040000000000006</v>
      </c>
      <c r="T147">
        <v>66.28</v>
      </c>
      <c r="U147">
        <v>55.48</v>
      </c>
    </row>
    <row r="148" spans="1:21" x14ac:dyDescent="0.25">
      <c r="A148" t="s">
        <v>114</v>
      </c>
      <c r="B148">
        <v>5.46</v>
      </c>
      <c r="C148">
        <v>14.99</v>
      </c>
      <c r="D148">
        <v>25.52</v>
      </c>
      <c r="E148">
        <v>31.89</v>
      </c>
      <c r="F148">
        <v>42.18</v>
      </c>
      <c r="G148">
        <v>48.21</v>
      </c>
      <c r="H148">
        <v>53.07</v>
      </c>
      <c r="I148">
        <v>79.91</v>
      </c>
      <c r="J148">
        <v>99.77</v>
      </c>
      <c r="K148">
        <v>130.9</v>
      </c>
      <c r="L148">
        <v>172.18</v>
      </c>
      <c r="M148">
        <v>211.81</v>
      </c>
      <c r="N148">
        <v>260.7</v>
      </c>
      <c r="O148">
        <v>309.81</v>
      </c>
      <c r="P148">
        <v>383.12</v>
      </c>
      <c r="Q148">
        <v>464.6</v>
      </c>
      <c r="R148">
        <v>581.04999999999995</v>
      </c>
      <c r="S148">
        <v>825.65</v>
      </c>
      <c r="T148">
        <v>705.43</v>
      </c>
      <c r="U148">
        <v>647.03</v>
      </c>
    </row>
    <row r="149" spans="1:21" x14ac:dyDescent="0.25">
      <c r="A149" t="s">
        <v>115</v>
      </c>
      <c r="B149">
        <v>1.3</v>
      </c>
      <c r="C149">
        <v>3.46</v>
      </c>
      <c r="D149">
        <v>5.29</v>
      </c>
      <c r="E149">
        <v>7.85</v>
      </c>
      <c r="F149">
        <v>10.94</v>
      </c>
      <c r="G149">
        <v>12.92</v>
      </c>
      <c r="H149">
        <v>14.41</v>
      </c>
      <c r="I149">
        <v>15.91</v>
      </c>
      <c r="J149">
        <v>33.14</v>
      </c>
      <c r="K149">
        <v>32.78</v>
      </c>
      <c r="L149">
        <v>40.72</v>
      </c>
      <c r="M149">
        <v>49.01</v>
      </c>
      <c r="N149">
        <v>47.5</v>
      </c>
      <c r="O149">
        <v>48.76</v>
      </c>
      <c r="P149">
        <v>61.93</v>
      </c>
      <c r="Q149">
        <v>74.39</v>
      </c>
      <c r="R149">
        <v>93.98</v>
      </c>
      <c r="S149">
        <v>150.38</v>
      </c>
      <c r="T149">
        <v>104.38</v>
      </c>
      <c r="U149">
        <v>137.94999999999999</v>
      </c>
    </row>
    <row r="150" spans="1:21" x14ac:dyDescent="0.25">
      <c r="A150" t="s">
        <v>129</v>
      </c>
      <c r="B150">
        <v>2.99</v>
      </c>
      <c r="C150">
        <v>7.64</v>
      </c>
      <c r="D150">
        <v>11.45</v>
      </c>
      <c r="E150">
        <v>15.67</v>
      </c>
      <c r="F150">
        <v>17.95</v>
      </c>
      <c r="G150">
        <v>25</v>
      </c>
      <c r="H150">
        <v>29.17</v>
      </c>
      <c r="I150">
        <v>34.94</v>
      </c>
      <c r="J150">
        <v>46.52</v>
      </c>
      <c r="K150">
        <v>57.57</v>
      </c>
      <c r="L150">
        <v>71.069999999999993</v>
      </c>
      <c r="M150">
        <v>78.760000000000005</v>
      </c>
      <c r="N150">
        <v>104.1</v>
      </c>
      <c r="O150">
        <v>134.82</v>
      </c>
      <c r="P150">
        <v>160.33000000000001</v>
      </c>
      <c r="Q150">
        <v>190.7</v>
      </c>
      <c r="R150">
        <v>223.78</v>
      </c>
      <c r="S150">
        <v>331.07</v>
      </c>
      <c r="T150">
        <v>282.44</v>
      </c>
      <c r="U150">
        <v>259.39</v>
      </c>
    </row>
    <row r="151" spans="1:21" x14ac:dyDescent="0.25">
      <c r="A151" t="s">
        <v>1859</v>
      </c>
    </row>
    <row r="152" spans="1:21" x14ac:dyDescent="0.25">
      <c r="A152" t="s">
        <v>653</v>
      </c>
      <c r="G152">
        <v>3.82</v>
      </c>
      <c r="H152">
        <v>10.5</v>
      </c>
      <c r="I152">
        <v>17.48</v>
      </c>
      <c r="J152">
        <v>21.86</v>
      </c>
      <c r="K152">
        <v>25.37</v>
      </c>
      <c r="L152">
        <v>23.46</v>
      </c>
      <c r="M152">
        <v>16.78</v>
      </c>
      <c r="N152">
        <v>19.8</v>
      </c>
      <c r="O152">
        <v>26.06</v>
      </c>
      <c r="P152">
        <v>27.55</v>
      </c>
      <c r="Q152">
        <v>27.07</v>
      </c>
      <c r="R152">
        <v>24.63</v>
      </c>
      <c r="S152">
        <v>20.329999999999998</v>
      </c>
      <c r="T152">
        <v>17.97</v>
      </c>
      <c r="U152">
        <v>4.7300000000000004</v>
      </c>
    </row>
    <row r="153" spans="1:21" x14ac:dyDescent="0.25">
      <c r="A153" t="s">
        <v>1860</v>
      </c>
      <c r="B153">
        <v>1.4</v>
      </c>
      <c r="C153">
        <v>1.72</v>
      </c>
      <c r="D153">
        <v>1.63</v>
      </c>
      <c r="E153">
        <v>1.75</v>
      </c>
      <c r="F153">
        <v>1.25</v>
      </c>
      <c r="G153">
        <v>1.29</v>
      </c>
      <c r="H153">
        <v>1.36</v>
      </c>
      <c r="I153">
        <v>1.92</v>
      </c>
      <c r="J153">
        <v>1.71</v>
      </c>
      <c r="K153">
        <v>1.43</v>
      </c>
      <c r="L153">
        <v>1.21</v>
      </c>
      <c r="M153">
        <v>0.89</v>
      </c>
      <c r="N153">
        <v>0.81</v>
      </c>
      <c r="O153">
        <v>0.84</v>
      </c>
      <c r="P153">
        <v>0.95</v>
      </c>
      <c r="Q153">
        <v>0.92</v>
      </c>
      <c r="R153">
        <v>0.75</v>
      </c>
    </row>
    <row r="154" spans="1:21" x14ac:dyDescent="0.25">
      <c r="A154" t="s">
        <v>131</v>
      </c>
    </row>
    <row r="155" spans="1:21" x14ac:dyDescent="0.25">
      <c r="A155" t="s">
        <v>1861</v>
      </c>
      <c r="G155">
        <v>13.8</v>
      </c>
      <c r="K155">
        <v>-27.48</v>
      </c>
      <c r="L155">
        <v>-18.7</v>
      </c>
      <c r="O155">
        <v>-9.14</v>
      </c>
      <c r="P155">
        <v>-11.2</v>
      </c>
      <c r="Q155">
        <v>-11.2</v>
      </c>
    </row>
    <row r="156" spans="1:21" x14ac:dyDescent="0.25">
      <c r="A156" t="s">
        <v>1778</v>
      </c>
      <c r="E156">
        <v>-6.29</v>
      </c>
      <c r="F156">
        <v>-111.54</v>
      </c>
      <c r="G156">
        <v>-92.68</v>
      </c>
      <c r="H156">
        <v>-89.42</v>
      </c>
      <c r="I156">
        <v>-60.88</v>
      </c>
      <c r="J156">
        <v>-115.15</v>
      </c>
      <c r="K156">
        <v>-113.5</v>
      </c>
      <c r="L156">
        <v>-174.12</v>
      </c>
      <c r="M156">
        <v>-254.66</v>
      </c>
      <c r="N156">
        <v>-146.9</v>
      </c>
      <c r="O156">
        <v>-132.99</v>
      </c>
      <c r="P156">
        <v>-152.63</v>
      </c>
      <c r="Q156">
        <v>-175.2</v>
      </c>
      <c r="R156">
        <v>-197.74</v>
      </c>
      <c r="S156">
        <v>-281.49</v>
      </c>
      <c r="T156">
        <v>-325.26</v>
      </c>
    </row>
    <row r="157" spans="1:21" x14ac:dyDescent="0.25">
      <c r="A157" t="s">
        <v>17</v>
      </c>
    </row>
    <row r="158" spans="1:21" x14ac:dyDescent="0.25">
      <c r="A158" t="s">
        <v>134</v>
      </c>
    </row>
    <row r="159" spans="1:21" x14ac:dyDescent="0.25">
      <c r="A159" t="s">
        <v>135</v>
      </c>
    </row>
    <row r="160" spans="1:21" x14ac:dyDescent="0.25">
      <c r="A160" t="s">
        <v>136</v>
      </c>
      <c r="B160">
        <v>282.77</v>
      </c>
      <c r="C160">
        <v>679.48</v>
      </c>
      <c r="D160">
        <v>974.33</v>
      </c>
      <c r="E160" s="2">
        <v>1526.13</v>
      </c>
      <c r="F160" s="2">
        <v>2266.4299999999998</v>
      </c>
      <c r="G160" s="2">
        <v>2714.8</v>
      </c>
      <c r="H160" s="2">
        <v>3471.64</v>
      </c>
      <c r="I160" s="2">
        <v>3837</v>
      </c>
      <c r="J160" s="2">
        <v>4812.68</v>
      </c>
      <c r="K160" s="2">
        <v>5550.75</v>
      </c>
      <c r="L160" s="2">
        <v>8400.06</v>
      </c>
      <c r="M160" s="2">
        <v>11910.82</v>
      </c>
      <c r="N160" s="2">
        <v>16387</v>
      </c>
      <c r="O160" s="2">
        <v>22909.85</v>
      </c>
      <c r="P160" s="2">
        <v>29428.32</v>
      </c>
      <c r="Q160" s="2">
        <v>37280.21</v>
      </c>
      <c r="R160" s="2">
        <v>48468.480000000003</v>
      </c>
      <c r="S160" s="2">
        <v>64213.68</v>
      </c>
      <c r="T160" s="2">
        <v>64331.43</v>
      </c>
      <c r="U160" s="2">
        <v>63734.239999999998</v>
      </c>
    </row>
    <row r="161" spans="1:21" x14ac:dyDescent="0.25">
      <c r="A161" t="s">
        <v>493</v>
      </c>
      <c r="B161">
        <v>117.66</v>
      </c>
      <c r="C161">
        <v>449.46</v>
      </c>
      <c r="D161">
        <v>687.33</v>
      </c>
      <c r="E161">
        <v>867.83</v>
      </c>
      <c r="F161" s="2">
        <v>1535.56</v>
      </c>
      <c r="G161" s="2">
        <v>1956.15</v>
      </c>
      <c r="H161" s="2">
        <v>2724.37</v>
      </c>
      <c r="I161" s="2">
        <v>2872.87</v>
      </c>
      <c r="J161" s="2">
        <v>3408.32</v>
      </c>
      <c r="K161" s="2">
        <v>3023.73</v>
      </c>
      <c r="L161" s="2">
        <v>5007.97</v>
      </c>
      <c r="M161" s="2">
        <v>8303.4699999999993</v>
      </c>
      <c r="N161" s="2">
        <v>10743</v>
      </c>
      <c r="O161" s="2">
        <v>15629.9</v>
      </c>
      <c r="P161" s="2">
        <v>20675.939999999999</v>
      </c>
      <c r="Q161" s="2">
        <v>26152.02</v>
      </c>
      <c r="R161" s="2">
        <v>32597.18</v>
      </c>
      <c r="S161" s="2">
        <v>42918.43</v>
      </c>
      <c r="T161" s="2">
        <v>51480.4</v>
      </c>
      <c r="U161" s="2">
        <v>51342.27</v>
      </c>
    </row>
    <row r="162" spans="1:21" x14ac:dyDescent="0.25">
      <c r="A162" t="s">
        <v>139</v>
      </c>
      <c r="B162">
        <v>113.66</v>
      </c>
      <c r="C162">
        <v>240.03</v>
      </c>
      <c r="D162">
        <v>687.33</v>
      </c>
      <c r="E162">
        <v>567.91999999999996</v>
      </c>
      <c r="F162">
        <v>859.19</v>
      </c>
      <c r="G162">
        <v>649.95000000000005</v>
      </c>
      <c r="H162" s="2">
        <v>1111.29</v>
      </c>
      <c r="I162">
        <v>893.22</v>
      </c>
      <c r="J162">
        <v>620.80999999999995</v>
      </c>
      <c r="K162">
        <v>671.71</v>
      </c>
      <c r="L162" s="2">
        <v>1938.61</v>
      </c>
      <c r="M162" s="2">
        <v>2762.36</v>
      </c>
      <c r="N162" s="2">
        <v>1963.9</v>
      </c>
      <c r="O162" s="2">
        <v>4319.67</v>
      </c>
      <c r="P162" s="2">
        <v>8185.27</v>
      </c>
      <c r="Q162" s="2">
        <v>12409.7</v>
      </c>
      <c r="R162" s="2">
        <v>18719.939999999999</v>
      </c>
      <c r="S162" s="2">
        <v>29601.35</v>
      </c>
      <c r="T162" s="2">
        <v>31915.33</v>
      </c>
      <c r="U162" s="2">
        <v>46944.12</v>
      </c>
    </row>
    <row r="163" spans="1:21" x14ac:dyDescent="0.25">
      <c r="A163" t="s">
        <v>1130</v>
      </c>
      <c r="B163">
        <v>4</v>
      </c>
      <c r="C163">
        <v>209.43</v>
      </c>
      <c r="D163">
        <v>0</v>
      </c>
      <c r="E163">
        <v>299.91000000000003</v>
      </c>
      <c r="F163">
        <v>676.36</v>
      </c>
      <c r="G163" s="2">
        <v>1306.2</v>
      </c>
      <c r="H163" s="2">
        <v>1613.08</v>
      </c>
      <c r="I163" s="2">
        <v>1979.65</v>
      </c>
      <c r="J163" s="2">
        <v>2787.5</v>
      </c>
      <c r="K163" s="2">
        <v>2352.02</v>
      </c>
      <c r="L163" s="2">
        <v>3069.36</v>
      </c>
      <c r="M163" s="2">
        <v>5541.12</v>
      </c>
      <c r="N163" s="2">
        <v>8779.1</v>
      </c>
      <c r="O163" s="2">
        <v>11137.16</v>
      </c>
      <c r="P163" s="2">
        <v>12296.85</v>
      </c>
      <c r="Q163" s="2">
        <v>13721.84</v>
      </c>
      <c r="R163" s="2">
        <v>15713.87</v>
      </c>
      <c r="S163" s="2">
        <v>15546.64</v>
      </c>
      <c r="T163" s="2">
        <v>11053.1</v>
      </c>
      <c r="U163" s="2">
        <v>11053.1</v>
      </c>
    </row>
    <row r="164" spans="1:21" x14ac:dyDescent="0.25">
      <c r="A164" t="s">
        <v>656</v>
      </c>
      <c r="B164">
        <v>78</v>
      </c>
      <c r="C164">
        <v>96.98</v>
      </c>
      <c r="D164">
        <v>144.26</v>
      </c>
      <c r="E164">
        <v>253.12</v>
      </c>
      <c r="F164">
        <v>247.35</v>
      </c>
      <c r="G164">
        <v>331.78</v>
      </c>
      <c r="H164">
        <v>391.99</v>
      </c>
      <c r="I164">
        <v>389.54</v>
      </c>
      <c r="J164">
        <v>516.51</v>
      </c>
      <c r="K164">
        <v>923.1</v>
      </c>
      <c r="L164" s="2">
        <v>1034.4000000000001</v>
      </c>
      <c r="M164" s="2">
        <v>1140.48</v>
      </c>
      <c r="N164" s="2">
        <v>1886.9</v>
      </c>
      <c r="O164" s="2">
        <v>2428.94</v>
      </c>
      <c r="P164" s="2">
        <v>3079.13</v>
      </c>
      <c r="Q164" s="2">
        <v>3583.55</v>
      </c>
      <c r="R164" s="2">
        <v>4168.34</v>
      </c>
      <c r="S164" s="2">
        <v>4878.99</v>
      </c>
      <c r="T164" s="2">
        <v>5028.01</v>
      </c>
      <c r="U164" s="2">
        <v>5421.25</v>
      </c>
    </row>
    <row r="165" spans="1:21" x14ac:dyDescent="0.25">
      <c r="A165" t="s">
        <v>340</v>
      </c>
      <c r="B165">
        <v>67.09</v>
      </c>
      <c r="C165">
        <v>80.52</v>
      </c>
      <c r="D165">
        <v>92.13</v>
      </c>
      <c r="E165">
        <v>236.49</v>
      </c>
      <c r="F165">
        <v>306.2</v>
      </c>
      <c r="G165">
        <v>264.56</v>
      </c>
      <c r="H165">
        <v>243.83</v>
      </c>
      <c r="I165">
        <v>479.67</v>
      </c>
      <c r="J165">
        <v>650.12</v>
      </c>
      <c r="K165" s="2">
        <v>1289.71</v>
      </c>
      <c r="L165" s="2">
        <v>1945.18</v>
      </c>
      <c r="M165" s="2">
        <v>1834.57</v>
      </c>
      <c r="N165" s="2">
        <v>2247.1</v>
      </c>
      <c r="O165" s="2">
        <v>2860.61</v>
      </c>
      <c r="P165" s="2">
        <v>3374.67</v>
      </c>
      <c r="Q165" s="2">
        <v>4037.6</v>
      </c>
      <c r="R165" s="2">
        <v>4634.67</v>
      </c>
      <c r="S165" s="2">
        <v>5617.2</v>
      </c>
      <c r="T165" s="2">
        <v>5704.42</v>
      </c>
      <c r="U165" s="2">
        <v>4802.12</v>
      </c>
    </row>
    <row r="166" spans="1:21" x14ac:dyDescent="0.25">
      <c r="A166" t="s">
        <v>1862</v>
      </c>
      <c r="B166">
        <v>20.010000000000002</v>
      </c>
      <c r="C166">
        <v>52.52</v>
      </c>
      <c r="D166">
        <v>50.61</v>
      </c>
      <c r="E166">
        <v>168.68</v>
      </c>
      <c r="F166">
        <v>177.33</v>
      </c>
      <c r="G166">
        <v>162.32</v>
      </c>
      <c r="H166">
        <v>111.46</v>
      </c>
      <c r="I166">
        <v>94.92</v>
      </c>
      <c r="J166">
        <v>237.74</v>
      </c>
      <c r="K166">
        <v>314.22000000000003</v>
      </c>
      <c r="L166">
        <v>412.52</v>
      </c>
      <c r="M166">
        <v>632.29</v>
      </c>
      <c r="N166" s="2">
        <v>1510</v>
      </c>
      <c r="O166" s="2">
        <v>2125.46</v>
      </c>
      <c r="P166" s="2">
        <v>2343.06</v>
      </c>
      <c r="Q166" s="2">
        <v>2529.11</v>
      </c>
      <c r="R166" s="2">
        <v>2515.0100000000002</v>
      </c>
      <c r="S166" s="2">
        <v>2910.93</v>
      </c>
      <c r="T166" s="2">
        <v>2118.6</v>
      </c>
      <c r="U166" s="2">
        <v>2168.6</v>
      </c>
    </row>
    <row r="167" spans="1:21" x14ac:dyDescent="0.25">
      <c r="A167" t="s">
        <v>146</v>
      </c>
      <c r="B167">
        <v>81.75</v>
      </c>
      <c r="C167">
        <v>131.54</v>
      </c>
      <c r="D167">
        <v>185.56</v>
      </c>
      <c r="E167">
        <v>202.88</v>
      </c>
      <c r="F167">
        <v>194.43</v>
      </c>
      <c r="G167">
        <v>367.18</v>
      </c>
      <c r="H167">
        <v>713.65</v>
      </c>
      <c r="I167">
        <v>901.92</v>
      </c>
      <c r="J167">
        <v>921.75</v>
      </c>
      <c r="K167" s="2">
        <v>1224.6600000000001</v>
      </c>
      <c r="L167" s="2">
        <v>1618.86</v>
      </c>
      <c r="M167" s="2">
        <v>2133.11</v>
      </c>
      <c r="N167" s="2">
        <v>3061.6</v>
      </c>
      <c r="O167" s="2">
        <v>3653.74</v>
      </c>
      <c r="P167" s="2">
        <v>4009.92</v>
      </c>
      <c r="Q167" s="2">
        <v>5091.34</v>
      </c>
      <c r="R167" s="2">
        <v>8602.9599999999991</v>
      </c>
      <c r="S167" s="2">
        <v>10287.43</v>
      </c>
    </row>
    <row r="168" spans="1:21" x14ac:dyDescent="0.25">
      <c r="A168" t="s">
        <v>409</v>
      </c>
      <c r="B168">
        <v>67.2</v>
      </c>
      <c r="C168">
        <v>71.56</v>
      </c>
      <c r="D168">
        <v>79.709999999999994</v>
      </c>
      <c r="E168">
        <v>76.959999999999994</v>
      </c>
      <c r="F168">
        <v>74.28</v>
      </c>
      <c r="G168">
        <v>75.36</v>
      </c>
      <c r="H168">
        <v>39.270000000000003</v>
      </c>
      <c r="I168">
        <v>32.229999999999997</v>
      </c>
      <c r="J168">
        <v>78.63</v>
      </c>
      <c r="K168">
        <v>95.01</v>
      </c>
      <c r="L168">
        <v>101.58</v>
      </c>
      <c r="M168">
        <v>98.85</v>
      </c>
      <c r="N168">
        <v>203.1</v>
      </c>
      <c r="O168">
        <v>343.71</v>
      </c>
      <c r="P168">
        <v>397.92</v>
      </c>
      <c r="Q168">
        <v>485.23</v>
      </c>
      <c r="R168">
        <v>637.46</v>
      </c>
      <c r="S168">
        <v>776.5</v>
      </c>
      <c r="T168">
        <v>418.3</v>
      </c>
      <c r="U168">
        <v>430.49</v>
      </c>
    </row>
    <row r="169" spans="1:21" x14ac:dyDescent="0.25">
      <c r="A169" t="s">
        <v>1863</v>
      </c>
      <c r="F169">
        <v>0</v>
      </c>
      <c r="G169">
        <v>58.61</v>
      </c>
      <c r="H169">
        <v>45.24</v>
      </c>
      <c r="I169">
        <v>122.79</v>
      </c>
      <c r="J169">
        <v>93.56</v>
      </c>
      <c r="K169">
        <v>122.21</v>
      </c>
      <c r="L169">
        <v>88.77</v>
      </c>
      <c r="N169">
        <v>416.1</v>
      </c>
      <c r="O169">
        <v>106.12</v>
      </c>
      <c r="P169">
        <v>93.28</v>
      </c>
      <c r="Q169">
        <v>73.239999999999995</v>
      </c>
      <c r="R169">
        <v>46.59</v>
      </c>
      <c r="S169">
        <v>21.81</v>
      </c>
      <c r="T169">
        <v>36.380000000000003</v>
      </c>
      <c r="U169">
        <v>26.05</v>
      </c>
    </row>
    <row r="170" spans="1:21" x14ac:dyDescent="0.25">
      <c r="A170" t="s">
        <v>411</v>
      </c>
      <c r="B170">
        <v>0</v>
      </c>
      <c r="C170">
        <v>36.64</v>
      </c>
      <c r="D170">
        <v>36.64</v>
      </c>
      <c r="E170">
        <v>36.14</v>
      </c>
      <c r="F170">
        <v>36.14</v>
      </c>
      <c r="G170">
        <v>30.34</v>
      </c>
      <c r="H170">
        <v>4.1500000000000004</v>
      </c>
      <c r="I170">
        <v>8.31</v>
      </c>
      <c r="J170">
        <v>20.25</v>
      </c>
      <c r="K170">
        <v>39.47</v>
      </c>
      <c r="L170">
        <v>62.29</v>
      </c>
      <c r="O170">
        <v>62.29</v>
      </c>
      <c r="P170">
        <v>62.29</v>
      </c>
      <c r="Q170">
        <v>62.29</v>
      </c>
      <c r="R170">
        <v>62.29</v>
      </c>
    </row>
    <row r="171" spans="1:21" x14ac:dyDescent="0.25">
      <c r="A171" t="s">
        <v>311</v>
      </c>
      <c r="B171">
        <v>4.54</v>
      </c>
      <c r="C171">
        <v>11.51</v>
      </c>
      <c r="D171">
        <v>48.43</v>
      </c>
      <c r="E171">
        <v>70.959999999999994</v>
      </c>
      <c r="F171">
        <v>65.13</v>
      </c>
      <c r="G171">
        <v>126.49</v>
      </c>
      <c r="H171">
        <v>452.03</v>
      </c>
      <c r="I171">
        <v>441.53</v>
      </c>
      <c r="J171">
        <v>442.3</v>
      </c>
      <c r="K171">
        <v>574.91</v>
      </c>
      <c r="L171">
        <v>945.79</v>
      </c>
      <c r="M171" s="2">
        <v>1440.42</v>
      </c>
      <c r="N171" s="2">
        <v>1773.6</v>
      </c>
      <c r="O171" s="2">
        <v>2043.05</v>
      </c>
      <c r="P171" s="2">
        <v>2131.46</v>
      </c>
      <c r="Q171" s="2">
        <v>2272.86</v>
      </c>
      <c r="R171" s="2">
        <v>2831.82</v>
      </c>
      <c r="S171" s="2">
        <v>3325.59</v>
      </c>
      <c r="T171" s="2">
        <v>2879.14</v>
      </c>
      <c r="U171" s="2">
        <v>2001.6</v>
      </c>
    </row>
    <row r="172" spans="1:21" x14ac:dyDescent="0.25">
      <c r="A172" t="s">
        <v>1864</v>
      </c>
      <c r="H172">
        <v>87.77</v>
      </c>
      <c r="I172">
        <v>77.290000000000006</v>
      </c>
      <c r="J172">
        <v>65.180000000000007</v>
      </c>
      <c r="K172">
        <v>53.39</v>
      </c>
      <c r="L172">
        <v>55.89</v>
      </c>
      <c r="M172">
        <v>51.96</v>
      </c>
      <c r="O172">
        <v>40.950000000000003</v>
      </c>
      <c r="P172">
        <v>40.950000000000003</v>
      </c>
      <c r="Q172">
        <v>40.950000000000003</v>
      </c>
      <c r="R172">
        <v>55.89</v>
      </c>
    </row>
    <row r="173" spans="1:21" x14ac:dyDescent="0.25">
      <c r="A173" t="s">
        <v>1865</v>
      </c>
      <c r="B173">
        <v>10.01</v>
      </c>
      <c r="C173">
        <v>11.84</v>
      </c>
      <c r="D173">
        <v>20.79</v>
      </c>
      <c r="E173">
        <v>18.82</v>
      </c>
      <c r="F173">
        <v>18.89</v>
      </c>
      <c r="G173">
        <v>22.7</v>
      </c>
      <c r="H173">
        <v>30.35</v>
      </c>
      <c r="I173">
        <v>30.07</v>
      </c>
      <c r="J173">
        <v>33.44</v>
      </c>
      <c r="K173">
        <v>73.75</v>
      </c>
      <c r="L173">
        <v>151.9</v>
      </c>
      <c r="M173">
        <v>263.3</v>
      </c>
      <c r="N173">
        <v>252.7</v>
      </c>
      <c r="O173">
        <v>817.42</v>
      </c>
      <c r="P173">
        <v>799.42</v>
      </c>
      <c r="Q173">
        <v>770.15</v>
      </c>
      <c r="R173">
        <v>721.37</v>
      </c>
      <c r="S173">
        <v>623.79999999999995</v>
      </c>
      <c r="T173">
        <v>578.79999999999995</v>
      </c>
      <c r="U173">
        <v>826.5</v>
      </c>
    </row>
    <row r="174" spans="1:21" x14ac:dyDescent="0.25">
      <c r="A174" t="s">
        <v>1866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112.29</v>
      </c>
      <c r="H174">
        <v>100.09</v>
      </c>
      <c r="I174">
        <v>312.49</v>
      </c>
      <c r="J174">
        <v>281.95</v>
      </c>
      <c r="K174">
        <v>388.13</v>
      </c>
      <c r="L174">
        <v>357.3</v>
      </c>
      <c r="M174">
        <v>330.54</v>
      </c>
      <c r="N174">
        <v>832.2</v>
      </c>
      <c r="O174">
        <v>453.4</v>
      </c>
      <c r="P174">
        <v>509.23</v>
      </c>
      <c r="Q174">
        <v>386.83</v>
      </c>
      <c r="R174">
        <v>416.1</v>
      </c>
      <c r="S174">
        <v>416.1</v>
      </c>
      <c r="T174">
        <v>416.1</v>
      </c>
    </row>
    <row r="175" spans="1:21" x14ac:dyDescent="0.25">
      <c r="A175" t="s">
        <v>152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53.68</v>
      </c>
      <c r="H175">
        <v>54.86</v>
      </c>
      <c r="I175">
        <v>189.7</v>
      </c>
      <c r="J175">
        <v>188.4</v>
      </c>
      <c r="K175">
        <v>265.92</v>
      </c>
      <c r="L175">
        <v>357.3</v>
      </c>
      <c r="M175">
        <v>330.54</v>
      </c>
      <c r="N175">
        <v>416.1</v>
      </c>
      <c r="O175">
        <v>397.64</v>
      </c>
      <c r="P175">
        <v>397.64</v>
      </c>
      <c r="Q175">
        <v>395</v>
      </c>
      <c r="R175">
        <v>386.56</v>
      </c>
      <c r="S175">
        <v>416.08</v>
      </c>
      <c r="T175">
        <v>416.1</v>
      </c>
      <c r="U175">
        <v>416.1</v>
      </c>
    </row>
    <row r="176" spans="1:21" x14ac:dyDescent="0.25">
      <c r="A176" t="s">
        <v>78</v>
      </c>
      <c r="B176">
        <v>10.01</v>
      </c>
      <c r="C176">
        <v>11.84</v>
      </c>
      <c r="D176">
        <v>20.79</v>
      </c>
      <c r="E176">
        <v>18.82</v>
      </c>
      <c r="F176">
        <v>18.89</v>
      </c>
      <c r="G176">
        <v>22.7</v>
      </c>
      <c r="H176">
        <v>30.35</v>
      </c>
      <c r="I176">
        <v>30.07</v>
      </c>
      <c r="J176">
        <v>33.44</v>
      </c>
      <c r="K176">
        <v>73.75</v>
      </c>
      <c r="L176">
        <v>151.9</v>
      </c>
      <c r="M176">
        <v>263.3</v>
      </c>
      <c r="N176">
        <v>668.8</v>
      </c>
      <c r="O176">
        <v>826.5</v>
      </c>
      <c r="P176">
        <v>826.5</v>
      </c>
      <c r="Q176">
        <v>826.5</v>
      </c>
      <c r="R176">
        <v>826.5</v>
      </c>
      <c r="S176">
        <v>826.5</v>
      </c>
    </row>
    <row r="177" spans="1:21" x14ac:dyDescent="0.25">
      <c r="A177" t="s">
        <v>155</v>
      </c>
      <c r="B177">
        <v>364.52</v>
      </c>
      <c r="C177">
        <v>811.02</v>
      </c>
      <c r="D177" s="2">
        <v>1159.8900000000001</v>
      </c>
      <c r="E177" s="2">
        <v>1729.01</v>
      </c>
      <c r="F177" s="2">
        <v>2460.86</v>
      </c>
      <c r="G177" s="2">
        <v>3081.98</v>
      </c>
      <c r="H177" s="2">
        <v>4185.29</v>
      </c>
      <c r="I177" s="2">
        <v>4738.92</v>
      </c>
      <c r="J177" s="2">
        <v>5734.43</v>
      </c>
      <c r="K177" s="2">
        <v>6775.41</v>
      </c>
      <c r="L177" s="2">
        <v>9956.64</v>
      </c>
      <c r="M177" s="2">
        <v>14043.92</v>
      </c>
      <c r="N177" s="2">
        <v>19448.599999999999</v>
      </c>
      <c r="O177" s="2">
        <v>26322.92</v>
      </c>
      <c r="P177" s="2">
        <v>32895.86</v>
      </c>
      <c r="Q177" s="2">
        <v>40890.81</v>
      </c>
      <c r="R177" s="2">
        <v>51979.519999999997</v>
      </c>
      <c r="S177" s="2">
        <v>66613.25</v>
      </c>
      <c r="T177" s="2">
        <v>68632.429999999993</v>
      </c>
      <c r="U177" s="2">
        <v>67292.91</v>
      </c>
    </row>
    <row r="178" spans="1:21" x14ac:dyDescent="0.25">
      <c r="A178" t="s">
        <v>17</v>
      </c>
    </row>
    <row r="179" spans="1:21" x14ac:dyDescent="0.25">
      <c r="A179" t="s">
        <v>156</v>
      </c>
    </row>
    <row r="180" spans="1:21" x14ac:dyDescent="0.25">
      <c r="A180" t="s">
        <v>157</v>
      </c>
      <c r="B180">
        <v>209.34</v>
      </c>
      <c r="C180">
        <v>144.37</v>
      </c>
      <c r="D180">
        <v>235.01</v>
      </c>
      <c r="E180">
        <v>459.55</v>
      </c>
      <c r="F180">
        <v>529.91</v>
      </c>
      <c r="G180">
        <v>606.5</v>
      </c>
      <c r="H180">
        <v>597.07000000000005</v>
      </c>
      <c r="I180">
        <v>768.24</v>
      </c>
      <c r="J180" s="2">
        <v>1109.83</v>
      </c>
      <c r="K180" s="2">
        <v>1293.53</v>
      </c>
      <c r="L180" s="2">
        <v>1919.44</v>
      </c>
      <c r="M180" s="2">
        <v>2732.22</v>
      </c>
      <c r="N180" s="2">
        <v>5376.5</v>
      </c>
      <c r="O180" s="2">
        <v>7192.84</v>
      </c>
      <c r="P180" s="2">
        <v>8330.8799999999992</v>
      </c>
      <c r="Q180" s="2">
        <v>9421.2999999999993</v>
      </c>
      <c r="R180" s="2">
        <v>10868.58</v>
      </c>
      <c r="S180" s="2">
        <v>12008.39</v>
      </c>
      <c r="T180" s="2">
        <v>10560.6</v>
      </c>
      <c r="U180" s="2">
        <v>13076.05</v>
      </c>
    </row>
    <row r="181" spans="1:21" x14ac:dyDescent="0.25">
      <c r="A181" t="s">
        <v>658</v>
      </c>
      <c r="B181">
        <v>20.11</v>
      </c>
      <c r="C181">
        <v>32.43</v>
      </c>
      <c r="D181">
        <v>43.97</v>
      </c>
      <c r="E181">
        <v>79.459999999999994</v>
      </c>
      <c r="F181">
        <v>52.2</v>
      </c>
      <c r="G181">
        <v>93.76</v>
      </c>
      <c r="H181">
        <v>92.11</v>
      </c>
      <c r="I181">
        <v>134.24</v>
      </c>
      <c r="J181">
        <v>202.64</v>
      </c>
      <c r="K181">
        <v>232.57</v>
      </c>
      <c r="L181">
        <v>435.06</v>
      </c>
      <c r="M181">
        <v>381.08</v>
      </c>
      <c r="N181">
        <v>651.70000000000005</v>
      </c>
      <c r="O181">
        <v>772.97</v>
      </c>
      <c r="P181">
        <v>975.11</v>
      </c>
      <c r="Q181" s="2">
        <v>1182.18</v>
      </c>
      <c r="R181" s="2">
        <v>1308.3900000000001</v>
      </c>
      <c r="S181" s="2">
        <v>1454.27</v>
      </c>
      <c r="T181" s="2">
        <v>1410.88</v>
      </c>
      <c r="U181" s="2">
        <v>1618.17</v>
      </c>
    </row>
    <row r="182" spans="1:21" x14ac:dyDescent="0.25">
      <c r="A182" t="s">
        <v>417</v>
      </c>
      <c r="B182">
        <v>41.31</v>
      </c>
      <c r="C182">
        <v>60.33</v>
      </c>
      <c r="D182">
        <v>122.05</v>
      </c>
      <c r="E182">
        <v>273.35000000000002</v>
      </c>
      <c r="F182">
        <v>327.71</v>
      </c>
      <c r="G182">
        <v>358.59</v>
      </c>
      <c r="H182">
        <v>312.67</v>
      </c>
      <c r="I182">
        <v>396.26</v>
      </c>
      <c r="J182">
        <v>593.58000000000004</v>
      </c>
      <c r="K182">
        <v>637.42999999999995</v>
      </c>
      <c r="L182">
        <v>915.2</v>
      </c>
      <c r="M182" s="2">
        <v>1727.28</v>
      </c>
      <c r="N182" s="2">
        <v>4002.6</v>
      </c>
      <c r="O182" s="2">
        <v>5662.02</v>
      </c>
      <c r="P182" s="2">
        <v>6601.62</v>
      </c>
      <c r="Q182" s="2">
        <v>7421.58</v>
      </c>
      <c r="R182" s="2">
        <v>8325</v>
      </c>
      <c r="S182" s="2">
        <v>9123.1200000000008</v>
      </c>
      <c r="T182" s="2">
        <v>8124.72</v>
      </c>
      <c r="U182" s="2">
        <v>10432.879999999999</v>
      </c>
    </row>
    <row r="183" spans="1:21" x14ac:dyDescent="0.25">
      <c r="A183" t="s">
        <v>414</v>
      </c>
      <c r="B183">
        <v>27.68</v>
      </c>
      <c r="C183">
        <v>47.43</v>
      </c>
      <c r="D183">
        <v>61.92</v>
      </c>
      <c r="E183">
        <v>90.95</v>
      </c>
      <c r="F183">
        <v>133.83000000000001</v>
      </c>
      <c r="G183">
        <v>123.25</v>
      </c>
      <c r="H183">
        <v>140.25</v>
      </c>
      <c r="I183">
        <v>143.36000000000001</v>
      </c>
      <c r="J183">
        <v>226.64</v>
      </c>
      <c r="K183">
        <v>292.49</v>
      </c>
      <c r="L183">
        <v>407.3</v>
      </c>
      <c r="M183">
        <v>435.28</v>
      </c>
      <c r="N183">
        <v>475.4</v>
      </c>
      <c r="O183">
        <v>540.30999999999995</v>
      </c>
      <c r="P183">
        <v>581.55999999999995</v>
      </c>
      <c r="Q183">
        <v>680.07</v>
      </c>
      <c r="R183">
        <v>486.6</v>
      </c>
      <c r="S183">
        <v>486.6</v>
      </c>
      <c r="T183">
        <v>486.6</v>
      </c>
      <c r="U183">
        <v>486.6</v>
      </c>
    </row>
    <row r="184" spans="1:21" x14ac:dyDescent="0.25">
      <c r="A184" t="s">
        <v>314</v>
      </c>
      <c r="B184">
        <v>10.14</v>
      </c>
      <c r="C184">
        <v>11.25</v>
      </c>
      <c r="D184">
        <v>8.0299999999999994</v>
      </c>
      <c r="E184">
        <v>15.8</v>
      </c>
      <c r="F184">
        <v>16.170000000000002</v>
      </c>
      <c r="G184">
        <v>30.91</v>
      </c>
      <c r="H184">
        <v>52.05</v>
      </c>
      <c r="I184">
        <v>94.39</v>
      </c>
      <c r="J184">
        <v>86.97</v>
      </c>
      <c r="K184">
        <v>131.04</v>
      </c>
      <c r="L184">
        <v>161.87</v>
      </c>
      <c r="M184">
        <v>188.58</v>
      </c>
      <c r="N184">
        <v>246.8</v>
      </c>
      <c r="O184">
        <v>538.33000000000004</v>
      </c>
      <c r="P184">
        <v>538.33000000000004</v>
      </c>
      <c r="Q184">
        <v>538.36</v>
      </c>
      <c r="R184">
        <v>538.4</v>
      </c>
      <c r="S184">
        <v>538.4</v>
      </c>
      <c r="T184">
        <v>538.4</v>
      </c>
      <c r="U184">
        <v>538.4</v>
      </c>
    </row>
    <row r="185" spans="1:21" x14ac:dyDescent="0.25">
      <c r="A185" t="s">
        <v>78</v>
      </c>
      <c r="B185">
        <v>87.8</v>
      </c>
      <c r="C185">
        <v>110.86</v>
      </c>
      <c r="D185">
        <v>189.71</v>
      </c>
      <c r="E185">
        <v>378.48</v>
      </c>
      <c r="F185">
        <v>475.79</v>
      </c>
      <c r="G185">
        <v>510.44</v>
      </c>
      <c r="H185">
        <v>488.92</v>
      </c>
      <c r="I185">
        <v>616.24</v>
      </c>
      <c r="J185">
        <v>886.9</v>
      </c>
      <c r="K185" s="2">
        <v>1041.08</v>
      </c>
      <c r="L185" s="2">
        <v>1463.27</v>
      </c>
      <c r="M185" s="2">
        <v>2329</v>
      </c>
      <c r="N185" s="2">
        <v>4724.8</v>
      </c>
      <c r="O185" s="2">
        <v>5484.71</v>
      </c>
      <c r="P185" s="2">
        <v>6686</v>
      </c>
    </row>
    <row r="186" spans="1:21" x14ac:dyDescent="0.25">
      <c r="A186" t="s">
        <v>164</v>
      </c>
      <c r="B186">
        <v>77.44</v>
      </c>
      <c r="C186">
        <v>110.99</v>
      </c>
      <c r="D186">
        <v>136.72999999999999</v>
      </c>
      <c r="E186">
        <v>161.63</v>
      </c>
      <c r="F186">
        <v>269.04000000000002</v>
      </c>
      <c r="G186">
        <v>332.09</v>
      </c>
      <c r="H186">
        <v>693.53</v>
      </c>
      <c r="I186">
        <v>650.39</v>
      </c>
      <c r="J186">
        <v>646</v>
      </c>
      <c r="K186">
        <v>596.05999999999995</v>
      </c>
      <c r="L186">
        <v>818.14</v>
      </c>
      <c r="M186" s="2">
        <v>1316.89</v>
      </c>
      <c r="N186" s="2">
        <v>1701.6</v>
      </c>
      <c r="O186" s="2">
        <v>1841.27</v>
      </c>
      <c r="P186" s="2">
        <v>2346.9699999999998</v>
      </c>
      <c r="Q186" s="2">
        <v>2780.61</v>
      </c>
      <c r="R186" s="2">
        <v>4868.76</v>
      </c>
      <c r="S186" s="2">
        <v>6218.31</v>
      </c>
    </row>
    <row r="187" spans="1:21" x14ac:dyDescent="0.25">
      <c r="A187" t="s">
        <v>315</v>
      </c>
      <c r="B187">
        <v>43.15</v>
      </c>
      <c r="C187">
        <v>42.55</v>
      </c>
      <c r="D187">
        <v>41.21</v>
      </c>
      <c r="E187">
        <v>39.590000000000003</v>
      </c>
      <c r="F187">
        <v>37.67</v>
      </c>
      <c r="G187">
        <v>35.43</v>
      </c>
      <c r="H187">
        <v>83.02</v>
      </c>
      <c r="I187">
        <v>72.400000000000006</v>
      </c>
      <c r="J187">
        <v>56.53</v>
      </c>
      <c r="K187">
        <v>43.96</v>
      </c>
      <c r="L187">
        <v>44.41</v>
      </c>
      <c r="M187">
        <v>37.5</v>
      </c>
      <c r="N187">
        <v>0</v>
      </c>
    </row>
    <row r="188" spans="1:21" x14ac:dyDescent="0.25">
      <c r="A188" t="s">
        <v>1245</v>
      </c>
      <c r="B188">
        <v>17.600000000000001</v>
      </c>
      <c r="C188">
        <v>46.14</v>
      </c>
      <c r="D188">
        <v>74.760000000000005</v>
      </c>
      <c r="E188">
        <v>99.59</v>
      </c>
      <c r="F188">
        <v>187.56</v>
      </c>
      <c r="G188">
        <v>228.64</v>
      </c>
      <c r="H188">
        <v>262.62</v>
      </c>
      <c r="I188">
        <v>254.57</v>
      </c>
      <c r="J188">
        <v>335.73</v>
      </c>
      <c r="K188">
        <v>403.81</v>
      </c>
      <c r="L188">
        <v>591</v>
      </c>
      <c r="M188" s="2">
        <v>1064.1400000000001</v>
      </c>
      <c r="N188" s="2">
        <v>1369.8</v>
      </c>
      <c r="O188" s="2">
        <v>1889.67</v>
      </c>
      <c r="P188" s="2">
        <v>2205.8200000000002</v>
      </c>
      <c r="Q188" s="2">
        <v>2407.75</v>
      </c>
      <c r="R188" s="2">
        <v>3063.59</v>
      </c>
      <c r="S188" s="2">
        <v>3433.08</v>
      </c>
      <c r="T188" s="2">
        <v>3471.35</v>
      </c>
      <c r="U188" s="2">
        <v>4684.29</v>
      </c>
    </row>
    <row r="189" spans="1:21" x14ac:dyDescent="0.25">
      <c r="A189" t="s">
        <v>499</v>
      </c>
      <c r="F189">
        <v>34.07</v>
      </c>
      <c r="G189">
        <v>36.17</v>
      </c>
      <c r="H189">
        <v>55.49</v>
      </c>
      <c r="I189">
        <v>53.05</v>
      </c>
      <c r="J189">
        <v>69.92</v>
      </c>
      <c r="K189">
        <v>89.84</v>
      </c>
      <c r="L189">
        <v>95.75</v>
      </c>
      <c r="O189">
        <v>0</v>
      </c>
      <c r="P189">
        <v>0</v>
      </c>
      <c r="Q189">
        <v>0</v>
      </c>
    </row>
    <row r="190" spans="1:21" x14ac:dyDescent="0.25">
      <c r="A190" t="s">
        <v>78</v>
      </c>
      <c r="B190">
        <v>16.690000000000001</v>
      </c>
      <c r="C190">
        <v>22.3</v>
      </c>
      <c r="D190">
        <v>6.7</v>
      </c>
      <c r="E190">
        <v>7.96</v>
      </c>
      <c r="F190">
        <v>9.75</v>
      </c>
      <c r="G190">
        <v>31.85</v>
      </c>
      <c r="H190">
        <v>37.69</v>
      </c>
      <c r="I190">
        <v>42.43</v>
      </c>
      <c r="J190">
        <v>54.75</v>
      </c>
      <c r="K190">
        <v>58.4</v>
      </c>
      <c r="L190">
        <v>227.14</v>
      </c>
      <c r="M190">
        <v>252.76</v>
      </c>
      <c r="N190">
        <v>331.8</v>
      </c>
    </row>
    <row r="191" spans="1:21" x14ac:dyDescent="0.25">
      <c r="A191" t="s">
        <v>167</v>
      </c>
      <c r="B191">
        <v>286.79000000000002</v>
      </c>
      <c r="C191">
        <v>255.37</v>
      </c>
      <c r="D191">
        <v>371.74</v>
      </c>
      <c r="E191">
        <v>621.19000000000005</v>
      </c>
      <c r="F191">
        <v>798.95</v>
      </c>
      <c r="G191">
        <v>938.59</v>
      </c>
      <c r="H191" s="2">
        <v>1290.5999999999999</v>
      </c>
      <c r="I191" s="2">
        <v>1418.63</v>
      </c>
      <c r="J191" s="2">
        <v>1755.83</v>
      </c>
      <c r="K191" s="2">
        <v>1889.59</v>
      </c>
      <c r="L191" s="2">
        <v>2737.58</v>
      </c>
      <c r="M191" s="2">
        <v>4049.11</v>
      </c>
      <c r="N191" s="2">
        <v>7078.1</v>
      </c>
      <c r="O191" s="2">
        <v>9314.16</v>
      </c>
      <c r="P191" s="2">
        <v>10969.21</v>
      </c>
      <c r="Q191" s="2">
        <v>12525.46</v>
      </c>
      <c r="R191" s="2">
        <v>15385.14</v>
      </c>
      <c r="S191" s="2">
        <v>17844.759999999998</v>
      </c>
      <c r="T191" s="2">
        <v>17880.91</v>
      </c>
      <c r="U191" s="2">
        <v>18099.14</v>
      </c>
    </row>
    <row r="192" spans="1:21" x14ac:dyDescent="0.25">
      <c r="A192" t="s">
        <v>1287</v>
      </c>
      <c r="B192">
        <v>77.73</v>
      </c>
      <c r="C192">
        <v>555.66</v>
      </c>
      <c r="D192">
        <v>788.15</v>
      </c>
      <c r="E192" s="2">
        <v>1107.82</v>
      </c>
      <c r="F192" s="2">
        <v>1661.91</v>
      </c>
      <c r="G192" s="2">
        <v>2143.39</v>
      </c>
      <c r="H192" s="2">
        <v>2894.69</v>
      </c>
      <c r="I192" s="2">
        <v>3320.29</v>
      </c>
      <c r="J192" s="2">
        <v>3978.6</v>
      </c>
      <c r="K192" s="2">
        <v>4885.82</v>
      </c>
      <c r="L192" s="2">
        <v>7219.06</v>
      </c>
      <c r="M192" s="2">
        <v>9994.81</v>
      </c>
      <c r="N192" s="2">
        <v>12370.5</v>
      </c>
      <c r="O192" s="2">
        <v>16896.5</v>
      </c>
      <c r="P192" s="2">
        <v>22057.439999999999</v>
      </c>
      <c r="Q192" s="2">
        <v>28650.36</v>
      </c>
      <c r="R192" s="2">
        <v>36490</v>
      </c>
      <c r="S192" s="2">
        <v>48768.67</v>
      </c>
      <c r="T192" s="2">
        <v>50751.67</v>
      </c>
      <c r="U192" s="2">
        <v>49194</v>
      </c>
    </row>
    <row r="193" spans="1:21" x14ac:dyDescent="0.25">
      <c r="A193" t="s">
        <v>503</v>
      </c>
      <c r="B193">
        <v>28.73</v>
      </c>
      <c r="C193">
        <v>426.17</v>
      </c>
      <c r="D193">
        <v>537.9</v>
      </c>
      <c r="E193">
        <v>674.18</v>
      </c>
      <c r="F193">
        <v>804.73</v>
      </c>
      <c r="G193">
        <v>956.57</v>
      </c>
      <c r="H193" s="2">
        <v>1106.31</v>
      </c>
      <c r="I193" s="2">
        <v>1292.43</v>
      </c>
      <c r="J193" s="2">
        <v>1530.05</v>
      </c>
      <c r="K193" s="2">
        <v>1780.71</v>
      </c>
      <c r="L193" s="2">
        <v>2108.2399999999998</v>
      </c>
      <c r="M193" s="2">
        <v>2465.41</v>
      </c>
      <c r="N193" s="2">
        <v>2911.8</v>
      </c>
      <c r="O193" s="2">
        <v>3394.19</v>
      </c>
      <c r="P193" s="2">
        <v>1570.02</v>
      </c>
      <c r="Q193" s="2">
        <v>-1073.18</v>
      </c>
      <c r="R193" s="2">
        <v>-3519.78</v>
      </c>
      <c r="S193" s="2">
        <v>-6286.86</v>
      </c>
      <c r="T193" s="2">
        <v>-15382.06</v>
      </c>
      <c r="U193" s="2">
        <v>-20531.55</v>
      </c>
    </row>
    <row r="194" spans="1:21" x14ac:dyDescent="0.25">
      <c r="A194" t="s">
        <v>171</v>
      </c>
      <c r="B194">
        <v>0</v>
      </c>
      <c r="C194">
        <v>0.01</v>
      </c>
      <c r="D194">
        <v>0.01</v>
      </c>
      <c r="E194">
        <v>0.01</v>
      </c>
      <c r="F194">
        <v>0.01</v>
      </c>
      <c r="G194">
        <v>0.01</v>
      </c>
      <c r="H194">
        <v>0.01</v>
      </c>
      <c r="I194">
        <v>0.01</v>
      </c>
      <c r="J194">
        <v>0.03</v>
      </c>
      <c r="K194">
        <v>0.03</v>
      </c>
      <c r="L194">
        <v>0.13</v>
      </c>
      <c r="M194">
        <v>0.13</v>
      </c>
      <c r="N194">
        <v>0.1</v>
      </c>
      <c r="O194">
        <v>0.09</v>
      </c>
      <c r="P194">
        <v>0.1</v>
      </c>
      <c r="Q194">
        <v>0.1</v>
      </c>
      <c r="R194">
        <v>0.1</v>
      </c>
      <c r="S194">
        <v>0.1</v>
      </c>
      <c r="T194">
        <v>0.1</v>
      </c>
      <c r="U194">
        <v>0.1</v>
      </c>
    </row>
    <row r="195" spans="1:21" x14ac:dyDescent="0.25">
      <c r="A195" t="s">
        <v>809</v>
      </c>
      <c r="B195">
        <v>0.04</v>
      </c>
      <c r="C195">
        <v>-0.33</v>
      </c>
      <c r="D195">
        <v>-0.68</v>
      </c>
      <c r="E195">
        <v>-1.48</v>
      </c>
      <c r="F195">
        <v>-1.94</v>
      </c>
      <c r="G195">
        <v>-3.99</v>
      </c>
      <c r="H195">
        <v>0.14000000000000001</v>
      </c>
      <c r="I195">
        <v>0.24</v>
      </c>
      <c r="J195">
        <v>-8.3000000000000007</v>
      </c>
      <c r="K195">
        <v>-33.909999999999997</v>
      </c>
      <c r="L195">
        <v>-3.33</v>
      </c>
      <c r="M195">
        <v>-13.19</v>
      </c>
      <c r="N195">
        <v>12</v>
      </c>
      <c r="O195">
        <v>-40.5</v>
      </c>
      <c r="P195">
        <v>-40.5</v>
      </c>
      <c r="Q195">
        <v>-40.5</v>
      </c>
      <c r="R195">
        <v>-40.5</v>
      </c>
      <c r="S195">
        <v>-40.5</v>
      </c>
      <c r="T195">
        <v>-40.5</v>
      </c>
      <c r="U195">
        <v>-40.5</v>
      </c>
    </row>
    <row r="196" spans="1:21" x14ac:dyDescent="0.25">
      <c r="A196" t="s">
        <v>173</v>
      </c>
      <c r="B196">
        <v>42.96</v>
      </c>
      <c r="C196">
        <v>129.81</v>
      </c>
      <c r="D196">
        <v>250.92</v>
      </c>
      <c r="E196">
        <v>435.11</v>
      </c>
      <c r="F196">
        <v>859.11</v>
      </c>
      <c r="G196" s="2">
        <v>1190.8</v>
      </c>
      <c r="H196" s="2">
        <v>1788.23</v>
      </c>
      <c r="I196" s="2">
        <v>2027.61</v>
      </c>
      <c r="J196" s="2">
        <v>2456.8200000000002</v>
      </c>
      <c r="K196" s="2">
        <v>3138.98</v>
      </c>
      <c r="L196" s="2">
        <v>5114.03</v>
      </c>
      <c r="M196" s="2">
        <v>7542.46</v>
      </c>
      <c r="N196" s="2">
        <v>9446.6</v>
      </c>
      <c r="O196" s="2">
        <v>14176.89</v>
      </c>
      <c r="P196" s="2">
        <v>20686.77</v>
      </c>
      <c r="Q196" s="2">
        <v>28260.85</v>
      </c>
      <c r="R196" s="2">
        <v>35775.72</v>
      </c>
      <c r="S196" s="2">
        <v>45724.17</v>
      </c>
      <c r="T196" s="2">
        <v>56642.720000000001</v>
      </c>
      <c r="U196" s="2">
        <v>69765.67</v>
      </c>
    </row>
    <row r="197" spans="1:21" x14ac:dyDescent="0.25">
      <c r="A197" t="s">
        <v>175</v>
      </c>
      <c r="B197">
        <v>364.52</v>
      </c>
      <c r="C197">
        <v>811.02</v>
      </c>
      <c r="D197" s="2">
        <v>1159.8900000000001</v>
      </c>
      <c r="E197" s="2">
        <v>1729.01</v>
      </c>
      <c r="F197" s="2">
        <v>2460.86</v>
      </c>
      <c r="G197" s="2">
        <v>3081.98</v>
      </c>
      <c r="H197" s="2">
        <v>4185.29</v>
      </c>
      <c r="I197" s="2">
        <v>4738.92</v>
      </c>
      <c r="J197" s="2">
        <v>5734.43</v>
      </c>
      <c r="K197" s="2">
        <v>6775.41</v>
      </c>
      <c r="L197" s="2">
        <v>9956.64</v>
      </c>
      <c r="M197" s="2">
        <v>14043.92</v>
      </c>
      <c r="N197" s="2">
        <v>19448.599999999999</v>
      </c>
      <c r="O197" s="2">
        <v>26322.92</v>
      </c>
      <c r="P197" s="2">
        <v>32895.86</v>
      </c>
      <c r="Q197" s="2">
        <v>40890.81</v>
      </c>
      <c r="R197" s="2">
        <v>51979.519999999997</v>
      </c>
      <c r="S197" s="2">
        <v>66613.25</v>
      </c>
      <c r="T197" s="2">
        <v>68632.429999999993</v>
      </c>
      <c r="U197" s="2">
        <v>67292.91</v>
      </c>
    </row>
    <row r="198" spans="1:21" x14ac:dyDescent="0.25">
      <c r="A198" t="s">
        <v>17</v>
      </c>
    </row>
    <row r="199" spans="1:21" x14ac:dyDescent="0.25">
      <c r="A199" t="s">
        <v>176</v>
      </c>
    </row>
    <row r="200" spans="1:21" x14ac:dyDescent="0.25">
      <c r="A200" t="s">
        <v>814</v>
      </c>
      <c r="B200">
        <v>0.15</v>
      </c>
      <c r="C200">
        <v>0.64</v>
      </c>
      <c r="D200">
        <v>0.69</v>
      </c>
      <c r="E200">
        <v>0.95</v>
      </c>
      <c r="F200">
        <v>1.32</v>
      </c>
      <c r="G200">
        <v>1.66</v>
      </c>
      <c r="H200">
        <v>2.2400000000000002</v>
      </c>
      <c r="I200">
        <v>2.61</v>
      </c>
      <c r="J200">
        <v>3.12</v>
      </c>
      <c r="K200">
        <v>3.86</v>
      </c>
      <c r="L200">
        <v>5.69</v>
      </c>
      <c r="M200">
        <v>7.8</v>
      </c>
      <c r="N200">
        <v>9.6999999999999993</v>
      </c>
      <c r="O200">
        <v>13.6</v>
      </c>
      <c r="P200">
        <v>17.53</v>
      </c>
      <c r="Q200">
        <v>23.06</v>
      </c>
      <c r="R200">
        <v>27.72</v>
      </c>
    </row>
    <row r="201" spans="1:21" x14ac:dyDescent="0.25">
      <c r="A201" t="s">
        <v>1867</v>
      </c>
      <c r="J201" s="2">
        <v>1209.7</v>
      </c>
      <c r="K201" s="2">
        <v>1300</v>
      </c>
      <c r="L201" s="2">
        <v>2300</v>
      </c>
      <c r="M201" s="2">
        <v>3400</v>
      </c>
      <c r="N201" s="2">
        <v>6300</v>
      </c>
    </row>
    <row r="202" spans="1:21" x14ac:dyDescent="0.25">
      <c r="A202" t="s">
        <v>180</v>
      </c>
      <c r="B202">
        <v>49.09</v>
      </c>
      <c r="C202">
        <v>21.96</v>
      </c>
      <c r="D202">
        <v>17.73</v>
      </c>
      <c r="E202">
        <v>19.420000000000002</v>
      </c>
      <c r="F202">
        <v>30.55</v>
      </c>
      <c r="G202">
        <v>17.239999999999998</v>
      </c>
      <c r="H202">
        <v>34.130000000000003</v>
      </c>
      <c r="I202">
        <v>20.420000000000002</v>
      </c>
      <c r="J202">
        <v>23.04</v>
      </c>
      <c r="K202">
        <v>30.51</v>
      </c>
      <c r="L202">
        <v>34.49</v>
      </c>
      <c r="M202">
        <v>33.14</v>
      </c>
      <c r="N202">
        <v>31.4</v>
      </c>
      <c r="O202">
        <v>31.49</v>
      </c>
      <c r="P202">
        <v>30.5</v>
      </c>
      <c r="Q202">
        <v>29.08</v>
      </c>
      <c r="R202">
        <v>29.75</v>
      </c>
      <c r="S202">
        <v>24.03</v>
      </c>
    </row>
    <row r="203" spans="1:21" x14ac:dyDescent="0.25">
      <c r="A203" t="s">
        <v>179</v>
      </c>
      <c r="B203">
        <v>14.52</v>
      </c>
      <c r="C203">
        <v>14.78</v>
      </c>
      <c r="D203">
        <v>12.29</v>
      </c>
      <c r="E203">
        <v>12.75</v>
      </c>
      <c r="F203">
        <v>20.2</v>
      </c>
      <c r="G203">
        <v>11.84</v>
      </c>
      <c r="H203">
        <v>23.66</v>
      </c>
      <c r="I203">
        <v>14.22</v>
      </c>
      <c r="J203">
        <v>16.059999999999999</v>
      </c>
      <c r="K203">
        <v>21.62</v>
      </c>
      <c r="L203">
        <v>24.95</v>
      </c>
      <c r="M203">
        <v>23.77</v>
      </c>
      <c r="N203">
        <v>20.97</v>
      </c>
      <c r="O203">
        <v>20.89</v>
      </c>
      <c r="P203">
        <v>22.02</v>
      </c>
      <c r="Q203">
        <v>21.92</v>
      </c>
      <c r="R203">
        <v>20.34</v>
      </c>
      <c r="S203">
        <v>20.5</v>
      </c>
    </row>
    <row r="204" spans="1:21" x14ac:dyDescent="0.25">
      <c r="A204" t="s">
        <v>177</v>
      </c>
      <c r="B204">
        <v>26.93</v>
      </c>
      <c r="C204">
        <v>-405.82</v>
      </c>
      <c r="D204">
        <v>-644.78</v>
      </c>
      <c r="E204">
        <v>-826.62</v>
      </c>
      <c r="F204" s="2">
        <v>-1495.96</v>
      </c>
      <c r="G204" s="2">
        <v>-1918.4</v>
      </c>
      <c r="H204" s="2">
        <v>-2625.29</v>
      </c>
      <c r="I204" s="2">
        <v>-2782.7</v>
      </c>
      <c r="J204" s="2">
        <v>-3331.49</v>
      </c>
      <c r="K204" s="2">
        <v>-2959.89</v>
      </c>
      <c r="L204" s="2">
        <v>-4942.45</v>
      </c>
      <c r="M204" s="2">
        <v>-8243.83</v>
      </c>
      <c r="N204" s="2">
        <v>-10743</v>
      </c>
      <c r="O204" s="2">
        <v>-16012.26</v>
      </c>
      <c r="P204" s="2">
        <v>-20727.59</v>
      </c>
      <c r="Q204" s="2">
        <v>-24716.7</v>
      </c>
      <c r="R204" s="2">
        <v>-25722.16</v>
      </c>
      <c r="S204" s="2">
        <v>-35799.35</v>
      </c>
      <c r="T204" s="2">
        <v>-42968.43</v>
      </c>
      <c r="U204" s="2">
        <v>-51342.27</v>
      </c>
    </row>
    <row r="205" spans="1:21" x14ac:dyDescent="0.25">
      <c r="A205" t="s">
        <v>17</v>
      </c>
    </row>
    <row r="206" spans="1:21" x14ac:dyDescent="0.25">
      <c r="A206" t="s">
        <v>188</v>
      </c>
    </row>
    <row r="207" spans="1:21" x14ac:dyDescent="0.25">
      <c r="A207" t="s">
        <v>189</v>
      </c>
    </row>
    <row r="208" spans="1:21" x14ac:dyDescent="0.25">
      <c r="A208" t="s">
        <v>121</v>
      </c>
      <c r="C208">
        <v>86.85</v>
      </c>
      <c r="D208">
        <v>121.1</v>
      </c>
      <c r="E208">
        <v>182.97</v>
      </c>
      <c r="F208">
        <v>423.2</v>
      </c>
      <c r="G208">
        <v>328.12</v>
      </c>
      <c r="H208">
        <v>859.87</v>
      </c>
      <c r="I208">
        <v>634.55999999999995</v>
      </c>
      <c r="J208">
        <v>840.85</v>
      </c>
      <c r="K208" s="2">
        <v>1352.45</v>
      </c>
      <c r="L208" s="2">
        <v>2087.3200000000002</v>
      </c>
      <c r="M208" s="2">
        <v>2852.05</v>
      </c>
      <c r="N208" s="2">
        <v>3511.4</v>
      </c>
      <c r="O208" s="2">
        <v>4858.78</v>
      </c>
      <c r="P208" s="2">
        <v>6425.79</v>
      </c>
      <c r="Q208" s="2">
        <v>7986</v>
      </c>
      <c r="R208" s="2">
        <v>9264.75</v>
      </c>
      <c r="S208" s="2">
        <v>10981.67</v>
      </c>
      <c r="T208" s="2">
        <v>12346.67</v>
      </c>
      <c r="U208" s="2">
        <v>14057.33</v>
      </c>
    </row>
    <row r="209" spans="1:21" x14ac:dyDescent="0.25">
      <c r="A209" t="s">
        <v>190</v>
      </c>
      <c r="B209">
        <v>5.04</v>
      </c>
      <c r="C209">
        <v>10.02</v>
      </c>
      <c r="D209">
        <v>13.67</v>
      </c>
      <c r="E209">
        <v>19.75</v>
      </c>
      <c r="F209">
        <v>20.64</v>
      </c>
      <c r="G209">
        <v>27.67</v>
      </c>
      <c r="H209">
        <v>32.85</v>
      </c>
      <c r="I209">
        <v>44.59</v>
      </c>
      <c r="J209">
        <v>50.33</v>
      </c>
      <c r="K209">
        <v>62.7</v>
      </c>
      <c r="L209">
        <v>70.63</v>
      </c>
      <c r="M209">
        <v>62.04</v>
      </c>
      <c r="N209">
        <v>72.599999999999994</v>
      </c>
      <c r="O209">
        <v>98.46</v>
      </c>
      <c r="P209">
        <v>123.79</v>
      </c>
      <c r="Q209">
        <v>135.4</v>
      </c>
      <c r="R209">
        <v>153.81</v>
      </c>
      <c r="S209">
        <v>150.82</v>
      </c>
      <c r="T209">
        <v>119.18</v>
      </c>
      <c r="U209">
        <v>107.13</v>
      </c>
    </row>
    <row r="210" spans="1:21" x14ac:dyDescent="0.25">
      <c r="A210" t="s">
        <v>192</v>
      </c>
      <c r="G210">
        <v>5.1100000000000003</v>
      </c>
      <c r="H210">
        <v>13.4</v>
      </c>
      <c r="I210">
        <v>24.1</v>
      </c>
      <c r="J210">
        <v>29.2</v>
      </c>
      <c r="K210">
        <v>33.65</v>
      </c>
      <c r="L210">
        <v>33.4</v>
      </c>
      <c r="M210">
        <v>26.76</v>
      </c>
      <c r="N210">
        <v>41.7</v>
      </c>
      <c r="O210">
        <v>63.51</v>
      </c>
      <c r="P210">
        <v>51.75</v>
      </c>
      <c r="Q210">
        <v>52.7</v>
      </c>
      <c r="R210">
        <v>41.22</v>
      </c>
      <c r="S210">
        <v>42.09</v>
      </c>
      <c r="T210">
        <v>55.4</v>
      </c>
      <c r="U210">
        <v>35.770000000000003</v>
      </c>
    </row>
    <row r="211" spans="1:21" x14ac:dyDescent="0.25">
      <c r="A211" t="s">
        <v>546</v>
      </c>
      <c r="B211">
        <v>-8.83</v>
      </c>
      <c r="C211">
        <v>-6.77</v>
      </c>
      <c r="D211">
        <v>-24.41</v>
      </c>
      <c r="E211">
        <v>-21.72</v>
      </c>
      <c r="F211">
        <v>8.43</v>
      </c>
      <c r="G211">
        <v>-57.9</v>
      </c>
      <c r="H211">
        <v>-75.739999999999995</v>
      </c>
      <c r="I211">
        <v>-9.14</v>
      </c>
      <c r="J211">
        <v>-99.29</v>
      </c>
      <c r="K211">
        <v>-244.38</v>
      </c>
      <c r="L211">
        <v>-370.8</v>
      </c>
      <c r="M211">
        <v>-492.87</v>
      </c>
      <c r="N211">
        <v>-312</v>
      </c>
      <c r="O211">
        <v>-310.51</v>
      </c>
      <c r="P211">
        <v>-551.33000000000004</v>
      </c>
      <c r="Q211">
        <v>-561.51</v>
      </c>
      <c r="R211">
        <v>-657.75</v>
      </c>
      <c r="S211">
        <v>-690.46</v>
      </c>
      <c r="T211">
        <v>-545.79</v>
      </c>
      <c r="U211">
        <v>-432.8</v>
      </c>
    </row>
    <row r="212" spans="1:21" x14ac:dyDescent="0.25">
      <c r="A212" t="s">
        <v>67</v>
      </c>
      <c r="B212">
        <v>9.2799999999999994</v>
      </c>
      <c r="C212">
        <v>10.18</v>
      </c>
      <c r="D212">
        <v>8.0500000000000007</v>
      </c>
      <c r="E212">
        <v>59.03</v>
      </c>
      <c r="F212">
        <v>75.430000000000007</v>
      </c>
      <c r="G212">
        <v>91.2</v>
      </c>
      <c r="H212">
        <v>101.28</v>
      </c>
      <c r="I212">
        <v>137.04</v>
      </c>
      <c r="J212">
        <v>186.88</v>
      </c>
      <c r="K212">
        <v>230.93</v>
      </c>
      <c r="L212">
        <v>296.76</v>
      </c>
      <c r="M212">
        <v>355.36</v>
      </c>
      <c r="N212">
        <v>439.2</v>
      </c>
      <c r="O212">
        <v>496.08</v>
      </c>
      <c r="P212">
        <v>693.89</v>
      </c>
      <c r="Q212">
        <v>778.91</v>
      </c>
      <c r="R212" s="2">
        <v>1000.14</v>
      </c>
      <c r="S212" s="2">
        <v>1361.87</v>
      </c>
      <c r="T212" s="2">
        <v>1223.6600000000001</v>
      </c>
      <c r="U212" s="2">
        <v>2133.3000000000002</v>
      </c>
    </row>
    <row r="213" spans="1:21" x14ac:dyDescent="0.25">
      <c r="A213" t="s">
        <v>819</v>
      </c>
      <c r="B213">
        <v>2.81</v>
      </c>
      <c r="C213">
        <v>4.7300000000000004</v>
      </c>
      <c r="D213">
        <v>5.41</v>
      </c>
      <c r="E213">
        <v>5.23</v>
      </c>
      <c r="F213">
        <v>4.58</v>
      </c>
      <c r="G213">
        <v>4.24</v>
      </c>
      <c r="H213">
        <v>4.2</v>
      </c>
      <c r="I213">
        <v>5.91</v>
      </c>
      <c r="J213">
        <v>6.34</v>
      </c>
      <c r="K213">
        <v>5.27</v>
      </c>
      <c r="L213">
        <v>5.0599999999999996</v>
      </c>
      <c r="M213">
        <v>5.07</v>
      </c>
      <c r="N213">
        <v>4.88</v>
      </c>
      <c r="O213">
        <v>4.21</v>
      </c>
      <c r="P213">
        <v>4.12</v>
      </c>
      <c r="Q213">
        <v>4.18</v>
      </c>
      <c r="R213">
        <v>4.7699999999999996</v>
      </c>
      <c r="S213">
        <v>5.01</v>
      </c>
      <c r="T213">
        <v>3.77</v>
      </c>
      <c r="U213">
        <v>3.48</v>
      </c>
    </row>
    <row r="214" spans="1:21" x14ac:dyDescent="0.25">
      <c r="A214" t="s">
        <v>1868</v>
      </c>
      <c r="B214">
        <v>0</v>
      </c>
      <c r="C214">
        <v>-3.65</v>
      </c>
      <c r="F214">
        <v>75.430000000000007</v>
      </c>
      <c r="H214">
        <v>16.18</v>
      </c>
      <c r="I214">
        <v>16.97</v>
      </c>
      <c r="J214">
        <v>17.11</v>
      </c>
      <c r="K214">
        <v>18.649999999999999</v>
      </c>
      <c r="L214">
        <v>18.239999999999998</v>
      </c>
      <c r="M214">
        <v>6.94</v>
      </c>
      <c r="N214">
        <v>-27.1</v>
      </c>
      <c r="O214">
        <v>-10.6</v>
      </c>
    </row>
    <row r="215" spans="1:21" x14ac:dyDescent="0.25">
      <c r="A215" t="s">
        <v>338</v>
      </c>
    </row>
    <row r="216" spans="1:21" x14ac:dyDescent="0.25">
      <c r="A216" t="s">
        <v>141</v>
      </c>
      <c r="B216">
        <v>-28.29</v>
      </c>
      <c r="C216">
        <v>-19.84</v>
      </c>
      <c r="D216">
        <v>-47.28</v>
      </c>
      <c r="E216">
        <v>-108.86</v>
      </c>
      <c r="F216">
        <v>5.77</v>
      </c>
      <c r="G216">
        <v>-77.92</v>
      </c>
      <c r="H216">
        <v>-60.21</v>
      </c>
      <c r="I216">
        <v>10.67</v>
      </c>
      <c r="J216">
        <v>-126.97</v>
      </c>
      <c r="K216">
        <v>-401.53</v>
      </c>
      <c r="L216">
        <v>-101.47</v>
      </c>
      <c r="M216">
        <v>-106.08</v>
      </c>
      <c r="N216">
        <v>-746.4</v>
      </c>
      <c r="O216">
        <v>-561.34</v>
      </c>
      <c r="P216">
        <v>-541.13</v>
      </c>
      <c r="Q216">
        <v>-587.29999999999995</v>
      </c>
      <c r="R216">
        <v>-558.48</v>
      </c>
      <c r="S216">
        <v>-558.75</v>
      </c>
      <c r="T216">
        <v>-603.48</v>
      </c>
      <c r="U216">
        <v>-582.65</v>
      </c>
    </row>
    <row r="217" spans="1:21" x14ac:dyDescent="0.25">
      <c r="A217" t="s">
        <v>340</v>
      </c>
      <c r="B217">
        <v>-49.18</v>
      </c>
      <c r="C217">
        <v>-13.43</v>
      </c>
      <c r="D217">
        <v>-14.12</v>
      </c>
      <c r="E217">
        <v>-144.36000000000001</v>
      </c>
      <c r="F217">
        <v>-69.709999999999994</v>
      </c>
      <c r="G217">
        <v>51.05</v>
      </c>
      <c r="H217">
        <v>20.93</v>
      </c>
      <c r="I217">
        <v>-235.32</v>
      </c>
      <c r="J217">
        <v>-170.45</v>
      </c>
      <c r="K217">
        <v>-638.95000000000005</v>
      </c>
      <c r="L217">
        <v>-655.47</v>
      </c>
      <c r="M217">
        <v>110.61</v>
      </c>
      <c r="N217">
        <v>-412.5</v>
      </c>
      <c r="O217">
        <v>-699.55</v>
      </c>
      <c r="P217">
        <v>-479.18</v>
      </c>
      <c r="Q217">
        <v>-744.94</v>
      </c>
      <c r="R217">
        <v>-517.79</v>
      </c>
      <c r="S217">
        <v>-622.46</v>
      </c>
      <c r="T217">
        <v>-615.78</v>
      </c>
      <c r="U217">
        <v>-480.56</v>
      </c>
    </row>
    <row r="218" spans="1:21" x14ac:dyDescent="0.25">
      <c r="A218" t="s">
        <v>203</v>
      </c>
      <c r="B218">
        <v>2.98</v>
      </c>
      <c r="C218">
        <v>-32.619999999999997</v>
      </c>
      <c r="D218">
        <v>-7.83</v>
      </c>
      <c r="E218">
        <v>-115.07</v>
      </c>
      <c r="F218">
        <v>-11.65</v>
      </c>
      <c r="G218">
        <v>21.41</v>
      </c>
      <c r="H218">
        <v>54.26</v>
      </c>
      <c r="I218">
        <v>13.85</v>
      </c>
      <c r="J218">
        <v>-134.81</v>
      </c>
      <c r="K218">
        <v>-85.17</v>
      </c>
      <c r="M218">
        <v>-234.24</v>
      </c>
      <c r="N218">
        <v>0</v>
      </c>
      <c r="O218">
        <v>-468.62</v>
      </c>
      <c r="P218">
        <v>-39.33</v>
      </c>
      <c r="Q218">
        <v>118.2</v>
      </c>
    </row>
    <row r="219" spans="1:21" x14ac:dyDescent="0.25">
      <c r="A219" t="s">
        <v>158</v>
      </c>
      <c r="B219">
        <v>3.87</v>
      </c>
      <c r="C219">
        <v>14.01</v>
      </c>
      <c r="D219">
        <v>9.0399999999999991</v>
      </c>
      <c r="E219">
        <v>38.68</v>
      </c>
      <c r="F219">
        <v>-30.1</v>
      </c>
      <c r="G219">
        <v>39.340000000000003</v>
      </c>
      <c r="H219">
        <v>-1.94</v>
      </c>
      <c r="I219">
        <v>41.16</v>
      </c>
      <c r="J219">
        <v>66.680000000000007</v>
      </c>
      <c r="K219">
        <v>31.44</v>
      </c>
      <c r="L219">
        <v>198.61</v>
      </c>
      <c r="M219">
        <v>-51.64</v>
      </c>
      <c r="N219">
        <v>260.5</v>
      </c>
      <c r="O219">
        <v>133.35</v>
      </c>
      <c r="P219">
        <v>180.1</v>
      </c>
      <c r="Q219">
        <v>259.66000000000003</v>
      </c>
      <c r="R219">
        <v>158.01</v>
      </c>
      <c r="S219">
        <v>176.11</v>
      </c>
      <c r="T219">
        <v>166.75</v>
      </c>
      <c r="U219">
        <v>180.87</v>
      </c>
    </row>
    <row r="220" spans="1:21" x14ac:dyDescent="0.25">
      <c r="A220" t="s">
        <v>201</v>
      </c>
      <c r="B220">
        <v>11.97</v>
      </c>
      <c r="C220">
        <v>18.87</v>
      </c>
      <c r="D220">
        <v>20.399999999999999</v>
      </c>
      <c r="E220">
        <v>30.63</v>
      </c>
      <c r="F220">
        <v>43.54</v>
      </c>
      <c r="G220">
        <v>-14.79</v>
      </c>
      <c r="H220">
        <v>16.37</v>
      </c>
      <c r="I220">
        <v>2.73</v>
      </c>
      <c r="J220">
        <v>83.52</v>
      </c>
      <c r="K220">
        <v>66.59</v>
      </c>
      <c r="L220">
        <v>117.48</v>
      </c>
      <c r="O220">
        <v>186.85</v>
      </c>
      <c r="P220">
        <v>159.4</v>
      </c>
      <c r="Q220">
        <v>189.85</v>
      </c>
    </row>
    <row r="221" spans="1:21" x14ac:dyDescent="0.25">
      <c r="A221" t="s">
        <v>499</v>
      </c>
      <c r="B221">
        <v>2.14</v>
      </c>
      <c r="C221">
        <v>4.38</v>
      </c>
      <c r="D221">
        <v>32.020000000000003</v>
      </c>
      <c r="E221">
        <v>42.65</v>
      </c>
      <c r="F221">
        <v>19.920000000000002</v>
      </c>
      <c r="G221">
        <v>-0.11</v>
      </c>
      <c r="H221">
        <v>23.52</v>
      </c>
      <c r="I221">
        <v>8.81</v>
      </c>
      <c r="J221">
        <v>6.22</v>
      </c>
      <c r="K221">
        <v>44.03</v>
      </c>
      <c r="L221">
        <v>20.170000000000002</v>
      </c>
      <c r="M221">
        <v>-66.5</v>
      </c>
      <c r="N221">
        <v>-47.8</v>
      </c>
      <c r="O221">
        <v>226.42</v>
      </c>
      <c r="P221">
        <v>70.02</v>
      </c>
      <c r="Q221">
        <v>353.66</v>
      </c>
      <c r="R221" s="2">
        <v>1983.39</v>
      </c>
      <c r="S221" s="2">
        <v>2308.8000000000002</v>
      </c>
      <c r="T221" s="2">
        <v>2635.11</v>
      </c>
    </row>
    <row r="222" spans="1:21" x14ac:dyDescent="0.25">
      <c r="A222" t="s">
        <v>161</v>
      </c>
      <c r="B222">
        <v>34.130000000000003</v>
      </c>
      <c r="C222">
        <v>47.56</v>
      </c>
      <c r="D222">
        <v>90.34</v>
      </c>
      <c r="E222">
        <v>176.13</v>
      </c>
      <c r="F222">
        <v>142.33000000000001</v>
      </c>
      <c r="G222">
        <v>70.53</v>
      </c>
      <c r="H222">
        <v>-11.94</v>
      </c>
      <c r="I222">
        <v>50.35</v>
      </c>
      <c r="J222">
        <v>278.49</v>
      </c>
      <c r="K222">
        <v>98.96</v>
      </c>
      <c r="L222">
        <v>347.48</v>
      </c>
      <c r="M222" s="2">
        <v>1285.21</v>
      </c>
      <c r="N222" s="2">
        <v>2452</v>
      </c>
      <c r="O222" s="2">
        <v>2282.29</v>
      </c>
      <c r="P222" s="2">
        <v>1391.14</v>
      </c>
      <c r="Q222">
        <v>971.52</v>
      </c>
      <c r="R222">
        <v>963.98</v>
      </c>
      <c r="S222">
        <v>944.89</v>
      </c>
      <c r="T222" s="2">
        <v>1202.3800000000001</v>
      </c>
      <c r="U222" s="2">
        <v>1156.01</v>
      </c>
    </row>
    <row r="223" spans="1:21" x14ac:dyDescent="0.25">
      <c r="A223" t="s">
        <v>514</v>
      </c>
      <c r="B223">
        <v>-0.31</v>
      </c>
      <c r="C223">
        <v>-4.26</v>
      </c>
      <c r="D223">
        <v>-3.09</v>
      </c>
      <c r="E223">
        <v>2.87</v>
      </c>
      <c r="F223">
        <v>0.91</v>
      </c>
      <c r="G223">
        <v>-3.39</v>
      </c>
      <c r="H223">
        <v>-8.11</v>
      </c>
      <c r="I223">
        <v>4.97</v>
      </c>
      <c r="J223">
        <v>-4.22</v>
      </c>
      <c r="K223">
        <v>-32.299999999999997</v>
      </c>
      <c r="L223">
        <v>-66.400000000000006</v>
      </c>
      <c r="M223">
        <v>-234.24</v>
      </c>
      <c r="N223">
        <v>-937.4</v>
      </c>
      <c r="O223">
        <v>-792.3</v>
      </c>
      <c r="P223">
        <v>-354.73</v>
      </c>
      <c r="Q223">
        <v>-166.55</v>
      </c>
    </row>
    <row r="224" spans="1:21" x14ac:dyDescent="0.25">
      <c r="A224" t="s">
        <v>166</v>
      </c>
      <c r="B224">
        <v>2.08</v>
      </c>
      <c r="C224">
        <v>2.11</v>
      </c>
      <c r="D224">
        <v>1.17</v>
      </c>
      <c r="E224">
        <v>8.89</v>
      </c>
      <c r="F224">
        <v>1.48</v>
      </c>
      <c r="G224">
        <v>17.46</v>
      </c>
      <c r="H224">
        <v>7.92</v>
      </c>
      <c r="I224">
        <v>17.100000000000001</v>
      </c>
      <c r="J224">
        <v>-5.34</v>
      </c>
      <c r="K224">
        <v>4.12</v>
      </c>
      <c r="L224">
        <v>123.69</v>
      </c>
      <c r="M224">
        <v>47.82</v>
      </c>
      <c r="N224">
        <v>119.4</v>
      </c>
      <c r="O224">
        <v>50.46</v>
      </c>
      <c r="P224">
        <v>153.13</v>
      </c>
      <c r="Q224">
        <v>270.36</v>
      </c>
    </row>
    <row r="225" spans="1:21" x14ac:dyDescent="0.25">
      <c r="A225" t="s">
        <v>204</v>
      </c>
      <c r="B225">
        <v>34.65</v>
      </c>
      <c r="C225">
        <v>114.52</v>
      </c>
      <c r="D225">
        <v>200.53</v>
      </c>
      <c r="E225">
        <v>174.3</v>
      </c>
      <c r="F225">
        <v>631.63</v>
      </c>
      <c r="G225">
        <v>503.12</v>
      </c>
      <c r="H225">
        <v>963.03</v>
      </c>
      <c r="I225">
        <v>735.11</v>
      </c>
      <c r="J225" s="2">
        <v>1015.86</v>
      </c>
      <c r="K225">
        <v>492.81</v>
      </c>
      <c r="L225" s="2">
        <v>2034.01</v>
      </c>
      <c r="M225" s="2">
        <v>3708.24</v>
      </c>
      <c r="N225" s="2">
        <v>4371.8999999999996</v>
      </c>
      <c r="O225" s="2">
        <v>5667.83</v>
      </c>
      <c r="P225" s="2">
        <v>7252.34</v>
      </c>
      <c r="Q225" s="2">
        <v>8133.14</v>
      </c>
      <c r="R225" s="2">
        <v>10379.16</v>
      </c>
      <c r="S225" s="2">
        <v>12566.66</v>
      </c>
      <c r="T225" s="2">
        <v>13953.32</v>
      </c>
      <c r="U225" s="2">
        <v>16174.58</v>
      </c>
    </row>
    <row r="226" spans="1:21" x14ac:dyDescent="0.25">
      <c r="A226" t="s">
        <v>17</v>
      </c>
    </row>
    <row r="227" spans="1:21" x14ac:dyDescent="0.25">
      <c r="A227" t="s">
        <v>205</v>
      </c>
    </row>
    <row r="228" spans="1:21" x14ac:dyDescent="0.25">
      <c r="A228" t="s">
        <v>206</v>
      </c>
      <c r="B228">
        <v>-20.32</v>
      </c>
      <c r="C228">
        <v>-13.13</v>
      </c>
      <c r="D228">
        <v>-19.989999999999998</v>
      </c>
      <c r="E228">
        <v>-21.42</v>
      </c>
      <c r="F228">
        <v>-15.28</v>
      </c>
      <c r="G228">
        <v>-23.83</v>
      </c>
      <c r="H228">
        <v>-15.75</v>
      </c>
      <c r="I228">
        <v>-15.38</v>
      </c>
      <c r="J228">
        <v>-64.739999999999995</v>
      </c>
      <c r="K228">
        <v>-44.64</v>
      </c>
      <c r="L228">
        <v>-34.43</v>
      </c>
      <c r="M228">
        <v>-32.03</v>
      </c>
      <c r="N228">
        <v>-119.5</v>
      </c>
      <c r="O228">
        <v>-171.45</v>
      </c>
      <c r="P228">
        <v>-171.5</v>
      </c>
      <c r="Q228">
        <v>-186.33</v>
      </c>
      <c r="R228">
        <v>-217.26</v>
      </c>
      <c r="S228">
        <v>-254.43</v>
      </c>
      <c r="T228">
        <v>-94.07</v>
      </c>
      <c r="U228">
        <v>-263</v>
      </c>
    </row>
    <row r="229" spans="1:21" x14ac:dyDescent="0.25">
      <c r="A229" t="s">
        <v>819</v>
      </c>
      <c r="B229">
        <v>5.62</v>
      </c>
      <c r="C229">
        <v>2.25</v>
      </c>
      <c r="D229">
        <v>2.39</v>
      </c>
      <c r="E229">
        <v>1.9</v>
      </c>
      <c r="F229">
        <v>0.93</v>
      </c>
      <c r="G229">
        <v>1.1100000000000001</v>
      </c>
      <c r="H229">
        <v>0.65</v>
      </c>
      <c r="I229">
        <v>0.66</v>
      </c>
      <c r="J229">
        <v>2.2000000000000002</v>
      </c>
      <c r="K229">
        <v>1.02</v>
      </c>
      <c r="L229">
        <v>0.59</v>
      </c>
      <c r="M229">
        <v>0.46</v>
      </c>
      <c r="N229">
        <v>1.33</v>
      </c>
      <c r="O229">
        <v>1.36</v>
      </c>
      <c r="P229">
        <v>0.95</v>
      </c>
      <c r="Q229">
        <v>0.92</v>
      </c>
      <c r="R229">
        <v>0.88</v>
      </c>
      <c r="S229">
        <v>0.94</v>
      </c>
      <c r="T229">
        <v>0.37</v>
      </c>
      <c r="U229">
        <v>0.35</v>
      </c>
    </row>
    <row r="230" spans="1:21" x14ac:dyDescent="0.25">
      <c r="A230" t="s">
        <v>1869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-96.82</v>
      </c>
      <c r="H230">
        <v>-1.37</v>
      </c>
      <c r="I230">
        <v>-227.42</v>
      </c>
      <c r="J230">
        <v>0</v>
      </c>
      <c r="K230">
        <v>-145.09</v>
      </c>
      <c r="L230">
        <v>1.8</v>
      </c>
      <c r="M230">
        <v>0</v>
      </c>
      <c r="N230">
        <v>-300</v>
      </c>
    </row>
    <row r="231" spans="1:21" x14ac:dyDescent="0.25">
      <c r="A231" t="s">
        <v>432</v>
      </c>
      <c r="B231">
        <v>0</v>
      </c>
      <c r="C231">
        <v>-210.02</v>
      </c>
      <c r="D231">
        <v>0</v>
      </c>
      <c r="E231">
        <v>-439.71</v>
      </c>
      <c r="F231">
        <v>-585.37</v>
      </c>
      <c r="G231" s="2">
        <v>-1174.26</v>
      </c>
      <c r="H231" s="2">
        <v>-1503.89</v>
      </c>
      <c r="I231" s="2">
        <v>-2688.06</v>
      </c>
      <c r="J231" s="2">
        <v>-2317.2600000000002</v>
      </c>
      <c r="K231" s="2">
        <v>-1418.86</v>
      </c>
      <c r="L231" s="2">
        <v>-2606.88</v>
      </c>
      <c r="M231" s="2">
        <v>-4526.13</v>
      </c>
      <c r="N231" s="2">
        <v>-6748.4</v>
      </c>
      <c r="O231" s="2">
        <v>-7503.97</v>
      </c>
      <c r="P231" s="2">
        <v>-8371.6</v>
      </c>
    </row>
    <row r="232" spans="1:21" x14ac:dyDescent="0.25">
      <c r="A232" t="s">
        <v>1870</v>
      </c>
      <c r="B232">
        <v>0</v>
      </c>
      <c r="C232">
        <v>0</v>
      </c>
      <c r="D232">
        <v>208.2</v>
      </c>
      <c r="E232">
        <v>137.86000000000001</v>
      </c>
      <c r="F232">
        <v>206.33</v>
      </c>
      <c r="G232">
        <v>547.79999999999995</v>
      </c>
      <c r="H232" s="2">
        <v>1208.72</v>
      </c>
      <c r="I232" s="2">
        <v>2318.67</v>
      </c>
      <c r="J232" s="2">
        <v>1455.47</v>
      </c>
      <c r="K232" s="2">
        <v>1837.61</v>
      </c>
      <c r="L232" s="2">
        <v>1887.94</v>
      </c>
      <c r="M232" s="2">
        <v>2058.59</v>
      </c>
      <c r="N232" s="2">
        <v>3432.5</v>
      </c>
      <c r="O232" s="2">
        <v>3021.44</v>
      </c>
      <c r="P232" s="2">
        <v>3289.9</v>
      </c>
    </row>
    <row r="233" spans="1:21" x14ac:dyDescent="0.25">
      <c r="A233" t="s">
        <v>346</v>
      </c>
      <c r="B233">
        <v>0.83</v>
      </c>
      <c r="C233">
        <v>-26.21</v>
      </c>
      <c r="D233">
        <v>-4.04</v>
      </c>
      <c r="E233">
        <v>0</v>
      </c>
      <c r="F233">
        <v>3</v>
      </c>
      <c r="G233">
        <v>0</v>
      </c>
      <c r="H233">
        <v>0</v>
      </c>
      <c r="J233">
        <v>1.3</v>
      </c>
      <c r="K233">
        <v>0</v>
      </c>
      <c r="L233">
        <v>-3.16</v>
      </c>
      <c r="M233">
        <v>-6.63</v>
      </c>
      <c r="N233">
        <v>14.9</v>
      </c>
      <c r="O233">
        <v>-35</v>
      </c>
      <c r="P233">
        <v>0</v>
      </c>
      <c r="Q233">
        <v>0</v>
      </c>
    </row>
    <row r="234" spans="1:21" x14ac:dyDescent="0.25">
      <c r="A234" t="s">
        <v>213</v>
      </c>
      <c r="B234">
        <v>-19.489999999999998</v>
      </c>
      <c r="C234">
        <v>-249.36</v>
      </c>
      <c r="D234">
        <v>184.17</v>
      </c>
      <c r="E234">
        <v>-325.77999999999997</v>
      </c>
      <c r="F234">
        <v>-391.32</v>
      </c>
      <c r="G234">
        <v>-755.11</v>
      </c>
      <c r="H234">
        <v>-284.07</v>
      </c>
      <c r="I234">
        <v>-608.79999999999995</v>
      </c>
      <c r="J234">
        <v>-925.56</v>
      </c>
      <c r="K234">
        <v>216.33</v>
      </c>
      <c r="L234">
        <v>-687.45</v>
      </c>
      <c r="M234" s="2">
        <v>-2457.35</v>
      </c>
      <c r="N234" s="2">
        <v>-3576.2</v>
      </c>
      <c r="O234" s="2">
        <v>-3001.16</v>
      </c>
      <c r="P234" s="2">
        <v>-1014.64</v>
      </c>
      <c r="Q234" s="2">
        <v>-1097.07</v>
      </c>
      <c r="R234">
        <v>-838.76</v>
      </c>
      <c r="S234">
        <v>-235.46</v>
      </c>
      <c r="T234">
        <v>-94.14</v>
      </c>
      <c r="U234">
        <v>-262.89999999999998</v>
      </c>
    </row>
    <row r="235" spans="1:21" x14ac:dyDescent="0.25">
      <c r="A235" t="s">
        <v>17</v>
      </c>
    </row>
    <row r="236" spans="1:21" x14ac:dyDescent="0.25">
      <c r="A236" t="s">
        <v>214</v>
      </c>
    </row>
    <row r="237" spans="1:21" x14ac:dyDescent="0.25">
      <c r="A237" t="s">
        <v>1155</v>
      </c>
    </row>
    <row r="238" spans="1:21" x14ac:dyDescent="0.25">
      <c r="A238" t="s">
        <v>1871</v>
      </c>
      <c r="B238">
        <v>9</v>
      </c>
      <c r="C238">
        <v>264.69</v>
      </c>
      <c r="D238">
        <v>26.94</v>
      </c>
      <c r="E238">
        <v>35.18</v>
      </c>
      <c r="F238">
        <v>57.11</v>
      </c>
      <c r="G238">
        <v>53.66</v>
      </c>
      <c r="H238">
        <v>57.38</v>
      </c>
      <c r="I238">
        <v>57.56</v>
      </c>
      <c r="J238">
        <v>67.25</v>
      </c>
      <c r="K238">
        <v>48.41</v>
      </c>
      <c r="L238">
        <v>62.09</v>
      </c>
      <c r="M238">
        <v>60.18</v>
      </c>
      <c r="N238">
        <v>57.7</v>
      </c>
      <c r="O238">
        <v>36.869999999999997</v>
      </c>
      <c r="P238">
        <v>28.03</v>
      </c>
      <c r="Q238">
        <v>45.38</v>
      </c>
      <c r="R238">
        <v>83.42</v>
      </c>
      <c r="S238">
        <v>90.66</v>
      </c>
      <c r="T238">
        <v>93.1</v>
      </c>
      <c r="U238">
        <v>107.07</v>
      </c>
    </row>
    <row r="239" spans="1:21" x14ac:dyDescent="0.25">
      <c r="A239" t="s">
        <v>1347</v>
      </c>
      <c r="H239">
        <v>-266.14</v>
      </c>
      <c r="I239">
        <v>-395.17</v>
      </c>
      <c r="J239">
        <v>-411.65</v>
      </c>
      <c r="K239">
        <v>-670.29</v>
      </c>
      <c r="L239">
        <v>-112.28</v>
      </c>
      <c r="M239">
        <v>-423.62</v>
      </c>
      <c r="N239" s="2">
        <v>-1603.1</v>
      </c>
      <c r="O239">
        <v>-449.98</v>
      </c>
      <c r="P239" s="2">
        <v>-1643.84</v>
      </c>
      <c r="Q239" s="2">
        <v>-2439.15</v>
      </c>
      <c r="R239" s="2">
        <v>-4726.51</v>
      </c>
      <c r="S239" s="2">
        <v>-4596.07</v>
      </c>
      <c r="T239" s="2">
        <v>-6603.94</v>
      </c>
      <c r="U239" s="2">
        <v>-5721</v>
      </c>
    </row>
    <row r="240" spans="1:21" x14ac:dyDescent="0.25">
      <c r="A240" t="s">
        <v>1872</v>
      </c>
      <c r="B240">
        <v>0</v>
      </c>
      <c r="C240">
        <v>0</v>
      </c>
      <c r="D240">
        <v>0</v>
      </c>
      <c r="E240">
        <v>-1.1000000000000001</v>
      </c>
      <c r="F240">
        <v>-4.03</v>
      </c>
      <c r="G240">
        <v>-8.8800000000000008</v>
      </c>
      <c r="H240">
        <v>-9.1999999999999993</v>
      </c>
      <c r="I240">
        <v>-8.7200000000000006</v>
      </c>
      <c r="J240">
        <v>-16.48</v>
      </c>
      <c r="K240">
        <v>-32.729999999999997</v>
      </c>
      <c r="L240">
        <v>-33.56</v>
      </c>
      <c r="M240">
        <v>-58.37</v>
      </c>
      <c r="N240">
        <v>-50.5</v>
      </c>
      <c r="O240">
        <v>-39.19</v>
      </c>
      <c r="P240">
        <v>-13.52</v>
      </c>
      <c r="Q240">
        <v>-12.6</v>
      </c>
    </row>
    <row r="241" spans="1:21" x14ac:dyDescent="0.25">
      <c r="A241" t="s">
        <v>218</v>
      </c>
      <c r="B241">
        <v>9.89</v>
      </c>
      <c r="C241">
        <v>261.33999999999997</v>
      </c>
      <c r="D241">
        <v>63.11</v>
      </c>
      <c r="E241">
        <v>32.75</v>
      </c>
      <c r="F241">
        <v>51.47</v>
      </c>
      <c r="G241">
        <v>42.85</v>
      </c>
      <c r="H241">
        <v>-217.96</v>
      </c>
      <c r="I241">
        <v>-346.34</v>
      </c>
      <c r="J241">
        <v>-360.88</v>
      </c>
      <c r="K241">
        <v>-654.6</v>
      </c>
      <c r="L241">
        <v>-83.75</v>
      </c>
      <c r="M241">
        <v>-421.81</v>
      </c>
      <c r="N241" s="2">
        <v>-1595.9</v>
      </c>
      <c r="O241">
        <v>-395.51</v>
      </c>
      <c r="P241" s="2">
        <v>-1299.45</v>
      </c>
      <c r="Q241" s="2">
        <v>-2210.56</v>
      </c>
      <c r="R241" s="2">
        <v>-3867.84</v>
      </c>
      <c r="S241" s="2">
        <v>-4535.63</v>
      </c>
      <c r="T241" s="2">
        <v>-6557.39</v>
      </c>
      <c r="U241" s="2">
        <v>-5649.62</v>
      </c>
    </row>
    <row r="242" spans="1:21" x14ac:dyDescent="0.25">
      <c r="A242" t="s">
        <v>17</v>
      </c>
    </row>
    <row r="243" spans="1:21" x14ac:dyDescent="0.25">
      <c r="A243" t="s">
        <v>176</v>
      </c>
    </row>
    <row r="244" spans="1:21" x14ac:dyDescent="0.25">
      <c r="A244" t="s">
        <v>219</v>
      </c>
      <c r="B244">
        <v>-0.03</v>
      </c>
      <c r="C244">
        <v>-0.12</v>
      </c>
      <c r="D244">
        <v>-0.51</v>
      </c>
      <c r="E244">
        <v>-0.46</v>
      </c>
      <c r="F244">
        <v>0.75</v>
      </c>
      <c r="G244">
        <v>-1.39</v>
      </c>
      <c r="H244">
        <v>0.35</v>
      </c>
      <c r="I244">
        <v>1.97</v>
      </c>
      <c r="J244">
        <v>-1.82</v>
      </c>
      <c r="K244">
        <v>-3.61</v>
      </c>
      <c r="L244">
        <v>0.68</v>
      </c>
      <c r="M244">
        <v>-4.7699999999999996</v>
      </c>
      <c r="N244">
        <v>1.7</v>
      </c>
      <c r="O244">
        <v>-2.29</v>
      </c>
      <c r="P244">
        <v>3.68</v>
      </c>
      <c r="Q244">
        <v>7.87</v>
      </c>
      <c r="R244">
        <v>23.6</v>
      </c>
    </row>
    <row r="245" spans="1:21" x14ac:dyDescent="0.25">
      <c r="A245" t="s">
        <v>220</v>
      </c>
      <c r="B245">
        <v>25.01</v>
      </c>
      <c r="C245">
        <v>126.37</v>
      </c>
      <c r="D245">
        <v>447.3</v>
      </c>
      <c r="E245">
        <v>-119.2</v>
      </c>
      <c r="F245">
        <v>292.52999999999997</v>
      </c>
      <c r="G245">
        <v>-210.53</v>
      </c>
      <c r="H245">
        <v>461.35</v>
      </c>
      <c r="I245">
        <v>-218.06</v>
      </c>
      <c r="J245">
        <v>-272.39999999999998</v>
      </c>
      <c r="K245">
        <v>50.93</v>
      </c>
      <c r="L245" s="2">
        <v>1263.49</v>
      </c>
      <c r="M245">
        <v>824.3</v>
      </c>
      <c r="N245">
        <v>-798.5</v>
      </c>
      <c r="O245" s="2">
        <v>1898.69</v>
      </c>
      <c r="P245" s="2">
        <v>3795.99</v>
      </c>
      <c r="Q245" s="2">
        <v>4775.82</v>
      </c>
      <c r="R245" s="2">
        <v>5921.44</v>
      </c>
      <c r="S245" s="2">
        <v>8474.73</v>
      </c>
      <c r="T245" s="2">
        <v>9487.59</v>
      </c>
      <c r="U245" s="2">
        <v>10262.06</v>
      </c>
    </row>
    <row r="246" spans="1:21" x14ac:dyDescent="0.25">
      <c r="A246" t="s">
        <v>827</v>
      </c>
      <c r="B246">
        <v>113.66</v>
      </c>
      <c r="C246">
        <v>240.03</v>
      </c>
      <c r="D246">
        <v>687.33</v>
      </c>
      <c r="E246">
        <v>572.16999999999996</v>
      </c>
      <c r="F246">
        <v>864.7</v>
      </c>
      <c r="G246">
        <v>654.16</v>
      </c>
      <c r="H246" s="2">
        <v>1115.52</v>
      </c>
      <c r="I246">
        <v>897.45</v>
      </c>
      <c r="J246">
        <v>625.04999999999995</v>
      </c>
      <c r="K246">
        <v>675.98</v>
      </c>
      <c r="L246" s="2">
        <v>1939.46</v>
      </c>
      <c r="M246" s="2">
        <v>2763.77</v>
      </c>
      <c r="N246" s="2">
        <v>1965.3</v>
      </c>
      <c r="O246" s="2">
        <v>3927.84</v>
      </c>
      <c r="P246" s="2">
        <v>7512.25</v>
      </c>
      <c r="Q246" s="2">
        <v>14452.75</v>
      </c>
      <c r="R246" s="2">
        <v>23229.15</v>
      </c>
      <c r="S246" s="2">
        <v>35300.94</v>
      </c>
      <c r="T246" s="2">
        <v>37572.379999999997</v>
      </c>
      <c r="U246" s="2">
        <v>40833.17</v>
      </c>
    </row>
    <row r="247" spans="1:21" x14ac:dyDescent="0.25">
      <c r="A247" t="s">
        <v>826</v>
      </c>
      <c r="B247">
        <v>88.66</v>
      </c>
      <c r="C247">
        <v>113.66</v>
      </c>
      <c r="D247">
        <v>240.03</v>
      </c>
      <c r="E247">
        <v>691.37</v>
      </c>
      <c r="F247">
        <v>572.16999999999996</v>
      </c>
      <c r="G247">
        <v>864.7</v>
      </c>
      <c r="H247">
        <v>654.16</v>
      </c>
      <c r="I247" s="2">
        <v>1115.52</v>
      </c>
      <c r="J247">
        <v>897.45</v>
      </c>
      <c r="K247">
        <v>625.04999999999995</v>
      </c>
      <c r="L247">
        <v>675.98</v>
      </c>
      <c r="M247" s="2">
        <v>1939.46</v>
      </c>
      <c r="N247" s="2">
        <v>2763.8</v>
      </c>
      <c r="O247" s="2">
        <v>2120.6799999999998</v>
      </c>
      <c r="P247" s="2">
        <v>3672.1</v>
      </c>
      <c r="Q247" s="2">
        <v>7811.55</v>
      </c>
      <c r="R247" s="2">
        <v>12560.1</v>
      </c>
      <c r="S247" s="2">
        <v>22659.360000000001</v>
      </c>
      <c r="T247" s="2">
        <v>28903.87</v>
      </c>
      <c r="U247" s="2">
        <v>31955.200000000001</v>
      </c>
    </row>
    <row r="248" spans="1:21" x14ac:dyDescent="0.25">
      <c r="A248" t="s">
        <v>178</v>
      </c>
    </row>
    <row r="249" spans="1:21" x14ac:dyDescent="0.25">
      <c r="A249" t="s">
        <v>224</v>
      </c>
      <c r="B249">
        <v>7.0000000000000007E-2</v>
      </c>
      <c r="C249">
        <v>0.13</v>
      </c>
      <c r="D249">
        <v>0.18</v>
      </c>
      <c r="E249">
        <v>0.15</v>
      </c>
      <c r="F249">
        <v>0.5</v>
      </c>
      <c r="G249">
        <v>0.39</v>
      </c>
      <c r="H249">
        <v>0.74</v>
      </c>
      <c r="I249">
        <v>0.57999999999999996</v>
      </c>
      <c r="J249">
        <v>0.8</v>
      </c>
      <c r="K249">
        <v>0.39</v>
      </c>
      <c r="L249">
        <v>1.6</v>
      </c>
      <c r="M249">
        <v>2.89</v>
      </c>
      <c r="N249">
        <v>3.43</v>
      </c>
      <c r="O249">
        <v>3.58</v>
      </c>
      <c r="P249">
        <v>5.43</v>
      </c>
      <c r="Q249">
        <v>7.48</v>
      </c>
      <c r="R249">
        <v>8.32</v>
      </c>
      <c r="S249">
        <v>9.9499999999999993</v>
      </c>
      <c r="T249">
        <v>11.59</v>
      </c>
      <c r="U249">
        <v>13.7</v>
      </c>
    </row>
    <row r="250" spans="1:21" x14ac:dyDescent="0.25">
      <c r="A250" t="s">
        <v>225</v>
      </c>
      <c r="B250">
        <v>14.33</v>
      </c>
      <c r="C250">
        <v>101.38</v>
      </c>
      <c r="D250">
        <v>180.54</v>
      </c>
      <c r="E250">
        <v>152.88</v>
      </c>
      <c r="F250">
        <v>616.35</v>
      </c>
      <c r="G250">
        <v>479.29</v>
      </c>
      <c r="H250">
        <v>947.28</v>
      </c>
      <c r="I250">
        <v>719.73</v>
      </c>
      <c r="J250">
        <v>951.12</v>
      </c>
      <c r="K250">
        <v>448.17</v>
      </c>
      <c r="L250" s="2">
        <v>1999.58</v>
      </c>
      <c r="M250" s="2">
        <v>3676.2</v>
      </c>
      <c r="N250" s="2">
        <v>4252.3999999999996</v>
      </c>
      <c r="O250" s="2">
        <v>5596.04</v>
      </c>
      <c r="P250" s="2">
        <v>6916.77</v>
      </c>
      <c r="Q250" s="2">
        <v>8159.98</v>
      </c>
      <c r="R250" s="2">
        <v>9771.36</v>
      </c>
      <c r="S250" s="2">
        <v>12331.2</v>
      </c>
      <c r="T250" s="2">
        <v>13859.18</v>
      </c>
      <c r="U250" s="2">
        <v>15911.69</v>
      </c>
    </row>
    <row r="251" spans="1:21" x14ac:dyDescent="0.25">
      <c r="A251" t="s">
        <v>228</v>
      </c>
      <c r="B251">
        <v>3.97</v>
      </c>
      <c r="C251">
        <v>17.36</v>
      </c>
      <c r="D251">
        <v>21.56</v>
      </c>
      <c r="E251">
        <v>13.54</v>
      </c>
      <c r="F251">
        <v>37.44</v>
      </c>
      <c r="G251">
        <v>22.28</v>
      </c>
      <c r="H251">
        <v>39.29</v>
      </c>
      <c r="I251">
        <v>31.06</v>
      </c>
      <c r="J251">
        <v>32.26</v>
      </c>
      <c r="K251">
        <v>10.23</v>
      </c>
      <c r="L251">
        <v>34.119999999999997</v>
      </c>
      <c r="M251">
        <v>52.49</v>
      </c>
      <c r="N251">
        <v>47.22</v>
      </c>
      <c r="O251">
        <v>42.22</v>
      </c>
      <c r="P251">
        <v>40.79</v>
      </c>
      <c r="Q251">
        <v>39.22</v>
      </c>
      <c r="R251">
        <v>41.07</v>
      </c>
      <c r="S251">
        <v>42.56</v>
      </c>
      <c r="T251">
        <v>43.99</v>
      </c>
      <c r="U251">
        <v>43.35</v>
      </c>
    </row>
    <row r="252" spans="1:21" x14ac:dyDescent="0.25">
      <c r="A252" t="s">
        <v>438</v>
      </c>
      <c r="B252">
        <v>0.03</v>
      </c>
      <c r="C252">
        <v>0.12</v>
      </c>
      <c r="D252">
        <v>0.16</v>
      </c>
      <c r="E252">
        <v>0.13</v>
      </c>
      <c r="F252">
        <v>0.49</v>
      </c>
      <c r="G252">
        <v>0.37</v>
      </c>
      <c r="H252">
        <v>0.73</v>
      </c>
      <c r="I252">
        <v>0.56999999999999995</v>
      </c>
      <c r="J252">
        <v>0.74</v>
      </c>
      <c r="K252">
        <v>0.35</v>
      </c>
      <c r="L252">
        <v>1.58</v>
      </c>
      <c r="M252">
        <v>2.87</v>
      </c>
      <c r="N252">
        <v>3.33</v>
      </c>
      <c r="O252">
        <v>4.68</v>
      </c>
      <c r="P252">
        <v>5.63</v>
      </c>
      <c r="Q252">
        <v>6.53</v>
      </c>
      <c r="R252">
        <v>7.74</v>
      </c>
      <c r="S252">
        <v>9.25</v>
      </c>
      <c r="T252">
        <v>11.15</v>
      </c>
      <c r="U252">
        <v>12.7</v>
      </c>
    </row>
    <row r="253" spans="1:21" x14ac:dyDescent="0.25">
      <c r="A253" t="s">
        <v>17</v>
      </c>
    </row>
    <row r="254" spans="1:21" x14ac:dyDescent="0.25">
      <c r="A254" t="s">
        <v>231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CF23-CEE5-451F-8AD4-B0219554D706}">
  <dimension ref="A1:U283"/>
  <sheetViews>
    <sheetView workbookViewId="0">
      <selection sqref="A1:U283"/>
    </sheetView>
  </sheetViews>
  <sheetFormatPr defaultRowHeight="15" x14ac:dyDescent="0.25"/>
  <sheetData>
    <row r="1" spans="1:21" x14ac:dyDescent="0.25">
      <c r="A1" t="s">
        <v>1873</v>
      </c>
    </row>
    <row r="2" spans="1:21" x14ac:dyDescent="0.25">
      <c r="A2" t="s">
        <v>1874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D6">
        <v>-0.01</v>
      </c>
      <c r="E6">
        <v>-0.01</v>
      </c>
      <c r="F6">
        <v>0.02</v>
      </c>
      <c r="G6">
        <v>0.04</v>
      </c>
      <c r="H6">
        <v>0.03</v>
      </c>
      <c r="I6">
        <v>0.4</v>
      </c>
      <c r="J6">
        <v>0.64</v>
      </c>
      <c r="K6">
        <v>0.04</v>
      </c>
      <c r="L6">
        <v>0.73</v>
      </c>
      <c r="M6">
        <v>1.26</v>
      </c>
      <c r="N6">
        <v>1.43</v>
      </c>
      <c r="O6">
        <v>1.9</v>
      </c>
      <c r="P6">
        <v>2.48</v>
      </c>
      <c r="Q6">
        <v>3.34</v>
      </c>
      <c r="R6">
        <v>4.16</v>
      </c>
      <c r="S6">
        <v>5.17</v>
      </c>
      <c r="T6">
        <v>6.36</v>
      </c>
      <c r="U6">
        <v>8.27</v>
      </c>
    </row>
    <row r="7" spans="1:21" x14ac:dyDescent="0.25">
      <c r="A7" t="s">
        <v>16</v>
      </c>
      <c r="D7">
        <v>205.23</v>
      </c>
      <c r="E7">
        <v>389.33</v>
      </c>
      <c r="F7">
        <v>673.3</v>
      </c>
      <c r="G7" s="2">
        <v>1073.23</v>
      </c>
      <c r="H7" s="2">
        <v>1578.17</v>
      </c>
      <c r="I7" s="2">
        <v>2929.49</v>
      </c>
      <c r="J7" s="2">
        <v>4611.8599999999997</v>
      </c>
      <c r="K7" s="2">
        <v>5599.86</v>
      </c>
      <c r="L7" s="2">
        <v>7060</v>
      </c>
      <c r="M7" s="2">
        <v>8880</v>
      </c>
      <c r="N7" s="2">
        <v>11556</v>
      </c>
      <c r="O7" s="2">
        <v>15236.37</v>
      </c>
      <c r="P7" s="2">
        <v>19131</v>
      </c>
      <c r="Q7" s="2">
        <v>23857.31</v>
      </c>
      <c r="R7" s="2">
        <v>28933.42</v>
      </c>
      <c r="S7" s="2">
        <v>34774.33</v>
      </c>
      <c r="T7" s="2">
        <v>41964</v>
      </c>
      <c r="U7" s="2">
        <v>50695.5</v>
      </c>
    </row>
    <row r="8" spans="1:21" x14ac:dyDescent="0.25">
      <c r="A8" t="s">
        <v>1875</v>
      </c>
      <c r="K8">
        <v>23</v>
      </c>
      <c r="L8">
        <v>26</v>
      </c>
      <c r="M8">
        <v>26</v>
      </c>
      <c r="N8">
        <v>30</v>
      </c>
      <c r="O8">
        <v>31.97</v>
      </c>
      <c r="P8">
        <v>24.93</v>
      </c>
      <c r="Q8">
        <v>23.2</v>
      </c>
      <c r="R8">
        <v>21.74</v>
      </c>
      <c r="S8">
        <v>20.21</v>
      </c>
      <c r="T8">
        <v>17.03</v>
      </c>
      <c r="U8">
        <v>15.34</v>
      </c>
    </row>
    <row r="9" spans="1:21" x14ac:dyDescent="0.25">
      <c r="A9" t="s">
        <v>17</v>
      </c>
    </row>
    <row r="10" spans="1:21" x14ac:dyDescent="0.25">
      <c r="A10" t="s">
        <v>32</v>
      </c>
    </row>
    <row r="11" spans="1:21" x14ac:dyDescent="0.25">
      <c r="A11" t="s">
        <v>1876</v>
      </c>
      <c r="B11">
        <v>11.91</v>
      </c>
      <c r="C11">
        <v>38.35</v>
      </c>
      <c r="D11">
        <v>93.25</v>
      </c>
      <c r="E11">
        <v>200.72</v>
      </c>
      <c r="F11">
        <v>363.27</v>
      </c>
      <c r="G11">
        <v>608.23</v>
      </c>
      <c r="H11">
        <v>935.93</v>
      </c>
      <c r="I11" s="2">
        <v>2020.73</v>
      </c>
      <c r="J11" s="2">
        <v>3269.52</v>
      </c>
      <c r="K11" s="2">
        <v>4112.1099999999997</v>
      </c>
      <c r="L11" s="2">
        <v>5223</v>
      </c>
      <c r="M11" s="2">
        <v>6530</v>
      </c>
      <c r="N11" s="2">
        <v>8804</v>
      </c>
      <c r="O11" s="2">
        <v>11924.12</v>
      </c>
      <c r="P11" s="2">
        <v>15126.67</v>
      </c>
      <c r="Q11" s="2">
        <v>18944.3</v>
      </c>
      <c r="R11" s="2">
        <v>23898.63</v>
      </c>
      <c r="S11" s="2">
        <v>29145.87</v>
      </c>
      <c r="T11" s="2">
        <v>35393.31</v>
      </c>
      <c r="U11" s="2">
        <v>43189.58</v>
      </c>
    </row>
    <row r="12" spans="1:21" x14ac:dyDescent="0.25">
      <c r="A12" t="s">
        <v>1877</v>
      </c>
      <c r="B12">
        <v>38.340000000000003</v>
      </c>
      <c r="C12">
        <v>66.67</v>
      </c>
      <c r="D12">
        <v>111.98</v>
      </c>
      <c r="E12">
        <v>188.61</v>
      </c>
      <c r="F12">
        <v>310.02999999999997</v>
      </c>
      <c r="G12">
        <v>465</v>
      </c>
      <c r="H12">
        <v>642.24</v>
      </c>
      <c r="I12">
        <v>908.76</v>
      </c>
      <c r="J12" s="2">
        <v>1342.33</v>
      </c>
      <c r="K12" s="2">
        <v>1487.76</v>
      </c>
      <c r="L12" s="2">
        <v>1837</v>
      </c>
      <c r="M12" s="2">
        <v>2350</v>
      </c>
      <c r="N12" s="2">
        <v>2752</v>
      </c>
      <c r="O12" s="2">
        <v>3334.5</v>
      </c>
      <c r="P12" s="2">
        <v>3945.46</v>
      </c>
      <c r="Q12" s="2">
        <v>4547.8999999999996</v>
      </c>
      <c r="R12" s="2">
        <v>5266.6</v>
      </c>
      <c r="S12" s="2">
        <v>5966.34</v>
      </c>
      <c r="T12" s="2">
        <v>6570.73</v>
      </c>
      <c r="U12" s="2">
        <v>7505.94</v>
      </c>
    </row>
    <row r="13" spans="1:21" x14ac:dyDescent="0.25">
      <c r="A13" t="s">
        <v>17</v>
      </c>
    </row>
    <row r="14" spans="1:21" x14ac:dyDescent="0.25">
      <c r="A14" t="s">
        <v>378</v>
      </c>
      <c r="D14">
        <v>111.42</v>
      </c>
      <c r="E14">
        <v>210.21</v>
      </c>
      <c r="F14">
        <v>384.64</v>
      </c>
      <c r="G14">
        <v>603.62</v>
      </c>
      <c r="H14">
        <v>879.36</v>
      </c>
      <c r="I14" s="2">
        <v>1568.48</v>
      </c>
      <c r="J14" s="2">
        <v>2509.19</v>
      </c>
      <c r="K14" s="2">
        <v>2811.68</v>
      </c>
      <c r="L14" s="2">
        <v>3554</v>
      </c>
      <c r="M14" s="2">
        <v>4472</v>
      </c>
      <c r="N14" s="2">
        <v>5555</v>
      </c>
      <c r="O14" s="2">
        <v>7206.25</v>
      </c>
      <c r="P14" s="2">
        <v>8892.6299999999992</v>
      </c>
      <c r="Q14" s="2">
        <v>10835.25</v>
      </c>
      <c r="R14" s="2">
        <v>13626.33</v>
      </c>
      <c r="S14" s="2">
        <v>16438.57</v>
      </c>
      <c r="T14" s="2">
        <v>20510.05</v>
      </c>
      <c r="U14" s="2">
        <v>25918.84</v>
      </c>
    </row>
    <row r="15" spans="1:21" x14ac:dyDescent="0.25">
      <c r="A15" t="s">
        <v>445</v>
      </c>
      <c r="D15">
        <v>54.29</v>
      </c>
      <c r="E15">
        <v>53.99</v>
      </c>
      <c r="F15">
        <v>56.67</v>
      </c>
      <c r="G15">
        <v>55.79</v>
      </c>
      <c r="H15">
        <v>55.72</v>
      </c>
      <c r="I15">
        <v>54</v>
      </c>
      <c r="J15">
        <v>54</v>
      </c>
      <c r="K15">
        <v>50</v>
      </c>
      <c r="L15">
        <v>50</v>
      </c>
      <c r="M15">
        <v>50.36</v>
      </c>
      <c r="N15">
        <v>48.07</v>
      </c>
      <c r="O15">
        <v>47.32</v>
      </c>
      <c r="P15">
        <v>46.86</v>
      </c>
      <c r="Q15">
        <v>46.68</v>
      </c>
      <c r="R15">
        <v>46.18</v>
      </c>
      <c r="S15">
        <v>45.96</v>
      </c>
      <c r="T15">
        <v>47.21</v>
      </c>
      <c r="U15">
        <v>47.57</v>
      </c>
    </row>
    <row r="16" spans="1:21" x14ac:dyDescent="0.25">
      <c r="A16" t="s">
        <v>17</v>
      </c>
    </row>
    <row r="17" spans="1:21" x14ac:dyDescent="0.25">
      <c r="A17" t="s">
        <v>29</v>
      </c>
      <c r="D17">
        <v>-6.7</v>
      </c>
      <c r="E17">
        <v>-12.14</v>
      </c>
      <c r="F17">
        <v>6.05</v>
      </c>
      <c r="G17">
        <v>11.84</v>
      </c>
      <c r="H17">
        <v>35.6</v>
      </c>
      <c r="I17">
        <v>437.35</v>
      </c>
      <c r="J17">
        <v>717.99</v>
      </c>
      <c r="K17">
        <v>6.06</v>
      </c>
      <c r="L17">
        <v>782</v>
      </c>
      <c r="M17" s="2">
        <v>1487</v>
      </c>
      <c r="N17" s="2">
        <v>1978</v>
      </c>
      <c r="O17" s="2">
        <v>2762.21</v>
      </c>
      <c r="P17" s="2">
        <v>3666.38</v>
      </c>
      <c r="Q17" s="2">
        <v>5022.45</v>
      </c>
      <c r="R17" s="2">
        <v>6669</v>
      </c>
      <c r="S17" s="2">
        <v>8411.27</v>
      </c>
      <c r="T17" s="2">
        <v>10737</v>
      </c>
      <c r="U17" s="2">
        <v>13921.33</v>
      </c>
    </row>
    <row r="18" spans="1:21" x14ac:dyDescent="0.25">
      <c r="A18" t="s">
        <v>240</v>
      </c>
      <c r="D18">
        <v>-3.27</v>
      </c>
      <c r="E18">
        <v>-3.12</v>
      </c>
      <c r="F18">
        <v>0.9</v>
      </c>
      <c r="G18">
        <v>1.1000000000000001</v>
      </c>
      <c r="H18">
        <v>2.9</v>
      </c>
      <c r="I18">
        <v>14.93</v>
      </c>
      <c r="J18">
        <v>15.57</v>
      </c>
      <c r="K18">
        <v>0.11</v>
      </c>
      <c r="L18">
        <v>11.08</v>
      </c>
      <c r="M18">
        <v>16.75</v>
      </c>
      <c r="N18">
        <v>17.12</v>
      </c>
      <c r="O18">
        <v>18.45</v>
      </c>
      <c r="P18">
        <v>19.25</v>
      </c>
      <c r="Q18">
        <v>20.8</v>
      </c>
      <c r="R18">
        <v>22.43</v>
      </c>
      <c r="S18">
        <v>23.56</v>
      </c>
      <c r="T18">
        <v>25.17</v>
      </c>
      <c r="U18">
        <v>27.27</v>
      </c>
    </row>
    <row r="19" spans="1:21" x14ac:dyDescent="0.25">
      <c r="A19" t="s">
        <v>17</v>
      </c>
    </row>
    <row r="20" spans="1:21" x14ac:dyDescent="0.25">
      <c r="A20" t="s">
        <v>36</v>
      </c>
      <c r="B20">
        <v>-2.0699999999999998</v>
      </c>
      <c r="C20">
        <v>-21.37</v>
      </c>
      <c r="D20">
        <v>-0.77</v>
      </c>
      <c r="E20">
        <v>-9.76</v>
      </c>
      <c r="F20">
        <v>-12.14</v>
      </c>
      <c r="G20">
        <v>-18.63</v>
      </c>
      <c r="H20">
        <v>13.86</v>
      </c>
      <c r="I20">
        <v>383.23</v>
      </c>
      <c r="J20">
        <v>453.64</v>
      </c>
      <c r="K20">
        <v>-186.47</v>
      </c>
      <c r="L20">
        <v>905</v>
      </c>
      <c r="M20" s="2">
        <v>1597</v>
      </c>
      <c r="N20" s="2">
        <v>2007</v>
      </c>
      <c r="O20" s="2">
        <v>2844.92</v>
      </c>
      <c r="P20" s="2">
        <v>3654.82</v>
      </c>
      <c r="Q20" s="2">
        <v>4850.12</v>
      </c>
      <c r="R20" s="2">
        <v>6170.68</v>
      </c>
      <c r="S20" s="2">
        <v>7775.09</v>
      </c>
      <c r="T20" s="2">
        <v>9738.4699999999993</v>
      </c>
      <c r="U20" s="2">
        <v>12403.66</v>
      </c>
    </row>
    <row r="21" spans="1:21" x14ac:dyDescent="0.25">
      <c r="A21" t="s">
        <v>1061</v>
      </c>
      <c r="B21">
        <v>-4.1100000000000003</v>
      </c>
      <c r="C21">
        <v>-20.350000000000001</v>
      </c>
      <c r="D21">
        <v>-0.37</v>
      </c>
      <c r="E21">
        <v>-2.5099999999999998</v>
      </c>
      <c r="F21">
        <v>-1.8</v>
      </c>
      <c r="G21">
        <v>-1.74</v>
      </c>
      <c r="H21">
        <v>0.88</v>
      </c>
      <c r="I21">
        <v>13.08</v>
      </c>
      <c r="J21">
        <v>9.84</v>
      </c>
      <c r="K21">
        <v>-3.33</v>
      </c>
      <c r="L21">
        <v>12.82</v>
      </c>
      <c r="M21">
        <v>17.98</v>
      </c>
      <c r="N21">
        <v>17.37</v>
      </c>
      <c r="O21">
        <v>18.13</v>
      </c>
      <c r="P21">
        <v>19.420000000000002</v>
      </c>
      <c r="Q21">
        <v>20.57</v>
      </c>
      <c r="R21">
        <v>20.92</v>
      </c>
      <c r="S21">
        <v>21.8</v>
      </c>
      <c r="T21">
        <v>23.01</v>
      </c>
      <c r="U21">
        <v>24.42</v>
      </c>
    </row>
    <row r="22" spans="1:21" x14ac:dyDescent="0.25">
      <c r="A22" t="s">
        <v>17</v>
      </c>
    </row>
    <row r="23" spans="1:21" x14ac:dyDescent="0.25">
      <c r="A23" t="s">
        <v>1878</v>
      </c>
      <c r="D23" s="2">
        <v>2700</v>
      </c>
      <c r="E23" s="2">
        <v>5900</v>
      </c>
      <c r="F23" s="2">
        <v>9900</v>
      </c>
      <c r="G23" s="2">
        <v>16600</v>
      </c>
      <c r="H23" s="2">
        <v>25700</v>
      </c>
      <c r="I23" s="2">
        <v>53900</v>
      </c>
      <c r="J23" s="2">
        <v>85800</v>
      </c>
      <c r="K23" s="2">
        <v>106100</v>
      </c>
      <c r="L23" s="2">
        <v>137040</v>
      </c>
      <c r="M23" s="2">
        <v>181000</v>
      </c>
      <c r="N23" s="2">
        <v>248000</v>
      </c>
      <c r="O23" s="2">
        <v>330204.76</v>
      </c>
      <c r="P23" s="2">
        <v>422878.06</v>
      </c>
      <c r="Q23" s="2">
        <v>543966.61</v>
      </c>
      <c r="R23" s="2">
        <v>682855.24</v>
      </c>
      <c r="S23" s="2">
        <v>825628.26</v>
      </c>
      <c r="T23" s="2">
        <v>952251.62</v>
      </c>
      <c r="U23" s="2">
        <v>1152254.99</v>
      </c>
    </row>
    <row r="24" spans="1:21" x14ac:dyDescent="0.25">
      <c r="A24" t="s">
        <v>1879</v>
      </c>
      <c r="B24" s="2">
        <v>1616.3</v>
      </c>
      <c r="C24" s="2">
        <v>3763.84</v>
      </c>
      <c r="D24" s="2">
        <v>7706.66</v>
      </c>
      <c r="E24" s="2">
        <v>15374.17</v>
      </c>
      <c r="F24" s="2">
        <v>26320.15</v>
      </c>
      <c r="G24" s="2">
        <v>41103.24</v>
      </c>
      <c r="H24" s="2">
        <v>61138.46</v>
      </c>
      <c r="I24" s="2">
        <v>119577.15</v>
      </c>
      <c r="J24" s="2">
        <v>175361.81</v>
      </c>
      <c r="K24" s="2">
        <v>197166.88</v>
      </c>
      <c r="L24" s="2">
        <v>235910</v>
      </c>
      <c r="M24" s="2">
        <v>292275</v>
      </c>
      <c r="N24" s="2">
        <v>378441</v>
      </c>
      <c r="O24" s="2">
        <v>495357.7</v>
      </c>
      <c r="P24" s="2">
        <v>617322.18000000005</v>
      </c>
      <c r="Q24" s="2">
        <v>750027.79</v>
      </c>
      <c r="R24" s="2">
        <v>910277.12</v>
      </c>
      <c r="S24" s="2">
        <v>1079506.3600000001</v>
      </c>
      <c r="T24" s="2">
        <v>1240340.1399999999</v>
      </c>
      <c r="U24" s="2">
        <v>1478880.47</v>
      </c>
    </row>
    <row r="25" spans="1:21" x14ac:dyDescent="0.25">
      <c r="A25" t="s">
        <v>17</v>
      </c>
    </row>
    <row r="26" spans="1:21" x14ac:dyDescent="0.25">
      <c r="A26" t="s">
        <v>1880</v>
      </c>
      <c r="B26">
        <v>3.82</v>
      </c>
      <c r="C26">
        <v>6.57</v>
      </c>
      <c r="D26">
        <v>11.34</v>
      </c>
      <c r="E26">
        <v>18.46</v>
      </c>
      <c r="F26">
        <v>29.88</v>
      </c>
      <c r="G26">
        <v>40.9</v>
      </c>
      <c r="H26">
        <v>53.9</v>
      </c>
      <c r="I26">
        <v>82.6</v>
      </c>
      <c r="J26">
        <v>102</v>
      </c>
      <c r="K26">
        <v>109.51</v>
      </c>
      <c r="L26">
        <v>149</v>
      </c>
      <c r="M26">
        <v>178</v>
      </c>
      <c r="N26">
        <v>205</v>
      </c>
      <c r="O26">
        <v>237.54</v>
      </c>
      <c r="P26">
        <v>275.68</v>
      </c>
      <c r="Q26">
        <v>306.68</v>
      </c>
      <c r="R26">
        <v>347.48</v>
      </c>
      <c r="S26">
        <v>384.36</v>
      </c>
      <c r="T26">
        <v>415.72</v>
      </c>
      <c r="U26">
        <v>456.81</v>
      </c>
    </row>
    <row r="27" spans="1:21" x14ac:dyDescent="0.25">
      <c r="A27" t="s">
        <v>17</v>
      </c>
    </row>
    <row r="28" spans="1:21" x14ac:dyDescent="0.25">
      <c r="A28" t="s">
        <v>37</v>
      </c>
    </row>
    <row r="29" spans="1:21" x14ac:dyDescent="0.25">
      <c r="A29" t="s">
        <v>17</v>
      </c>
    </row>
    <row r="30" spans="1:21" x14ac:dyDescent="0.25">
      <c r="A30" t="s">
        <v>38</v>
      </c>
    </row>
    <row r="31" spans="1:21" x14ac:dyDescent="0.25">
      <c r="A31" t="s">
        <v>441</v>
      </c>
      <c r="F31">
        <v>684.26</v>
      </c>
      <c r="G31" s="2">
        <v>1082.24</v>
      </c>
      <c r="H31" s="2">
        <v>1599.77</v>
      </c>
      <c r="I31" s="2">
        <v>2995.65</v>
      </c>
      <c r="J31" s="2">
        <v>4862.7700000000004</v>
      </c>
      <c r="K31" s="2">
        <v>5783.54</v>
      </c>
      <c r="L31" s="2">
        <v>6994</v>
      </c>
      <c r="M31" s="2">
        <v>8812</v>
      </c>
      <c r="N31" s="2">
        <v>11698</v>
      </c>
      <c r="P31" s="2">
        <v>19264.509999999998</v>
      </c>
      <c r="Q31" s="2">
        <v>23576.51</v>
      </c>
      <c r="R31" s="2">
        <v>29242.07</v>
      </c>
      <c r="S31" s="2">
        <v>35155.599999999999</v>
      </c>
      <c r="T31" s="2">
        <v>42193.78</v>
      </c>
      <c r="U31" s="2">
        <v>50860.61</v>
      </c>
    </row>
    <row r="32" spans="1:21" x14ac:dyDescent="0.25">
      <c r="A32" t="s">
        <v>1881</v>
      </c>
      <c r="K32">
        <v>23</v>
      </c>
      <c r="L32">
        <v>26</v>
      </c>
      <c r="M32">
        <v>26</v>
      </c>
      <c r="N32">
        <v>30</v>
      </c>
      <c r="O32">
        <v>31.97</v>
      </c>
      <c r="P32">
        <v>24.93</v>
      </c>
      <c r="Q32">
        <v>23.2</v>
      </c>
      <c r="R32">
        <v>21.74</v>
      </c>
      <c r="S32">
        <v>20.21</v>
      </c>
      <c r="T32">
        <v>17.03</v>
      </c>
      <c r="U32">
        <v>15.34</v>
      </c>
    </row>
    <row r="33" spans="1:21" x14ac:dyDescent="0.25">
      <c r="A33" t="s">
        <v>1882</v>
      </c>
      <c r="K33">
        <v>2.84</v>
      </c>
      <c r="L33">
        <v>2.99</v>
      </c>
    </row>
    <row r="34" spans="1:21" x14ac:dyDescent="0.25">
      <c r="A34" t="s">
        <v>1883</v>
      </c>
      <c r="N34">
        <v>14</v>
      </c>
      <c r="O34">
        <v>16.329999999999998</v>
      </c>
      <c r="P34">
        <v>17.850000000000001</v>
      </c>
      <c r="Q34">
        <v>19.170000000000002</v>
      </c>
    </row>
    <row r="35" spans="1:21" x14ac:dyDescent="0.25">
      <c r="A35" t="s">
        <v>17</v>
      </c>
    </row>
    <row r="36" spans="1:21" x14ac:dyDescent="0.25">
      <c r="A36" t="s">
        <v>1884</v>
      </c>
      <c r="C36">
        <v>0.16</v>
      </c>
      <c r="D36">
        <v>0.24</v>
      </c>
      <c r="E36">
        <v>0.38</v>
      </c>
      <c r="F36">
        <v>0.61</v>
      </c>
      <c r="G36">
        <v>0.82</v>
      </c>
      <c r="H36">
        <v>1.07</v>
      </c>
      <c r="I36">
        <v>1.75</v>
      </c>
      <c r="J36">
        <v>2.06</v>
      </c>
      <c r="O36">
        <v>3.67</v>
      </c>
      <c r="P36">
        <v>4.07</v>
      </c>
      <c r="Q36">
        <v>4.2</v>
      </c>
      <c r="R36">
        <v>4.84</v>
      </c>
      <c r="S36">
        <v>5.25</v>
      </c>
      <c r="T36">
        <v>5.39</v>
      </c>
      <c r="U36">
        <v>5.66</v>
      </c>
    </row>
    <row r="37" spans="1:21" x14ac:dyDescent="0.25">
      <c r="A37" t="s">
        <v>1885</v>
      </c>
      <c r="H37">
        <v>437.7</v>
      </c>
      <c r="I37">
        <v>794.4</v>
      </c>
      <c r="J37" s="2">
        <v>1388.9</v>
      </c>
      <c r="K37" s="2">
        <v>1663.9</v>
      </c>
      <c r="O37" s="2">
        <v>4406.8599999999997</v>
      </c>
      <c r="P37" s="2">
        <v>6123.85</v>
      </c>
      <c r="Q37" s="2">
        <v>8428.9699999999993</v>
      </c>
      <c r="R37" s="2">
        <v>15394.57</v>
      </c>
      <c r="S37" s="2">
        <v>20548.05</v>
      </c>
      <c r="T37" s="2">
        <v>26175.71</v>
      </c>
      <c r="U37" s="2">
        <v>32159.15</v>
      </c>
    </row>
    <row r="38" spans="1:21" x14ac:dyDescent="0.25">
      <c r="A38" t="s">
        <v>17</v>
      </c>
    </row>
    <row r="39" spans="1:21" x14ac:dyDescent="0.25">
      <c r="A39" t="s">
        <v>1880</v>
      </c>
      <c r="B39">
        <v>3.82</v>
      </c>
      <c r="C39">
        <v>6.57</v>
      </c>
      <c r="D39">
        <v>11.34</v>
      </c>
      <c r="E39">
        <v>18.46</v>
      </c>
      <c r="F39">
        <v>29.88</v>
      </c>
      <c r="G39">
        <v>40.9</v>
      </c>
      <c r="H39">
        <v>53.9</v>
      </c>
      <c r="I39">
        <v>82.6</v>
      </c>
      <c r="J39">
        <v>102</v>
      </c>
      <c r="K39">
        <v>109.51</v>
      </c>
      <c r="L39">
        <v>149</v>
      </c>
      <c r="M39">
        <v>178</v>
      </c>
      <c r="N39">
        <v>205</v>
      </c>
      <c r="O39">
        <v>237.54</v>
      </c>
      <c r="P39">
        <v>275.68</v>
      </c>
      <c r="Q39">
        <v>306.68</v>
      </c>
      <c r="R39">
        <v>347.48</v>
      </c>
      <c r="S39">
        <v>384.36</v>
      </c>
      <c r="T39">
        <v>415.72</v>
      </c>
      <c r="U39">
        <v>456.81</v>
      </c>
    </row>
    <row r="40" spans="1:21" x14ac:dyDescent="0.25">
      <c r="A40" t="s">
        <v>1886</v>
      </c>
      <c r="F40">
        <v>6.3</v>
      </c>
      <c r="G40">
        <v>10.4</v>
      </c>
      <c r="H40">
        <v>14.6</v>
      </c>
      <c r="I40">
        <v>21</v>
      </c>
      <c r="J40">
        <v>29.8</v>
      </c>
      <c r="K40">
        <v>36.6</v>
      </c>
      <c r="L40">
        <v>46</v>
      </c>
      <c r="M40">
        <v>178</v>
      </c>
      <c r="N40">
        <v>205</v>
      </c>
      <c r="O40">
        <v>81.489999999999995</v>
      </c>
      <c r="P40">
        <v>96.85</v>
      </c>
      <c r="Q40">
        <v>102.03</v>
      </c>
      <c r="R40">
        <v>126.06</v>
      </c>
      <c r="S40">
        <v>141.38</v>
      </c>
      <c r="T40">
        <v>153.27000000000001</v>
      </c>
      <c r="U40">
        <v>174.97</v>
      </c>
    </row>
    <row r="41" spans="1:21" x14ac:dyDescent="0.25">
      <c r="A41" t="s">
        <v>17</v>
      </c>
    </row>
    <row r="42" spans="1:21" x14ac:dyDescent="0.25">
      <c r="A42" t="s">
        <v>1878</v>
      </c>
      <c r="D42" s="2">
        <v>2700</v>
      </c>
      <c r="E42" s="2">
        <v>5900</v>
      </c>
      <c r="F42" s="2">
        <v>9900</v>
      </c>
      <c r="G42" s="2">
        <v>16600</v>
      </c>
      <c r="H42" s="2">
        <v>25700</v>
      </c>
      <c r="I42" s="2">
        <v>53900</v>
      </c>
      <c r="J42" s="2">
        <v>85800</v>
      </c>
      <c r="K42" s="2">
        <v>106100</v>
      </c>
      <c r="L42" s="2">
        <v>137040</v>
      </c>
      <c r="M42" s="2">
        <v>181000</v>
      </c>
      <c r="N42" s="2">
        <v>248000</v>
      </c>
      <c r="O42" s="2">
        <v>330204.76</v>
      </c>
      <c r="P42" s="2">
        <v>422878.06</v>
      </c>
      <c r="Q42" s="2">
        <v>543966.61</v>
      </c>
      <c r="R42" s="2">
        <v>682855.24</v>
      </c>
      <c r="S42" s="2">
        <v>825628.26</v>
      </c>
      <c r="T42" s="2">
        <v>952251.62</v>
      </c>
      <c r="U42" s="2">
        <v>1152254.99</v>
      </c>
    </row>
    <row r="43" spans="1:21" x14ac:dyDescent="0.25">
      <c r="A43" t="s">
        <v>1879</v>
      </c>
      <c r="B43" s="2">
        <v>1616.3</v>
      </c>
      <c r="C43" s="2">
        <v>3763.84</v>
      </c>
      <c r="D43" s="2">
        <v>7706.66</v>
      </c>
      <c r="E43" s="2">
        <v>15374.17</v>
      </c>
      <c r="F43" s="2">
        <v>26320.15</v>
      </c>
      <c r="G43" s="2">
        <v>41103.24</v>
      </c>
      <c r="H43" s="2">
        <v>61138.46</v>
      </c>
      <c r="I43" s="2">
        <v>119577.15</v>
      </c>
      <c r="J43" s="2">
        <v>175361.81</v>
      </c>
      <c r="K43" s="2">
        <v>197166.88</v>
      </c>
      <c r="L43" s="2">
        <v>235910</v>
      </c>
      <c r="M43" s="2">
        <v>292275</v>
      </c>
      <c r="N43" s="2">
        <v>378441</v>
      </c>
      <c r="O43" s="2">
        <v>495357.7</v>
      </c>
      <c r="P43" s="2">
        <v>617322.18000000005</v>
      </c>
      <c r="Q43" s="2">
        <v>750027.79</v>
      </c>
      <c r="R43" s="2">
        <v>910277.12</v>
      </c>
      <c r="S43" s="2">
        <v>1079506.3600000001</v>
      </c>
      <c r="T43" s="2">
        <v>1240340.1399999999</v>
      </c>
      <c r="U43" s="2">
        <v>1478880.47</v>
      </c>
    </row>
    <row r="44" spans="1:21" x14ac:dyDescent="0.25">
      <c r="A44" t="s">
        <v>1887</v>
      </c>
      <c r="M44" s="2">
        <v>75000</v>
      </c>
      <c r="N44" s="2">
        <v>121000</v>
      </c>
      <c r="O44" s="2">
        <v>170826.04</v>
      </c>
      <c r="P44" s="2">
        <v>225413.66</v>
      </c>
      <c r="Q44" s="2">
        <v>271226.96000000002</v>
      </c>
      <c r="R44" s="2">
        <v>387846.04</v>
      </c>
      <c r="S44" s="2">
        <v>486739.20000000001</v>
      </c>
      <c r="T44" s="2">
        <v>574769.18999999994</v>
      </c>
      <c r="U44" s="2">
        <v>660085.63</v>
      </c>
    </row>
    <row r="45" spans="1:21" x14ac:dyDescent="0.25">
      <c r="A45" t="s">
        <v>1888</v>
      </c>
      <c r="L45">
        <v>58</v>
      </c>
      <c r="M45">
        <v>62</v>
      </c>
      <c r="N45">
        <v>66</v>
      </c>
      <c r="O45">
        <v>68.22</v>
      </c>
      <c r="P45">
        <v>70.069999999999993</v>
      </c>
      <c r="Q45">
        <v>72.09</v>
      </c>
      <c r="R45">
        <v>74.59</v>
      </c>
      <c r="S45">
        <v>76.150000000000006</v>
      </c>
      <c r="T45">
        <v>76.47</v>
      </c>
      <c r="U45">
        <v>77.61</v>
      </c>
    </row>
    <row r="46" spans="1:21" x14ac:dyDescent="0.25">
      <c r="A46" t="s">
        <v>1889</v>
      </c>
      <c r="M46">
        <v>3.03</v>
      </c>
      <c r="N46">
        <v>3.05</v>
      </c>
      <c r="O46">
        <v>3.08</v>
      </c>
      <c r="P46">
        <v>3.1</v>
      </c>
      <c r="Q46">
        <v>3.14</v>
      </c>
      <c r="R46">
        <v>3.2</v>
      </c>
      <c r="S46">
        <v>3.25</v>
      </c>
      <c r="T46">
        <v>3.38</v>
      </c>
      <c r="U46">
        <v>3.43</v>
      </c>
    </row>
    <row r="47" spans="1:21" x14ac:dyDescent="0.25">
      <c r="A47" t="s">
        <v>17</v>
      </c>
    </row>
    <row r="48" spans="1:21" x14ac:dyDescent="0.25">
      <c r="A48" t="s">
        <v>1890</v>
      </c>
      <c r="N48">
        <v>29</v>
      </c>
      <c r="O48">
        <v>33.19</v>
      </c>
      <c r="P48">
        <v>29.49</v>
      </c>
      <c r="Q48">
        <v>25.5</v>
      </c>
      <c r="R48">
        <v>26</v>
      </c>
      <c r="S48">
        <v>22</v>
      </c>
      <c r="T48">
        <v>18</v>
      </c>
      <c r="U48">
        <v>16</v>
      </c>
    </row>
    <row r="49" spans="1:21" x14ac:dyDescent="0.25">
      <c r="A49" t="s">
        <v>1891</v>
      </c>
      <c r="M49">
        <v>588</v>
      </c>
      <c r="N49">
        <v>748</v>
      </c>
    </row>
    <row r="50" spans="1:21" x14ac:dyDescent="0.25">
      <c r="A50" t="s">
        <v>17</v>
      </c>
    </row>
    <row r="51" spans="1:21" x14ac:dyDescent="0.25">
      <c r="A51" t="s">
        <v>58</v>
      </c>
    </row>
    <row r="52" spans="1:21" x14ac:dyDescent="0.25">
      <c r="A52" t="s">
        <v>1892</v>
      </c>
    </row>
    <row r="53" spans="1:21" x14ac:dyDescent="0.25">
      <c r="A53" t="s">
        <v>60</v>
      </c>
      <c r="B53">
        <v>11.91</v>
      </c>
      <c r="C53">
        <v>38.35</v>
      </c>
      <c r="D53">
        <v>93.25</v>
      </c>
      <c r="E53">
        <v>200.72</v>
      </c>
      <c r="F53">
        <v>363.27</v>
      </c>
      <c r="G53">
        <v>608.23</v>
      </c>
      <c r="H53">
        <v>935.93</v>
      </c>
      <c r="I53" s="2">
        <v>2020.73</v>
      </c>
      <c r="J53" s="2">
        <v>3269.52</v>
      </c>
      <c r="K53" s="2">
        <v>4112.1099999999997</v>
      </c>
      <c r="L53" s="2">
        <v>5223</v>
      </c>
      <c r="M53" s="2">
        <v>6530</v>
      </c>
      <c r="N53" s="2">
        <v>8804</v>
      </c>
      <c r="O53" s="2">
        <v>11924.12</v>
      </c>
      <c r="P53" s="2">
        <v>15126.67</v>
      </c>
      <c r="Q53" s="2">
        <v>18944.3</v>
      </c>
      <c r="R53" s="2">
        <v>23898.63</v>
      </c>
      <c r="S53" s="2">
        <v>29145.87</v>
      </c>
      <c r="T53" s="2">
        <v>35393.31</v>
      </c>
      <c r="U53" s="2">
        <v>43189.58</v>
      </c>
    </row>
    <row r="54" spans="1:21" x14ac:dyDescent="0.25">
      <c r="A54" t="s">
        <v>1893</v>
      </c>
      <c r="K54">
        <v>28</v>
      </c>
      <c r="L54">
        <v>27</v>
      </c>
      <c r="M54">
        <v>25</v>
      </c>
      <c r="N54">
        <v>34</v>
      </c>
      <c r="O54">
        <v>35.270000000000003</v>
      </c>
      <c r="P54">
        <v>26.7</v>
      </c>
      <c r="Q54">
        <v>24.49</v>
      </c>
      <c r="R54">
        <v>22.99</v>
      </c>
      <c r="S54">
        <v>21.16</v>
      </c>
      <c r="T54">
        <v>18.13</v>
      </c>
      <c r="U54">
        <v>16.29</v>
      </c>
    </row>
    <row r="55" spans="1:21" x14ac:dyDescent="0.25">
      <c r="A55" t="s">
        <v>819</v>
      </c>
      <c r="B55">
        <v>23.7</v>
      </c>
      <c r="C55">
        <v>36.5</v>
      </c>
      <c r="D55">
        <v>45.4</v>
      </c>
      <c r="E55">
        <v>51.6</v>
      </c>
      <c r="F55">
        <v>54</v>
      </c>
      <c r="G55">
        <v>56.7</v>
      </c>
      <c r="H55">
        <v>40.700000000000003</v>
      </c>
      <c r="I55">
        <v>31</v>
      </c>
      <c r="J55">
        <v>70.900000000000006</v>
      </c>
      <c r="K55">
        <v>76.900000000000006</v>
      </c>
      <c r="L55">
        <v>74</v>
      </c>
      <c r="M55">
        <v>74</v>
      </c>
      <c r="N55">
        <v>76</v>
      </c>
      <c r="O55">
        <v>78.08</v>
      </c>
      <c r="P55">
        <v>79.28</v>
      </c>
      <c r="Q55">
        <v>80.92</v>
      </c>
      <c r="R55">
        <v>82.08</v>
      </c>
      <c r="S55">
        <v>83.21</v>
      </c>
      <c r="T55">
        <v>84.04</v>
      </c>
      <c r="U55">
        <v>84.65</v>
      </c>
    </row>
    <row r="56" spans="1:21" x14ac:dyDescent="0.25">
      <c r="A56" t="s">
        <v>62</v>
      </c>
      <c r="B56">
        <v>5.01</v>
      </c>
      <c r="C56">
        <v>26.43</v>
      </c>
      <c r="D56">
        <v>69.63</v>
      </c>
      <c r="E56">
        <v>140.36000000000001</v>
      </c>
      <c r="F56">
        <v>231.78</v>
      </c>
      <c r="G56">
        <v>375.97</v>
      </c>
      <c r="H56">
        <v>584.38</v>
      </c>
      <c r="I56" s="2">
        <v>1194.44</v>
      </c>
      <c r="J56" s="2">
        <v>1866.36</v>
      </c>
      <c r="K56" s="2">
        <v>2514.88</v>
      </c>
      <c r="L56" s="2">
        <v>3191</v>
      </c>
      <c r="M56" s="2">
        <v>3974</v>
      </c>
      <c r="N56" s="2">
        <v>5481</v>
      </c>
      <c r="O56" s="2">
        <v>7383.38</v>
      </c>
      <c r="P56" s="2">
        <v>9376.1</v>
      </c>
      <c r="Q56" s="2">
        <v>11843.39</v>
      </c>
      <c r="R56" s="2">
        <v>14605.52</v>
      </c>
      <c r="S56" s="2">
        <v>17671.07</v>
      </c>
      <c r="T56" s="2">
        <v>20795.8</v>
      </c>
      <c r="U56" s="2">
        <v>25090.35</v>
      </c>
    </row>
    <row r="57" spans="1:21" x14ac:dyDescent="0.25">
      <c r="A57" t="s">
        <v>61</v>
      </c>
      <c r="B57">
        <v>10</v>
      </c>
      <c r="C57">
        <v>25.2</v>
      </c>
      <c r="D57">
        <v>33.9</v>
      </c>
      <c r="E57">
        <v>36.1</v>
      </c>
      <c r="F57">
        <v>34.4</v>
      </c>
      <c r="G57">
        <v>35</v>
      </c>
      <c r="H57">
        <v>37</v>
      </c>
      <c r="I57">
        <v>40.799999999999997</v>
      </c>
      <c r="J57">
        <v>40.5</v>
      </c>
      <c r="K57">
        <v>44.9</v>
      </c>
      <c r="L57">
        <v>45</v>
      </c>
      <c r="M57">
        <v>45</v>
      </c>
      <c r="N57">
        <v>47</v>
      </c>
      <c r="O57">
        <v>48.39</v>
      </c>
      <c r="P57">
        <v>48.73</v>
      </c>
      <c r="Q57">
        <v>49.67</v>
      </c>
      <c r="R57">
        <v>49.91</v>
      </c>
      <c r="S57">
        <v>50.17</v>
      </c>
      <c r="T57">
        <v>50.35</v>
      </c>
      <c r="U57">
        <v>50.93</v>
      </c>
    </row>
    <row r="58" spans="1:21" x14ac:dyDescent="0.25">
      <c r="A58" t="s">
        <v>63</v>
      </c>
      <c r="F58">
        <v>131.49</v>
      </c>
      <c r="G58">
        <v>232.26</v>
      </c>
      <c r="H58">
        <v>351.56</v>
      </c>
      <c r="I58">
        <v>826.3</v>
      </c>
      <c r="J58" s="2">
        <v>1403.16</v>
      </c>
      <c r="K58" s="2">
        <v>1597.23</v>
      </c>
      <c r="L58" s="2">
        <v>2032</v>
      </c>
      <c r="M58" s="2">
        <v>2556</v>
      </c>
      <c r="N58" s="2">
        <v>3323</v>
      </c>
      <c r="O58" s="2">
        <v>4548.78</v>
      </c>
      <c r="P58" s="2">
        <v>5801.19</v>
      </c>
      <c r="Q58" s="2">
        <v>7335.94</v>
      </c>
      <c r="R58" s="2">
        <v>9398.7900000000009</v>
      </c>
      <c r="S58" s="2">
        <v>11505.32</v>
      </c>
      <c r="T58" s="2">
        <v>15217.23</v>
      </c>
      <c r="U58" s="2">
        <v>17892.43</v>
      </c>
    </row>
    <row r="59" spans="1:21" x14ac:dyDescent="0.25">
      <c r="A59" t="s">
        <v>64</v>
      </c>
      <c r="F59">
        <v>36.19</v>
      </c>
      <c r="G59">
        <v>38.18</v>
      </c>
      <c r="H59">
        <v>37.56</v>
      </c>
      <c r="I59">
        <v>40.89</v>
      </c>
      <c r="J59">
        <v>42.92</v>
      </c>
      <c r="K59">
        <v>38.840000000000003</v>
      </c>
      <c r="L59">
        <v>38.9</v>
      </c>
      <c r="M59">
        <v>39.14</v>
      </c>
      <c r="N59">
        <v>37.700000000000003</v>
      </c>
      <c r="O59">
        <v>38.11</v>
      </c>
      <c r="P59">
        <v>38.1</v>
      </c>
      <c r="Q59">
        <v>38.28</v>
      </c>
      <c r="R59">
        <v>39.229999999999997</v>
      </c>
      <c r="S59">
        <v>39.520000000000003</v>
      </c>
      <c r="T59">
        <v>40.869999999999997</v>
      </c>
      <c r="U59">
        <v>41.35</v>
      </c>
    </row>
    <row r="60" spans="1:21" x14ac:dyDescent="0.25">
      <c r="A60" t="s">
        <v>17</v>
      </c>
    </row>
    <row r="61" spans="1:21" x14ac:dyDescent="0.25">
      <c r="A61" t="s">
        <v>1894</v>
      </c>
    </row>
    <row r="62" spans="1:21" x14ac:dyDescent="0.25">
      <c r="A62" t="s">
        <v>60</v>
      </c>
      <c r="B62">
        <v>38.340000000000003</v>
      </c>
      <c r="C62">
        <v>66.67</v>
      </c>
      <c r="D62">
        <v>111.98</v>
      </c>
      <c r="E62">
        <v>188.61</v>
      </c>
      <c r="F62">
        <v>310.02999999999997</v>
      </c>
      <c r="G62">
        <v>465</v>
      </c>
      <c r="H62">
        <v>642.24</v>
      </c>
      <c r="I62">
        <v>908.76</v>
      </c>
      <c r="J62" s="2">
        <v>1342.33</v>
      </c>
      <c r="K62" s="2">
        <v>1487.76</v>
      </c>
      <c r="L62" s="2">
        <v>1837</v>
      </c>
      <c r="M62" s="2">
        <v>2350</v>
      </c>
      <c r="N62" s="2">
        <v>2752</v>
      </c>
      <c r="O62" s="2">
        <v>3334.5</v>
      </c>
      <c r="P62" s="2">
        <v>3945.46</v>
      </c>
      <c r="Q62" s="2">
        <v>4547.8999999999996</v>
      </c>
      <c r="R62" s="2">
        <v>5266.6</v>
      </c>
      <c r="S62" s="2">
        <v>5966.34</v>
      </c>
      <c r="T62" s="2">
        <v>6570.73</v>
      </c>
      <c r="U62" s="2">
        <v>7505.94</v>
      </c>
    </row>
    <row r="63" spans="1:21" x14ac:dyDescent="0.25">
      <c r="A63" t="s">
        <v>1893</v>
      </c>
      <c r="K63">
        <v>11</v>
      </c>
      <c r="L63">
        <v>23</v>
      </c>
      <c r="M63">
        <v>28</v>
      </c>
      <c r="N63">
        <v>17</v>
      </c>
      <c r="O63">
        <v>21.1</v>
      </c>
      <c r="P63">
        <v>18.18</v>
      </c>
      <c r="Q63">
        <v>15.24</v>
      </c>
      <c r="R63">
        <v>14.18</v>
      </c>
      <c r="S63">
        <v>13.19</v>
      </c>
      <c r="T63">
        <v>11.5</v>
      </c>
      <c r="U63">
        <v>10.210000000000001</v>
      </c>
    </row>
    <row r="64" spans="1:21" x14ac:dyDescent="0.25">
      <c r="A64" t="s">
        <v>819</v>
      </c>
      <c r="B64">
        <v>76.3</v>
      </c>
      <c r="C64">
        <v>63.5</v>
      </c>
      <c r="D64">
        <v>54.6</v>
      </c>
      <c r="E64">
        <v>48.4</v>
      </c>
      <c r="F64">
        <v>46</v>
      </c>
      <c r="G64">
        <v>43.3</v>
      </c>
      <c r="H64">
        <v>59.3</v>
      </c>
      <c r="I64">
        <v>31</v>
      </c>
      <c r="J64">
        <v>29.1</v>
      </c>
      <c r="K64">
        <v>23.1</v>
      </c>
      <c r="L64">
        <v>26</v>
      </c>
      <c r="M64">
        <v>26</v>
      </c>
      <c r="N64">
        <v>24</v>
      </c>
      <c r="O64">
        <v>26.66</v>
      </c>
      <c r="P64">
        <v>22.67</v>
      </c>
      <c r="Q64">
        <v>19.05</v>
      </c>
      <c r="R64">
        <v>17.920000000000002</v>
      </c>
      <c r="S64">
        <v>16.79</v>
      </c>
      <c r="T64">
        <v>15.96</v>
      </c>
      <c r="U64">
        <v>15.35</v>
      </c>
    </row>
    <row r="65" spans="1:21" x14ac:dyDescent="0.25">
      <c r="A65" t="s">
        <v>62</v>
      </c>
      <c r="B65">
        <v>8.5</v>
      </c>
      <c r="C65">
        <v>16.79</v>
      </c>
      <c r="D65">
        <v>24.53</v>
      </c>
      <c r="E65">
        <v>39.479999999999997</v>
      </c>
      <c r="F65">
        <v>61.27</v>
      </c>
      <c r="G65">
        <v>100.99</v>
      </c>
      <c r="H65">
        <v>128.16</v>
      </c>
      <c r="I65">
        <v>193.53</v>
      </c>
      <c r="J65">
        <v>264.35000000000002</v>
      </c>
      <c r="K65">
        <v>330.87</v>
      </c>
      <c r="L65">
        <v>354</v>
      </c>
      <c r="M65">
        <v>434</v>
      </c>
      <c r="N65">
        <v>520</v>
      </c>
      <c r="O65">
        <v>669.09</v>
      </c>
      <c r="P65">
        <v>790.69</v>
      </c>
      <c r="Q65">
        <v>906.91</v>
      </c>
      <c r="R65" s="2">
        <v>1046.01</v>
      </c>
      <c r="S65" s="2">
        <v>1184.99</v>
      </c>
      <c r="T65" s="2">
        <v>1334.78</v>
      </c>
      <c r="U65" s="2">
        <v>1413.24</v>
      </c>
    </row>
    <row r="66" spans="1:21" x14ac:dyDescent="0.25">
      <c r="A66" t="s">
        <v>61</v>
      </c>
      <c r="B66">
        <v>16.899999999999999</v>
      </c>
      <c r="C66">
        <v>16</v>
      </c>
      <c r="D66">
        <v>12</v>
      </c>
      <c r="E66">
        <v>10.1</v>
      </c>
      <c r="F66">
        <v>9.1</v>
      </c>
      <c r="G66">
        <v>9.4</v>
      </c>
      <c r="H66">
        <v>8.1</v>
      </c>
      <c r="I66">
        <v>6.6</v>
      </c>
      <c r="J66">
        <v>5.7</v>
      </c>
      <c r="K66">
        <v>5.9</v>
      </c>
      <c r="L66">
        <v>5</v>
      </c>
      <c r="M66">
        <v>5</v>
      </c>
      <c r="N66">
        <v>4</v>
      </c>
      <c r="O66">
        <v>4.38</v>
      </c>
      <c r="P66">
        <v>4.18</v>
      </c>
      <c r="Q66">
        <v>3.83</v>
      </c>
      <c r="R66">
        <v>3.63</v>
      </c>
      <c r="S66">
        <v>3.47</v>
      </c>
      <c r="T66">
        <v>3.32</v>
      </c>
      <c r="U66">
        <v>2.82</v>
      </c>
    </row>
    <row r="67" spans="1:21" x14ac:dyDescent="0.25">
      <c r="A67" t="s">
        <v>63</v>
      </c>
      <c r="F67">
        <v>248.76</v>
      </c>
      <c r="G67">
        <v>364.01</v>
      </c>
      <c r="H67">
        <v>514.09</v>
      </c>
      <c r="I67">
        <v>715.23</v>
      </c>
      <c r="J67" s="2">
        <v>1077.98</v>
      </c>
      <c r="K67" s="2">
        <v>1156.8900000000001</v>
      </c>
      <c r="L67" s="2">
        <v>1483</v>
      </c>
      <c r="M67" s="2">
        <v>1916</v>
      </c>
      <c r="N67" s="2">
        <v>2232</v>
      </c>
      <c r="O67" s="2">
        <v>2667.25</v>
      </c>
      <c r="P67" s="2">
        <v>3168.56</v>
      </c>
      <c r="Q67" s="2">
        <v>3675.74</v>
      </c>
      <c r="R67" s="2">
        <v>4338.2700000000004</v>
      </c>
      <c r="S67" s="2">
        <v>4940.08</v>
      </c>
      <c r="T67" s="2">
        <v>5739.54</v>
      </c>
      <c r="U67" s="2">
        <v>6328.34</v>
      </c>
    </row>
    <row r="68" spans="1:21" x14ac:dyDescent="0.25">
      <c r="A68" t="s">
        <v>64</v>
      </c>
      <c r="F68">
        <v>80.23</v>
      </c>
      <c r="G68">
        <v>78.28</v>
      </c>
      <c r="H68">
        <v>80.040000000000006</v>
      </c>
      <c r="I68">
        <v>78.7</v>
      </c>
      <c r="J68">
        <v>80.31</v>
      </c>
      <c r="K68">
        <v>77.760000000000005</v>
      </c>
      <c r="L68">
        <v>80.73</v>
      </c>
      <c r="M68">
        <v>81.53</v>
      </c>
      <c r="N68">
        <v>81.099999999999994</v>
      </c>
      <c r="O68">
        <v>80.010000000000005</v>
      </c>
      <c r="P68">
        <v>79.97</v>
      </c>
      <c r="Q68">
        <v>80.33</v>
      </c>
      <c r="R68">
        <v>80.69</v>
      </c>
      <c r="S68">
        <v>80.760000000000005</v>
      </c>
      <c r="T68">
        <v>81.58</v>
      </c>
      <c r="U68">
        <v>81.760000000000005</v>
      </c>
    </row>
    <row r="69" spans="1:21" x14ac:dyDescent="0.25">
      <c r="A69" t="s">
        <v>17</v>
      </c>
    </row>
    <row r="70" spans="1:21" x14ac:dyDescent="0.25">
      <c r="A70" t="s">
        <v>72</v>
      </c>
    </row>
    <row r="71" spans="1:21" x14ac:dyDescent="0.25">
      <c r="A71" t="s">
        <v>976</v>
      </c>
    </row>
    <row r="72" spans="1:21" x14ac:dyDescent="0.25">
      <c r="A72" t="s">
        <v>60</v>
      </c>
      <c r="H72" s="2">
        <v>1175.69</v>
      </c>
      <c r="I72" s="2">
        <v>2146.83</v>
      </c>
      <c r="J72" s="2">
        <v>3290.63</v>
      </c>
      <c r="K72" s="2">
        <v>4065.4</v>
      </c>
      <c r="L72" s="2">
        <v>5037</v>
      </c>
      <c r="M72" s="2">
        <v>6191</v>
      </c>
      <c r="N72" s="2">
        <v>7898</v>
      </c>
      <c r="O72" s="2">
        <v>12882.61</v>
      </c>
      <c r="P72" s="2">
        <v>15611.57</v>
      </c>
      <c r="Q72" s="2">
        <v>15914.51</v>
      </c>
      <c r="R72" s="2">
        <v>22796.639999999999</v>
      </c>
      <c r="S72" s="2">
        <v>27376.39</v>
      </c>
      <c r="T72" s="2">
        <v>35292.33</v>
      </c>
      <c r="U72" s="2">
        <v>40264.61</v>
      </c>
    </row>
    <row r="73" spans="1:21" x14ac:dyDescent="0.25">
      <c r="A73" t="s">
        <v>61</v>
      </c>
      <c r="H73">
        <v>74.5</v>
      </c>
      <c r="I73">
        <v>73.3</v>
      </c>
      <c r="J73">
        <v>71.400000000000006</v>
      </c>
      <c r="K73">
        <v>72.599999999999994</v>
      </c>
      <c r="L73">
        <v>71</v>
      </c>
      <c r="M73">
        <v>70</v>
      </c>
      <c r="N73">
        <v>68</v>
      </c>
      <c r="O73">
        <v>67.819999999999993</v>
      </c>
      <c r="P73">
        <v>67.09</v>
      </c>
      <c r="Q73">
        <v>65.83</v>
      </c>
      <c r="R73">
        <v>74.03</v>
      </c>
      <c r="S73">
        <v>72.73</v>
      </c>
      <c r="T73">
        <v>74.430000000000007</v>
      </c>
      <c r="U73">
        <v>73.42</v>
      </c>
    </row>
    <row r="74" spans="1:21" x14ac:dyDescent="0.25">
      <c r="A74" t="s">
        <v>473</v>
      </c>
      <c r="B74">
        <v>31.74</v>
      </c>
      <c r="C74">
        <v>72.150000000000006</v>
      </c>
      <c r="D74">
        <v>144.75</v>
      </c>
      <c r="E74">
        <v>284.10000000000002</v>
      </c>
      <c r="F74">
        <v>478.29</v>
      </c>
      <c r="G74">
        <v>755.45</v>
      </c>
      <c r="H74" s="2">
        <v>1079.52</v>
      </c>
      <c r="I74" s="2">
        <v>1954.11</v>
      </c>
      <c r="J74" s="2">
        <v>2973.93</v>
      </c>
      <c r="K74" s="2">
        <v>3719.49</v>
      </c>
      <c r="L74" s="2">
        <v>4649</v>
      </c>
      <c r="M74" s="2">
        <v>5708</v>
      </c>
      <c r="N74" s="2">
        <v>7331</v>
      </c>
      <c r="O74" s="2">
        <v>9439.9500000000007</v>
      </c>
      <c r="P74" s="2">
        <v>11765.41</v>
      </c>
      <c r="Q74" s="2">
        <v>14648.21</v>
      </c>
      <c r="R74" s="2">
        <v>17734.62</v>
      </c>
      <c r="S74" s="2">
        <v>21124.68</v>
      </c>
      <c r="T74" s="2">
        <v>26252.2</v>
      </c>
      <c r="U74" s="2">
        <v>30482.43</v>
      </c>
    </row>
    <row r="75" spans="1:21" x14ac:dyDescent="0.25">
      <c r="A75" t="s">
        <v>76</v>
      </c>
      <c r="B75">
        <v>63.2</v>
      </c>
      <c r="C75">
        <v>68.7</v>
      </c>
      <c r="D75">
        <v>70.5</v>
      </c>
      <c r="E75">
        <v>72.900000000000006</v>
      </c>
      <c r="F75">
        <v>71</v>
      </c>
      <c r="G75">
        <v>70.400000000000006</v>
      </c>
      <c r="H75">
        <v>68.400000000000006</v>
      </c>
      <c r="I75">
        <v>66.7</v>
      </c>
      <c r="J75">
        <v>64.5</v>
      </c>
      <c r="K75">
        <v>66.400000000000006</v>
      </c>
      <c r="L75">
        <v>66</v>
      </c>
      <c r="M75">
        <v>64</v>
      </c>
      <c r="N75">
        <v>63</v>
      </c>
      <c r="O75">
        <v>61.45</v>
      </c>
      <c r="P75">
        <v>60.26</v>
      </c>
      <c r="Q75">
        <v>59.73</v>
      </c>
      <c r="R75">
        <v>58.14</v>
      </c>
      <c r="S75">
        <v>57.27</v>
      </c>
      <c r="T75">
        <v>56.3</v>
      </c>
      <c r="U75">
        <v>56.3</v>
      </c>
    </row>
    <row r="76" spans="1:21" x14ac:dyDescent="0.25">
      <c r="A76" t="s">
        <v>1895</v>
      </c>
      <c r="B76">
        <v>4.0999999999999996</v>
      </c>
      <c r="C76">
        <v>7.73</v>
      </c>
      <c r="D76">
        <v>14.69</v>
      </c>
      <c r="E76">
        <v>26.89</v>
      </c>
      <c r="F76">
        <v>48.11</v>
      </c>
      <c r="G76">
        <v>70.77</v>
      </c>
      <c r="H76">
        <v>96.17</v>
      </c>
      <c r="I76">
        <v>192.72</v>
      </c>
      <c r="J76">
        <v>316.7</v>
      </c>
      <c r="K76">
        <v>345.92</v>
      </c>
      <c r="L76">
        <v>388</v>
      </c>
      <c r="M76">
        <v>483</v>
      </c>
      <c r="N76">
        <v>567</v>
      </c>
      <c r="O76">
        <v>833.29</v>
      </c>
      <c r="P76" s="2">
        <v>1018.74</v>
      </c>
      <c r="Q76" s="2">
        <v>1259.71</v>
      </c>
      <c r="R76" s="2">
        <v>1517.97</v>
      </c>
      <c r="S76" s="2">
        <v>1806.44</v>
      </c>
      <c r="T76" s="2">
        <v>3271.87</v>
      </c>
      <c r="U76" s="2">
        <v>3810.89</v>
      </c>
    </row>
    <row r="77" spans="1:21" x14ac:dyDescent="0.25">
      <c r="A77" t="s">
        <v>76</v>
      </c>
      <c r="B77">
        <v>8.1999999999999993</v>
      </c>
      <c r="C77">
        <v>7.4</v>
      </c>
      <c r="D77">
        <v>7.2</v>
      </c>
      <c r="E77">
        <v>6.9</v>
      </c>
      <c r="F77">
        <v>7.2</v>
      </c>
      <c r="G77">
        <v>6.6</v>
      </c>
      <c r="H77">
        <v>6.1</v>
      </c>
      <c r="I77">
        <v>6.6</v>
      </c>
      <c r="J77">
        <v>6.9</v>
      </c>
      <c r="K77">
        <v>6.2</v>
      </c>
      <c r="L77">
        <v>5</v>
      </c>
      <c r="M77">
        <v>6</v>
      </c>
      <c r="N77">
        <v>5</v>
      </c>
      <c r="O77">
        <v>5.4</v>
      </c>
      <c r="P77">
        <v>5.25</v>
      </c>
      <c r="Q77">
        <v>5.32</v>
      </c>
      <c r="R77">
        <v>5.36</v>
      </c>
      <c r="S77">
        <v>5.3</v>
      </c>
      <c r="T77">
        <v>7.15</v>
      </c>
      <c r="U77">
        <v>7.15</v>
      </c>
    </row>
    <row r="78" spans="1:21" x14ac:dyDescent="0.25">
      <c r="A78" t="s">
        <v>17</v>
      </c>
    </row>
    <row r="79" spans="1:21" x14ac:dyDescent="0.25">
      <c r="A79" t="s">
        <v>1896</v>
      </c>
    </row>
    <row r="80" spans="1:21" x14ac:dyDescent="0.25">
      <c r="A80" t="s">
        <v>60</v>
      </c>
      <c r="H80">
        <v>224.56</v>
      </c>
      <c r="I80">
        <v>454.27</v>
      </c>
      <c r="J80">
        <v>799.6</v>
      </c>
      <c r="K80">
        <v>917.12</v>
      </c>
      <c r="L80" s="2">
        <v>1255</v>
      </c>
      <c r="M80" s="2">
        <v>1707</v>
      </c>
      <c r="N80" s="2">
        <v>2426</v>
      </c>
      <c r="O80" s="2">
        <v>3103.56</v>
      </c>
      <c r="P80" s="2">
        <v>4015.68</v>
      </c>
      <c r="Q80" s="2">
        <v>5431.41</v>
      </c>
      <c r="R80" s="2">
        <v>7400.58</v>
      </c>
      <c r="S80" s="2">
        <v>9072.77</v>
      </c>
      <c r="T80" s="2">
        <v>9190.8799999999992</v>
      </c>
      <c r="U80" s="2">
        <v>10918.83</v>
      </c>
    </row>
    <row r="81" spans="1:21" x14ac:dyDescent="0.25">
      <c r="A81" t="s">
        <v>61</v>
      </c>
      <c r="H81">
        <v>14.3</v>
      </c>
      <c r="I81">
        <v>15.5</v>
      </c>
      <c r="J81">
        <v>17.3</v>
      </c>
      <c r="K81">
        <v>16.399999999999999</v>
      </c>
      <c r="L81">
        <v>18</v>
      </c>
      <c r="M81">
        <v>19</v>
      </c>
      <c r="N81">
        <v>21</v>
      </c>
      <c r="O81">
        <v>20.11</v>
      </c>
      <c r="P81">
        <v>20.25</v>
      </c>
      <c r="Q81">
        <v>21.04</v>
      </c>
      <c r="R81">
        <v>21.61</v>
      </c>
      <c r="S81">
        <v>22.26</v>
      </c>
      <c r="T81">
        <v>22.5</v>
      </c>
      <c r="U81">
        <v>22.5</v>
      </c>
    </row>
    <row r="82" spans="1:21" x14ac:dyDescent="0.25">
      <c r="A82" t="s">
        <v>1897</v>
      </c>
      <c r="B82">
        <v>4.5199999999999996</v>
      </c>
      <c r="C82">
        <v>7.91</v>
      </c>
      <c r="D82">
        <v>15.44</v>
      </c>
      <c r="E82">
        <v>25.96</v>
      </c>
      <c r="F82">
        <v>44.59</v>
      </c>
      <c r="G82">
        <v>69.599999999999994</v>
      </c>
      <c r="H82">
        <v>103.5</v>
      </c>
      <c r="I82">
        <v>199.83</v>
      </c>
      <c r="O82" s="2">
        <v>1484.6</v>
      </c>
      <c r="P82" s="2">
        <v>2037.11</v>
      </c>
      <c r="Q82" s="2">
        <v>2737.25</v>
      </c>
      <c r="R82" s="2">
        <v>3599.29</v>
      </c>
      <c r="S82" s="2">
        <v>4643.68</v>
      </c>
      <c r="T82" s="2">
        <v>5518.33</v>
      </c>
      <c r="U82" s="2">
        <v>6289.39</v>
      </c>
    </row>
    <row r="83" spans="1:21" x14ac:dyDescent="0.25">
      <c r="A83" t="s">
        <v>78</v>
      </c>
      <c r="H83">
        <v>121.06</v>
      </c>
      <c r="I83">
        <v>254.44</v>
      </c>
      <c r="O83" s="2">
        <v>1732.03</v>
      </c>
      <c r="P83" s="2">
        <v>2322.31</v>
      </c>
      <c r="Q83" s="2">
        <v>3116.67</v>
      </c>
      <c r="R83" s="2">
        <v>4053.57</v>
      </c>
      <c r="S83" s="2">
        <v>5174.38</v>
      </c>
      <c r="T83" s="2">
        <v>6148.99</v>
      </c>
      <c r="U83" s="2">
        <v>7008.18</v>
      </c>
    </row>
    <row r="84" spans="1:21" x14ac:dyDescent="0.25">
      <c r="A84" t="s">
        <v>17</v>
      </c>
    </row>
    <row r="85" spans="1:21" x14ac:dyDescent="0.25">
      <c r="A85" t="s">
        <v>1898</v>
      </c>
    </row>
    <row r="86" spans="1:21" x14ac:dyDescent="0.25">
      <c r="A86" t="s">
        <v>60</v>
      </c>
      <c r="H86">
        <v>157.24</v>
      </c>
      <c r="I86">
        <v>292.24</v>
      </c>
      <c r="J86">
        <v>467.01</v>
      </c>
      <c r="K86">
        <v>553.36</v>
      </c>
      <c r="L86">
        <v>699</v>
      </c>
      <c r="M86">
        <v>885</v>
      </c>
      <c r="N86" s="2">
        <v>1128</v>
      </c>
      <c r="O86" s="2">
        <v>1534.71</v>
      </c>
      <c r="P86" s="2">
        <v>1947.57</v>
      </c>
      <c r="Q86" s="2">
        <v>2747.4</v>
      </c>
      <c r="R86" s="2">
        <v>3864.89</v>
      </c>
      <c r="S86" s="2">
        <v>5012.21</v>
      </c>
      <c r="T86" s="2">
        <v>8110.04</v>
      </c>
      <c r="U86" s="2">
        <v>9257.8700000000008</v>
      </c>
    </row>
    <row r="87" spans="1:21" x14ac:dyDescent="0.25">
      <c r="A87" t="s">
        <v>61</v>
      </c>
      <c r="H87">
        <v>9.9</v>
      </c>
      <c r="I87">
        <v>10</v>
      </c>
      <c r="J87">
        <v>10.1</v>
      </c>
      <c r="K87">
        <v>9.9</v>
      </c>
      <c r="L87">
        <v>10</v>
      </c>
      <c r="M87">
        <v>10</v>
      </c>
      <c r="N87">
        <v>10</v>
      </c>
      <c r="O87">
        <v>9.57</v>
      </c>
      <c r="P87">
        <v>9.49</v>
      </c>
      <c r="Q87">
        <v>11.42</v>
      </c>
      <c r="R87">
        <v>13.69</v>
      </c>
      <c r="S87">
        <v>14.66</v>
      </c>
      <c r="T87">
        <v>16.670000000000002</v>
      </c>
      <c r="U87">
        <v>16.510000000000002</v>
      </c>
    </row>
    <row r="88" spans="1:21" x14ac:dyDescent="0.25">
      <c r="A88" t="s">
        <v>1899</v>
      </c>
      <c r="H88">
        <v>88.67</v>
      </c>
      <c r="I88">
        <v>170.23</v>
      </c>
      <c r="O88" s="2">
        <v>1128.9100000000001</v>
      </c>
      <c r="P88" s="2">
        <v>1527.84</v>
      </c>
      <c r="Q88" s="2">
        <v>2059.7199999999998</v>
      </c>
      <c r="R88" s="2">
        <v>2690.73</v>
      </c>
      <c r="S88" s="2">
        <v>3449.59</v>
      </c>
      <c r="T88" s="2">
        <v>4099.33</v>
      </c>
      <c r="U88" s="2">
        <v>4672.12</v>
      </c>
    </row>
    <row r="89" spans="1:21" x14ac:dyDescent="0.25">
      <c r="A89" t="s">
        <v>1900</v>
      </c>
      <c r="B89">
        <v>3.81</v>
      </c>
      <c r="C89">
        <v>6.42</v>
      </c>
      <c r="D89">
        <v>10.53</v>
      </c>
      <c r="E89">
        <v>18.16</v>
      </c>
      <c r="F89">
        <v>31.63</v>
      </c>
      <c r="G89">
        <v>47.94</v>
      </c>
      <c r="H89">
        <v>68.569999999999993</v>
      </c>
      <c r="I89">
        <v>122.01</v>
      </c>
      <c r="O89">
        <v>835.09</v>
      </c>
      <c r="P89" s="2">
        <v>1140.78</v>
      </c>
      <c r="Q89" s="2">
        <v>1544.79</v>
      </c>
      <c r="R89" s="2">
        <v>2026.78</v>
      </c>
      <c r="S89" s="2">
        <v>2609.3000000000002</v>
      </c>
      <c r="T89" s="2">
        <v>3100.77</v>
      </c>
      <c r="U89" s="2">
        <v>3534.04</v>
      </c>
    </row>
    <row r="90" spans="1:21" x14ac:dyDescent="0.25">
      <c r="A90" t="s">
        <v>17</v>
      </c>
    </row>
    <row r="91" spans="1:21" x14ac:dyDescent="0.25">
      <c r="A91" t="s">
        <v>1901</v>
      </c>
    </row>
    <row r="92" spans="1:21" x14ac:dyDescent="0.25">
      <c r="A92" t="s">
        <v>60</v>
      </c>
      <c r="H92">
        <v>20.68</v>
      </c>
      <c r="I92">
        <v>36.159999999999997</v>
      </c>
      <c r="J92">
        <v>54.61</v>
      </c>
      <c r="K92">
        <v>63.98</v>
      </c>
      <c r="L92">
        <v>69</v>
      </c>
      <c r="M92">
        <v>97</v>
      </c>
      <c r="N92">
        <v>104</v>
      </c>
      <c r="O92">
        <v>226.87</v>
      </c>
      <c r="P92">
        <v>443.73</v>
      </c>
      <c r="Q92">
        <v>384.96</v>
      </c>
      <c r="R92" s="2">
        <v>-3441.48</v>
      </c>
      <c r="S92" s="2">
        <v>-4510.68</v>
      </c>
      <c r="T92" s="2">
        <v>-20959.53</v>
      </c>
      <c r="U92" s="2">
        <v>-22201.85</v>
      </c>
    </row>
    <row r="93" spans="1:21" x14ac:dyDescent="0.25">
      <c r="A93" t="s">
        <v>61</v>
      </c>
      <c r="H93">
        <v>1.3</v>
      </c>
      <c r="I93">
        <v>1.2</v>
      </c>
      <c r="J93">
        <v>1.2</v>
      </c>
      <c r="K93">
        <v>1.1000000000000001</v>
      </c>
      <c r="L93">
        <v>1</v>
      </c>
      <c r="M93">
        <v>1</v>
      </c>
      <c r="N93">
        <v>1</v>
      </c>
      <c r="O93">
        <v>1.02</v>
      </c>
      <c r="P93">
        <v>1.03</v>
      </c>
      <c r="Q93">
        <v>1.05</v>
      </c>
      <c r="R93">
        <v>1.18</v>
      </c>
      <c r="S93">
        <v>1.22</v>
      </c>
      <c r="T93">
        <v>1.1000000000000001</v>
      </c>
      <c r="U93">
        <v>1.1000000000000001</v>
      </c>
    </row>
    <row r="94" spans="1:21" x14ac:dyDescent="0.25">
      <c r="A94" t="s">
        <v>17</v>
      </c>
    </row>
    <row r="95" spans="1:21" x14ac:dyDescent="0.25">
      <c r="A95" t="s">
        <v>274</v>
      </c>
    </row>
    <row r="96" spans="1:21" x14ac:dyDescent="0.25">
      <c r="A96" t="s">
        <v>80</v>
      </c>
      <c r="D96">
        <v>205.23</v>
      </c>
      <c r="E96">
        <v>389.33</v>
      </c>
      <c r="F96">
        <v>673.3</v>
      </c>
      <c r="G96" s="2">
        <v>1073.23</v>
      </c>
      <c r="H96" s="2">
        <v>1578.17</v>
      </c>
      <c r="I96" s="2">
        <v>2929.49</v>
      </c>
      <c r="J96" s="2">
        <v>4611.8599999999997</v>
      </c>
      <c r="K96" s="2">
        <v>5599.86</v>
      </c>
      <c r="L96" s="2">
        <v>7060</v>
      </c>
      <c r="M96" s="2">
        <v>8880</v>
      </c>
      <c r="N96" s="2">
        <v>11556</v>
      </c>
      <c r="O96" s="2">
        <v>15236.37</v>
      </c>
      <c r="P96" s="2">
        <v>19131</v>
      </c>
      <c r="Q96" s="2">
        <v>23857.31</v>
      </c>
      <c r="R96" s="2">
        <v>28933.42</v>
      </c>
      <c r="S96" s="2">
        <v>34774.33</v>
      </c>
      <c r="T96" s="2">
        <v>41964</v>
      </c>
      <c r="U96" s="2">
        <v>50695.5</v>
      </c>
    </row>
    <row r="97" spans="1:21" x14ac:dyDescent="0.25">
      <c r="A97" t="s">
        <v>17</v>
      </c>
    </row>
    <row r="98" spans="1:21" x14ac:dyDescent="0.25">
      <c r="A98" t="s">
        <v>82</v>
      </c>
      <c r="G98">
        <v>474.52</v>
      </c>
      <c r="H98">
        <v>698.82</v>
      </c>
      <c r="I98" s="2">
        <v>1361.01</v>
      </c>
      <c r="J98" s="2">
        <v>2102.67</v>
      </c>
      <c r="K98" s="2">
        <v>2788.18</v>
      </c>
      <c r="L98" s="2">
        <v>3506</v>
      </c>
      <c r="M98" s="2">
        <v>4408</v>
      </c>
      <c r="N98" s="2">
        <v>6001</v>
      </c>
      <c r="O98" s="2">
        <v>8036.74</v>
      </c>
      <c r="P98" s="2">
        <v>10086.77</v>
      </c>
      <c r="Q98" s="2">
        <v>12590.72</v>
      </c>
      <c r="R98" s="2">
        <v>15511.44</v>
      </c>
      <c r="S98" s="2">
        <v>18698.11</v>
      </c>
      <c r="T98" s="2">
        <v>20703.169999999998</v>
      </c>
      <c r="U98" s="2">
        <v>24812.720000000001</v>
      </c>
    </row>
    <row r="99" spans="1:21" x14ac:dyDescent="0.25">
      <c r="A99" t="s">
        <v>17</v>
      </c>
    </row>
    <row r="100" spans="1:21" x14ac:dyDescent="0.25">
      <c r="A100" t="s">
        <v>84</v>
      </c>
      <c r="D100">
        <v>111.42</v>
      </c>
      <c r="E100">
        <v>210.21</v>
      </c>
      <c r="F100">
        <v>384.64</v>
      </c>
      <c r="G100">
        <v>603.62</v>
      </c>
      <c r="H100">
        <v>879.36</v>
      </c>
      <c r="I100" s="2">
        <v>1568.48</v>
      </c>
      <c r="J100" s="2">
        <v>2509.19</v>
      </c>
      <c r="K100" s="2">
        <v>2811.68</v>
      </c>
      <c r="L100" s="2">
        <v>3554</v>
      </c>
      <c r="M100" s="2">
        <v>4472</v>
      </c>
      <c r="N100" s="2">
        <v>5555</v>
      </c>
      <c r="O100" s="2">
        <v>7206.25</v>
      </c>
      <c r="P100" s="2">
        <v>8892.6299999999992</v>
      </c>
      <c r="Q100" s="2">
        <v>10835.25</v>
      </c>
      <c r="R100" s="2">
        <v>13626.33</v>
      </c>
      <c r="S100" s="2">
        <v>16438.57</v>
      </c>
      <c r="T100" s="2">
        <v>20510.05</v>
      </c>
      <c r="U100" s="2">
        <v>25918.84</v>
      </c>
    </row>
    <row r="101" spans="1:21" x14ac:dyDescent="0.25">
      <c r="A101" t="s">
        <v>85</v>
      </c>
      <c r="D101">
        <v>54.29</v>
      </c>
      <c r="E101">
        <v>53.99</v>
      </c>
      <c r="F101">
        <v>56.67</v>
      </c>
      <c r="G101">
        <v>55.79</v>
      </c>
      <c r="H101">
        <v>55.72</v>
      </c>
      <c r="I101">
        <v>54</v>
      </c>
      <c r="J101">
        <v>54</v>
      </c>
      <c r="K101">
        <v>50</v>
      </c>
      <c r="L101">
        <v>50</v>
      </c>
      <c r="M101">
        <v>50.36</v>
      </c>
      <c r="N101">
        <v>48.07</v>
      </c>
      <c r="O101">
        <v>47.32</v>
      </c>
      <c r="P101">
        <v>46.86</v>
      </c>
      <c r="Q101">
        <v>46.68</v>
      </c>
      <c r="R101">
        <v>46.18</v>
      </c>
      <c r="S101">
        <v>45.96</v>
      </c>
      <c r="T101">
        <v>47.21</v>
      </c>
      <c r="U101">
        <v>47.57</v>
      </c>
    </row>
    <row r="102" spans="1:21" x14ac:dyDescent="0.25">
      <c r="A102" t="s">
        <v>1902</v>
      </c>
      <c r="B102">
        <v>67.08</v>
      </c>
      <c r="C102">
        <v>45.75</v>
      </c>
      <c r="D102">
        <v>49.17</v>
      </c>
      <c r="E102">
        <v>53.46</v>
      </c>
      <c r="F102">
        <v>60.13</v>
      </c>
      <c r="G102">
        <v>54.01</v>
      </c>
      <c r="H102">
        <v>53.35</v>
      </c>
      <c r="I102">
        <v>50.02</v>
      </c>
      <c r="J102">
        <v>55.85</v>
      </c>
      <c r="K102">
        <v>27.63</v>
      </c>
      <c r="L102">
        <v>52.11</v>
      </c>
      <c r="M102">
        <v>52.58</v>
      </c>
      <c r="N102">
        <v>40.47</v>
      </c>
      <c r="O102">
        <v>44.77</v>
      </c>
      <c r="P102">
        <v>45.78</v>
      </c>
      <c r="Q102">
        <v>47.4</v>
      </c>
      <c r="R102">
        <v>50.17</v>
      </c>
      <c r="S102">
        <v>50.74</v>
      </c>
      <c r="T102">
        <v>51.5</v>
      </c>
      <c r="U102">
        <v>52.74</v>
      </c>
    </row>
    <row r="103" spans="1:21" x14ac:dyDescent="0.25">
      <c r="A103" t="s">
        <v>17</v>
      </c>
    </row>
    <row r="104" spans="1:21" x14ac:dyDescent="0.25">
      <c r="A104" t="s">
        <v>275</v>
      </c>
      <c r="E104">
        <v>222.36</v>
      </c>
      <c r="F104">
        <v>375.49</v>
      </c>
      <c r="G104">
        <v>586.87</v>
      </c>
      <c r="H104">
        <v>833.6</v>
      </c>
      <c r="I104" s="2">
        <v>1131.1300000000001</v>
      </c>
      <c r="J104" s="2">
        <v>1791.2</v>
      </c>
      <c r="K104" s="2">
        <v>2805.62</v>
      </c>
      <c r="L104" s="2">
        <v>2772</v>
      </c>
      <c r="M104" s="2">
        <v>3001</v>
      </c>
      <c r="N104" s="2">
        <v>3590</v>
      </c>
      <c r="O104" s="2">
        <v>4739.54</v>
      </c>
      <c r="P104" s="2">
        <v>5238.83</v>
      </c>
      <c r="Q104" s="2">
        <v>5948.41</v>
      </c>
      <c r="R104" s="2">
        <v>7055.38</v>
      </c>
      <c r="S104" s="2">
        <v>8086.44</v>
      </c>
      <c r="T104" s="2">
        <v>9555.76</v>
      </c>
      <c r="U104" s="2">
        <v>11081.76</v>
      </c>
    </row>
    <row r="105" spans="1:21" x14ac:dyDescent="0.25">
      <c r="A105" t="s">
        <v>89</v>
      </c>
      <c r="D105">
        <v>33.35</v>
      </c>
      <c r="E105">
        <v>58.97</v>
      </c>
      <c r="F105">
        <v>101.44</v>
      </c>
      <c r="G105">
        <v>171.1</v>
      </c>
      <c r="H105">
        <v>250.14</v>
      </c>
      <c r="I105">
        <v>363.65</v>
      </c>
      <c r="J105">
        <v>603.39</v>
      </c>
      <c r="K105" s="2">
        <v>1098.69</v>
      </c>
      <c r="L105" s="2">
        <v>1131</v>
      </c>
      <c r="M105" s="2">
        <v>1063</v>
      </c>
      <c r="N105" s="2">
        <v>1198</v>
      </c>
      <c r="O105" s="2">
        <v>1426.31</v>
      </c>
      <c r="P105" s="2">
        <v>1688.23</v>
      </c>
      <c r="Q105" s="2">
        <v>1870.42</v>
      </c>
      <c r="R105" s="2">
        <v>2152.37</v>
      </c>
      <c r="S105" s="2">
        <v>2411.15</v>
      </c>
      <c r="T105" s="2">
        <v>2826.57</v>
      </c>
      <c r="U105" s="2">
        <v>3126.11</v>
      </c>
    </row>
    <row r="106" spans="1:21" x14ac:dyDescent="0.25">
      <c r="A106" t="s">
        <v>61</v>
      </c>
      <c r="D106">
        <v>16.25</v>
      </c>
      <c r="E106">
        <v>15.15</v>
      </c>
      <c r="F106">
        <v>15.07</v>
      </c>
      <c r="G106">
        <v>15.94</v>
      </c>
      <c r="H106">
        <v>15.85</v>
      </c>
      <c r="I106">
        <v>12.41</v>
      </c>
      <c r="J106">
        <v>13.08</v>
      </c>
      <c r="K106">
        <v>19.62</v>
      </c>
      <c r="L106">
        <v>16.02</v>
      </c>
      <c r="M106">
        <v>11.97</v>
      </c>
      <c r="N106">
        <v>10.37</v>
      </c>
      <c r="O106">
        <v>9.4</v>
      </c>
      <c r="P106">
        <v>8.9499999999999993</v>
      </c>
      <c r="Q106">
        <v>8.01</v>
      </c>
      <c r="R106">
        <v>7.44</v>
      </c>
      <c r="S106">
        <v>6.95</v>
      </c>
      <c r="T106">
        <v>6.8</v>
      </c>
      <c r="U106">
        <v>6.17</v>
      </c>
    </row>
    <row r="107" spans="1:21" x14ac:dyDescent="0.25">
      <c r="A107" t="s">
        <v>1731</v>
      </c>
      <c r="D107">
        <v>69.02</v>
      </c>
      <c r="E107">
        <v>124.77</v>
      </c>
      <c r="F107">
        <v>215.82</v>
      </c>
      <c r="G107">
        <v>326.01</v>
      </c>
      <c r="H107">
        <v>434.39</v>
      </c>
      <c r="I107">
        <v>554.11</v>
      </c>
      <c r="J107">
        <v>852.73</v>
      </c>
      <c r="K107" s="2">
        <v>1149.99</v>
      </c>
      <c r="L107" s="2">
        <v>1130</v>
      </c>
      <c r="M107" s="2">
        <v>1342</v>
      </c>
      <c r="N107" s="2">
        <v>1615</v>
      </c>
      <c r="O107" s="2">
        <v>2004.72</v>
      </c>
      <c r="P107" s="2">
        <v>2409.8200000000002</v>
      </c>
      <c r="Q107" s="2">
        <v>2762.41</v>
      </c>
      <c r="R107" s="2">
        <v>3293.08</v>
      </c>
      <c r="S107" s="2">
        <v>3765.71</v>
      </c>
      <c r="T107" s="2">
        <v>4455.84</v>
      </c>
      <c r="U107" s="2">
        <v>5130.3999999999996</v>
      </c>
    </row>
    <row r="108" spans="1:21" x14ac:dyDescent="0.25">
      <c r="A108" t="s">
        <v>88</v>
      </c>
      <c r="D108">
        <v>15.75</v>
      </c>
      <c r="E108">
        <v>38.619999999999997</v>
      </c>
      <c r="F108">
        <v>45.96</v>
      </c>
      <c r="G108">
        <v>81.510000000000005</v>
      </c>
      <c r="H108">
        <v>123.9</v>
      </c>
      <c r="I108">
        <v>161.53</v>
      </c>
      <c r="J108">
        <v>253.36</v>
      </c>
      <c r="K108">
        <v>422.01</v>
      </c>
      <c r="L108">
        <v>359</v>
      </c>
      <c r="M108">
        <v>369</v>
      </c>
      <c r="N108">
        <v>360</v>
      </c>
      <c r="O108">
        <v>417.74</v>
      </c>
      <c r="P108">
        <v>476.05</v>
      </c>
      <c r="Q108">
        <v>510.63</v>
      </c>
      <c r="R108">
        <v>524.87</v>
      </c>
      <c r="S108">
        <v>551.34</v>
      </c>
      <c r="T108">
        <v>687.74</v>
      </c>
      <c r="U108">
        <v>726.65</v>
      </c>
    </row>
    <row r="109" spans="1:21" x14ac:dyDescent="0.25">
      <c r="A109" t="s">
        <v>91</v>
      </c>
      <c r="D109">
        <v>-6.7</v>
      </c>
      <c r="E109">
        <v>-12.14</v>
      </c>
      <c r="F109">
        <v>6.05</v>
      </c>
      <c r="G109">
        <v>11.84</v>
      </c>
      <c r="H109">
        <v>35.6</v>
      </c>
      <c r="I109">
        <v>437.35</v>
      </c>
      <c r="J109">
        <v>717.99</v>
      </c>
      <c r="K109">
        <v>6.06</v>
      </c>
      <c r="L109">
        <v>782</v>
      </c>
      <c r="M109" s="2">
        <v>1487</v>
      </c>
      <c r="N109" s="2">
        <v>1978</v>
      </c>
      <c r="O109" s="2">
        <v>2762.21</v>
      </c>
      <c r="P109" s="2">
        <v>3666.38</v>
      </c>
      <c r="Q109" s="2">
        <v>5022.45</v>
      </c>
      <c r="R109" s="2">
        <v>6669</v>
      </c>
      <c r="S109" s="2">
        <v>8411.27</v>
      </c>
      <c r="T109" s="2">
        <v>10737</v>
      </c>
      <c r="U109" s="2">
        <v>13921.33</v>
      </c>
    </row>
    <row r="110" spans="1:21" x14ac:dyDescent="0.25">
      <c r="A110" t="s">
        <v>92</v>
      </c>
      <c r="D110">
        <v>-3.27</v>
      </c>
      <c r="E110">
        <v>-3.12</v>
      </c>
      <c r="F110">
        <v>0.9</v>
      </c>
      <c r="G110">
        <v>1.1000000000000001</v>
      </c>
      <c r="H110">
        <v>2.9</v>
      </c>
      <c r="I110">
        <v>14.93</v>
      </c>
      <c r="J110">
        <v>15.57</v>
      </c>
      <c r="K110">
        <v>0.11</v>
      </c>
      <c r="L110">
        <v>11.08</v>
      </c>
      <c r="M110">
        <v>16.75</v>
      </c>
      <c r="N110">
        <v>17.12</v>
      </c>
      <c r="O110">
        <v>18.45</v>
      </c>
      <c r="P110">
        <v>19.25</v>
      </c>
      <c r="Q110">
        <v>20.8</v>
      </c>
      <c r="R110">
        <v>22.43</v>
      </c>
      <c r="S110">
        <v>23.56</v>
      </c>
      <c r="T110">
        <v>25.17</v>
      </c>
      <c r="U110">
        <v>27.27</v>
      </c>
    </row>
    <row r="111" spans="1:21" x14ac:dyDescent="0.25">
      <c r="A111" t="s">
        <v>17</v>
      </c>
    </row>
    <row r="112" spans="1:21" x14ac:dyDescent="0.25">
      <c r="A112" t="s">
        <v>1903</v>
      </c>
      <c r="B112">
        <v>-3.99</v>
      </c>
      <c r="C112">
        <v>-20.94</v>
      </c>
      <c r="D112">
        <v>-16.25</v>
      </c>
      <c r="E112">
        <v>-33.590000000000003</v>
      </c>
      <c r="F112">
        <v>-42.36</v>
      </c>
      <c r="G112">
        <v>-81.77</v>
      </c>
      <c r="H112">
        <v>-105.9</v>
      </c>
      <c r="I112">
        <v>142.51</v>
      </c>
      <c r="J112">
        <v>315.39</v>
      </c>
      <c r="K112">
        <v>-735.25</v>
      </c>
      <c r="L112" s="2">
        <v>-1345</v>
      </c>
      <c r="M112" s="2">
        <v>1105</v>
      </c>
      <c r="N112" s="2">
        <v>1504</v>
      </c>
      <c r="O112" s="2">
        <v>2244.5</v>
      </c>
      <c r="P112" s="2">
        <v>3052.8</v>
      </c>
      <c r="Q112" s="2">
        <v>4136.33</v>
      </c>
      <c r="R112" s="2">
        <v>5899.41</v>
      </c>
      <c r="S112" s="2">
        <v>7652.02</v>
      </c>
      <c r="T112" s="2">
        <v>14556.24</v>
      </c>
      <c r="U112" s="2">
        <v>17151.66</v>
      </c>
    </row>
    <row r="113" spans="1:21" x14ac:dyDescent="0.25">
      <c r="A113" t="s">
        <v>17</v>
      </c>
    </row>
    <row r="114" spans="1:21" x14ac:dyDescent="0.25">
      <c r="A114" t="s">
        <v>277</v>
      </c>
      <c r="D114">
        <v>0.53</v>
      </c>
      <c r="E114">
        <v>1.82</v>
      </c>
      <c r="F114">
        <v>29.43</v>
      </c>
      <c r="G114">
        <v>38.89</v>
      </c>
      <c r="H114">
        <v>71.27</v>
      </c>
      <c r="I114">
        <v>507.41</v>
      </c>
      <c r="J114">
        <v>784.29</v>
      </c>
      <c r="K114">
        <v>96.58</v>
      </c>
      <c r="L114">
        <v>852</v>
      </c>
      <c r="M114" s="2">
        <v>1523</v>
      </c>
      <c r="N114" s="2">
        <v>2009</v>
      </c>
      <c r="O114" s="2">
        <v>2834.3</v>
      </c>
      <c r="P114" s="2">
        <v>3732.66</v>
      </c>
      <c r="Q114" s="2">
        <v>5162.8599999999997</v>
      </c>
      <c r="R114" s="2">
        <v>6446.78</v>
      </c>
      <c r="S114" s="2">
        <v>8043.44</v>
      </c>
      <c r="T114" s="2">
        <v>9572.67</v>
      </c>
      <c r="U114" s="2">
        <v>12451.5</v>
      </c>
    </row>
    <row r="115" spans="1:21" x14ac:dyDescent="0.25">
      <c r="A115" t="s">
        <v>481</v>
      </c>
      <c r="B115">
        <v>-5</v>
      </c>
      <c r="C115">
        <v>-16.13</v>
      </c>
      <c r="D115">
        <v>-5.13</v>
      </c>
      <c r="E115">
        <v>-5.96</v>
      </c>
      <c r="F115">
        <v>-3.83</v>
      </c>
      <c r="G115">
        <v>-6.04</v>
      </c>
      <c r="H115">
        <v>-5.65</v>
      </c>
      <c r="I115">
        <v>6.17</v>
      </c>
      <c r="J115">
        <v>7.75</v>
      </c>
      <c r="K115">
        <v>-12.48</v>
      </c>
      <c r="L115">
        <v>-18.649999999999999</v>
      </c>
      <c r="M115">
        <v>12.69</v>
      </c>
      <c r="N115">
        <v>13.17</v>
      </c>
      <c r="O115">
        <v>14.68</v>
      </c>
      <c r="P115">
        <v>16.059999999999999</v>
      </c>
      <c r="Q115">
        <v>17.47</v>
      </c>
      <c r="R115">
        <v>19.38</v>
      </c>
      <c r="S115">
        <v>20.51</v>
      </c>
      <c r="T115">
        <v>27.7</v>
      </c>
      <c r="U115">
        <v>28.63</v>
      </c>
    </row>
    <row r="116" spans="1:21" x14ac:dyDescent="0.25">
      <c r="A116" t="s">
        <v>17</v>
      </c>
    </row>
    <row r="117" spans="1:21" x14ac:dyDescent="0.25">
      <c r="A117" t="s">
        <v>95</v>
      </c>
      <c r="B117">
        <v>0.56999999999999995</v>
      </c>
      <c r="C117">
        <v>0.7</v>
      </c>
      <c r="D117">
        <v>1.03</v>
      </c>
      <c r="E117">
        <v>-1.81</v>
      </c>
      <c r="F117">
        <v>-9.16</v>
      </c>
      <c r="G117">
        <v>-27.37</v>
      </c>
      <c r="H117">
        <v>-45.33</v>
      </c>
      <c r="I117">
        <v>-150.21</v>
      </c>
      <c r="J117" s="2">
        <v>-2871.95</v>
      </c>
      <c r="K117" s="2">
        <v>2800.55</v>
      </c>
      <c r="L117" s="2">
        <v>-1603</v>
      </c>
      <c r="M117" s="2">
        <v>-1153</v>
      </c>
      <c r="N117">
        <v>-41</v>
      </c>
      <c r="O117">
        <v>-410.57</v>
      </c>
      <c r="P117">
        <v>-296.95</v>
      </c>
      <c r="Q117">
        <v>-424.25</v>
      </c>
      <c r="R117">
        <v>-442.02</v>
      </c>
      <c r="S117">
        <v>-557.85</v>
      </c>
      <c r="T117">
        <v>-949.71</v>
      </c>
      <c r="U117" s="2">
        <v>-1188.5</v>
      </c>
    </row>
    <row r="118" spans="1:21" x14ac:dyDescent="0.25">
      <c r="A118" t="s">
        <v>100</v>
      </c>
      <c r="D118">
        <v>-4.1500000000000004</v>
      </c>
      <c r="E118">
        <v>-10.33</v>
      </c>
      <c r="F118">
        <v>15.21</v>
      </c>
      <c r="G118">
        <v>39.21</v>
      </c>
      <c r="H118">
        <v>91.09</v>
      </c>
      <c r="I118">
        <v>595.80999999999995</v>
      </c>
      <c r="J118" s="2">
        <v>3140.59</v>
      </c>
      <c r="K118">
        <v>79.8</v>
      </c>
      <c r="L118">
        <v>652</v>
      </c>
      <c r="M118" s="2">
        <v>1692</v>
      </c>
      <c r="N118" s="2">
        <v>1956</v>
      </c>
      <c r="O118" s="2">
        <v>3067</v>
      </c>
      <c r="P118" s="2">
        <v>3838.39</v>
      </c>
      <c r="Q118" s="2">
        <v>5170.6000000000004</v>
      </c>
      <c r="R118" s="2">
        <v>5751</v>
      </c>
      <c r="S118" s="2">
        <v>6915</v>
      </c>
      <c r="T118" s="2">
        <v>8191</v>
      </c>
    </row>
    <row r="119" spans="1:21" x14ac:dyDescent="0.25">
      <c r="A119" t="s">
        <v>17</v>
      </c>
    </row>
    <row r="120" spans="1:21" x14ac:dyDescent="0.25">
      <c r="A120" t="s">
        <v>101</v>
      </c>
    </row>
    <row r="121" spans="1:21" x14ac:dyDescent="0.25">
      <c r="A121" t="s">
        <v>102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1.84</v>
      </c>
      <c r="I121">
        <v>-2.7</v>
      </c>
      <c r="J121">
        <v>4.9000000000000004</v>
      </c>
      <c r="K121">
        <v>-2.9</v>
      </c>
      <c r="L121">
        <v>0.75</v>
      </c>
      <c r="M121">
        <v>2.35</v>
      </c>
      <c r="N121">
        <v>2.41</v>
      </c>
      <c r="O121">
        <v>2.61</v>
      </c>
      <c r="P121">
        <v>2.2400000000000002</v>
      </c>
      <c r="Q121">
        <v>2.37</v>
      </c>
      <c r="R121">
        <v>3.68</v>
      </c>
      <c r="S121">
        <v>3.96</v>
      </c>
      <c r="T121">
        <v>4.25</v>
      </c>
      <c r="U121">
        <v>4.54</v>
      </c>
    </row>
    <row r="122" spans="1:21" x14ac:dyDescent="0.25">
      <c r="A122" t="s">
        <v>17</v>
      </c>
    </row>
    <row r="123" spans="1:21" x14ac:dyDescent="0.25">
      <c r="A123" t="s">
        <v>106</v>
      </c>
      <c r="D123">
        <v>-7.74</v>
      </c>
      <c r="E123">
        <v>-10.33</v>
      </c>
      <c r="F123">
        <v>15.21</v>
      </c>
      <c r="G123">
        <v>39.21</v>
      </c>
      <c r="H123">
        <v>51.92</v>
      </c>
      <c r="I123">
        <v>491.29</v>
      </c>
      <c r="J123">
        <v>814.39</v>
      </c>
      <c r="K123">
        <v>47.59</v>
      </c>
      <c r="L123">
        <v>947</v>
      </c>
      <c r="M123" s="2">
        <v>1635</v>
      </c>
      <c r="N123" s="2">
        <v>1864</v>
      </c>
      <c r="O123" s="2">
        <v>2463.58</v>
      </c>
      <c r="P123" s="2">
        <v>3208.55</v>
      </c>
      <c r="Q123" s="2">
        <v>4376.6000000000004</v>
      </c>
      <c r="R123" s="2">
        <v>5461.78</v>
      </c>
      <c r="S123" s="2">
        <v>6790.22</v>
      </c>
      <c r="T123" s="2">
        <v>8705.5</v>
      </c>
      <c r="U123" s="2">
        <v>11165.33</v>
      </c>
    </row>
    <row r="124" spans="1:21" x14ac:dyDescent="0.25">
      <c r="A124" t="s">
        <v>107</v>
      </c>
      <c r="D124">
        <v>-3.77</v>
      </c>
      <c r="E124">
        <v>-2.65</v>
      </c>
      <c r="F124">
        <v>2.2599999999999998</v>
      </c>
      <c r="G124">
        <v>3.65</v>
      </c>
      <c r="H124">
        <v>2.17</v>
      </c>
      <c r="I124">
        <v>16.77</v>
      </c>
      <c r="J124">
        <v>17.66</v>
      </c>
      <c r="K124">
        <v>0.85</v>
      </c>
      <c r="L124">
        <v>13.41</v>
      </c>
      <c r="M124">
        <v>18.41</v>
      </c>
      <c r="N124">
        <v>16.13</v>
      </c>
      <c r="O124">
        <v>16.420000000000002</v>
      </c>
      <c r="P124">
        <v>16.8</v>
      </c>
      <c r="Q124">
        <v>17.97</v>
      </c>
      <c r="R124">
        <v>19</v>
      </c>
      <c r="S124">
        <v>19.760000000000002</v>
      </c>
      <c r="T124">
        <v>20.43</v>
      </c>
      <c r="U124">
        <v>21.89</v>
      </c>
    </row>
    <row r="125" spans="1:21" x14ac:dyDescent="0.25">
      <c r="A125" t="s">
        <v>17</v>
      </c>
    </row>
    <row r="126" spans="1:21" x14ac:dyDescent="0.25">
      <c r="A126" t="s">
        <v>109</v>
      </c>
      <c r="D126">
        <v>617.16</v>
      </c>
      <c r="E126">
        <v>839.89</v>
      </c>
      <c r="F126">
        <v>957.75</v>
      </c>
      <c r="G126" s="2">
        <v>1056.72</v>
      </c>
      <c r="H126" s="2">
        <v>1130.26</v>
      </c>
      <c r="I126" s="2">
        <v>1234.6300000000001</v>
      </c>
      <c r="J126" s="2">
        <v>1273.6500000000001</v>
      </c>
      <c r="K126" s="2">
        <v>1285.68</v>
      </c>
      <c r="L126" s="2">
        <v>1295.51</v>
      </c>
      <c r="M126" s="2">
        <v>1301.51</v>
      </c>
      <c r="N126" s="2">
        <v>1304.95</v>
      </c>
      <c r="O126" s="2">
        <v>1301.27</v>
      </c>
      <c r="P126" s="2">
        <v>1307.18</v>
      </c>
      <c r="Q126" s="2">
        <v>1307.74</v>
      </c>
      <c r="R126" s="2">
        <v>1325.68</v>
      </c>
      <c r="S126" s="2">
        <v>1333.92</v>
      </c>
      <c r="T126" s="2">
        <v>1337.28</v>
      </c>
      <c r="U126" s="2">
        <v>1352.49</v>
      </c>
    </row>
    <row r="127" spans="1:21" x14ac:dyDescent="0.25">
      <c r="A127" t="s">
        <v>110</v>
      </c>
      <c r="D127">
        <v>-0.01</v>
      </c>
      <c r="E127">
        <v>-0.01</v>
      </c>
      <c r="F127">
        <v>0.02</v>
      </c>
      <c r="G127">
        <v>0.04</v>
      </c>
      <c r="H127">
        <v>0.03</v>
      </c>
      <c r="I127">
        <v>0.4</v>
      </c>
      <c r="J127">
        <v>0.64</v>
      </c>
      <c r="K127">
        <v>0.04</v>
      </c>
      <c r="L127">
        <v>0.73</v>
      </c>
      <c r="M127">
        <v>1.26</v>
      </c>
      <c r="N127">
        <v>1.43</v>
      </c>
      <c r="O127">
        <v>1.9</v>
      </c>
      <c r="P127">
        <v>2.48</v>
      </c>
      <c r="Q127">
        <v>3.34</v>
      </c>
      <c r="R127">
        <v>4.16</v>
      </c>
      <c r="S127">
        <v>5.17</v>
      </c>
      <c r="T127">
        <v>6.36</v>
      </c>
      <c r="U127">
        <v>8.27</v>
      </c>
    </row>
    <row r="128" spans="1:21" x14ac:dyDescent="0.25">
      <c r="A128" t="s">
        <v>17</v>
      </c>
    </row>
    <row r="129" spans="1:21" x14ac:dyDescent="0.25">
      <c r="A129" t="s">
        <v>282</v>
      </c>
    </row>
    <row r="130" spans="1:21" x14ac:dyDescent="0.25">
      <c r="A130" t="s">
        <v>62</v>
      </c>
      <c r="D130">
        <v>94.16</v>
      </c>
      <c r="E130">
        <v>179.84</v>
      </c>
      <c r="F130">
        <v>293.05</v>
      </c>
      <c r="G130">
        <v>476.96</v>
      </c>
      <c r="H130">
        <v>712.53</v>
      </c>
      <c r="I130" s="2">
        <v>1387.97</v>
      </c>
      <c r="J130" s="2">
        <v>2130.71</v>
      </c>
      <c r="K130" s="2">
        <v>2845.75</v>
      </c>
      <c r="L130" s="2">
        <v>3545</v>
      </c>
      <c r="M130" s="2">
        <v>4408</v>
      </c>
      <c r="N130" s="2">
        <v>6001</v>
      </c>
      <c r="O130" s="2">
        <v>8031.51</v>
      </c>
      <c r="P130" s="2">
        <v>10182.07</v>
      </c>
      <c r="Q130" s="2">
        <v>12558.33</v>
      </c>
      <c r="R130" s="2">
        <v>15390.71</v>
      </c>
      <c r="S130" s="2">
        <v>18558.93</v>
      </c>
      <c r="T130" s="2">
        <v>23216.66</v>
      </c>
      <c r="U130" s="2">
        <v>27262.46</v>
      </c>
    </row>
    <row r="131" spans="1:21" x14ac:dyDescent="0.25">
      <c r="A131" t="s">
        <v>61</v>
      </c>
      <c r="B131">
        <v>26.89</v>
      </c>
      <c r="C131">
        <v>41.16</v>
      </c>
      <c r="D131">
        <v>45.88</v>
      </c>
      <c r="E131">
        <v>46.19</v>
      </c>
      <c r="F131">
        <v>43.52</v>
      </c>
      <c r="G131">
        <v>44.44</v>
      </c>
      <c r="H131">
        <v>45.15</v>
      </c>
      <c r="I131">
        <v>47.38</v>
      </c>
      <c r="J131">
        <v>46.2</v>
      </c>
      <c r="K131">
        <v>50.82</v>
      </c>
      <c r="L131">
        <v>50.21</v>
      </c>
      <c r="M131">
        <v>49.64</v>
      </c>
      <c r="N131">
        <v>51.93</v>
      </c>
      <c r="O131">
        <v>52.82</v>
      </c>
      <c r="P131">
        <v>53.25</v>
      </c>
      <c r="Q131">
        <v>53.45</v>
      </c>
      <c r="R131">
        <v>53.58</v>
      </c>
      <c r="S131">
        <v>53.79</v>
      </c>
      <c r="T131">
        <v>52.57</v>
      </c>
      <c r="U131">
        <v>52.42</v>
      </c>
    </row>
    <row r="132" spans="1:21" x14ac:dyDescent="0.25">
      <c r="A132" t="s">
        <v>63</v>
      </c>
      <c r="B132">
        <v>36.74</v>
      </c>
      <c r="C132">
        <v>61.8</v>
      </c>
      <c r="D132">
        <v>111.07</v>
      </c>
      <c r="E132">
        <v>209.5</v>
      </c>
      <c r="F132">
        <v>380.25</v>
      </c>
      <c r="G132">
        <v>596.27</v>
      </c>
      <c r="H132">
        <v>865.64</v>
      </c>
      <c r="I132" s="2">
        <v>1541.52</v>
      </c>
      <c r="J132" s="2">
        <v>2481.14</v>
      </c>
      <c r="K132" s="2">
        <v>2754.12</v>
      </c>
      <c r="L132" s="2">
        <v>3515</v>
      </c>
      <c r="M132" s="2">
        <v>4472</v>
      </c>
      <c r="N132" s="2">
        <v>5555</v>
      </c>
      <c r="O132" s="2">
        <v>7206.43</v>
      </c>
      <c r="P132" s="2">
        <v>8923.5400000000009</v>
      </c>
      <c r="Q132" s="2">
        <v>10898.94</v>
      </c>
      <c r="R132" s="2">
        <v>13451.73</v>
      </c>
      <c r="S132" s="2">
        <v>16131.11</v>
      </c>
      <c r="T132" s="2">
        <v>19110.13</v>
      </c>
      <c r="U132" s="2">
        <v>22668.77</v>
      </c>
    </row>
    <row r="133" spans="1:21" x14ac:dyDescent="0.25">
      <c r="A133" t="s">
        <v>64</v>
      </c>
      <c r="B133">
        <v>73.099999999999994</v>
      </c>
      <c r="C133">
        <v>58.8</v>
      </c>
      <c r="D133">
        <v>54.1</v>
      </c>
      <c r="E133">
        <v>53.8</v>
      </c>
      <c r="F133">
        <v>56.5</v>
      </c>
      <c r="G133">
        <v>57</v>
      </c>
      <c r="H133">
        <v>55</v>
      </c>
      <c r="I133">
        <v>53</v>
      </c>
      <c r="J133">
        <v>54</v>
      </c>
      <c r="K133">
        <v>49</v>
      </c>
      <c r="L133">
        <v>50</v>
      </c>
      <c r="M133">
        <v>50.4</v>
      </c>
      <c r="N133">
        <v>48.1</v>
      </c>
      <c r="O133">
        <v>47.21</v>
      </c>
      <c r="P133">
        <v>46.65</v>
      </c>
      <c r="Q133">
        <v>46.15</v>
      </c>
      <c r="R133">
        <v>46.22</v>
      </c>
      <c r="S133">
        <v>46.05</v>
      </c>
      <c r="T133">
        <v>47.39</v>
      </c>
      <c r="U133">
        <v>47.54</v>
      </c>
    </row>
    <row r="134" spans="1:21" x14ac:dyDescent="0.25">
      <c r="A134" t="s">
        <v>87</v>
      </c>
      <c r="B134">
        <v>41.01</v>
      </c>
      <c r="C134">
        <v>83.41</v>
      </c>
      <c r="D134">
        <v>128.83000000000001</v>
      </c>
      <c r="E134">
        <v>246.66</v>
      </c>
      <c r="F134">
        <v>429.41</v>
      </c>
      <c r="G134">
        <v>688.19</v>
      </c>
      <c r="H134" s="2">
        <v>1006.79</v>
      </c>
      <c r="I134" s="2">
        <v>1451.37</v>
      </c>
      <c r="J134" s="2">
        <v>2212.5</v>
      </c>
      <c r="K134" s="2">
        <v>3576.42</v>
      </c>
      <c r="L134" s="2">
        <v>4933</v>
      </c>
      <c r="M134" s="2">
        <v>3397</v>
      </c>
      <c r="N134" s="2">
        <v>4087</v>
      </c>
      <c r="O134" s="2">
        <v>4960.6000000000004</v>
      </c>
      <c r="P134" s="2">
        <v>5892.91</v>
      </c>
      <c r="Q134" s="2">
        <v>6704.27</v>
      </c>
      <c r="R134" s="2">
        <v>7774.18</v>
      </c>
      <c r="S134" s="2">
        <v>8890.1299999999992</v>
      </c>
      <c r="T134" s="2">
        <v>10523.29</v>
      </c>
      <c r="U134" s="2">
        <v>11496.49</v>
      </c>
    </row>
    <row r="135" spans="1:21" x14ac:dyDescent="0.25">
      <c r="A135" t="s">
        <v>61</v>
      </c>
      <c r="B135">
        <v>81.599999999999994</v>
      </c>
      <c r="C135">
        <v>79.42</v>
      </c>
      <c r="D135">
        <v>62.77</v>
      </c>
      <c r="E135">
        <v>63.35</v>
      </c>
      <c r="F135">
        <v>63.78</v>
      </c>
      <c r="G135">
        <v>64.12</v>
      </c>
      <c r="H135">
        <v>63.79</v>
      </c>
      <c r="I135">
        <v>49.54</v>
      </c>
      <c r="J135">
        <v>47.97</v>
      </c>
      <c r="K135">
        <v>63.87</v>
      </c>
      <c r="L135">
        <v>69.87</v>
      </c>
      <c r="M135">
        <v>38.25</v>
      </c>
      <c r="N135">
        <v>35.369999999999997</v>
      </c>
      <c r="O135">
        <v>32.35</v>
      </c>
      <c r="P135">
        <v>30.64</v>
      </c>
      <c r="Q135">
        <v>28.53</v>
      </c>
      <c r="R135">
        <v>26.49</v>
      </c>
      <c r="S135">
        <v>24.96</v>
      </c>
      <c r="T135">
        <v>23.96</v>
      </c>
      <c r="U135">
        <v>23.04</v>
      </c>
    </row>
    <row r="136" spans="1:21" x14ac:dyDescent="0.25">
      <c r="A136" t="s">
        <v>114</v>
      </c>
      <c r="B136">
        <v>13.68</v>
      </c>
      <c r="C136">
        <v>25.92</v>
      </c>
      <c r="D136">
        <v>39.72</v>
      </c>
      <c r="E136">
        <v>74.34</v>
      </c>
      <c r="F136">
        <v>136</v>
      </c>
      <c r="G136">
        <v>230.67</v>
      </c>
      <c r="H136">
        <v>355.02</v>
      </c>
      <c r="I136">
        <v>552.13</v>
      </c>
      <c r="J136">
        <v>854.38</v>
      </c>
      <c r="K136" s="2">
        <v>1503.23</v>
      </c>
      <c r="L136" s="2">
        <v>1730</v>
      </c>
      <c r="M136" s="2">
        <v>1367</v>
      </c>
      <c r="N136" s="2">
        <v>1536</v>
      </c>
      <c r="O136" s="2">
        <v>1825.85</v>
      </c>
      <c r="P136" s="2">
        <v>2190.81</v>
      </c>
      <c r="Q136" s="2">
        <v>2441.23</v>
      </c>
      <c r="R136" s="2">
        <v>2860.36</v>
      </c>
      <c r="S136" s="2">
        <v>3256.05</v>
      </c>
      <c r="T136" s="2">
        <v>3593.05</v>
      </c>
      <c r="U136" s="2">
        <v>3999.47</v>
      </c>
    </row>
    <row r="137" spans="1:21" x14ac:dyDescent="0.25">
      <c r="A137" t="s">
        <v>76</v>
      </c>
      <c r="B137">
        <v>27.23</v>
      </c>
      <c r="C137">
        <v>24.68</v>
      </c>
      <c r="D137">
        <v>19.350000000000001</v>
      </c>
      <c r="E137">
        <v>19.09</v>
      </c>
      <c r="F137">
        <v>20.2</v>
      </c>
      <c r="G137">
        <v>21.49</v>
      </c>
      <c r="H137">
        <v>22.5</v>
      </c>
      <c r="I137">
        <v>18.850000000000001</v>
      </c>
      <c r="J137">
        <v>18.53</v>
      </c>
      <c r="K137">
        <v>26.84</v>
      </c>
      <c r="L137">
        <v>24.5</v>
      </c>
      <c r="M137">
        <v>15.39</v>
      </c>
      <c r="N137">
        <v>13.29</v>
      </c>
      <c r="O137">
        <v>11.9</v>
      </c>
      <c r="P137">
        <v>11.27</v>
      </c>
      <c r="Q137">
        <v>10.050000000000001</v>
      </c>
      <c r="R137">
        <v>9.08</v>
      </c>
      <c r="S137">
        <v>8.4700000000000006</v>
      </c>
      <c r="T137">
        <v>7.96</v>
      </c>
      <c r="U137">
        <v>7.73</v>
      </c>
    </row>
    <row r="138" spans="1:21" x14ac:dyDescent="0.25">
      <c r="A138" t="s">
        <v>129</v>
      </c>
      <c r="B138">
        <v>23.35</v>
      </c>
      <c r="C138">
        <v>45.93</v>
      </c>
      <c r="D138">
        <v>70.37</v>
      </c>
      <c r="E138">
        <v>129.21</v>
      </c>
      <c r="F138">
        <v>225.69</v>
      </c>
      <c r="G138">
        <v>350.07</v>
      </c>
      <c r="H138">
        <v>472.84</v>
      </c>
      <c r="I138">
        <v>602.04999999999995</v>
      </c>
      <c r="J138">
        <v>901.56</v>
      </c>
      <c r="K138" s="2">
        <v>1230.49</v>
      </c>
      <c r="L138" s="2">
        <v>1220</v>
      </c>
      <c r="M138" s="2">
        <v>1393</v>
      </c>
      <c r="N138" s="2">
        <v>1663</v>
      </c>
      <c r="O138" s="2">
        <v>2047.24</v>
      </c>
      <c r="P138" s="2">
        <v>2472.9299999999998</v>
      </c>
      <c r="Q138" s="2">
        <v>2868.22</v>
      </c>
      <c r="R138" s="2">
        <v>3462.01</v>
      </c>
      <c r="S138" s="2">
        <v>4024</v>
      </c>
      <c r="T138" s="2">
        <v>4706.22</v>
      </c>
      <c r="U138" s="2">
        <v>5244.64</v>
      </c>
    </row>
    <row r="139" spans="1:21" x14ac:dyDescent="0.25">
      <c r="A139" t="s">
        <v>115</v>
      </c>
      <c r="B139">
        <v>3.98</v>
      </c>
      <c r="C139">
        <v>11.57</v>
      </c>
      <c r="D139">
        <v>18.73</v>
      </c>
      <c r="E139">
        <v>43.11</v>
      </c>
      <c r="F139">
        <v>67.72</v>
      </c>
      <c r="G139">
        <v>107.44</v>
      </c>
      <c r="H139">
        <v>153.77000000000001</v>
      </c>
      <c r="I139">
        <v>245.34</v>
      </c>
      <c r="J139">
        <v>374.84</v>
      </c>
      <c r="K139">
        <v>707.77</v>
      </c>
      <c r="L139">
        <v>491</v>
      </c>
      <c r="M139">
        <v>410</v>
      </c>
      <c r="N139">
        <v>471</v>
      </c>
      <c r="O139">
        <v>542.79</v>
      </c>
      <c r="P139">
        <v>633.49</v>
      </c>
      <c r="Q139">
        <v>679.72</v>
      </c>
      <c r="R139">
        <v>718</v>
      </c>
      <c r="S139">
        <v>777.37</v>
      </c>
      <c r="T139">
        <v>939.55</v>
      </c>
      <c r="U139" s="2">
        <v>1025.01</v>
      </c>
    </row>
    <row r="140" spans="1:21" x14ac:dyDescent="0.25">
      <c r="A140" t="s">
        <v>1904</v>
      </c>
      <c r="H140">
        <v>25.17</v>
      </c>
      <c r="I140">
        <v>51.85</v>
      </c>
      <c r="J140">
        <v>81.72</v>
      </c>
      <c r="K140">
        <v>134.93</v>
      </c>
      <c r="L140">
        <v>152</v>
      </c>
      <c r="M140">
        <v>227</v>
      </c>
      <c r="N140">
        <v>417</v>
      </c>
      <c r="O140">
        <v>559.04</v>
      </c>
      <c r="P140">
        <v>658.24</v>
      </c>
      <c r="Q140">
        <v>802.22</v>
      </c>
      <c r="R140">
        <v>956.93</v>
      </c>
      <c r="S140" s="2">
        <v>1115.01</v>
      </c>
      <c r="T140" s="2">
        <v>1252.29</v>
      </c>
      <c r="U140" s="2">
        <v>1342.94</v>
      </c>
    </row>
    <row r="141" spans="1:21" x14ac:dyDescent="0.25">
      <c r="A141" t="s">
        <v>1905</v>
      </c>
      <c r="F141">
        <v>92.03</v>
      </c>
      <c r="G141">
        <v>131.43</v>
      </c>
      <c r="H141">
        <v>177.61</v>
      </c>
      <c r="I141">
        <v>240.56</v>
      </c>
      <c r="J141">
        <v>420.09</v>
      </c>
      <c r="K141">
        <v>504.9</v>
      </c>
      <c r="L141">
        <v>497</v>
      </c>
      <c r="O141">
        <v>883.58</v>
      </c>
      <c r="P141" s="2">
        <v>1056.53</v>
      </c>
      <c r="Q141" s="2">
        <v>1214.04</v>
      </c>
      <c r="R141" s="2">
        <v>1372.16</v>
      </c>
      <c r="S141" s="2">
        <v>1535.62</v>
      </c>
    </row>
    <row r="142" spans="1:21" x14ac:dyDescent="0.25">
      <c r="A142" t="s">
        <v>190</v>
      </c>
      <c r="B142">
        <v>1.76</v>
      </c>
      <c r="C142">
        <v>4.67</v>
      </c>
      <c r="D142">
        <v>7.24</v>
      </c>
      <c r="E142">
        <v>13.97</v>
      </c>
      <c r="F142">
        <v>23.38</v>
      </c>
      <c r="G142">
        <v>27.05</v>
      </c>
      <c r="H142">
        <v>35.65</v>
      </c>
      <c r="I142">
        <v>70.06</v>
      </c>
      <c r="J142">
        <v>66.31</v>
      </c>
      <c r="K142">
        <v>90.52</v>
      </c>
      <c r="L142">
        <v>70</v>
      </c>
      <c r="M142">
        <v>36</v>
      </c>
      <c r="N142">
        <v>31</v>
      </c>
      <c r="O142">
        <v>33.32</v>
      </c>
      <c r="P142">
        <v>39.92</v>
      </c>
      <c r="Q142">
        <v>44.63</v>
      </c>
      <c r="R142">
        <v>45.36</v>
      </c>
      <c r="S142">
        <v>51.39</v>
      </c>
      <c r="T142">
        <v>61.7</v>
      </c>
      <c r="U142">
        <v>63.05</v>
      </c>
    </row>
    <row r="143" spans="1:21" x14ac:dyDescent="0.25">
      <c r="A143" t="s">
        <v>61</v>
      </c>
      <c r="B143">
        <v>3.5</v>
      </c>
      <c r="C143">
        <v>4.45</v>
      </c>
      <c r="D143">
        <v>3.53</v>
      </c>
      <c r="E143">
        <v>3.59</v>
      </c>
      <c r="F143">
        <v>3.47</v>
      </c>
      <c r="G143">
        <v>2.52</v>
      </c>
      <c r="H143">
        <v>2.2599999999999998</v>
      </c>
      <c r="I143">
        <v>2.39</v>
      </c>
      <c r="J143">
        <v>1.44</v>
      </c>
      <c r="K143">
        <v>1.62</v>
      </c>
      <c r="L143">
        <v>0.99</v>
      </c>
      <c r="M143">
        <v>0.41</v>
      </c>
      <c r="N143">
        <v>0.27</v>
      </c>
      <c r="O143">
        <v>0.27</v>
      </c>
      <c r="P143">
        <v>0.28000000000000003</v>
      </c>
      <c r="Q143">
        <v>0.28000000000000003</v>
      </c>
      <c r="R143">
        <v>0.28000000000000003</v>
      </c>
      <c r="S143">
        <v>0.27</v>
      </c>
      <c r="T143">
        <v>0.31</v>
      </c>
      <c r="U143">
        <v>0.13</v>
      </c>
    </row>
    <row r="144" spans="1:21" x14ac:dyDescent="0.25">
      <c r="A144" t="s">
        <v>116</v>
      </c>
      <c r="B144">
        <v>-4.2699999999999996</v>
      </c>
      <c r="C144">
        <v>-21.62</v>
      </c>
      <c r="D144">
        <v>-17.760000000000002</v>
      </c>
      <c r="E144">
        <v>-37.17</v>
      </c>
      <c r="F144">
        <v>-49.16</v>
      </c>
      <c r="G144">
        <v>-91.92</v>
      </c>
      <c r="H144">
        <v>-141.15</v>
      </c>
      <c r="I144">
        <v>90.15</v>
      </c>
      <c r="J144">
        <v>268.64</v>
      </c>
      <c r="K144">
        <v>-822.3</v>
      </c>
      <c r="L144" s="2">
        <v>-1418</v>
      </c>
      <c r="M144" s="2">
        <v>1075</v>
      </c>
      <c r="N144" s="2">
        <v>1468</v>
      </c>
      <c r="O144" s="2">
        <v>2229.66</v>
      </c>
      <c r="P144" s="2">
        <v>2989.93</v>
      </c>
      <c r="Q144" s="2">
        <v>4236.1400000000003</v>
      </c>
      <c r="R144" s="2">
        <v>5885.6</v>
      </c>
      <c r="S144" s="2">
        <v>7613.56</v>
      </c>
      <c r="T144" s="2">
        <v>10344.969999999999</v>
      </c>
      <c r="U144" s="2">
        <v>13008.49</v>
      </c>
    </row>
    <row r="145" spans="1:21" x14ac:dyDescent="0.25">
      <c r="A145" t="s">
        <v>269</v>
      </c>
      <c r="B145">
        <v>-8.5</v>
      </c>
      <c r="C145">
        <v>-20.58</v>
      </c>
      <c r="D145">
        <v>-8.65</v>
      </c>
      <c r="E145">
        <v>-9.5500000000000007</v>
      </c>
      <c r="F145">
        <v>-7.3</v>
      </c>
      <c r="G145">
        <v>-8.56</v>
      </c>
      <c r="H145">
        <v>-8.94</v>
      </c>
      <c r="I145">
        <v>3.08</v>
      </c>
      <c r="J145">
        <v>5.83</v>
      </c>
      <c r="K145">
        <v>-14.68</v>
      </c>
      <c r="L145">
        <v>-20.079999999999998</v>
      </c>
      <c r="M145">
        <v>12.11</v>
      </c>
      <c r="N145">
        <v>12.7</v>
      </c>
      <c r="O145">
        <v>14.68</v>
      </c>
      <c r="P145">
        <v>15.81</v>
      </c>
      <c r="Q145">
        <v>17.73</v>
      </c>
      <c r="R145">
        <v>19.43</v>
      </c>
      <c r="S145">
        <v>20.64</v>
      </c>
      <c r="T145">
        <v>23.44</v>
      </c>
      <c r="U145">
        <v>24.52</v>
      </c>
    </row>
    <row r="146" spans="1:21" x14ac:dyDescent="0.25">
      <c r="A146" t="s">
        <v>399</v>
      </c>
      <c r="B146">
        <v>0.56999999999999995</v>
      </c>
      <c r="C146">
        <v>0.7</v>
      </c>
      <c r="D146">
        <v>1.03</v>
      </c>
      <c r="E146">
        <v>-1.81</v>
      </c>
      <c r="F146">
        <v>-9.16</v>
      </c>
      <c r="G146">
        <v>-27.37</v>
      </c>
      <c r="H146">
        <v>-45.33</v>
      </c>
      <c r="I146">
        <v>-150.21</v>
      </c>
      <c r="J146" s="2">
        <v>-2871.95</v>
      </c>
      <c r="K146" s="2">
        <v>2800.55</v>
      </c>
      <c r="L146" s="2">
        <v>-1603</v>
      </c>
      <c r="M146" s="2">
        <v>-1153</v>
      </c>
      <c r="N146">
        <v>-41</v>
      </c>
      <c r="O146">
        <v>-410.57</v>
      </c>
      <c r="P146">
        <v>-296.95</v>
      </c>
      <c r="Q146">
        <v>-424.25</v>
      </c>
      <c r="R146">
        <v>-442.02</v>
      </c>
      <c r="S146">
        <v>-557.85</v>
      </c>
      <c r="T146">
        <v>-949.71</v>
      </c>
      <c r="U146" s="2">
        <v>-1188.5</v>
      </c>
    </row>
    <row r="147" spans="1:21" x14ac:dyDescent="0.25">
      <c r="A147" t="s">
        <v>290</v>
      </c>
      <c r="B147">
        <v>0.04</v>
      </c>
      <c r="C147">
        <v>0.06</v>
      </c>
      <c r="D147">
        <v>0.2</v>
      </c>
      <c r="E147">
        <v>1.54</v>
      </c>
      <c r="F147">
        <v>7.85</v>
      </c>
      <c r="G147">
        <v>29.44</v>
      </c>
      <c r="H147">
        <v>48.18</v>
      </c>
      <c r="I147">
        <v>23.43</v>
      </c>
      <c r="J147">
        <v>15.36</v>
      </c>
      <c r="K147">
        <v>79.14</v>
      </c>
      <c r="L147">
        <v>241</v>
      </c>
      <c r="M147">
        <v>308</v>
      </c>
      <c r="N147">
        <v>331</v>
      </c>
      <c r="O147">
        <v>276.88</v>
      </c>
      <c r="P147">
        <v>333.64</v>
      </c>
      <c r="Q147">
        <v>393.19</v>
      </c>
      <c r="R147">
        <v>349.03</v>
      </c>
      <c r="S147">
        <v>421.15</v>
      </c>
      <c r="T147">
        <v>391.87</v>
      </c>
      <c r="U147">
        <v>449.02</v>
      </c>
    </row>
    <row r="148" spans="1:21" x14ac:dyDescent="0.25">
      <c r="A148" t="s">
        <v>1906</v>
      </c>
      <c r="I148">
        <v>-135.19</v>
      </c>
      <c r="J148" s="2">
        <v>-2859.8</v>
      </c>
      <c r="K148" s="2">
        <v>2874.29</v>
      </c>
      <c r="L148" s="2">
        <v>-1419</v>
      </c>
      <c r="M148">
        <v>-991</v>
      </c>
      <c r="N148">
        <v>186</v>
      </c>
      <c r="O148">
        <v>-180.29</v>
      </c>
      <c r="P148">
        <v>50</v>
      </c>
    </row>
    <row r="149" spans="1:21" x14ac:dyDescent="0.25">
      <c r="A149" t="s">
        <v>1907</v>
      </c>
      <c r="I149">
        <v>8.25</v>
      </c>
      <c r="L149">
        <v>58</v>
      </c>
      <c r="M149">
        <v>138</v>
      </c>
      <c r="N149">
        <v>40</v>
      </c>
      <c r="O149">
        <v>49</v>
      </c>
      <c r="P149">
        <v>70</v>
      </c>
    </row>
    <row r="150" spans="1:21" x14ac:dyDescent="0.25">
      <c r="A150" t="s">
        <v>1908</v>
      </c>
      <c r="B150">
        <v>0.54</v>
      </c>
      <c r="C150">
        <v>0.65</v>
      </c>
      <c r="D150">
        <v>1.23</v>
      </c>
      <c r="E150">
        <v>-0.27</v>
      </c>
      <c r="F150">
        <v>-1.31</v>
      </c>
      <c r="G150">
        <v>2.0699999999999998</v>
      </c>
      <c r="H150">
        <v>2.85</v>
      </c>
      <c r="I150">
        <v>-0.67</v>
      </c>
      <c r="J150">
        <v>-0.28999999999999998</v>
      </c>
      <c r="K150">
        <v>1.9</v>
      </c>
      <c r="L150">
        <v>-1</v>
      </c>
      <c r="M150">
        <v>8</v>
      </c>
      <c r="N150">
        <v>-26</v>
      </c>
      <c r="O150">
        <v>18</v>
      </c>
      <c r="P150">
        <v>16</v>
      </c>
    </row>
    <row r="151" spans="1:21" x14ac:dyDescent="0.25">
      <c r="A151" t="s">
        <v>119</v>
      </c>
      <c r="B151">
        <v>-4.84</v>
      </c>
      <c r="C151">
        <v>-22.31</v>
      </c>
      <c r="D151">
        <v>-18.79</v>
      </c>
      <c r="E151">
        <v>-35.36</v>
      </c>
      <c r="F151">
        <v>-40</v>
      </c>
      <c r="G151">
        <v>-64.55</v>
      </c>
      <c r="H151">
        <v>-95.82</v>
      </c>
      <c r="I151">
        <v>240.36</v>
      </c>
      <c r="J151" s="2">
        <v>3140.59</v>
      </c>
      <c r="K151" s="2">
        <v>-3622.85</v>
      </c>
      <c r="L151">
        <v>185</v>
      </c>
      <c r="M151" s="2">
        <v>2228</v>
      </c>
      <c r="N151" s="2">
        <v>1509</v>
      </c>
      <c r="O151" s="2">
        <v>2605.31</v>
      </c>
      <c r="P151" s="2">
        <v>3274.72</v>
      </c>
      <c r="Q151" s="2">
        <v>4648.97</v>
      </c>
      <c r="R151" s="2">
        <v>6190.67</v>
      </c>
      <c r="S151" s="2">
        <v>7948.61</v>
      </c>
      <c r="T151" s="2">
        <v>10105.799999999999</v>
      </c>
      <c r="U151" s="2">
        <v>13663.63</v>
      </c>
    </row>
    <row r="152" spans="1:21" x14ac:dyDescent="0.25">
      <c r="A152" t="s">
        <v>61</v>
      </c>
      <c r="B152">
        <v>-9.6300000000000008</v>
      </c>
      <c r="C152">
        <v>-21.24</v>
      </c>
      <c r="D152">
        <v>-9.16</v>
      </c>
      <c r="E152">
        <v>-9.08</v>
      </c>
      <c r="F152">
        <v>-5.94</v>
      </c>
      <c r="G152">
        <v>-6.01</v>
      </c>
      <c r="H152">
        <v>-6.07</v>
      </c>
      <c r="I152">
        <v>8.1999999999999993</v>
      </c>
      <c r="J152">
        <v>68.099999999999994</v>
      </c>
      <c r="K152">
        <v>-64.7</v>
      </c>
      <c r="L152">
        <v>2.62</v>
      </c>
      <c r="M152">
        <v>25.09</v>
      </c>
      <c r="N152">
        <v>13.06</v>
      </c>
      <c r="O152">
        <v>16.62</v>
      </c>
      <c r="P152">
        <v>16.82</v>
      </c>
      <c r="Q152">
        <v>19.38</v>
      </c>
      <c r="R152">
        <v>22.54</v>
      </c>
      <c r="S152">
        <v>24.47</v>
      </c>
      <c r="T152">
        <v>25.84</v>
      </c>
      <c r="U152">
        <v>27.09</v>
      </c>
    </row>
    <row r="153" spans="1:21" x14ac:dyDescent="0.25">
      <c r="A153" t="s">
        <v>120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29.03</v>
      </c>
      <c r="I153">
        <v>-79.150000000000006</v>
      </c>
      <c r="J153">
        <v>225.93</v>
      </c>
      <c r="K153">
        <v>-162.43</v>
      </c>
      <c r="L153">
        <v>53</v>
      </c>
      <c r="M153">
        <v>209</v>
      </c>
      <c r="N153">
        <v>278</v>
      </c>
      <c r="O153">
        <v>481.77</v>
      </c>
      <c r="P153">
        <v>591.1</v>
      </c>
      <c r="Q153">
        <v>880.16</v>
      </c>
      <c r="R153" s="2">
        <v>1195.5899999999999</v>
      </c>
      <c r="S153" s="2">
        <v>1526.36</v>
      </c>
      <c r="T153" s="2">
        <v>2054.08</v>
      </c>
      <c r="U153" s="2">
        <v>2808.9</v>
      </c>
    </row>
    <row r="154" spans="1:21" x14ac:dyDescent="0.25">
      <c r="A154" t="s">
        <v>489</v>
      </c>
      <c r="H154">
        <v>26.5</v>
      </c>
      <c r="I154">
        <v>26.5</v>
      </c>
      <c r="J154">
        <v>7.19</v>
      </c>
      <c r="L154">
        <v>28.65</v>
      </c>
      <c r="M154">
        <v>9.3800000000000008</v>
      </c>
      <c r="N154">
        <v>18.420000000000002</v>
      </c>
      <c r="O154">
        <v>18.41</v>
      </c>
      <c r="P154">
        <v>18.079999999999998</v>
      </c>
      <c r="Q154">
        <v>18.62</v>
      </c>
      <c r="R154">
        <v>17.5</v>
      </c>
      <c r="S154">
        <v>17.88</v>
      </c>
      <c r="T154">
        <v>18</v>
      </c>
      <c r="U154">
        <v>20</v>
      </c>
    </row>
    <row r="155" spans="1:21" x14ac:dyDescent="0.25">
      <c r="A155" t="s">
        <v>121</v>
      </c>
      <c r="D155">
        <v>-18.79</v>
      </c>
      <c r="E155">
        <v>-35.36</v>
      </c>
      <c r="F155">
        <v>-40</v>
      </c>
      <c r="G155">
        <v>-64.55</v>
      </c>
      <c r="H155">
        <v>-124.84</v>
      </c>
      <c r="I155">
        <v>319.51</v>
      </c>
      <c r="J155" s="2">
        <v>2914.66</v>
      </c>
      <c r="K155" s="2">
        <v>-3460.42</v>
      </c>
      <c r="L155">
        <v>132</v>
      </c>
      <c r="M155" s="2">
        <v>2019</v>
      </c>
      <c r="N155" s="2">
        <v>1231</v>
      </c>
      <c r="O155" s="2">
        <v>2184.44</v>
      </c>
      <c r="P155" s="2">
        <v>2767.2</v>
      </c>
      <c r="Q155" s="2">
        <v>3969.42</v>
      </c>
      <c r="R155" s="2">
        <v>5033.17</v>
      </c>
      <c r="S155" s="2">
        <v>6384.75</v>
      </c>
      <c r="T155" s="2">
        <v>8294</v>
      </c>
      <c r="U155" s="2">
        <v>10855.33</v>
      </c>
    </row>
    <row r="156" spans="1:21" x14ac:dyDescent="0.25">
      <c r="A156" t="s">
        <v>122</v>
      </c>
      <c r="B156">
        <v>-9.6300000000000008</v>
      </c>
      <c r="C156">
        <v>-21.24</v>
      </c>
      <c r="D156">
        <v>-9.16</v>
      </c>
      <c r="E156">
        <v>-9.08</v>
      </c>
      <c r="F156">
        <v>-5.94</v>
      </c>
      <c r="G156">
        <v>-6.01</v>
      </c>
      <c r="H156">
        <v>-7.91</v>
      </c>
      <c r="I156">
        <v>10.91</v>
      </c>
      <c r="J156">
        <v>63.2</v>
      </c>
      <c r="K156">
        <v>-61.79</v>
      </c>
      <c r="L156">
        <v>1.87</v>
      </c>
      <c r="M156">
        <v>22.74</v>
      </c>
      <c r="N156">
        <v>10.65</v>
      </c>
      <c r="O156">
        <v>14.16</v>
      </c>
      <c r="P156">
        <v>13.84</v>
      </c>
      <c r="Q156">
        <v>15.51</v>
      </c>
      <c r="R156">
        <v>16.52</v>
      </c>
      <c r="S156">
        <v>17.61</v>
      </c>
      <c r="T156">
        <v>20.91</v>
      </c>
      <c r="U156">
        <v>21.93</v>
      </c>
    </row>
    <row r="157" spans="1:21" x14ac:dyDescent="0.25">
      <c r="A157" t="s">
        <v>1909</v>
      </c>
      <c r="M157" s="2">
        <v>1237</v>
      </c>
      <c r="N157" s="2">
        <v>1525</v>
      </c>
      <c r="O157" s="2">
        <v>2306.0500000000002</v>
      </c>
      <c r="P157" s="2">
        <v>2874.48</v>
      </c>
      <c r="Q157" s="2">
        <v>4035.26</v>
      </c>
      <c r="R157" s="2">
        <v>4256.6400000000003</v>
      </c>
      <c r="S157" s="2">
        <v>5159.1400000000003</v>
      </c>
    </row>
    <row r="158" spans="1:21" x14ac:dyDescent="0.25">
      <c r="A158" t="s">
        <v>296</v>
      </c>
      <c r="B158">
        <v>372.49</v>
      </c>
      <c r="C158">
        <v>389.4</v>
      </c>
      <c r="D158">
        <v>617.16</v>
      </c>
      <c r="E158">
        <v>839.89</v>
      </c>
      <c r="F158">
        <v>957.75</v>
      </c>
      <c r="G158" s="2">
        <v>1056.72</v>
      </c>
      <c r="H158" s="2">
        <v>1130.26</v>
      </c>
      <c r="I158" s="2">
        <v>1195.7</v>
      </c>
      <c r="J158" s="2">
        <v>1246.5899999999999</v>
      </c>
      <c r="K158" s="2">
        <v>1266.27</v>
      </c>
      <c r="L158" s="2">
        <v>1281.55</v>
      </c>
      <c r="M158" s="2">
        <v>1289.81</v>
      </c>
      <c r="N158" s="2">
        <v>1298.96</v>
      </c>
      <c r="O158" s="2">
        <v>1300.18</v>
      </c>
      <c r="P158" s="2">
        <v>1307.3599999999999</v>
      </c>
      <c r="Q158" s="2">
        <v>1312.38</v>
      </c>
      <c r="R158" s="2">
        <v>1326.18</v>
      </c>
      <c r="S158" s="2">
        <v>1334.79</v>
      </c>
      <c r="T158" s="2">
        <v>1324.06</v>
      </c>
      <c r="U158" s="2">
        <v>1323.34</v>
      </c>
    </row>
    <row r="159" spans="1:21" x14ac:dyDescent="0.25">
      <c r="A159" t="s">
        <v>297</v>
      </c>
      <c r="B159">
        <v>-0.01</v>
      </c>
      <c r="C159">
        <v>-0.06</v>
      </c>
      <c r="D159">
        <v>-0.03</v>
      </c>
      <c r="E159">
        <v>-0.04</v>
      </c>
      <c r="F159">
        <v>-0.04</v>
      </c>
      <c r="G159">
        <v>-0.06</v>
      </c>
      <c r="H159">
        <v>-0.11</v>
      </c>
      <c r="I159">
        <v>0.27</v>
      </c>
      <c r="J159">
        <v>2.34</v>
      </c>
      <c r="K159">
        <v>-2.73</v>
      </c>
      <c r="L159">
        <v>0.1</v>
      </c>
      <c r="M159">
        <v>1.57</v>
      </c>
      <c r="N159">
        <v>0.95</v>
      </c>
      <c r="O159">
        <v>1.72</v>
      </c>
      <c r="P159">
        <v>2.1800000000000002</v>
      </c>
      <c r="Q159">
        <v>3.12</v>
      </c>
      <c r="R159">
        <v>3.78</v>
      </c>
      <c r="S159">
        <v>4.8</v>
      </c>
      <c r="T159">
        <v>6.27</v>
      </c>
      <c r="U159">
        <v>8.2200000000000006</v>
      </c>
    </row>
    <row r="160" spans="1:21" x14ac:dyDescent="0.25">
      <c r="A160" t="s">
        <v>123</v>
      </c>
      <c r="B160">
        <v>404.87</v>
      </c>
      <c r="C160">
        <v>423.39</v>
      </c>
      <c r="D160">
        <v>617.16</v>
      </c>
      <c r="E160">
        <v>839.89</v>
      </c>
      <c r="F160">
        <v>957.75</v>
      </c>
      <c r="G160" s="2">
        <v>1056.72</v>
      </c>
      <c r="H160" s="2">
        <v>1130.26</v>
      </c>
      <c r="I160" s="2">
        <v>1234.6300000000001</v>
      </c>
      <c r="J160" s="2">
        <v>1273.6500000000001</v>
      </c>
      <c r="K160" s="2">
        <v>1266.27</v>
      </c>
      <c r="L160" s="2">
        <v>1295.51</v>
      </c>
      <c r="M160" s="2">
        <v>1301.51</v>
      </c>
      <c r="N160" s="2">
        <v>1304.95</v>
      </c>
      <c r="O160" s="2">
        <v>1299.92</v>
      </c>
      <c r="P160" s="2">
        <v>1299.47</v>
      </c>
      <c r="Q160" s="2">
        <v>1297.94</v>
      </c>
      <c r="R160" s="2">
        <v>1310.89</v>
      </c>
      <c r="S160" s="2">
        <v>1315.32</v>
      </c>
      <c r="T160" s="2">
        <v>1315.16</v>
      </c>
      <c r="U160" s="2">
        <v>1320.5</v>
      </c>
    </row>
    <row r="161" spans="1:21" x14ac:dyDescent="0.25">
      <c r="A161" t="s">
        <v>124</v>
      </c>
      <c r="D161">
        <v>-0.03</v>
      </c>
      <c r="E161">
        <v>-0.04</v>
      </c>
      <c r="F161">
        <v>-0.04</v>
      </c>
      <c r="G161">
        <v>-0.06</v>
      </c>
      <c r="H161">
        <v>-0.11</v>
      </c>
      <c r="I161">
        <v>0.26</v>
      </c>
      <c r="J161">
        <v>2.29</v>
      </c>
      <c r="K161">
        <v>-2.73</v>
      </c>
      <c r="L161">
        <v>0.1</v>
      </c>
      <c r="M161">
        <v>1.55</v>
      </c>
      <c r="N161">
        <v>0.94</v>
      </c>
      <c r="O161">
        <v>1.68</v>
      </c>
      <c r="P161">
        <v>2.13</v>
      </c>
      <c r="Q161">
        <v>3.06</v>
      </c>
      <c r="R161">
        <v>4.1100000000000003</v>
      </c>
      <c r="S161">
        <v>5.46</v>
      </c>
      <c r="T161">
        <v>6.93</v>
      </c>
      <c r="U161">
        <v>8.24</v>
      </c>
    </row>
    <row r="162" spans="1:21" x14ac:dyDescent="0.25">
      <c r="A162" t="s">
        <v>1910</v>
      </c>
      <c r="B162">
        <v>0</v>
      </c>
      <c r="C162">
        <v>0</v>
      </c>
      <c r="D162">
        <v>0</v>
      </c>
      <c r="E162">
        <v>-1.82</v>
      </c>
      <c r="F162">
        <v>5.25</v>
      </c>
      <c r="G162">
        <v>-15.65</v>
      </c>
      <c r="H162">
        <v>13.26</v>
      </c>
      <c r="I162">
        <v>7.72</v>
      </c>
      <c r="J162">
        <v>-14.74</v>
      </c>
      <c r="K162">
        <v>0</v>
      </c>
      <c r="L162">
        <v>20</v>
      </c>
      <c r="M162">
        <v>0</v>
      </c>
      <c r="N162">
        <v>0</v>
      </c>
      <c r="O162">
        <v>-9.1999999999999993</v>
      </c>
      <c r="P162">
        <v>-6</v>
      </c>
    </row>
    <row r="163" spans="1:21" x14ac:dyDescent="0.25">
      <c r="A163" t="s">
        <v>1911</v>
      </c>
      <c r="B163">
        <v>-4.84</v>
      </c>
      <c r="C163">
        <v>-22.31</v>
      </c>
      <c r="D163">
        <v>-18.79</v>
      </c>
      <c r="E163">
        <v>-37.17</v>
      </c>
      <c r="F163">
        <v>-34.74</v>
      </c>
      <c r="G163">
        <v>-80.2</v>
      </c>
      <c r="H163">
        <v>-111.58</v>
      </c>
      <c r="I163">
        <v>327.23</v>
      </c>
      <c r="J163" s="2">
        <v>2899.92</v>
      </c>
      <c r="K163" s="2">
        <v>-3470.92</v>
      </c>
      <c r="L163">
        <v>152</v>
      </c>
      <c r="M163" s="2">
        <v>2005</v>
      </c>
      <c r="N163" s="2">
        <v>1242</v>
      </c>
      <c r="O163" s="2">
        <v>2218.61</v>
      </c>
      <c r="P163" s="2">
        <v>2740.59</v>
      </c>
      <c r="Q163" s="2">
        <v>3811.91</v>
      </c>
      <c r="R163" s="2">
        <v>4932.74</v>
      </c>
      <c r="S163" s="2">
        <v>6286.54</v>
      </c>
      <c r="T163" s="2">
        <v>8122.41</v>
      </c>
      <c r="U163" s="2">
        <v>10808.3</v>
      </c>
    </row>
    <row r="164" spans="1:21" x14ac:dyDescent="0.25">
      <c r="A164" t="s">
        <v>17</v>
      </c>
    </row>
    <row r="165" spans="1:21" x14ac:dyDescent="0.25">
      <c r="A165" t="s">
        <v>651</v>
      </c>
    </row>
    <row r="166" spans="1:21" x14ac:dyDescent="0.25">
      <c r="A166" t="s">
        <v>1912</v>
      </c>
      <c r="E166">
        <v>25.02</v>
      </c>
      <c r="F166">
        <v>55.2</v>
      </c>
      <c r="G166">
        <v>103.76</v>
      </c>
      <c r="H166">
        <v>176.76</v>
      </c>
      <c r="I166">
        <v>294.31</v>
      </c>
      <c r="J166">
        <v>397.05</v>
      </c>
      <c r="K166">
        <v>562.86</v>
      </c>
      <c r="L166">
        <v>636</v>
      </c>
      <c r="M166">
        <v>453</v>
      </c>
      <c r="N166">
        <v>484</v>
      </c>
      <c r="O166">
        <v>571.13</v>
      </c>
      <c r="P166">
        <v>670.45</v>
      </c>
      <c r="Q166">
        <v>737.24</v>
      </c>
      <c r="R166">
        <v>817.59</v>
      </c>
      <c r="S166">
        <v>919.33</v>
      </c>
      <c r="T166" s="2">
        <v>1157.18</v>
      </c>
      <c r="U166" s="2">
        <v>1295.32</v>
      </c>
    </row>
    <row r="167" spans="1:21" x14ac:dyDescent="0.25">
      <c r="A167" t="s">
        <v>126</v>
      </c>
      <c r="B167">
        <v>0.11</v>
      </c>
      <c r="C167">
        <v>0.26</v>
      </c>
      <c r="D167">
        <v>0.28000000000000003</v>
      </c>
      <c r="E167">
        <v>0.72</v>
      </c>
      <c r="F167">
        <v>1.1000000000000001</v>
      </c>
      <c r="G167">
        <v>2.23</v>
      </c>
      <c r="H167">
        <v>3.57</v>
      </c>
      <c r="I167">
        <v>6.48</v>
      </c>
      <c r="J167">
        <v>6.68</v>
      </c>
      <c r="K167">
        <v>8.59</v>
      </c>
      <c r="L167">
        <v>4</v>
      </c>
      <c r="M167">
        <v>4</v>
      </c>
      <c r="N167">
        <v>4</v>
      </c>
      <c r="O167">
        <v>6.47</v>
      </c>
      <c r="P167">
        <v>7.53</v>
      </c>
      <c r="Q167">
        <v>8.07</v>
      </c>
      <c r="R167">
        <v>10.28</v>
      </c>
      <c r="S167">
        <v>11.83</v>
      </c>
      <c r="T167">
        <v>16</v>
      </c>
      <c r="U167">
        <v>18.510000000000002</v>
      </c>
    </row>
    <row r="168" spans="1:21" x14ac:dyDescent="0.25">
      <c r="A168" t="s">
        <v>114</v>
      </c>
      <c r="B168">
        <v>1.1499999999999999</v>
      </c>
      <c r="C168">
        <v>2.78</v>
      </c>
      <c r="D168">
        <v>4.51</v>
      </c>
      <c r="E168">
        <v>15.36</v>
      </c>
      <c r="F168">
        <v>31.34</v>
      </c>
      <c r="G168">
        <v>55.16</v>
      </c>
      <c r="H168">
        <v>93.55</v>
      </c>
      <c r="I168">
        <v>154.12</v>
      </c>
      <c r="J168">
        <v>215.19</v>
      </c>
      <c r="K168">
        <v>386.6</v>
      </c>
      <c r="L168">
        <v>481</v>
      </c>
      <c r="M168">
        <v>303</v>
      </c>
      <c r="N168">
        <v>334</v>
      </c>
      <c r="O168">
        <v>404.7</v>
      </c>
      <c r="P168">
        <v>476.8</v>
      </c>
      <c r="Q168">
        <v>522.34</v>
      </c>
      <c r="R168">
        <v>582.54</v>
      </c>
      <c r="S168">
        <v>656.76</v>
      </c>
      <c r="T168">
        <v>676.36</v>
      </c>
      <c r="U168">
        <v>740.13</v>
      </c>
    </row>
    <row r="169" spans="1:21" x14ac:dyDescent="0.25">
      <c r="A169" t="s">
        <v>129</v>
      </c>
      <c r="B169">
        <v>0.35</v>
      </c>
      <c r="C169">
        <v>0.7</v>
      </c>
      <c r="D169">
        <v>1.1000000000000001</v>
      </c>
      <c r="E169">
        <v>4.4400000000000004</v>
      </c>
      <c r="F169">
        <v>8.99</v>
      </c>
      <c r="G169">
        <v>21.93</v>
      </c>
      <c r="H169">
        <v>33.92</v>
      </c>
      <c r="I169">
        <v>40.68</v>
      </c>
      <c r="J169">
        <v>41.55</v>
      </c>
      <c r="K169">
        <v>63.26</v>
      </c>
      <c r="L169">
        <v>56</v>
      </c>
      <c r="M169">
        <v>50</v>
      </c>
      <c r="N169">
        <v>48</v>
      </c>
      <c r="O169">
        <v>45.85</v>
      </c>
      <c r="P169">
        <v>54</v>
      </c>
      <c r="Q169">
        <v>63.09</v>
      </c>
      <c r="R169">
        <v>60.26</v>
      </c>
      <c r="S169">
        <v>68.14</v>
      </c>
      <c r="T169">
        <v>88.82</v>
      </c>
      <c r="U169">
        <v>101.19</v>
      </c>
    </row>
    <row r="170" spans="1:21" x14ac:dyDescent="0.25">
      <c r="A170" t="s">
        <v>115</v>
      </c>
      <c r="B170">
        <v>0.15</v>
      </c>
      <c r="C170">
        <v>0.71</v>
      </c>
      <c r="D170">
        <v>2.27</v>
      </c>
      <c r="E170">
        <v>4.5</v>
      </c>
      <c r="F170">
        <v>7.74</v>
      </c>
      <c r="G170">
        <v>16.399999999999999</v>
      </c>
      <c r="H170">
        <v>27.42</v>
      </c>
      <c r="I170">
        <v>45.66</v>
      </c>
      <c r="J170">
        <v>67.349999999999994</v>
      </c>
      <c r="K170">
        <v>90.7</v>
      </c>
      <c r="L170">
        <v>74</v>
      </c>
      <c r="M170">
        <v>96</v>
      </c>
      <c r="N170">
        <v>98</v>
      </c>
      <c r="O170">
        <v>119.02</v>
      </c>
      <c r="P170">
        <v>134.81</v>
      </c>
      <c r="Q170">
        <v>132.26</v>
      </c>
      <c r="R170">
        <v>156.27000000000001</v>
      </c>
      <c r="S170">
        <v>177.91</v>
      </c>
      <c r="T170">
        <v>239.79</v>
      </c>
      <c r="U170">
        <v>274.31</v>
      </c>
    </row>
    <row r="171" spans="1:21" x14ac:dyDescent="0.25">
      <c r="A171" t="s">
        <v>664</v>
      </c>
      <c r="B171">
        <v>0.28000000000000003</v>
      </c>
      <c r="C171">
        <v>0.67</v>
      </c>
      <c r="D171">
        <v>1.51</v>
      </c>
      <c r="E171">
        <v>3.58</v>
      </c>
      <c r="F171">
        <v>6.8</v>
      </c>
      <c r="G171">
        <v>10.14</v>
      </c>
      <c r="H171">
        <v>10.14</v>
      </c>
      <c r="I171">
        <v>21.27</v>
      </c>
      <c r="J171">
        <v>22.15</v>
      </c>
      <c r="K171">
        <v>53.7</v>
      </c>
      <c r="L171">
        <v>38</v>
      </c>
      <c r="M171">
        <v>14</v>
      </c>
      <c r="N171">
        <v>13</v>
      </c>
      <c r="O171">
        <v>10.82</v>
      </c>
      <c r="P171">
        <v>12.23</v>
      </c>
      <c r="Q171">
        <v>13.95</v>
      </c>
      <c r="R171">
        <v>14.75</v>
      </c>
      <c r="S171">
        <v>15.64</v>
      </c>
      <c r="T171">
        <v>14.89</v>
      </c>
      <c r="U171">
        <v>15.09</v>
      </c>
    </row>
    <row r="172" spans="1:21" x14ac:dyDescent="0.25">
      <c r="A172" t="s">
        <v>126</v>
      </c>
      <c r="H172">
        <v>9.6199999999999992</v>
      </c>
      <c r="I172">
        <v>19.489999999999998</v>
      </c>
      <c r="J172">
        <v>20.399999999999999</v>
      </c>
      <c r="K172">
        <v>48.68</v>
      </c>
      <c r="L172">
        <v>35</v>
      </c>
      <c r="M172">
        <v>12</v>
      </c>
      <c r="N172">
        <v>9</v>
      </c>
      <c r="O172">
        <v>9.31</v>
      </c>
      <c r="P172">
        <v>10.199999999999999</v>
      </c>
      <c r="Q172">
        <v>11.85</v>
      </c>
      <c r="R172">
        <v>10.79</v>
      </c>
      <c r="S172">
        <v>11.58</v>
      </c>
    </row>
    <row r="173" spans="1:21" x14ac:dyDescent="0.25">
      <c r="A173" t="s">
        <v>114</v>
      </c>
      <c r="H173">
        <v>0.23</v>
      </c>
      <c r="I173">
        <v>0.23</v>
      </c>
      <c r="J173">
        <v>0.21</v>
      </c>
      <c r="K173">
        <v>0.08</v>
      </c>
      <c r="M173">
        <v>1</v>
      </c>
      <c r="N173">
        <v>4</v>
      </c>
      <c r="O173">
        <v>1.45</v>
      </c>
      <c r="P173">
        <v>2.72</v>
      </c>
      <c r="Q173">
        <v>3.81</v>
      </c>
    </row>
    <row r="174" spans="1:21" x14ac:dyDescent="0.25">
      <c r="A174" t="s">
        <v>129</v>
      </c>
      <c r="H174">
        <v>0.28000000000000003</v>
      </c>
      <c r="I174">
        <v>1.55</v>
      </c>
      <c r="J174">
        <v>1.54</v>
      </c>
      <c r="K174">
        <v>5.07</v>
      </c>
      <c r="L174">
        <v>3</v>
      </c>
      <c r="M174">
        <v>1</v>
      </c>
      <c r="N174">
        <v>0</v>
      </c>
      <c r="O174">
        <v>1.87</v>
      </c>
      <c r="P174">
        <v>3.07</v>
      </c>
      <c r="Q174">
        <v>3.92</v>
      </c>
    </row>
    <row r="175" spans="1:21" x14ac:dyDescent="0.25">
      <c r="A175" t="s">
        <v>1913</v>
      </c>
      <c r="B175">
        <v>7.0000000000000007E-2</v>
      </c>
      <c r="C175">
        <v>0.1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-135.19</v>
      </c>
      <c r="J175" s="2">
        <v>-2859.8</v>
      </c>
      <c r="K175" s="2">
        <v>2874.29</v>
      </c>
      <c r="L175" s="2">
        <v>-1361</v>
      </c>
      <c r="M175">
        <v>-853</v>
      </c>
      <c r="N175">
        <v>316</v>
      </c>
      <c r="O175">
        <v>-151.5</v>
      </c>
      <c r="P175">
        <v>53.32</v>
      </c>
      <c r="Q175">
        <v>-647.51</v>
      </c>
      <c r="R175">
        <v>-715.65</v>
      </c>
      <c r="S175">
        <v>-771.48</v>
      </c>
      <c r="T175">
        <v>-816.97</v>
      </c>
      <c r="U175">
        <v>-849.24</v>
      </c>
    </row>
    <row r="176" spans="1:21" x14ac:dyDescent="0.25">
      <c r="A176" t="s">
        <v>1906</v>
      </c>
      <c r="I176">
        <v>-135.19</v>
      </c>
      <c r="J176" s="2">
        <v>-2859.8</v>
      </c>
      <c r="K176" s="2">
        <v>2874.29</v>
      </c>
      <c r="L176" s="2">
        <v>-1419</v>
      </c>
      <c r="M176">
        <v>-991</v>
      </c>
      <c r="N176">
        <v>186</v>
      </c>
      <c r="O176">
        <v>-180.29</v>
      </c>
      <c r="P176">
        <v>50</v>
      </c>
    </row>
    <row r="177" spans="1:21" x14ac:dyDescent="0.25">
      <c r="A177" t="s">
        <v>1907</v>
      </c>
      <c r="I177">
        <v>8.25</v>
      </c>
      <c r="L177">
        <v>58</v>
      </c>
      <c r="M177">
        <v>138</v>
      </c>
      <c r="N177">
        <v>40</v>
      </c>
      <c r="O177">
        <v>49</v>
      </c>
      <c r="P177">
        <v>70</v>
      </c>
    </row>
    <row r="178" spans="1:21" x14ac:dyDescent="0.25">
      <c r="A178" t="s">
        <v>1914</v>
      </c>
      <c r="H178">
        <v>-27.78</v>
      </c>
      <c r="I178">
        <v>-48.47</v>
      </c>
      <c r="J178">
        <v>310.19</v>
      </c>
      <c r="K178">
        <v>-194.64</v>
      </c>
      <c r="L178">
        <v>-24</v>
      </c>
      <c r="M178">
        <v>57</v>
      </c>
      <c r="N178">
        <v>-193</v>
      </c>
      <c r="O178">
        <v>-54.6</v>
      </c>
      <c r="P178">
        <v>-155.97999999999999</v>
      </c>
      <c r="Q178">
        <v>-281.42</v>
      </c>
      <c r="R178">
        <v>-592.88</v>
      </c>
      <c r="S178">
        <v>-823.01</v>
      </c>
      <c r="T178" s="2">
        <v>-1810.16</v>
      </c>
      <c r="U178" s="2">
        <v>-2173.11</v>
      </c>
    </row>
    <row r="179" spans="1:21" x14ac:dyDescent="0.25">
      <c r="A179" t="s">
        <v>17</v>
      </c>
    </row>
    <row r="180" spans="1:21" x14ac:dyDescent="0.25">
      <c r="A180" t="s">
        <v>134</v>
      </c>
    </row>
    <row r="181" spans="1:21" x14ac:dyDescent="0.25">
      <c r="A181" t="s">
        <v>135</v>
      </c>
    </row>
    <row r="182" spans="1:21" x14ac:dyDescent="0.25">
      <c r="A182" t="s">
        <v>136</v>
      </c>
      <c r="B182">
        <v>88</v>
      </c>
      <c r="C182">
        <v>68.38</v>
      </c>
      <c r="D182">
        <v>202.47</v>
      </c>
      <c r="E182">
        <v>422.9</v>
      </c>
      <c r="F182" s="2">
        <v>1025.68</v>
      </c>
      <c r="G182" s="2">
        <v>2129.08</v>
      </c>
      <c r="H182" s="2">
        <v>2742.23</v>
      </c>
      <c r="I182" s="2">
        <v>6877.76</v>
      </c>
      <c r="J182" s="2">
        <v>8539.32</v>
      </c>
      <c r="K182" s="2">
        <v>6050.47</v>
      </c>
      <c r="L182" s="2">
        <v>6275</v>
      </c>
      <c r="M182" s="2">
        <v>7254</v>
      </c>
      <c r="N182" s="2">
        <v>8296</v>
      </c>
      <c r="O182" s="2">
        <v>9673.56</v>
      </c>
      <c r="P182" s="2">
        <v>13387.32</v>
      </c>
      <c r="Q182" s="2">
        <v>17917.23</v>
      </c>
      <c r="R182" s="2">
        <v>23776.21</v>
      </c>
      <c r="S182" s="2">
        <v>31537.63</v>
      </c>
      <c r="T182" s="2">
        <v>40330.07</v>
      </c>
      <c r="U182" s="2">
        <v>53536.61</v>
      </c>
    </row>
    <row r="183" spans="1:21" x14ac:dyDescent="0.25">
      <c r="A183" t="s">
        <v>137</v>
      </c>
      <c r="B183">
        <v>83.53</v>
      </c>
      <c r="C183">
        <v>59.66</v>
      </c>
      <c r="D183">
        <v>190.17</v>
      </c>
      <c r="E183">
        <v>392.41</v>
      </c>
      <c r="F183">
        <v>938.04</v>
      </c>
      <c r="G183" s="2">
        <v>1969.67</v>
      </c>
      <c r="H183" s="2">
        <v>2455.19</v>
      </c>
      <c r="I183" s="2">
        <v>6387.97</v>
      </c>
      <c r="J183" s="2">
        <v>7768.09</v>
      </c>
      <c r="K183" s="2">
        <v>5052.95</v>
      </c>
      <c r="L183" s="2">
        <v>5008</v>
      </c>
      <c r="M183" s="2">
        <v>5479</v>
      </c>
      <c r="N183" s="2">
        <v>5778</v>
      </c>
      <c r="O183" s="2">
        <v>6571.38</v>
      </c>
      <c r="P183" s="2">
        <v>9857.27</v>
      </c>
      <c r="Q183" s="2">
        <v>13704.62</v>
      </c>
      <c r="R183" s="2">
        <v>20961.32</v>
      </c>
      <c r="S183" s="2">
        <v>28892.03</v>
      </c>
      <c r="T183" s="2">
        <v>37884.31</v>
      </c>
      <c r="U183" s="2">
        <v>49974.15</v>
      </c>
    </row>
    <row r="184" spans="1:21" x14ac:dyDescent="0.25">
      <c r="A184" t="s">
        <v>139</v>
      </c>
      <c r="B184">
        <v>83.53</v>
      </c>
      <c r="C184">
        <v>41.95</v>
      </c>
      <c r="D184">
        <v>110.07</v>
      </c>
      <c r="E184">
        <v>84.01</v>
      </c>
      <c r="F184">
        <v>141.68</v>
      </c>
      <c r="G184">
        <v>410.68</v>
      </c>
      <c r="H184">
        <v>649.91999999999996</v>
      </c>
      <c r="I184" s="2">
        <v>2703.6</v>
      </c>
      <c r="J184" s="2">
        <v>2502.9899999999998</v>
      </c>
      <c r="K184" s="2">
        <v>1649.33</v>
      </c>
      <c r="L184" s="2">
        <v>1413</v>
      </c>
      <c r="M184" s="2">
        <v>1498</v>
      </c>
      <c r="N184" s="2">
        <v>1545</v>
      </c>
      <c r="O184" s="2">
        <v>3040.47</v>
      </c>
      <c r="P184" s="2">
        <v>6089.66</v>
      </c>
      <c r="Q184" s="2">
        <v>9971.06</v>
      </c>
      <c r="R184" s="2">
        <v>15747.71</v>
      </c>
      <c r="S184" s="2">
        <v>22871.79</v>
      </c>
      <c r="T184" s="2">
        <v>31068.83</v>
      </c>
      <c r="U184" s="2">
        <v>43604.44</v>
      </c>
    </row>
    <row r="185" spans="1:21" x14ac:dyDescent="0.25">
      <c r="A185" t="s">
        <v>140</v>
      </c>
      <c r="B185">
        <v>0</v>
      </c>
      <c r="C185">
        <v>17.71</v>
      </c>
      <c r="D185">
        <v>80.099999999999994</v>
      </c>
      <c r="E185">
        <v>308.39999999999998</v>
      </c>
      <c r="F185">
        <v>796.36</v>
      </c>
      <c r="G185" s="2">
        <v>1558.99</v>
      </c>
      <c r="H185" s="2">
        <v>1805.28</v>
      </c>
      <c r="I185" s="2">
        <v>3684.37</v>
      </c>
      <c r="J185" s="2">
        <v>5265.1</v>
      </c>
      <c r="K185" s="2">
        <v>3403.62</v>
      </c>
      <c r="L185" s="2">
        <v>3595</v>
      </c>
      <c r="M185" s="2">
        <v>3981</v>
      </c>
      <c r="N185" s="2">
        <v>4233</v>
      </c>
      <c r="O185" s="2">
        <v>3321.33</v>
      </c>
      <c r="P185" s="2">
        <v>3400.5</v>
      </c>
      <c r="Q185" s="2">
        <v>3745.17</v>
      </c>
      <c r="R185" s="2">
        <v>2615.9299999999998</v>
      </c>
      <c r="S185" s="2">
        <v>2333.62</v>
      </c>
      <c r="T185">
        <v>625.88</v>
      </c>
      <c r="U185" s="2">
        <v>-1405.64</v>
      </c>
    </row>
    <row r="186" spans="1:21" x14ac:dyDescent="0.25">
      <c r="A186" t="s">
        <v>141</v>
      </c>
      <c r="D186">
        <v>6.09</v>
      </c>
      <c r="E186">
        <v>9.6</v>
      </c>
      <c r="F186">
        <v>21.94</v>
      </c>
      <c r="G186">
        <v>11.19</v>
      </c>
      <c r="H186">
        <v>9.66</v>
      </c>
      <c r="I186">
        <v>120.75</v>
      </c>
      <c r="J186">
        <v>192.21</v>
      </c>
      <c r="K186">
        <v>273.06</v>
      </c>
      <c r="L186">
        <v>282</v>
      </c>
      <c r="M186">
        <v>342</v>
      </c>
      <c r="N186">
        <v>500</v>
      </c>
      <c r="O186">
        <v>610.32000000000005</v>
      </c>
      <c r="P186">
        <v>727.15</v>
      </c>
      <c r="Q186">
        <v>842.36</v>
      </c>
      <c r="R186">
        <v>984.16</v>
      </c>
      <c r="S186" s="2">
        <v>1114.6099999999999</v>
      </c>
      <c r="T186" s="2">
        <v>1082.96</v>
      </c>
      <c r="U186" s="2">
        <v>2105.1999999999998</v>
      </c>
    </row>
    <row r="187" spans="1:21" x14ac:dyDescent="0.25">
      <c r="A187" t="s">
        <v>1915</v>
      </c>
      <c r="B187">
        <v>0</v>
      </c>
      <c r="C187">
        <v>0</v>
      </c>
      <c r="D187">
        <v>0</v>
      </c>
      <c r="E187">
        <v>11.9</v>
      </c>
      <c r="F187">
        <v>47.1</v>
      </c>
      <c r="G187">
        <v>91.87</v>
      </c>
      <c r="H187">
        <v>150.16999999999999</v>
      </c>
      <c r="I187">
        <v>244.72</v>
      </c>
      <c r="J187">
        <v>470.72</v>
      </c>
      <c r="K187">
        <v>580.11</v>
      </c>
      <c r="L187">
        <v>816</v>
      </c>
      <c r="M187" s="2">
        <v>1224</v>
      </c>
      <c r="N187" s="2">
        <v>1784</v>
      </c>
      <c r="O187" s="2">
        <v>2323.98</v>
      </c>
      <c r="P187" s="2">
        <v>2705.46</v>
      </c>
      <c r="Q187" s="2">
        <v>3251.4</v>
      </c>
      <c r="R187" s="2">
        <v>3820.5</v>
      </c>
      <c r="S187" s="2">
        <v>4437.97</v>
      </c>
      <c r="T187" s="2">
        <v>7099.16</v>
      </c>
      <c r="U187" s="2">
        <v>8716.34</v>
      </c>
    </row>
    <row r="188" spans="1:21" x14ac:dyDescent="0.25">
      <c r="A188" t="s">
        <v>1916</v>
      </c>
      <c r="H188">
        <v>28.55</v>
      </c>
      <c r="I188">
        <v>43.64</v>
      </c>
      <c r="J188">
        <v>72.75</v>
      </c>
      <c r="K188">
        <v>228.22</v>
      </c>
      <c r="L188">
        <v>732</v>
      </c>
      <c r="M188" s="2">
        <v>1131</v>
      </c>
      <c r="N188" s="2">
        <v>1621</v>
      </c>
      <c r="O188" s="2">
        <v>2456.06</v>
      </c>
      <c r="P188" s="2">
        <v>3426.23</v>
      </c>
    </row>
    <row r="189" spans="1:21" x14ac:dyDescent="0.25">
      <c r="A189" t="s">
        <v>1917</v>
      </c>
      <c r="H189">
        <v>0</v>
      </c>
      <c r="I189">
        <v>56.07</v>
      </c>
      <c r="J189">
        <v>5.0199999999999996</v>
      </c>
      <c r="K189">
        <v>4.7</v>
      </c>
      <c r="O189">
        <v>0</v>
      </c>
      <c r="P189">
        <v>0</v>
      </c>
      <c r="Q189">
        <v>0</v>
      </c>
    </row>
    <row r="190" spans="1:21" x14ac:dyDescent="0.25">
      <c r="A190" t="s">
        <v>1918</v>
      </c>
      <c r="D190">
        <v>6.2</v>
      </c>
      <c r="E190">
        <v>8.99</v>
      </c>
      <c r="F190">
        <v>18.600000000000001</v>
      </c>
      <c r="G190">
        <v>26.19</v>
      </c>
      <c r="H190">
        <v>46.33</v>
      </c>
      <c r="I190">
        <v>68.25</v>
      </c>
      <c r="J190">
        <v>103.27</v>
      </c>
      <c r="K190">
        <v>139.66</v>
      </c>
      <c r="L190">
        <v>169</v>
      </c>
      <c r="M190">
        <v>209</v>
      </c>
      <c r="N190">
        <v>234</v>
      </c>
      <c r="O190">
        <v>266.10000000000002</v>
      </c>
      <c r="P190">
        <v>302.61</v>
      </c>
      <c r="Q190">
        <v>313.54000000000002</v>
      </c>
      <c r="R190">
        <v>356.86</v>
      </c>
      <c r="S190">
        <v>376.58</v>
      </c>
      <c r="T190">
        <v>539.29999999999995</v>
      </c>
      <c r="U190">
        <v>743.66</v>
      </c>
    </row>
    <row r="191" spans="1:21" x14ac:dyDescent="0.25">
      <c r="A191" t="s">
        <v>146</v>
      </c>
      <c r="B191">
        <v>7.79</v>
      </c>
      <c r="C191">
        <v>26.81</v>
      </c>
      <c r="D191">
        <v>41.25</v>
      </c>
      <c r="E191">
        <v>67.66</v>
      </c>
      <c r="F191">
        <v>87.89</v>
      </c>
      <c r="G191">
        <v>125.7</v>
      </c>
      <c r="H191">
        <v>747.25</v>
      </c>
      <c r="I191">
        <v>885.15</v>
      </c>
      <c r="J191" s="2">
        <v>4800.8500000000004</v>
      </c>
      <c r="K191" s="2">
        <v>4706.68</v>
      </c>
      <c r="L191" s="2">
        <v>5024</v>
      </c>
      <c r="M191" s="2">
        <v>6670</v>
      </c>
      <c r="N191" s="2">
        <v>6893</v>
      </c>
      <c r="O191" s="2">
        <v>6644.68</v>
      </c>
      <c r="P191" s="2">
        <v>6715.64</v>
      </c>
      <c r="Q191" s="2">
        <v>6596.52</v>
      </c>
      <c r="R191" s="2">
        <v>6686.77</v>
      </c>
      <c r="S191" s="2">
        <v>6664.53</v>
      </c>
      <c r="T191" s="2">
        <v>6433.63</v>
      </c>
      <c r="U191" s="2">
        <v>6376.31</v>
      </c>
    </row>
    <row r="192" spans="1:21" x14ac:dyDescent="0.25">
      <c r="A192" t="s">
        <v>148</v>
      </c>
      <c r="D192">
        <v>33.049999999999997</v>
      </c>
      <c r="E192">
        <v>45.72</v>
      </c>
      <c r="F192">
        <v>50.36</v>
      </c>
      <c r="G192">
        <v>61.61</v>
      </c>
      <c r="H192">
        <v>111.4</v>
      </c>
      <c r="I192">
        <v>92.1</v>
      </c>
      <c r="J192">
        <v>105.53</v>
      </c>
      <c r="K192">
        <v>130.82</v>
      </c>
      <c r="L192">
        <v>49</v>
      </c>
      <c r="M192">
        <v>47</v>
      </c>
      <c r="N192">
        <v>53</v>
      </c>
      <c r="O192">
        <v>50.54</v>
      </c>
      <c r="P192">
        <v>39.76</v>
      </c>
      <c r="Q192">
        <v>4.92</v>
      </c>
      <c r="R192">
        <v>73.709999999999994</v>
      </c>
      <c r="S192">
        <v>85.93</v>
      </c>
      <c r="T192">
        <v>117.49</v>
      </c>
      <c r="U192">
        <v>113.11</v>
      </c>
    </row>
    <row r="193" spans="1:21" x14ac:dyDescent="0.25">
      <c r="A193" t="s">
        <v>310</v>
      </c>
      <c r="H193">
        <v>134.77000000000001</v>
      </c>
      <c r="I193">
        <v>119.37</v>
      </c>
      <c r="J193">
        <v>196.39</v>
      </c>
      <c r="K193">
        <v>355.15</v>
      </c>
      <c r="L193">
        <v>98</v>
      </c>
      <c r="M193">
        <v>93</v>
      </c>
      <c r="N193">
        <v>88</v>
      </c>
      <c r="O193">
        <v>97.31</v>
      </c>
      <c r="P193">
        <v>100.73</v>
      </c>
      <c r="Q193">
        <v>102.97</v>
      </c>
      <c r="R193">
        <v>106.88</v>
      </c>
      <c r="S193">
        <v>113.42</v>
      </c>
      <c r="T193">
        <v>90</v>
      </c>
      <c r="U193">
        <v>90</v>
      </c>
    </row>
    <row r="194" spans="1:21" x14ac:dyDescent="0.25">
      <c r="A194" t="s">
        <v>1919</v>
      </c>
      <c r="H194">
        <v>2.5</v>
      </c>
      <c r="I194">
        <v>173.45</v>
      </c>
      <c r="J194" s="2">
        <v>3955.55</v>
      </c>
      <c r="K194" s="2">
        <v>1953.46</v>
      </c>
      <c r="L194" s="2">
        <v>3597</v>
      </c>
      <c r="M194" s="2">
        <v>4647</v>
      </c>
      <c r="N194" s="2">
        <v>4582</v>
      </c>
      <c r="O194" s="2">
        <v>5452.5</v>
      </c>
      <c r="P194" s="2">
        <v>5521.69</v>
      </c>
      <c r="Q194" s="2">
        <v>4969.18</v>
      </c>
      <c r="R194" s="2">
        <v>4401.93</v>
      </c>
      <c r="S194" s="2">
        <v>4153.3599999999997</v>
      </c>
      <c r="T194" s="2">
        <v>4854</v>
      </c>
      <c r="U194" s="2">
        <v>4854</v>
      </c>
    </row>
    <row r="195" spans="1:21" x14ac:dyDescent="0.25">
      <c r="A195" t="s">
        <v>311</v>
      </c>
      <c r="H195">
        <v>19.43</v>
      </c>
      <c r="I195">
        <v>52.68</v>
      </c>
      <c r="J195">
        <v>48.37</v>
      </c>
      <c r="K195">
        <v>40.82</v>
      </c>
      <c r="L195">
        <v>44</v>
      </c>
      <c r="M195">
        <v>37</v>
      </c>
      <c r="N195">
        <v>33</v>
      </c>
      <c r="O195">
        <v>32.24</v>
      </c>
      <c r="P195">
        <v>33.97</v>
      </c>
      <c r="Q195">
        <v>34.46</v>
      </c>
      <c r="R195">
        <v>39.96</v>
      </c>
      <c r="S195">
        <v>43.23</v>
      </c>
      <c r="T195">
        <v>30</v>
      </c>
      <c r="U195">
        <v>30</v>
      </c>
    </row>
    <row r="196" spans="1:21" x14ac:dyDescent="0.25">
      <c r="A196" t="s">
        <v>312</v>
      </c>
      <c r="B196">
        <v>3.3</v>
      </c>
      <c r="C196">
        <v>5.08</v>
      </c>
      <c r="D196">
        <v>8.1999999999999993</v>
      </c>
      <c r="E196">
        <v>21.94</v>
      </c>
      <c r="F196">
        <v>37.53</v>
      </c>
      <c r="G196">
        <v>64.09</v>
      </c>
      <c r="H196">
        <v>479.15</v>
      </c>
      <c r="I196">
        <v>447.54</v>
      </c>
      <c r="J196">
        <v>495.02</v>
      </c>
      <c r="K196" s="2">
        <v>2226.4299999999998</v>
      </c>
      <c r="L196">
        <v>456</v>
      </c>
      <c r="M196">
        <v>474</v>
      </c>
      <c r="N196">
        <v>521</v>
      </c>
      <c r="O196">
        <v>517</v>
      </c>
      <c r="P196">
        <v>515</v>
      </c>
      <c r="Q196">
        <v>491</v>
      </c>
      <c r="R196">
        <v>491</v>
      </c>
      <c r="S196">
        <v>491</v>
      </c>
      <c r="T196">
        <v>491</v>
      </c>
      <c r="U196">
        <v>491</v>
      </c>
    </row>
    <row r="197" spans="1:21" x14ac:dyDescent="0.25">
      <c r="A197" t="s">
        <v>1920</v>
      </c>
      <c r="L197">
        <v>780</v>
      </c>
      <c r="M197">
        <v>642</v>
      </c>
      <c r="N197">
        <v>602</v>
      </c>
      <c r="O197">
        <v>567.6</v>
      </c>
      <c r="P197">
        <v>567.6</v>
      </c>
      <c r="Q197">
        <v>573.33000000000004</v>
      </c>
      <c r="R197">
        <v>573.33000000000004</v>
      </c>
      <c r="S197">
        <v>573.33000000000004</v>
      </c>
      <c r="T197">
        <v>559</v>
      </c>
      <c r="U197">
        <v>559</v>
      </c>
    </row>
    <row r="198" spans="1:21" x14ac:dyDescent="0.25">
      <c r="A198" t="s">
        <v>496</v>
      </c>
      <c r="B198">
        <v>2.37</v>
      </c>
      <c r="C198">
        <v>2.37</v>
      </c>
      <c r="D198">
        <v>2.37</v>
      </c>
      <c r="E198">
        <v>15.5</v>
      </c>
      <c r="F198">
        <v>20.32</v>
      </c>
      <c r="G198">
        <v>38.020000000000003</v>
      </c>
      <c r="H198">
        <v>311.87</v>
      </c>
      <c r="I198">
        <v>311.87</v>
      </c>
      <c r="J198">
        <v>356.53</v>
      </c>
      <c r="K198" s="2">
        <v>1836.28</v>
      </c>
      <c r="L198">
        <v>427</v>
      </c>
      <c r="M198">
        <v>452</v>
      </c>
      <c r="N198">
        <v>491</v>
      </c>
      <c r="O198">
        <v>516.63</v>
      </c>
      <c r="P198">
        <v>529.39</v>
      </c>
      <c r="Q198">
        <v>491</v>
      </c>
      <c r="R198">
        <v>491</v>
      </c>
      <c r="S198">
        <v>491</v>
      </c>
      <c r="T198">
        <v>491</v>
      </c>
      <c r="U198">
        <v>491</v>
      </c>
    </row>
    <row r="199" spans="1:21" x14ac:dyDescent="0.25">
      <c r="A199" t="s">
        <v>497</v>
      </c>
      <c r="B199">
        <v>0.93</v>
      </c>
      <c r="C199">
        <v>2.71</v>
      </c>
      <c r="D199">
        <v>5.83</v>
      </c>
      <c r="E199">
        <v>6.44</v>
      </c>
      <c r="F199">
        <v>17.21</v>
      </c>
      <c r="G199">
        <v>26.07</v>
      </c>
      <c r="H199">
        <v>167.28</v>
      </c>
      <c r="I199">
        <v>135.68</v>
      </c>
      <c r="J199">
        <v>138.5</v>
      </c>
      <c r="K199">
        <v>390.15</v>
      </c>
      <c r="L199">
        <v>29</v>
      </c>
      <c r="M199">
        <v>22</v>
      </c>
      <c r="N199">
        <v>30</v>
      </c>
      <c r="O199">
        <v>23.93</v>
      </c>
      <c r="P199">
        <v>22.15</v>
      </c>
      <c r="Q199">
        <v>18.37</v>
      </c>
      <c r="R199">
        <v>9.08</v>
      </c>
      <c r="S199">
        <v>3.03</v>
      </c>
      <c r="T199">
        <v>10.5</v>
      </c>
      <c r="U199">
        <v>1</v>
      </c>
    </row>
    <row r="200" spans="1:21" x14ac:dyDescent="0.25">
      <c r="A200" t="s">
        <v>155</v>
      </c>
      <c r="B200">
        <v>95.79</v>
      </c>
      <c r="C200">
        <v>95.19</v>
      </c>
      <c r="D200">
        <v>243.71</v>
      </c>
      <c r="E200">
        <v>490.56</v>
      </c>
      <c r="F200" s="2">
        <v>1113.56</v>
      </c>
      <c r="G200" s="2">
        <v>2254.79</v>
      </c>
      <c r="H200" s="2">
        <v>3489.48</v>
      </c>
      <c r="I200" s="2">
        <v>7762.91</v>
      </c>
      <c r="J200" s="2">
        <v>13340.17</v>
      </c>
      <c r="K200" s="2">
        <v>10757.15</v>
      </c>
      <c r="L200" s="2">
        <v>11299</v>
      </c>
      <c r="M200" s="2">
        <v>13924</v>
      </c>
      <c r="N200" s="2">
        <v>15189</v>
      </c>
      <c r="O200" s="2">
        <v>16139.57</v>
      </c>
      <c r="P200" s="2">
        <v>19932.77</v>
      </c>
      <c r="Q200" s="2">
        <v>24502.2</v>
      </c>
      <c r="R200" s="2">
        <v>29754.02</v>
      </c>
      <c r="S200" s="2">
        <v>37175.870000000003</v>
      </c>
      <c r="T200" s="2">
        <v>46972.959999999999</v>
      </c>
      <c r="U200" s="2">
        <v>60143.31</v>
      </c>
    </row>
    <row r="201" spans="1:21" x14ac:dyDescent="0.25">
      <c r="A201" t="s">
        <v>17</v>
      </c>
    </row>
    <row r="202" spans="1:21" x14ac:dyDescent="0.25">
      <c r="A202" t="s">
        <v>156</v>
      </c>
    </row>
    <row r="203" spans="1:21" x14ac:dyDescent="0.25">
      <c r="A203" t="s">
        <v>157</v>
      </c>
      <c r="B203">
        <v>10.039999999999999</v>
      </c>
      <c r="C203">
        <v>19.77</v>
      </c>
      <c r="D203">
        <v>37.24</v>
      </c>
      <c r="E203">
        <v>66.53</v>
      </c>
      <c r="F203">
        <v>94.75</v>
      </c>
      <c r="G203">
        <v>138.69</v>
      </c>
      <c r="H203">
        <v>316.38</v>
      </c>
      <c r="I203">
        <v>438.33</v>
      </c>
      <c r="J203">
        <v>702.73</v>
      </c>
      <c r="K203">
        <v>856.01</v>
      </c>
      <c r="L203">
        <v>898</v>
      </c>
      <c r="M203" s="2">
        <v>1956</v>
      </c>
      <c r="N203" s="2">
        <v>1392</v>
      </c>
      <c r="O203" s="2">
        <v>1804.27</v>
      </c>
      <c r="P203" s="2">
        <v>2318.61</v>
      </c>
      <c r="Q203" s="2">
        <v>2806.7</v>
      </c>
      <c r="R203" s="2">
        <v>3026.26</v>
      </c>
      <c r="S203" s="2">
        <v>3518.28</v>
      </c>
      <c r="T203" s="2">
        <v>4637.3500000000004</v>
      </c>
      <c r="U203" s="2">
        <v>6663.15</v>
      </c>
    </row>
    <row r="204" spans="1:21" x14ac:dyDescent="0.25">
      <c r="A204" t="s">
        <v>1921</v>
      </c>
      <c r="B204">
        <v>5.57</v>
      </c>
      <c r="C204">
        <v>12.51</v>
      </c>
      <c r="D204">
        <v>23.69</v>
      </c>
      <c r="E204">
        <v>43.24</v>
      </c>
      <c r="F204">
        <v>61.78</v>
      </c>
      <c r="G204">
        <v>84.74</v>
      </c>
      <c r="H204">
        <v>181.19</v>
      </c>
      <c r="I204">
        <v>300.8</v>
      </c>
      <c r="J204">
        <v>456.69</v>
      </c>
      <c r="K204">
        <v>532.57000000000005</v>
      </c>
      <c r="L204">
        <v>579</v>
      </c>
      <c r="M204">
        <v>737</v>
      </c>
      <c r="N204" s="2">
        <v>1075</v>
      </c>
      <c r="O204" s="2">
        <v>1332.95</v>
      </c>
      <c r="P204" s="2">
        <v>1722.52</v>
      </c>
      <c r="Q204" s="2">
        <v>2112.09</v>
      </c>
      <c r="R204" s="2">
        <v>2306.33</v>
      </c>
      <c r="S204" s="2">
        <v>2699.91</v>
      </c>
      <c r="T204" s="2">
        <v>3138.39</v>
      </c>
      <c r="U204" s="2">
        <v>4275.0600000000004</v>
      </c>
    </row>
    <row r="205" spans="1:21" x14ac:dyDescent="0.25">
      <c r="A205" t="s">
        <v>608</v>
      </c>
      <c r="H205">
        <v>69.430000000000007</v>
      </c>
      <c r="I205">
        <v>19.68</v>
      </c>
      <c r="J205">
        <v>13.51</v>
      </c>
      <c r="K205">
        <v>9.39</v>
      </c>
      <c r="O205">
        <v>480.73</v>
      </c>
      <c r="P205" s="2">
        <v>1183.25</v>
      </c>
      <c r="Q205" s="2">
        <v>1611.79</v>
      </c>
      <c r="R205" s="2">
        <v>2154.64</v>
      </c>
      <c r="S205" s="2">
        <v>2834.36</v>
      </c>
      <c r="T205" s="2">
        <v>3673.59</v>
      </c>
      <c r="U205" s="2">
        <v>4695.78</v>
      </c>
    </row>
    <row r="206" spans="1:21" x14ac:dyDescent="0.25">
      <c r="A206" t="s">
        <v>202</v>
      </c>
      <c r="H206">
        <v>9.07</v>
      </c>
      <c r="I206">
        <v>10.050000000000001</v>
      </c>
      <c r="J206">
        <v>15.75</v>
      </c>
      <c r="K206">
        <v>18.16</v>
      </c>
      <c r="L206">
        <v>17</v>
      </c>
      <c r="M206">
        <v>18</v>
      </c>
      <c r="N206">
        <v>17</v>
      </c>
      <c r="O206">
        <v>13.88</v>
      </c>
      <c r="P206">
        <v>15.28</v>
      </c>
      <c r="Q206">
        <v>17.600000000000001</v>
      </c>
      <c r="R206">
        <v>23.05</v>
      </c>
      <c r="S206">
        <v>25.83</v>
      </c>
      <c r="T206">
        <v>39.68</v>
      </c>
      <c r="U206">
        <v>40.520000000000003</v>
      </c>
    </row>
    <row r="207" spans="1:21" x14ac:dyDescent="0.25">
      <c r="A207" t="s">
        <v>417</v>
      </c>
      <c r="B207">
        <v>4.1500000000000004</v>
      </c>
      <c r="C207">
        <v>6.78</v>
      </c>
      <c r="D207">
        <v>12.73</v>
      </c>
      <c r="E207">
        <v>20.16</v>
      </c>
      <c r="F207">
        <v>30.69</v>
      </c>
      <c r="G207">
        <v>39.18</v>
      </c>
      <c r="H207">
        <v>56.69</v>
      </c>
      <c r="I207">
        <v>107.81</v>
      </c>
      <c r="J207">
        <v>216.79</v>
      </c>
      <c r="K207">
        <v>295.89</v>
      </c>
      <c r="L207">
        <v>302</v>
      </c>
      <c r="M207">
        <v>283</v>
      </c>
      <c r="N207">
        <v>300</v>
      </c>
      <c r="O207">
        <v>386.76</v>
      </c>
      <c r="P207">
        <v>488.64</v>
      </c>
      <c r="Q207">
        <v>500.78</v>
      </c>
      <c r="R207">
        <v>531.28</v>
      </c>
      <c r="S207">
        <v>624.91999999999996</v>
      </c>
      <c r="T207">
        <v>540.88</v>
      </c>
      <c r="U207">
        <v>782.3</v>
      </c>
    </row>
    <row r="208" spans="1:21" x14ac:dyDescent="0.25">
      <c r="A208" t="s">
        <v>164</v>
      </c>
      <c r="B208">
        <v>0.37</v>
      </c>
      <c r="C208">
        <v>7.69</v>
      </c>
      <c r="D208">
        <v>11.16</v>
      </c>
      <c r="E208">
        <v>13.55</v>
      </c>
      <c r="F208">
        <v>17.71</v>
      </c>
      <c r="G208">
        <v>25.33</v>
      </c>
      <c r="H208">
        <v>157.36000000000001</v>
      </c>
      <c r="I208">
        <v>923.85</v>
      </c>
      <c r="J208" s="2">
        <v>1504.1</v>
      </c>
      <c r="K208" s="2">
        <v>1662.25</v>
      </c>
      <c r="L208" s="2">
        <v>1335</v>
      </c>
      <c r="M208">
        <v>410</v>
      </c>
      <c r="N208">
        <v>324</v>
      </c>
      <c r="O208">
        <v>439.23</v>
      </c>
      <c r="P208">
        <v>569.55999999999995</v>
      </c>
      <c r="Q208">
        <v>626.63</v>
      </c>
      <c r="R208">
        <v>923.41</v>
      </c>
      <c r="S208" s="2">
        <v>1076.3800000000001</v>
      </c>
      <c r="T208" s="2">
        <v>1811.47</v>
      </c>
      <c r="U208" s="2">
        <v>2213.2800000000002</v>
      </c>
    </row>
    <row r="209" spans="1:21" x14ac:dyDescent="0.25">
      <c r="A209" t="s">
        <v>1922</v>
      </c>
      <c r="H209">
        <v>0</v>
      </c>
      <c r="I209">
        <v>758.01</v>
      </c>
      <c r="J209">
        <v>910.96</v>
      </c>
      <c r="K209">
        <v>913.31</v>
      </c>
      <c r="L209">
        <v>916</v>
      </c>
      <c r="M209">
        <v>0</v>
      </c>
      <c r="N209">
        <v>0</v>
      </c>
      <c r="O209">
        <v>15</v>
      </c>
      <c r="P209">
        <v>45</v>
      </c>
      <c r="Q209">
        <v>0</v>
      </c>
    </row>
    <row r="210" spans="1:21" x14ac:dyDescent="0.25">
      <c r="A210" t="s">
        <v>202</v>
      </c>
      <c r="H210">
        <v>142.63999999999999</v>
      </c>
      <c r="I210">
        <v>144.84</v>
      </c>
      <c r="J210">
        <v>246.78</v>
      </c>
      <c r="K210">
        <v>465.14</v>
      </c>
      <c r="L210">
        <v>217</v>
      </c>
      <c r="M210">
        <v>190</v>
      </c>
      <c r="N210">
        <v>171</v>
      </c>
      <c r="O210">
        <v>197.87</v>
      </c>
      <c r="P210">
        <v>218.8</v>
      </c>
      <c r="Q210">
        <v>223.6</v>
      </c>
      <c r="R210">
        <v>209.25</v>
      </c>
      <c r="S210">
        <v>216.46</v>
      </c>
      <c r="T210">
        <v>224.94</v>
      </c>
      <c r="U210">
        <v>261.27</v>
      </c>
    </row>
    <row r="211" spans="1:21" x14ac:dyDescent="0.25">
      <c r="A211" t="s">
        <v>501</v>
      </c>
      <c r="F211">
        <v>1.39</v>
      </c>
      <c r="G211">
        <v>1.1299999999999999</v>
      </c>
      <c r="H211">
        <v>8.75</v>
      </c>
      <c r="I211">
        <v>0</v>
      </c>
      <c r="J211">
        <v>183.43</v>
      </c>
      <c r="K211">
        <v>16.29</v>
      </c>
      <c r="L211">
        <v>6</v>
      </c>
      <c r="M211">
        <v>73</v>
      </c>
      <c r="N211">
        <v>55</v>
      </c>
      <c r="O211">
        <v>79</v>
      </c>
      <c r="P211">
        <v>79</v>
      </c>
      <c r="Q211">
        <v>79</v>
      </c>
      <c r="R211">
        <v>79</v>
      </c>
      <c r="S211">
        <v>79</v>
      </c>
      <c r="T211">
        <v>79</v>
      </c>
      <c r="U211">
        <v>79</v>
      </c>
    </row>
    <row r="212" spans="1:21" x14ac:dyDescent="0.25">
      <c r="A212" t="s">
        <v>161</v>
      </c>
      <c r="B212">
        <v>0.21</v>
      </c>
      <c r="C212">
        <v>0.39</v>
      </c>
      <c r="D212">
        <v>0.66</v>
      </c>
      <c r="E212">
        <v>0.92</v>
      </c>
      <c r="F212">
        <v>1.35</v>
      </c>
      <c r="G212">
        <v>1.88</v>
      </c>
      <c r="H212">
        <v>5.97</v>
      </c>
      <c r="I212">
        <v>21.01</v>
      </c>
      <c r="J212">
        <v>162.93</v>
      </c>
      <c r="K212">
        <v>267.51</v>
      </c>
      <c r="L212">
        <v>196</v>
      </c>
      <c r="M212">
        <v>147</v>
      </c>
      <c r="N212">
        <v>98</v>
      </c>
      <c r="O212">
        <v>116.95</v>
      </c>
      <c r="P212">
        <v>133.47999999999999</v>
      </c>
      <c r="Q212">
        <v>131.87</v>
      </c>
      <c r="R212">
        <v>136.46</v>
      </c>
      <c r="S212">
        <v>137.19999999999999</v>
      </c>
      <c r="T212">
        <v>119.14</v>
      </c>
      <c r="U212">
        <v>171.57</v>
      </c>
    </row>
    <row r="213" spans="1:21" x14ac:dyDescent="0.25">
      <c r="A213" t="s">
        <v>167</v>
      </c>
      <c r="B213">
        <v>10.41</v>
      </c>
      <c r="C213">
        <v>27.46</v>
      </c>
      <c r="D213">
        <v>48.4</v>
      </c>
      <c r="E213">
        <v>80.08</v>
      </c>
      <c r="F213">
        <v>112.46</v>
      </c>
      <c r="G213">
        <v>164.02</v>
      </c>
      <c r="H213">
        <v>473.75</v>
      </c>
      <c r="I213" s="2">
        <v>1362.18</v>
      </c>
      <c r="J213" s="2">
        <v>2206.83</v>
      </c>
      <c r="K213" s="2">
        <v>2518.2600000000002</v>
      </c>
      <c r="L213" s="2">
        <v>2233</v>
      </c>
      <c r="M213" s="2">
        <v>2366</v>
      </c>
      <c r="N213" s="2">
        <v>1716</v>
      </c>
      <c r="O213" s="2">
        <v>2220.87</v>
      </c>
      <c r="P213" s="2">
        <v>2788.75</v>
      </c>
      <c r="Q213" s="2">
        <v>3204.4</v>
      </c>
      <c r="R213" s="2">
        <v>3847.39</v>
      </c>
      <c r="S213" s="2">
        <v>4525.58</v>
      </c>
      <c r="T213" s="2">
        <v>5942.84</v>
      </c>
      <c r="U213" s="2">
        <v>8295.74</v>
      </c>
    </row>
    <row r="214" spans="1:21" x14ac:dyDescent="0.25">
      <c r="A214" t="s">
        <v>170</v>
      </c>
      <c r="B214">
        <v>85.38</v>
      </c>
      <c r="C214">
        <v>67.73</v>
      </c>
      <c r="D214">
        <v>195.32</v>
      </c>
      <c r="E214">
        <v>410.48</v>
      </c>
      <c r="F214" s="2">
        <v>1001.1</v>
      </c>
      <c r="G214" s="2">
        <v>2090.77</v>
      </c>
      <c r="H214" s="2">
        <v>3015.73</v>
      </c>
      <c r="I214" s="2">
        <v>6400.72</v>
      </c>
      <c r="J214" s="2">
        <v>11133.34</v>
      </c>
      <c r="K214" s="2">
        <v>8238.89</v>
      </c>
      <c r="L214" s="2">
        <v>9066</v>
      </c>
      <c r="M214" s="2">
        <v>11558</v>
      </c>
      <c r="N214" s="2">
        <v>13473</v>
      </c>
      <c r="O214" s="2">
        <v>13926.01</v>
      </c>
      <c r="P214" s="2">
        <v>17110.52</v>
      </c>
      <c r="Q214" s="2">
        <v>21220.400000000001</v>
      </c>
      <c r="R214" s="2">
        <v>26334.89</v>
      </c>
      <c r="S214" s="2">
        <v>33223.800000000003</v>
      </c>
      <c r="T214" s="2">
        <v>41030.120000000003</v>
      </c>
      <c r="U214" s="2">
        <v>51847.57</v>
      </c>
    </row>
    <row r="215" spans="1:21" x14ac:dyDescent="0.25">
      <c r="A215" t="s">
        <v>171</v>
      </c>
      <c r="B215">
        <v>3.01</v>
      </c>
      <c r="C215">
        <v>4.0599999999999996</v>
      </c>
      <c r="D215">
        <v>231.45</v>
      </c>
      <c r="E215">
        <v>468.49</v>
      </c>
      <c r="F215" s="2">
        <v>1077.48</v>
      </c>
      <c r="G215" s="2">
        <v>2215.94</v>
      </c>
      <c r="H215" s="2">
        <v>3256.28</v>
      </c>
      <c r="I215" s="2">
        <v>6115.23</v>
      </c>
      <c r="J215" s="2">
        <v>8040.1</v>
      </c>
      <c r="K215" s="2">
        <v>8747.43</v>
      </c>
      <c r="L215" s="2">
        <v>9201</v>
      </c>
      <c r="M215" s="2">
        <v>9634</v>
      </c>
      <c r="N215" s="2">
        <v>10376</v>
      </c>
      <c r="O215" s="2">
        <v>8854.91</v>
      </c>
      <c r="P215" s="2">
        <v>9129.66</v>
      </c>
      <c r="Q215" s="2">
        <v>9230.09</v>
      </c>
      <c r="R215" s="2">
        <v>10042.65</v>
      </c>
      <c r="S215" s="2">
        <v>10638.97</v>
      </c>
      <c r="T215" s="2">
        <v>12975.84</v>
      </c>
      <c r="U215" s="2">
        <v>15810.46</v>
      </c>
    </row>
    <row r="216" spans="1:21" x14ac:dyDescent="0.25">
      <c r="A216" t="s">
        <v>172</v>
      </c>
      <c r="B216">
        <v>2.0699999999999998</v>
      </c>
      <c r="C216">
        <v>5.69</v>
      </c>
      <c r="D216">
        <v>11.72</v>
      </c>
      <c r="E216">
        <v>27.01</v>
      </c>
      <c r="F216">
        <v>43.39</v>
      </c>
      <c r="G216">
        <v>74.81</v>
      </c>
      <c r="H216">
        <v>62.63</v>
      </c>
      <c r="I216">
        <v>261.44</v>
      </c>
      <c r="J216">
        <v>161.07</v>
      </c>
      <c r="K216">
        <v>30.21</v>
      </c>
      <c r="L216">
        <v>251</v>
      </c>
      <c r="M216">
        <v>305</v>
      </c>
      <c r="N216">
        <v>236</v>
      </c>
      <c r="O216">
        <v>447.38</v>
      </c>
      <c r="P216">
        <v>717.12</v>
      </c>
      <c r="Q216" s="2">
        <v>1011.14</v>
      </c>
      <c r="R216" s="2">
        <v>1288</v>
      </c>
      <c r="S216" s="2">
        <v>1694.07</v>
      </c>
      <c r="T216" s="2">
        <v>1607.88</v>
      </c>
      <c r="U216" s="2">
        <v>2563.67</v>
      </c>
    </row>
    <row r="217" spans="1:21" x14ac:dyDescent="0.25">
      <c r="A217" t="s">
        <v>1923</v>
      </c>
      <c r="B217">
        <v>-6.75</v>
      </c>
      <c r="C217">
        <v>-29.06</v>
      </c>
      <c r="D217">
        <v>-47.85</v>
      </c>
      <c r="E217">
        <v>-85.03</v>
      </c>
      <c r="F217">
        <v>-119.77</v>
      </c>
      <c r="G217">
        <v>-199.97</v>
      </c>
      <c r="H217">
        <v>-303.18</v>
      </c>
      <c r="I217">
        <v>24.06</v>
      </c>
      <c r="J217" s="2">
        <v>2932.17</v>
      </c>
      <c r="K217">
        <v>-538.75</v>
      </c>
      <c r="L217">
        <v>-386</v>
      </c>
      <c r="M217" s="2">
        <v>1619</v>
      </c>
      <c r="N217" s="2">
        <v>2861</v>
      </c>
      <c r="O217" s="2">
        <v>5139.05</v>
      </c>
      <c r="P217" s="2">
        <v>8130.49</v>
      </c>
      <c r="Q217" s="2">
        <v>12708.63</v>
      </c>
      <c r="R217" s="2">
        <v>18931.189999999999</v>
      </c>
      <c r="S217" s="2">
        <v>26880.39</v>
      </c>
    </row>
    <row r="218" spans="1:21" x14ac:dyDescent="0.25">
      <c r="A218" t="s">
        <v>173</v>
      </c>
      <c r="B218">
        <v>-6.75</v>
      </c>
      <c r="C218">
        <v>-29.06</v>
      </c>
      <c r="D218">
        <v>-47.85</v>
      </c>
      <c r="E218">
        <v>-83.21</v>
      </c>
      <c r="F218">
        <v>-123.2</v>
      </c>
      <c r="G218">
        <v>-187.76</v>
      </c>
      <c r="H218">
        <v>-304.22000000000003</v>
      </c>
      <c r="I218">
        <v>15.29</v>
      </c>
      <c r="J218" s="2">
        <v>2938.14</v>
      </c>
      <c r="K218">
        <v>-522.28</v>
      </c>
      <c r="L218">
        <v>-390</v>
      </c>
      <c r="M218" s="2">
        <v>1629</v>
      </c>
      <c r="N218" s="2">
        <v>2860</v>
      </c>
      <c r="O218" s="2">
        <v>4556.57</v>
      </c>
      <c r="P218" s="2">
        <v>7474.69</v>
      </c>
      <c r="Q218" s="2">
        <v>11601.41</v>
      </c>
      <c r="R218" s="2">
        <v>17340.419999999998</v>
      </c>
      <c r="S218" s="2">
        <v>24060.95</v>
      </c>
      <c r="T218" s="2">
        <v>33465.230000000003</v>
      </c>
      <c r="U218" s="2">
        <v>45490.48</v>
      </c>
    </row>
    <row r="219" spans="1:21" x14ac:dyDescent="0.25">
      <c r="A219" t="s">
        <v>700</v>
      </c>
      <c r="E219">
        <v>-1.82</v>
      </c>
      <c r="F219">
        <v>3.44</v>
      </c>
      <c r="G219">
        <v>-12.22</v>
      </c>
      <c r="H219">
        <v>1.05</v>
      </c>
      <c r="I219">
        <v>8.77</v>
      </c>
      <c r="J219">
        <v>-5.97</v>
      </c>
      <c r="K219">
        <v>-16.47</v>
      </c>
      <c r="L219">
        <v>4</v>
      </c>
      <c r="M219">
        <v>-10</v>
      </c>
      <c r="N219">
        <v>1</v>
      </c>
      <c r="O219">
        <v>-7</v>
      </c>
      <c r="P219">
        <v>-7</v>
      </c>
      <c r="Q219">
        <v>-7</v>
      </c>
      <c r="R219">
        <v>-7</v>
      </c>
      <c r="S219">
        <v>-7</v>
      </c>
      <c r="T219">
        <v>-7</v>
      </c>
      <c r="U219">
        <v>-7</v>
      </c>
    </row>
    <row r="220" spans="1:21" x14ac:dyDescent="0.25">
      <c r="A220" t="s">
        <v>326</v>
      </c>
      <c r="B220">
        <v>95.79</v>
      </c>
      <c r="C220">
        <v>95.19</v>
      </c>
      <c r="D220">
        <v>243.71</v>
      </c>
      <c r="E220">
        <v>490.56</v>
      </c>
      <c r="F220" s="2">
        <v>1113.56</v>
      </c>
      <c r="G220" s="2">
        <v>2254.79</v>
      </c>
      <c r="H220" s="2">
        <v>3489.48</v>
      </c>
      <c r="I220" s="2">
        <v>7762.91</v>
      </c>
      <c r="J220" s="2">
        <v>13340.17</v>
      </c>
      <c r="K220" s="2">
        <v>10757.15</v>
      </c>
      <c r="L220" s="2">
        <v>11299</v>
      </c>
      <c r="M220" s="2">
        <v>13924</v>
      </c>
      <c r="N220" s="2">
        <v>15189</v>
      </c>
      <c r="O220" s="2">
        <v>16139.57</v>
      </c>
      <c r="P220" s="2">
        <v>19932.77</v>
      </c>
      <c r="Q220" s="2">
        <v>24502.2</v>
      </c>
      <c r="R220" s="2">
        <v>29754.02</v>
      </c>
      <c r="S220" s="2">
        <v>37175.870000000003</v>
      </c>
      <c r="T220" s="2">
        <v>46972.959999999999</v>
      </c>
      <c r="U220" s="2">
        <v>60143.31</v>
      </c>
    </row>
    <row r="221" spans="1:21" x14ac:dyDescent="0.25">
      <c r="A221" t="s">
        <v>17</v>
      </c>
    </row>
    <row r="222" spans="1:21" x14ac:dyDescent="0.25">
      <c r="A222" t="s">
        <v>176</v>
      </c>
    </row>
    <row r="223" spans="1:21" x14ac:dyDescent="0.25">
      <c r="A223" t="s">
        <v>177</v>
      </c>
      <c r="B223">
        <v>-83.53</v>
      </c>
      <c r="C223">
        <v>-59.66</v>
      </c>
      <c r="D223">
        <v>-190.17</v>
      </c>
      <c r="E223">
        <v>-392.41</v>
      </c>
      <c r="F223">
        <v>-938.04</v>
      </c>
      <c r="G223" s="2">
        <v>-1969.67</v>
      </c>
      <c r="H223" s="2">
        <v>-2303.4899999999998</v>
      </c>
      <c r="I223" s="2">
        <v>-5475.07</v>
      </c>
      <c r="J223" s="2">
        <v>-6594.61</v>
      </c>
      <c r="K223" s="2">
        <v>-3656.34</v>
      </c>
      <c r="L223" s="2">
        <v>-3858</v>
      </c>
      <c r="M223" s="2">
        <v>-4353</v>
      </c>
      <c r="N223" s="2">
        <v>-5590</v>
      </c>
      <c r="O223" s="2">
        <v>-6479.23</v>
      </c>
      <c r="P223" s="2">
        <v>-9531.23</v>
      </c>
      <c r="Q223" s="2">
        <v>-11977.44</v>
      </c>
      <c r="R223" s="2">
        <v>-9508.68</v>
      </c>
      <c r="S223" s="2">
        <v>-12304.39</v>
      </c>
    </row>
    <row r="224" spans="1:21" x14ac:dyDescent="0.25">
      <c r="A224" t="s">
        <v>178</v>
      </c>
    </row>
    <row r="225" spans="1:21" x14ac:dyDescent="0.25">
      <c r="A225" t="s">
        <v>179</v>
      </c>
      <c r="C225">
        <v>-23.36</v>
      </c>
      <c r="D225">
        <v>-11.09</v>
      </c>
      <c r="E225">
        <v>-9.6300000000000008</v>
      </c>
      <c r="F225">
        <v>-4.99</v>
      </c>
      <c r="G225">
        <v>-3.83</v>
      </c>
      <c r="H225">
        <v>-4.3499999999999996</v>
      </c>
      <c r="I225">
        <v>5.68</v>
      </c>
      <c r="J225">
        <v>27.62</v>
      </c>
      <c r="K225">
        <v>-28.72</v>
      </c>
      <c r="L225">
        <v>1.2</v>
      </c>
      <c r="M225">
        <v>16.010000000000002</v>
      </c>
      <c r="N225">
        <v>8.4600000000000009</v>
      </c>
      <c r="O225">
        <v>13.53</v>
      </c>
      <c r="P225">
        <v>14.73</v>
      </c>
      <c r="Q225">
        <v>11.6</v>
      </c>
      <c r="R225">
        <v>12.4</v>
      </c>
      <c r="S225">
        <v>13</v>
      </c>
    </row>
    <row r="226" spans="1:21" x14ac:dyDescent="0.25">
      <c r="A226" t="s">
        <v>180</v>
      </c>
      <c r="E226">
        <v>-11.67</v>
      </c>
      <c r="F226">
        <v>-5.67</v>
      </c>
      <c r="G226">
        <v>-4.18</v>
      </c>
      <c r="H226">
        <v>-4.8899999999999997</v>
      </c>
      <c r="I226">
        <v>6.79</v>
      </c>
      <c r="J226">
        <v>33.25</v>
      </c>
      <c r="K226">
        <v>-35.729999999999997</v>
      </c>
      <c r="L226">
        <v>1.53</v>
      </c>
      <c r="M226">
        <v>19.579999999999998</v>
      </c>
      <c r="N226">
        <v>9.84</v>
      </c>
      <c r="O226">
        <v>16</v>
      </c>
      <c r="P226">
        <v>17.690000000000001</v>
      </c>
      <c r="Q226">
        <v>19</v>
      </c>
      <c r="R226">
        <v>14.8</v>
      </c>
      <c r="S226">
        <v>15.6</v>
      </c>
    </row>
    <row r="227" spans="1:21" x14ac:dyDescent="0.25">
      <c r="A227" t="s">
        <v>186</v>
      </c>
      <c r="B227">
        <v>8.76</v>
      </c>
      <c r="C227">
        <v>3.46</v>
      </c>
      <c r="D227">
        <v>5.44</v>
      </c>
      <c r="E227">
        <v>6.36</v>
      </c>
      <c r="F227">
        <v>10.82</v>
      </c>
      <c r="G227">
        <v>15.35</v>
      </c>
      <c r="H227">
        <v>8.67</v>
      </c>
      <c r="I227">
        <v>15.69</v>
      </c>
      <c r="J227">
        <v>12.15</v>
      </c>
      <c r="K227">
        <v>7.07</v>
      </c>
      <c r="L227">
        <v>6.99</v>
      </c>
      <c r="M227">
        <v>3.71</v>
      </c>
      <c r="N227">
        <v>5.96</v>
      </c>
      <c r="O227">
        <v>5.38</v>
      </c>
      <c r="P227">
        <v>5.94</v>
      </c>
      <c r="Q227">
        <v>9.57</v>
      </c>
      <c r="R227">
        <v>7.86</v>
      </c>
      <c r="S227">
        <v>8.9600000000000009</v>
      </c>
      <c r="T227">
        <v>8.6999999999999993</v>
      </c>
      <c r="U227">
        <v>8.0299999999999994</v>
      </c>
    </row>
    <row r="228" spans="1:21" x14ac:dyDescent="0.25">
      <c r="A228" t="s">
        <v>333</v>
      </c>
      <c r="B228">
        <v>77.959999999999994</v>
      </c>
      <c r="C228">
        <v>48.61</v>
      </c>
      <c r="D228">
        <v>165.23</v>
      </c>
      <c r="E228">
        <v>356.37</v>
      </c>
      <c r="F228">
        <v>930.92</v>
      </c>
      <c r="G228" s="2">
        <v>1990.39</v>
      </c>
      <c r="H228" s="2">
        <v>2425.85</v>
      </c>
      <c r="I228" s="2">
        <v>6439.42</v>
      </c>
      <c r="J228" s="2">
        <v>7836.59</v>
      </c>
      <c r="K228" s="2">
        <v>5194.47</v>
      </c>
      <c r="L228" s="2">
        <v>5377</v>
      </c>
      <c r="M228" s="2">
        <v>5298</v>
      </c>
      <c r="N228" s="2">
        <v>6904</v>
      </c>
      <c r="O228" s="2">
        <v>7769.69</v>
      </c>
      <c r="P228" s="2">
        <v>10622.56</v>
      </c>
      <c r="Q228" s="2">
        <v>14364.06</v>
      </c>
      <c r="R228" s="2">
        <v>20749.95</v>
      </c>
      <c r="S228" s="2">
        <v>28019.360000000001</v>
      </c>
      <c r="T228" s="2">
        <v>35692.720000000001</v>
      </c>
      <c r="U228" s="2">
        <v>46873.46</v>
      </c>
    </row>
    <row r="229" spans="1:21" x14ac:dyDescent="0.25">
      <c r="A229" t="s">
        <v>181</v>
      </c>
      <c r="E229">
        <v>21.09</v>
      </c>
      <c r="F229">
        <v>32.049999999999997</v>
      </c>
      <c r="G229">
        <v>41.06</v>
      </c>
      <c r="H229">
        <v>62.66</v>
      </c>
      <c r="I229">
        <v>128.82</v>
      </c>
      <c r="J229">
        <v>379.72</v>
      </c>
      <c r="K229">
        <v>563.4</v>
      </c>
      <c r="L229">
        <v>498</v>
      </c>
      <c r="M229">
        <v>430</v>
      </c>
      <c r="O229">
        <v>531.63</v>
      </c>
      <c r="P229">
        <v>782.64</v>
      </c>
      <c r="Q229">
        <v>652.04</v>
      </c>
      <c r="R229">
        <v>698.8</v>
      </c>
      <c r="S229">
        <v>791.5</v>
      </c>
      <c r="T229">
        <v>889.5</v>
      </c>
      <c r="U229">
        <v>991.7</v>
      </c>
    </row>
    <row r="230" spans="1:21" x14ac:dyDescent="0.25">
      <c r="A230" t="s">
        <v>424</v>
      </c>
      <c r="B230">
        <v>0</v>
      </c>
      <c r="C230">
        <v>-0.05</v>
      </c>
      <c r="D230">
        <v>0.24</v>
      </c>
      <c r="E230">
        <v>0.46</v>
      </c>
      <c r="F230">
        <v>1</v>
      </c>
      <c r="G230">
        <v>1.89</v>
      </c>
      <c r="H230">
        <v>2.59</v>
      </c>
      <c r="I230">
        <v>5.22</v>
      </c>
      <c r="J230">
        <v>8.84</v>
      </c>
      <c r="K230">
        <v>6.46</v>
      </c>
      <c r="L230">
        <v>7.05</v>
      </c>
      <c r="M230">
        <v>8.93</v>
      </c>
      <c r="N230">
        <v>10.33</v>
      </c>
      <c r="O230">
        <v>11.04</v>
      </c>
      <c r="P230">
        <v>13.37</v>
      </c>
      <c r="Q230">
        <v>14.98</v>
      </c>
      <c r="R230">
        <v>13.7</v>
      </c>
      <c r="S230">
        <v>16.2</v>
      </c>
    </row>
    <row r="231" spans="1:21" x14ac:dyDescent="0.25">
      <c r="A231" t="s">
        <v>329</v>
      </c>
      <c r="B231">
        <v>0.22</v>
      </c>
      <c r="C231">
        <v>0.15</v>
      </c>
      <c r="D231">
        <v>0.24</v>
      </c>
      <c r="E231">
        <v>0.44</v>
      </c>
      <c r="F231">
        <v>0.94</v>
      </c>
      <c r="G231">
        <v>1.78</v>
      </c>
      <c r="H231">
        <v>2.11</v>
      </c>
      <c r="I231">
        <v>5.21</v>
      </c>
      <c r="J231">
        <v>6.17</v>
      </c>
      <c r="K231">
        <v>3.96</v>
      </c>
      <c r="L231">
        <v>3.89</v>
      </c>
      <c r="M231">
        <v>4.2300000000000004</v>
      </c>
      <c r="N231">
        <v>4.43</v>
      </c>
      <c r="O231">
        <v>5.52</v>
      </c>
      <c r="P231">
        <v>8.48</v>
      </c>
      <c r="Q231">
        <v>13.19</v>
      </c>
      <c r="R231">
        <v>15.72</v>
      </c>
      <c r="S231">
        <v>20.94</v>
      </c>
      <c r="T231">
        <v>27.11</v>
      </c>
      <c r="U231">
        <v>34.43</v>
      </c>
    </row>
    <row r="232" spans="1:21" x14ac:dyDescent="0.25">
      <c r="A232" t="s">
        <v>17</v>
      </c>
    </row>
    <row r="233" spans="1:21" x14ac:dyDescent="0.25">
      <c r="A233" t="s">
        <v>188</v>
      </c>
    </row>
    <row r="234" spans="1:21" x14ac:dyDescent="0.25">
      <c r="A234" t="s">
        <v>189</v>
      </c>
    </row>
    <row r="235" spans="1:21" x14ac:dyDescent="0.25">
      <c r="A235" t="s">
        <v>121</v>
      </c>
      <c r="D235">
        <v>-18.79</v>
      </c>
      <c r="E235">
        <v>-35.36</v>
      </c>
      <c r="F235">
        <v>-40</v>
      </c>
      <c r="G235">
        <v>-64.55</v>
      </c>
      <c r="H235">
        <v>-124.84</v>
      </c>
      <c r="I235">
        <v>319.51</v>
      </c>
      <c r="J235" s="2">
        <v>2914.66</v>
      </c>
      <c r="K235" s="2">
        <v>-3460.42</v>
      </c>
      <c r="L235">
        <v>132</v>
      </c>
      <c r="M235" s="2">
        <v>2019</v>
      </c>
      <c r="N235" s="2">
        <v>1231</v>
      </c>
      <c r="O235" s="2">
        <v>2184.44</v>
      </c>
      <c r="P235" s="2">
        <v>2767.2</v>
      </c>
      <c r="Q235" s="2">
        <v>3969.42</v>
      </c>
      <c r="R235" s="2">
        <v>5033.17</v>
      </c>
      <c r="S235" s="2">
        <v>6384.75</v>
      </c>
      <c r="T235" s="2">
        <v>8294</v>
      </c>
      <c r="U235" s="2">
        <v>10855.33</v>
      </c>
    </row>
    <row r="236" spans="1:21" x14ac:dyDescent="0.25">
      <c r="A236" t="s">
        <v>190</v>
      </c>
      <c r="B236">
        <v>1.76</v>
      </c>
      <c r="C236">
        <v>4.67</v>
      </c>
      <c r="D236">
        <v>7.24</v>
      </c>
      <c r="E236">
        <v>13.97</v>
      </c>
      <c r="F236">
        <v>23.38</v>
      </c>
      <c r="G236">
        <v>27.05</v>
      </c>
      <c r="H236">
        <v>35.65</v>
      </c>
      <c r="I236">
        <v>70.06</v>
      </c>
      <c r="J236">
        <v>66.31</v>
      </c>
      <c r="K236">
        <v>90.52</v>
      </c>
      <c r="L236">
        <v>70</v>
      </c>
      <c r="M236">
        <v>36</v>
      </c>
      <c r="N236">
        <v>31</v>
      </c>
      <c r="O236">
        <v>33.32</v>
      </c>
      <c r="P236">
        <v>39.92</v>
      </c>
      <c r="Q236">
        <v>44.63</v>
      </c>
      <c r="R236">
        <v>45.36</v>
      </c>
      <c r="S236">
        <v>51.39</v>
      </c>
      <c r="T236">
        <v>61.7</v>
      </c>
      <c r="U236">
        <v>63.05</v>
      </c>
    </row>
    <row r="237" spans="1:21" x14ac:dyDescent="0.25">
      <c r="A237" t="s">
        <v>549</v>
      </c>
      <c r="H237">
        <v>0</v>
      </c>
      <c r="I237">
        <v>8.76</v>
      </c>
      <c r="J237">
        <v>2.34</v>
      </c>
      <c r="K237">
        <v>2.35</v>
      </c>
      <c r="O237">
        <v>0</v>
      </c>
      <c r="P237">
        <v>0</v>
      </c>
    </row>
    <row r="238" spans="1:21" x14ac:dyDescent="0.25">
      <c r="A238" t="s">
        <v>67</v>
      </c>
      <c r="B238">
        <v>1.45</v>
      </c>
      <c r="C238">
        <v>3.79</v>
      </c>
      <c r="D238">
        <v>7.81</v>
      </c>
      <c r="E238">
        <v>22.9</v>
      </c>
      <c r="F238">
        <v>49.16</v>
      </c>
      <c r="G238">
        <v>95.72</v>
      </c>
      <c r="H238">
        <v>158.46</v>
      </c>
      <c r="I238">
        <v>246.94</v>
      </c>
      <c r="J238">
        <v>330.76</v>
      </c>
      <c r="K238">
        <v>549.14</v>
      </c>
      <c r="L238">
        <v>615</v>
      </c>
      <c r="M238">
        <v>430</v>
      </c>
      <c r="N238">
        <v>449</v>
      </c>
      <c r="O238">
        <v>557.05999999999995</v>
      </c>
      <c r="P238">
        <v>659.05</v>
      </c>
      <c r="Q238">
        <v>744.32</v>
      </c>
      <c r="R238">
        <v>820.82</v>
      </c>
      <c r="S238">
        <v>927.32</v>
      </c>
      <c r="T238" s="2">
        <v>1161.95</v>
      </c>
      <c r="U238" s="2">
        <v>1302.52</v>
      </c>
    </row>
    <row r="239" spans="1:21" x14ac:dyDescent="0.25">
      <c r="A239" t="s">
        <v>1924</v>
      </c>
      <c r="D239">
        <v>1.83</v>
      </c>
      <c r="E239">
        <v>-0.97</v>
      </c>
      <c r="F239">
        <v>-1.6</v>
      </c>
      <c r="G239">
        <v>1.27</v>
      </c>
      <c r="H239">
        <v>3.18</v>
      </c>
      <c r="I239">
        <v>-1.69</v>
      </c>
      <c r="J239">
        <v>4.57</v>
      </c>
      <c r="K239">
        <v>11.7</v>
      </c>
      <c r="L239">
        <v>-6</v>
      </c>
      <c r="M239">
        <v>19</v>
      </c>
      <c r="N239">
        <v>-57</v>
      </c>
      <c r="O239">
        <v>18.46</v>
      </c>
      <c r="P239">
        <v>-1.33</v>
      </c>
    </row>
    <row r="240" spans="1:21" x14ac:dyDescent="0.25">
      <c r="A240" t="s">
        <v>1822</v>
      </c>
      <c r="H240">
        <v>0</v>
      </c>
      <c r="I240">
        <v>31.62</v>
      </c>
      <c r="J240">
        <v>30.15</v>
      </c>
      <c r="K240">
        <v>84.31</v>
      </c>
      <c r="L240">
        <v>38</v>
      </c>
      <c r="M240">
        <v>0</v>
      </c>
      <c r="N240">
        <v>13</v>
      </c>
      <c r="O240">
        <v>3.67</v>
      </c>
      <c r="P240">
        <v>0</v>
      </c>
    </row>
    <row r="241" spans="1:21" x14ac:dyDescent="0.25">
      <c r="A241" t="s">
        <v>546</v>
      </c>
      <c r="H241">
        <v>-37.92</v>
      </c>
      <c r="I241">
        <v>-42</v>
      </c>
      <c r="J241">
        <v>190.96</v>
      </c>
      <c r="K241">
        <v>-186.57</v>
      </c>
      <c r="L241">
        <v>-1</v>
      </c>
      <c r="M241">
        <v>78</v>
      </c>
      <c r="N241">
        <v>-14</v>
      </c>
      <c r="O241">
        <v>22.46</v>
      </c>
      <c r="P241">
        <v>10.01</v>
      </c>
      <c r="Q241">
        <v>55.22</v>
      </c>
      <c r="R241">
        <v>75.819999999999993</v>
      </c>
      <c r="S241">
        <v>90.58</v>
      </c>
      <c r="T241">
        <v>250.92</v>
      </c>
      <c r="U241">
        <v>298.10000000000002</v>
      </c>
    </row>
    <row r="242" spans="1:21" x14ac:dyDescent="0.25">
      <c r="A242" t="s">
        <v>1925</v>
      </c>
      <c r="F242">
        <v>2.61</v>
      </c>
      <c r="G242">
        <v>5.92</v>
      </c>
      <c r="H242">
        <v>17.95</v>
      </c>
      <c r="I242">
        <v>27.28</v>
      </c>
      <c r="J242">
        <v>43.78</v>
      </c>
      <c r="K242">
        <v>73.599999999999994</v>
      </c>
      <c r="L242">
        <v>80</v>
      </c>
      <c r="M242">
        <v>148</v>
      </c>
      <c r="N242">
        <v>230</v>
      </c>
      <c r="O242">
        <v>258.24</v>
      </c>
      <c r="P242">
        <v>378.07</v>
      </c>
      <c r="Q242">
        <v>498.88</v>
      </c>
      <c r="R242">
        <v>598.33000000000004</v>
      </c>
      <c r="S242">
        <v>685.29</v>
      </c>
      <c r="T242">
        <v>758.79</v>
      </c>
      <c r="U242" s="2">
        <v>1033.47</v>
      </c>
    </row>
    <row r="243" spans="1:21" x14ac:dyDescent="0.25">
      <c r="A243" t="s">
        <v>1926</v>
      </c>
      <c r="B243">
        <v>7.0000000000000007E-2</v>
      </c>
      <c r="C243">
        <v>0.1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-135.19</v>
      </c>
      <c r="J243" s="2">
        <v>-2859.8</v>
      </c>
      <c r="K243" s="2">
        <v>2874.29</v>
      </c>
      <c r="L243" s="2">
        <v>-1361</v>
      </c>
      <c r="M243">
        <v>-853</v>
      </c>
      <c r="N243">
        <v>316</v>
      </c>
      <c r="O243">
        <v>-151.5</v>
      </c>
      <c r="P243">
        <v>53.32</v>
      </c>
      <c r="Q243">
        <v>-647.51</v>
      </c>
      <c r="R243">
        <v>-715.65</v>
      </c>
      <c r="S243">
        <v>-771.48</v>
      </c>
      <c r="T243">
        <v>-816.97</v>
      </c>
      <c r="U243">
        <v>-849.24</v>
      </c>
    </row>
    <row r="244" spans="1:21" x14ac:dyDescent="0.25">
      <c r="A244" t="s">
        <v>512</v>
      </c>
      <c r="D244">
        <v>0.35</v>
      </c>
      <c r="E244">
        <v>0.2</v>
      </c>
      <c r="F244">
        <v>0</v>
      </c>
      <c r="G244">
        <v>0</v>
      </c>
      <c r="H244">
        <v>0</v>
      </c>
      <c r="I244">
        <v>0</v>
      </c>
      <c r="J244">
        <v>-58.38</v>
      </c>
      <c r="K244">
        <v>-121.5</v>
      </c>
      <c r="L244">
        <v>-100</v>
      </c>
      <c r="M244">
        <v>-94</v>
      </c>
      <c r="N244">
        <v>-49</v>
      </c>
      <c r="O244">
        <v>-37.380000000000003</v>
      </c>
      <c r="P244">
        <v>-61.08</v>
      </c>
      <c r="Q244">
        <v>-88.93</v>
      </c>
      <c r="R244">
        <v>-61.98</v>
      </c>
      <c r="S244">
        <v>-68.89</v>
      </c>
      <c r="T244">
        <v>-76.91</v>
      </c>
      <c r="U244">
        <v>-86.29</v>
      </c>
    </row>
    <row r="245" spans="1:21" x14ac:dyDescent="0.25">
      <c r="A245" t="s">
        <v>338</v>
      </c>
      <c r="B245">
        <v>2.57</v>
      </c>
      <c r="C245">
        <v>11.77</v>
      </c>
      <c r="D245">
        <v>17.32</v>
      </c>
      <c r="E245">
        <v>13.28</v>
      </c>
      <c r="F245">
        <v>-25.65</v>
      </c>
      <c r="G245">
        <v>-56.09</v>
      </c>
      <c r="H245">
        <v>-47.96</v>
      </c>
      <c r="I245">
        <v>31.47</v>
      </c>
      <c r="J245">
        <v>104.2</v>
      </c>
      <c r="K245">
        <v>179.11</v>
      </c>
      <c r="L245">
        <v>195</v>
      </c>
      <c r="M245">
        <v>-166</v>
      </c>
      <c r="N245">
        <v>-117</v>
      </c>
      <c r="O245">
        <v>123.82</v>
      </c>
      <c r="P245">
        <v>185.8</v>
      </c>
      <c r="Q245">
        <v>72.72</v>
      </c>
      <c r="R245">
        <v>87.04</v>
      </c>
      <c r="S245">
        <v>171.83</v>
      </c>
      <c r="T245">
        <v>63.1</v>
      </c>
      <c r="U245">
        <v>329.47</v>
      </c>
    </row>
    <row r="246" spans="1:21" x14ac:dyDescent="0.25">
      <c r="A246" t="s">
        <v>141</v>
      </c>
      <c r="B246">
        <v>-1.2</v>
      </c>
      <c r="E246">
        <v>0</v>
      </c>
      <c r="F246">
        <v>-37.81</v>
      </c>
      <c r="G246">
        <v>-50.69</v>
      </c>
      <c r="H246">
        <v>-74.209999999999994</v>
      </c>
      <c r="I246">
        <v>-112.72</v>
      </c>
      <c r="J246">
        <v>-266.08</v>
      </c>
      <c r="K246">
        <v>-23.39</v>
      </c>
      <c r="L246">
        <v>214</v>
      </c>
      <c r="M246">
        <v>-82</v>
      </c>
      <c r="N246">
        <v>-141</v>
      </c>
      <c r="O246">
        <v>383.09</v>
      </c>
      <c r="P246">
        <v>-174.35</v>
      </c>
      <c r="Q246">
        <v>-210.45</v>
      </c>
      <c r="R246">
        <v>-192.93</v>
      </c>
      <c r="S246">
        <v>-140.08000000000001</v>
      </c>
    </row>
    <row r="247" spans="1:21" x14ac:dyDescent="0.25">
      <c r="A247" t="s">
        <v>1927</v>
      </c>
      <c r="E247">
        <v>-2.36</v>
      </c>
      <c r="F247">
        <v>-13.04</v>
      </c>
      <c r="G247">
        <v>-32.65</v>
      </c>
      <c r="H247">
        <v>-56.18</v>
      </c>
      <c r="I247">
        <v>-29.15</v>
      </c>
      <c r="J247">
        <v>-72.3</v>
      </c>
      <c r="K247">
        <v>-104.52</v>
      </c>
      <c r="L247">
        <v>-98</v>
      </c>
      <c r="M247">
        <v>-148</v>
      </c>
      <c r="N247">
        <v>-219</v>
      </c>
      <c r="O247">
        <v>-169.1</v>
      </c>
      <c r="P247">
        <v>-156.84</v>
      </c>
      <c r="Q247">
        <v>-213.35</v>
      </c>
      <c r="R247">
        <v>-252.52</v>
      </c>
      <c r="S247">
        <v>-295.73</v>
      </c>
      <c r="T247">
        <v>-387.97</v>
      </c>
      <c r="U247">
        <v>-342.02</v>
      </c>
    </row>
    <row r="248" spans="1:21" x14ac:dyDescent="0.25">
      <c r="A248" t="s">
        <v>158</v>
      </c>
    </row>
    <row r="249" spans="1:21" x14ac:dyDescent="0.25">
      <c r="A249" t="s">
        <v>161</v>
      </c>
      <c r="D249">
        <v>6.22</v>
      </c>
      <c r="E249">
        <v>7.7</v>
      </c>
      <c r="F249">
        <v>10.96</v>
      </c>
      <c r="G249">
        <v>9.02</v>
      </c>
      <c r="H249">
        <v>12.31</v>
      </c>
      <c r="I249">
        <v>66.16</v>
      </c>
      <c r="J249">
        <v>309.29000000000002</v>
      </c>
      <c r="K249">
        <v>305.18</v>
      </c>
      <c r="L249">
        <v>60</v>
      </c>
      <c r="M249">
        <v>26</v>
      </c>
      <c r="N249">
        <v>19</v>
      </c>
      <c r="O249">
        <v>28.58</v>
      </c>
      <c r="P249">
        <v>94.45</v>
      </c>
      <c r="Q249">
        <v>73.17</v>
      </c>
      <c r="R249">
        <v>114.39</v>
      </c>
      <c r="S249">
        <v>125.97</v>
      </c>
      <c r="T249">
        <v>197.95</v>
      </c>
      <c r="U249">
        <v>170.06</v>
      </c>
    </row>
    <row r="250" spans="1:21" x14ac:dyDescent="0.25">
      <c r="A250" t="s">
        <v>1928</v>
      </c>
      <c r="J250">
        <v>45.26</v>
      </c>
      <c r="K250">
        <v>-3.94</v>
      </c>
      <c r="O250">
        <v>450.73</v>
      </c>
      <c r="P250">
        <v>702.52</v>
      </c>
      <c r="Q250">
        <v>514.27</v>
      </c>
      <c r="R250">
        <v>542.85</v>
      </c>
      <c r="S250">
        <v>679.71</v>
      </c>
      <c r="T250">
        <v>839.23</v>
      </c>
      <c r="U250" s="2">
        <v>1022.19</v>
      </c>
    </row>
    <row r="251" spans="1:21" x14ac:dyDescent="0.25">
      <c r="A251" t="s">
        <v>145</v>
      </c>
      <c r="E251">
        <v>-14.5</v>
      </c>
      <c r="F251">
        <v>-3.71</v>
      </c>
      <c r="G251">
        <v>-10.82</v>
      </c>
      <c r="H251">
        <v>-12.4</v>
      </c>
      <c r="I251">
        <v>-11.4</v>
      </c>
      <c r="J251">
        <v>-50.15</v>
      </c>
      <c r="K251">
        <v>-30.77</v>
      </c>
      <c r="L251">
        <v>-50</v>
      </c>
      <c r="M251">
        <v>-72</v>
      </c>
      <c r="N251">
        <v>-38</v>
      </c>
      <c r="O251">
        <v>-114.33</v>
      </c>
      <c r="P251">
        <v>-86.14</v>
      </c>
      <c r="Q251">
        <v>-46.85</v>
      </c>
      <c r="R251">
        <v>-61.98</v>
      </c>
      <c r="S251">
        <v>-54.85</v>
      </c>
      <c r="T251">
        <v>-99.96</v>
      </c>
      <c r="U251">
        <v>-88.12</v>
      </c>
    </row>
    <row r="252" spans="1:21" x14ac:dyDescent="0.25">
      <c r="A252" t="s">
        <v>1929</v>
      </c>
      <c r="H252">
        <v>0</v>
      </c>
      <c r="I252">
        <v>-24.71</v>
      </c>
      <c r="J252">
        <v>-268.06</v>
      </c>
      <c r="K252">
        <v>-273.2</v>
      </c>
      <c r="L252">
        <v>195</v>
      </c>
      <c r="M252">
        <v>0</v>
      </c>
      <c r="N252">
        <v>0</v>
      </c>
      <c r="O252">
        <v>1.53</v>
      </c>
      <c r="P252">
        <v>-68.53</v>
      </c>
      <c r="Q252">
        <v>-52.36</v>
      </c>
      <c r="R252">
        <v>-96.81</v>
      </c>
      <c r="S252">
        <v>-128.91</v>
      </c>
      <c r="T252">
        <v>30</v>
      </c>
      <c r="U252">
        <v>30</v>
      </c>
    </row>
    <row r="253" spans="1:21" x14ac:dyDescent="0.25">
      <c r="A253" t="s">
        <v>204</v>
      </c>
      <c r="B253">
        <v>1.4</v>
      </c>
      <c r="C253">
        <v>-0.8</v>
      </c>
      <c r="D253">
        <v>15.76</v>
      </c>
      <c r="E253">
        <v>14.02</v>
      </c>
      <c r="F253">
        <v>7.9</v>
      </c>
      <c r="G253">
        <v>9.32</v>
      </c>
      <c r="H253">
        <v>70.62</v>
      </c>
      <c r="I253">
        <v>424.96</v>
      </c>
      <c r="J253">
        <v>504.43</v>
      </c>
      <c r="K253">
        <v>-136.44999999999999</v>
      </c>
      <c r="L253">
        <v>944</v>
      </c>
      <c r="M253" s="2">
        <v>1616</v>
      </c>
      <c r="N253" s="2">
        <v>2033</v>
      </c>
      <c r="O253" s="2">
        <v>2872.53</v>
      </c>
      <c r="P253" s="2">
        <v>3688.21</v>
      </c>
      <c r="Q253" s="2">
        <v>4945.9799999999996</v>
      </c>
      <c r="R253" s="2">
        <v>6273.55</v>
      </c>
      <c r="S253" s="2">
        <v>7877.24</v>
      </c>
      <c r="T253" s="2">
        <v>9819.19</v>
      </c>
      <c r="U253" s="2">
        <v>12549.1</v>
      </c>
    </row>
    <row r="254" spans="1:21" x14ac:dyDescent="0.25">
      <c r="A254" t="s">
        <v>17</v>
      </c>
    </row>
    <row r="255" spans="1:21" x14ac:dyDescent="0.25">
      <c r="A255" t="s">
        <v>205</v>
      </c>
    </row>
    <row r="256" spans="1:21" x14ac:dyDescent="0.25">
      <c r="A256" t="s">
        <v>206</v>
      </c>
      <c r="B256">
        <v>-3.46</v>
      </c>
      <c r="C256">
        <v>-20.57</v>
      </c>
      <c r="D256">
        <v>-16.53</v>
      </c>
      <c r="E256">
        <v>-23.77</v>
      </c>
      <c r="F256">
        <v>-20.04</v>
      </c>
      <c r="G256">
        <v>-27.95</v>
      </c>
      <c r="H256">
        <v>-56.76</v>
      </c>
      <c r="I256">
        <v>-41.73</v>
      </c>
      <c r="J256">
        <v>-50.79</v>
      </c>
      <c r="K256">
        <v>-50.02</v>
      </c>
      <c r="L256">
        <v>-39</v>
      </c>
      <c r="M256">
        <v>-19</v>
      </c>
      <c r="N256">
        <v>-26</v>
      </c>
      <c r="O256">
        <v>-23.75</v>
      </c>
      <c r="P256">
        <v>-30.53</v>
      </c>
      <c r="Q256">
        <v>-40.799999999999997</v>
      </c>
      <c r="R256">
        <v>-51.82</v>
      </c>
      <c r="S256">
        <v>-61.28</v>
      </c>
      <c r="T256">
        <v>-86.42</v>
      </c>
      <c r="U256">
        <v>-103.6</v>
      </c>
    </row>
    <row r="257" spans="1:21" x14ac:dyDescent="0.25">
      <c r="A257" t="s">
        <v>61</v>
      </c>
      <c r="B257">
        <v>6.89</v>
      </c>
      <c r="C257">
        <v>19.59</v>
      </c>
      <c r="D257">
        <v>8.0500000000000007</v>
      </c>
      <c r="E257">
        <v>6.11</v>
      </c>
      <c r="F257">
        <v>2.98</v>
      </c>
      <c r="G257">
        <v>2.6</v>
      </c>
      <c r="H257">
        <v>3.6</v>
      </c>
      <c r="I257">
        <v>1.42</v>
      </c>
      <c r="J257">
        <v>1.1000000000000001</v>
      </c>
      <c r="K257">
        <v>0.89</v>
      </c>
      <c r="L257">
        <v>0.55000000000000004</v>
      </c>
      <c r="M257">
        <v>0.21</v>
      </c>
      <c r="N257">
        <v>0.22</v>
      </c>
      <c r="O257">
        <v>0.15</v>
      </c>
      <c r="P257">
        <v>0.18</v>
      </c>
      <c r="Q257">
        <v>0.16</v>
      </c>
      <c r="R257">
        <v>0.11</v>
      </c>
      <c r="S257">
        <v>0.11</v>
      </c>
      <c r="T257">
        <v>0.09</v>
      </c>
      <c r="U257">
        <v>0.11</v>
      </c>
    </row>
    <row r="258" spans="1:21" x14ac:dyDescent="0.25">
      <c r="A258" t="s">
        <v>208</v>
      </c>
      <c r="B258">
        <v>-1.04</v>
      </c>
      <c r="C258">
        <v>-2.13</v>
      </c>
      <c r="D258">
        <v>-4.51</v>
      </c>
      <c r="E258">
        <v>-2.46</v>
      </c>
      <c r="F258">
        <v>-4.22</v>
      </c>
      <c r="G258">
        <v>-13.6</v>
      </c>
      <c r="H258">
        <v>-5.64</v>
      </c>
      <c r="I258">
        <v>-0.26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0</v>
      </c>
    </row>
    <row r="259" spans="1:21" x14ac:dyDescent="0.25">
      <c r="A259" t="s">
        <v>209</v>
      </c>
      <c r="D259">
        <v>48.35</v>
      </c>
      <c r="E259">
        <v>139.87</v>
      </c>
      <c r="F259">
        <v>642.07000000000005</v>
      </c>
      <c r="G259" s="2">
        <v>1698.26</v>
      </c>
      <c r="H259" s="2">
        <v>2477.04</v>
      </c>
      <c r="I259" s="2">
        <v>3721.41</v>
      </c>
      <c r="J259" s="2">
        <v>5750.22</v>
      </c>
      <c r="K259" s="2">
        <v>6890.17</v>
      </c>
      <c r="L259" s="2">
        <v>5590</v>
      </c>
      <c r="M259" s="2">
        <v>7457</v>
      </c>
      <c r="N259" s="2">
        <v>6552</v>
      </c>
      <c r="O259" s="2">
        <v>3243.88</v>
      </c>
      <c r="P259" s="2">
        <v>2982.92</v>
      </c>
      <c r="Q259" s="2">
        <v>6200</v>
      </c>
      <c r="R259" s="2">
        <v>6200</v>
      </c>
      <c r="S259" s="2">
        <v>6200</v>
      </c>
      <c r="T259" s="2">
        <v>6000</v>
      </c>
      <c r="U259" s="2">
        <v>6000</v>
      </c>
    </row>
    <row r="260" spans="1:21" x14ac:dyDescent="0.25">
      <c r="A260" t="s">
        <v>672</v>
      </c>
      <c r="D260">
        <v>-111.15</v>
      </c>
      <c r="E260">
        <v>-369.21</v>
      </c>
      <c r="F260" s="2">
        <v>-1129.26</v>
      </c>
      <c r="G260" s="2">
        <v>-2447.96</v>
      </c>
      <c r="H260" s="2">
        <v>-2718.6</v>
      </c>
      <c r="I260" s="2">
        <v>-5600.21</v>
      </c>
      <c r="J260" s="2">
        <v>-7337.37</v>
      </c>
      <c r="K260" s="2">
        <v>-5011.13</v>
      </c>
      <c r="L260" s="2">
        <v>-5841</v>
      </c>
      <c r="M260" s="2">
        <v>-8396</v>
      </c>
      <c r="N260" s="2">
        <v>-7040</v>
      </c>
      <c r="O260" s="2">
        <v>-1802.36</v>
      </c>
      <c r="P260" s="2">
        <v>-2580.08</v>
      </c>
      <c r="Q260" s="2">
        <v>-4312.88</v>
      </c>
      <c r="R260" s="2">
        <v>-6000</v>
      </c>
      <c r="S260" s="2">
        <v>-6000</v>
      </c>
      <c r="T260" s="2">
        <v>-6000</v>
      </c>
      <c r="U260" s="2">
        <v>-6000</v>
      </c>
    </row>
    <row r="261" spans="1:21" x14ac:dyDescent="0.25">
      <c r="A261" t="s">
        <v>211</v>
      </c>
      <c r="B261">
        <v>-0.83</v>
      </c>
      <c r="C261">
        <v>0</v>
      </c>
      <c r="D261">
        <v>0</v>
      </c>
      <c r="E261">
        <v>-14.11</v>
      </c>
      <c r="F261">
        <v>-15.72</v>
      </c>
      <c r="G261">
        <v>-19.399999999999999</v>
      </c>
      <c r="H261">
        <v>-265.51</v>
      </c>
      <c r="I261">
        <v>0</v>
      </c>
      <c r="J261">
        <v>-59.63</v>
      </c>
      <c r="K261" s="2">
        <v>-1753.75</v>
      </c>
      <c r="L261">
        <v>-31</v>
      </c>
      <c r="M261">
        <v>-30</v>
      </c>
      <c r="N261">
        <v>-56</v>
      </c>
      <c r="O261">
        <v>-11.25</v>
      </c>
      <c r="P261">
        <v>-25</v>
      </c>
      <c r="Q261">
        <v>-50</v>
      </c>
      <c r="R261">
        <v>-50</v>
      </c>
      <c r="S261">
        <v>-50</v>
      </c>
    </row>
    <row r="262" spans="1:21" x14ac:dyDescent="0.25">
      <c r="A262" t="s">
        <v>212</v>
      </c>
      <c r="B262">
        <v>0</v>
      </c>
      <c r="C262">
        <v>-17.760000000000002</v>
      </c>
      <c r="D262">
        <v>-62.8</v>
      </c>
      <c r="E262">
        <v>-229.34</v>
      </c>
      <c r="F262">
        <v>-487.19</v>
      </c>
      <c r="G262">
        <v>-749.69</v>
      </c>
      <c r="H262">
        <v>-241.57</v>
      </c>
      <c r="I262" s="2">
        <v>-1889.85</v>
      </c>
      <c r="J262" s="2">
        <v>-2237.38</v>
      </c>
      <c r="K262" s="2">
        <v>1085.2</v>
      </c>
      <c r="L262" s="2">
        <v>-1174</v>
      </c>
      <c r="M262" s="2">
        <v>-1537</v>
      </c>
      <c r="N262" s="2">
        <v>-1108</v>
      </c>
      <c r="O262">
        <v>97.2</v>
      </c>
      <c r="P262">
        <v>-652.33000000000004</v>
      </c>
      <c r="Q262">
        <v>-117.61</v>
      </c>
      <c r="R262">
        <v>-93.59</v>
      </c>
      <c r="S262">
        <v>-111.97</v>
      </c>
      <c r="T262">
        <v>-428.77</v>
      </c>
      <c r="U262">
        <v>-259.31</v>
      </c>
    </row>
    <row r="263" spans="1:21" x14ac:dyDescent="0.25">
      <c r="A263" t="s">
        <v>213</v>
      </c>
      <c r="B263">
        <v>-5.33</v>
      </c>
      <c r="C263">
        <v>-40.369999999999997</v>
      </c>
      <c r="D263">
        <v>-83.84</v>
      </c>
      <c r="E263">
        <v>-269.69</v>
      </c>
      <c r="F263">
        <v>-527.16999999999996</v>
      </c>
      <c r="G263">
        <v>-810.63</v>
      </c>
      <c r="H263">
        <v>-569.48</v>
      </c>
      <c r="I263" s="2">
        <v>-1931.85</v>
      </c>
      <c r="J263" s="2">
        <v>-2347.79</v>
      </c>
      <c r="K263">
        <v>-718.57</v>
      </c>
      <c r="L263" s="2">
        <v>-1244</v>
      </c>
      <c r="M263" s="2">
        <v>-1586</v>
      </c>
      <c r="N263" s="2">
        <v>-1190</v>
      </c>
      <c r="O263">
        <v>836.12</v>
      </c>
      <c r="P263">
        <v>-108.27</v>
      </c>
      <c r="Q263">
        <v>-154.56</v>
      </c>
      <c r="R263">
        <v>-124.32</v>
      </c>
      <c r="S263">
        <v>-146.53</v>
      </c>
      <c r="T263">
        <v>-468.07</v>
      </c>
      <c r="U263">
        <v>-313.12</v>
      </c>
    </row>
    <row r="264" spans="1:21" x14ac:dyDescent="0.25">
      <c r="A264" t="s">
        <v>17</v>
      </c>
    </row>
    <row r="265" spans="1:21" x14ac:dyDescent="0.25">
      <c r="A265" t="s">
        <v>214</v>
      </c>
    </row>
    <row r="266" spans="1:21" x14ac:dyDescent="0.25">
      <c r="A266" t="s">
        <v>216</v>
      </c>
      <c r="D266">
        <v>1.6</v>
      </c>
      <c r="E266">
        <v>4.16</v>
      </c>
      <c r="F266">
        <v>14.77</v>
      </c>
      <c r="G266">
        <v>30.49</v>
      </c>
      <c r="H266">
        <v>48.34</v>
      </c>
      <c r="I266">
        <v>70.81</v>
      </c>
      <c r="J266">
        <v>108.59</v>
      </c>
      <c r="K266">
        <v>17.55</v>
      </c>
      <c r="L266">
        <v>60</v>
      </c>
      <c r="M266">
        <v>61</v>
      </c>
      <c r="N266">
        <v>232</v>
      </c>
      <c r="O266">
        <v>-69.3</v>
      </c>
      <c r="P266">
        <v>25.68</v>
      </c>
      <c r="Q266">
        <v>13.02</v>
      </c>
      <c r="R266">
        <v>14.41</v>
      </c>
      <c r="S266">
        <v>15.87</v>
      </c>
      <c r="T266">
        <v>22.72</v>
      </c>
      <c r="U266">
        <v>25.73</v>
      </c>
    </row>
    <row r="267" spans="1:21" x14ac:dyDescent="0.25">
      <c r="A267" t="s">
        <v>1930</v>
      </c>
      <c r="D267">
        <v>136.25</v>
      </c>
      <c r="E267">
        <v>224.42</v>
      </c>
      <c r="F267">
        <v>560.05999999999995</v>
      </c>
      <c r="G267" s="2">
        <v>1041.69</v>
      </c>
      <c r="H267">
        <v>688.01</v>
      </c>
      <c r="I267" s="2">
        <v>2578.59</v>
      </c>
      <c r="J267" s="2">
        <v>1541.17</v>
      </c>
      <c r="K267">
        <v>0</v>
      </c>
      <c r="L267">
        <v>0</v>
      </c>
      <c r="M267">
        <v>0</v>
      </c>
      <c r="N267">
        <v>0</v>
      </c>
      <c r="O267">
        <v>-982.6</v>
      </c>
      <c r="P267">
        <v>-333.33</v>
      </c>
      <c r="Q267">
        <v>-500</v>
      </c>
      <c r="R267">
        <v>-500</v>
      </c>
      <c r="S267">
        <v>-500</v>
      </c>
    </row>
    <row r="268" spans="1:21" x14ac:dyDescent="0.25">
      <c r="A268" t="s">
        <v>765</v>
      </c>
      <c r="O268" s="2">
        <v>-1961.37</v>
      </c>
      <c r="P268">
        <v>-151.41</v>
      </c>
      <c r="Q268">
        <v>-151.28</v>
      </c>
      <c r="R268">
        <v>-2.39</v>
      </c>
      <c r="S268">
        <v>-2.23</v>
      </c>
    </row>
    <row r="269" spans="1:21" x14ac:dyDescent="0.25">
      <c r="A269" t="s">
        <v>218</v>
      </c>
      <c r="B269">
        <v>70.05</v>
      </c>
      <c r="C269">
        <v>0.14000000000000001</v>
      </c>
      <c r="D269">
        <v>137.86000000000001</v>
      </c>
      <c r="E269">
        <v>228.59</v>
      </c>
      <c r="F269">
        <v>574.83000000000004</v>
      </c>
      <c r="G269" s="2">
        <v>1072.18</v>
      </c>
      <c r="H269">
        <v>736.35</v>
      </c>
      <c r="I269" s="2">
        <v>3557.35</v>
      </c>
      <c r="J269" s="2">
        <v>1649.76</v>
      </c>
      <c r="K269">
        <v>17.55</v>
      </c>
      <c r="L269">
        <v>60</v>
      </c>
      <c r="M269">
        <v>61</v>
      </c>
      <c r="N269">
        <v>-811</v>
      </c>
      <c r="O269" s="2">
        <v>-1798.83</v>
      </c>
      <c r="P269">
        <v>-905.37</v>
      </c>
      <c r="Q269" s="2">
        <v>-1086.05</v>
      </c>
      <c r="R269">
        <v>-879.18</v>
      </c>
      <c r="S269">
        <v>-977.85</v>
      </c>
      <c r="T269" s="2">
        <v>-2529.15</v>
      </c>
      <c r="U269" s="2">
        <v>-2921.17</v>
      </c>
    </row>
    <row r="270" spans="1:21" x14ac:dyDescent="0.25">
      <c r="A270" t="s">
        <v>17</v>
      </c>
    </row>
    <row r="271" spans="1:21" x14ac:dyDescent="0.25">
      <c r="A271" t="s">
        <v>176</v>
      </c>
    </row>
    <row r="272" spans="1:21" x14ac:dyDescent="0.25">
      <c r="A272" t="s">
        <v>1931</v>
      </c>
      <c r="B272">
        <v>-0.24</v>
      </c>
      <c r="C272">
        <v>-0.55000000000000004</v>
      </c>
      <c r="D272">
        <v>-1.65</v>
      </c>
      <c r="E272">
        <v>1.03</v>
      </c>
      <c r="F272">
        <v>2.1</v>
      </c>
      <c r="G272">
        <v>-1.87</v>
      </c>
      <c r="H272">
        <v>1.74</v>
      </c>
      <c r="I272">
        <v>3.22</v>
      </c>
      <c r="J272">
        <v>-7.01</v>
      </c>
      <c r="K272">
        <v>-16.2</v>
      </c>
      <c r="L272">
        <v>4</v>
      </c>
      <c r="M272">
        <v>-6</v>
      </c>
      <c r="N272">
        <v>15</v>
      </c>
      <c r="O272">
        <v>-6.88</v>
      </c>
      <c r="P272">
        <v>-1</v>
      </c>
    </row>
    <row r="273" spans="1:21" x14ac:dyDescent="0.25">
      <c r="A273" t="s">
        <v>220</v>
      </c>
      <c r="B273">
        <v>65.87</v>
      </c>
      <c r="C273">
        <v>-41.58</v>
      </c>
      <c r="D273">
        <v>68.12</v>
      </c>
      <c r="E273">
        <v>-26.06</v>
      </c>
      <c r="F273">
        <v>57.66</v>
      </c>
      <c r="G273">
        <v>269.01</v>
      </c>
      <c r="H273">
        <v>239.23</v>
      </c>
      <c r="I273" s="2">
        <v>2053.6799999999998</v>
      </c>
      <c r="J273">
        <v>-200.61</v>
      </c>
      <c r="K273">
        <v>-853.66</v>
      </c>
      <c r="L273">
        <v>-236</v>
      </c>
      <c r="M273">
        <v>85</v>
      </c>
      <c r="N273">
        <v>47</v>
      </c>
      <c r="O273" s="2">
        <v>1664.74</v>
      </c>
      <c r="P273" s="2">
        <v>3179.72</v>
      </c>
      <c r="Q273" s="2">
        <v>4381.88</v>
      </c>
      <c r="R273" s="2">
        <v>5648.47</v>
      </c>
      <c r="S273" s="2">
        <v>7080.67</v>
      </c>
      <c r="T273" s="2">
        <v>7706.87</v>
      </c>
      <c r="U273" s="2">
        <v>9894.66</v>
      </c>
    </row>
    <row r="274" spans="1:21" x14ac:dyDescent="0.25">
      <c r="A274" t="s">
        <v>221</v>
      </c>
      <c r="D274">
        <v>41.95</v>
      </c>
      <c r="E274">
        <v>110.07</v>
      </c>
      <c r="F274">
        <v>84.01</v>
      </c>
      <c r="G274">
        <v>141.68</v>
      </c>
      <c r="H274">
        <v>410.68</v>
      </c>
      <c r="I274">
        <v>649.91999999999996</v>
      </c>
      <c r="J274" s="2">
        <v>2703.6</v>
      </c>
      <c r="K274" s="2">
        <v>2502.9899999999998</v>
      </c>
      <c r="L274" s="2">
        <v>1649</v>
      </c>
      <c r="M274" s="2">
        <v>1413</v>
      </c>
      <c r="N274" s="2">
        <v>1498</v>
      </c>
      <c r="O274" s="2">
        <v>1540.19</v>
      </c>
      <c r="P274" s="2">
        <v>3238.4</v>
      </c>
      <c r="Q274" s="2">
        <v>6068.8</v>
      </c>
      <c r="R274" s="2">
        <v>10443.540000000001</v>
      </c>
      <c r="S274" s="2">
        <v>16186.01</v>
      </c>
      <c r="T274" s="2">
        <v>22265.19</v>
      </c>
      <c r="U274" s="2">
        <v>32178.53</v>
      </c>
    </row>
    <row r="275" spans="1:21" x14ac:dyDescent="0.25">
      <c r="A275" t="s">
        <v>222</v>
      </c>
      <c r="B275">
        <v>83.53</v>
      </c>
      <c r="C275">
        <v>41.95</v>
      </c>
      <c r="D275">
        <v>110.07</v>
      </c>
      <c r="E275">
        <v>84.01</v>
      </c>
      <c r="F275">
        <v>141.68</v>
      </c>
      <c r="G275">
        <v>410.68</v>
      </c>
      <c r="H275">
        <v>649.91999999999996</v>
      </c>
      <c r="I275" s="2">
        <v>2703.6</v>
      </c>
      <c r="J275" s="2">
        <v>2502.9899999999998</v>
      </c>
      <c r="K275" s="2">
        <v>1649.33</v>
      </c>
      <c r="L275" s="2">
        <v>1413</v>
      </c>
      <c r="M275" s="2">
        <v>1498</v>
      </c>
      <c r="N275" s="2">
        <v>1545</v>
      </c>
      <c r="O275" s="2">
        <v>3040.47</v>
      </c>
      <c r="P275" s="2">
        <v>6089.66</v>
      </c>
      <c r="Q275" s="2">
        <v>9971.06</v>
      </c>
      <c r="R275" s="2">
        <v>15747.71</v>
      </c>
      <c r="S275" s="2">
        <v>22871.79</v>
      </c>
      <c r="T275" s="2">
        <v>31068.83</v>
      </c>
      <c r="U275" s="2">
        <v>43604.44</v>
      </c>
    </row>
    <row r="276" spans="1:21" x14ac:dyDescent="0.25">
      <c r="A276" t="s">
        <v>178</v>
      </c>
    </row>
    <row r="277" spans="1:21" x14ac:dyDescent="0.25">
      <c r="A277" t="s">
        <v>224</v>
      </c>
      <c r="B277">
        <v>0</v>
      </c>
      <c r="C277">
        <v>0</v>
      </c>
      <c r="D277">
        <v>0.03</v>
      </c>
      <c r="E277">
        <v>0.02</v>
      </c>
      <c r="F277">
        <v>0.01</v>
      </c>
      <c r="G277">
        <v>0.01</v>
      </c>
      <c r="H277">
        <v>0.06</v>
      </c>
      <c r="I277">
        <v>0.36</v>
      </c>
      <c r="J277">
        <v>0.4</v>
      </c>
      <c r="K277">
        <v>-0.11</v>
      </c>
      <c r="L277">
        <v>0.74</v>
      </c>
      <c r="M277">
        <v>1.25</v>
      </c>
      <c r="N277">
        <v>1.57</v>
      </c>
      <c r="O277">
        <v>2.2400000000000002</v>
      </c>
      <c r="P277">
        <v>2.9</v>
      </c>
      <c r="Q277">
        <v>3.89</v>
      </c>
    </row>
    <row r="278" spans="1:21" x14ac:dyDescent="0.25">
      <c r="A278" t="s">
        <v>225</v>
      </c>
      <c r="B278">
        <v>-2.0699999999999998</v>
      </c>
      <c r="C278">
        <v>-21.37</v>
      </c>
      <c r="D278">
        <v>-0.77</v>
      </c>
      <c r="E278">
        <v>-9.76</v>
      </c>
      <c r="F278">
        <v>-12.14</v>
      </c>
      <c r="G278">
        <v>-18.63</v>
      </c>
      <c r="H278">
        <v>13.86</v>
      </c>
      <c r="I278">
        <v>383.23</v>
      </c>
      <c r="J278">
        <v>453.64</v>
      </c>
      <c r="K278">
        <v>-186.47</v>
      </c>
      <c r="L278">
        <v>905</v>
      </c>
      <c r="M278" s="2">
        <v>1597</v>
      </c>
      <c r="N278" s="2">
        <v>2007</v>
      </c>
      <c r="O278" s="2">
        <v>2844.92</v>
      </c>
      <c r="P278" s="2">
        <v>3654.82</v>
      </c>
      <c r="Q278" s="2">
        <v>4850.12</v>
      </c>
      <c r="R278" s="2">
        <v>6170.68</v>
      </c>
      <c r="S278" s="2">
        <v>7775.09</v>
      </c>
      <c r="T278" s="2">
        <v>9738.4699999999993</v>
      </c>
      <c r="U278" s="2">
        <v>12403.66</v>
      </c>
    </row>
    <row r="279" spans="1:21" x14ac:dyDescent="0.25">
      <c r="A279" t="s">
        <v>615</v>
      </c>
      <c r="B279">
        <v>-0.01</v>
      </c>
      <c r="C279">
        <v>-0.05</v>
      </c>
      <c r="D279">
        <v>0</v>
      </c>
      <c r="E279">
        <v>-0.01</v>
      </c>
      <c r="F279">
        <v>-0.01</v>
      </c>
      <c r="G279">
        <v>-0.02</v>
      </c>
      <c r="H279">
        <v>0.01</v>
      </c>
      <c r="I279">
        <v>0.31</v>
      </c>
      <c r="J279">
        <v>0.36</v>
      </c>
      <c r="K279">
        <v>-0.15</v>
      </c>
      <c r="L279">
        <v>0.7</v>
      </c>
      <c r="M279">
        <v>1.23</v>
      </c>
      <c r="N279">
        <v>1.54</v>
      </c>
      <c r="O279">
        <v>2.1800000000000002</v>
      </c>
      <c r="P279">
        <v>2.84</v>
      </c>
      <c r="Q279">
        <v>3.57</v>
      </c>
      <c r="R279">
        <v>4.57</v>
      </c>
      <c r="S279">
        <v>5.55</v>
      </c>
      <c r="T279">
        <v>6.57</v>
      </c>
      <c r="U279">
        <v>7.83</v>
      </c>
    </row>
    <row r="280" spans="1:21" x14ac:dyDescent="0.25">
      <c r="A280" t="s">
        <v>228</v>
      </c>
      <c r="B280">
        <v>-4.1100000000000003</v>
      </c>
      <c r="C280">
        <v>-20.350000000000001</v>
      </c>
      <c r="D280">
        <v>-0.37</v>
      </c>
      <c r="E280">
        <v>-2.5099999999999998</v>
      </c>
      <c r="F280">
        <v>-1.8</v>
      </c>
      <c r="G280">
        <v>-1.74</v>
      </c>
      <c r="H280">
        <v>0.88</v>
      </c>
      <c r="I280">
        <v>13.08</v>
      </c>
      <c r="J280">
        <v>9.84</v>
      </c>
      <c r="K280">
        <v>-3.33</v>
      </c>
      <c r="L280">
        <v>12.82</v>
      </c>
      <c r="M280">
        <v>17.98</v>
      </c>
      <c r="N280">
        <v>17.37</v>
      </c>
      <c r="O280">
        <v>18.13</v>
      </c>
      <c r="P280">
        <v>19.420000000000002</v>
      </c>
      <c r="Q280">
        <v>20.57</v>
      </c>
      <c r="R280">
        <v>20.92</v>
      </c>
      <c r="S280">
        <v>21.8</v>
      </c>
      <c r="T280">
        <v>23.01</v>
      </c>
      <c r="U280">
        <v>24.42</v>
      </c>
    </row>
    <row r="281" spans="1:21" x14ac:dyDescent="0.25">
      <c r="A281" t="s">
        <v>229</v>
      </c>
      <c r="B281">
        <v>2.78</v>
      </c>
      <c r="C281">
        <v>-0.76</v>
      </c>
      <c r="D281">
        <v>7.68</v>
      </c>
      <c r="E281">
        <v>3.6</v>
      </c>
      <c r="F281">
        <v>1.17</v>
      </c>
      <c r="G281">
        <v>0.87</v>
      </c>
      <c r="H281">
        <v>4.47</v>
      </c>
      <c r="I281">
        <v>14.51</v>
      </c>
      <c r="J281">
        <v>10.94</v>
      </c>
      <c r="K281">
        <v>-2.44</v>
      </c>
      <c r="L281">
        <v>13.37</v>
      </c>
      <c r="M281">
        <v>18.2</v>
      </c>
      <c r="N281">
        <v>17.59</v>
      </c>
      <c r="O281">
        <v>18.72</v>
      </c>
      <c r="P281">
        <v>19.63</v>
      </c>
      <c r="Q281">
        <v>21.51</v>
      </c>
      <c r="R281">
        <v>22.56</v>
      </c>
      <c r="S281">
        <v>23.52</v>
      </c>
      <c r="T281">
        <v>22.87</v>
      </c>
      <c r="U281">
        <v>24.87</v>
      </c>
    </row>
    <row r="282" spans="1:21" x14ac:dyDescent="0.25">
      <c r="A282" t="s">
        <v>17</v>
      </c>
    </row>
    <row r="283" spans="1:21" x14ac:dyDescent="0.25">
      <c r="A283" t="s">
        <v>231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9DD-6809-45C6-8C1D-44DBAFB91930}">
  <dimension ref="A1:U260"/>
  <sheetViews>
    <sheetView workbookViewId="0">
      <selection sqref="A1:U260"/>
    </sheetView>
  </sheetViews>
  <sheetFormatPr defaultRowHeight="15" x14ac:dyDescent="0.25"/>
  <sheetData>
    <row r="1" spans="1:21" x14ac:dyDescent="0.25">
      <c r="A1" t="s">
        <v>1932</v>
      </c>
    </row>
    <row r="2" spans="1:21" x14ac:dyDescent="0.25">
      <c r="A2" t="s">
        <v>1933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110</v>
      </c>
      <c r="I6">
        <v>-1.25</v>
      </c>
      <c r="J6">
        <v>-1.68</v>
      </c>
      <c r="K6">
        <v>-0.72</v>
      </c>
      <c r="L6">
        <v>-0.47</v>
      </c>
      <c r="M6">
        <v>0.03</v>
      </c>
      <c r="N6">
        <v>0.56000000000000005</v>
      </c>
      <c r="O6">
        <v>0.95</v>
      </c>
      <c r="P6">
        <v>1.18</v>
      </c>
      <c r="Q6">
        <v>1.59</v>
      </c>
      <c r="R6">
        <v>2.16</v>
      </c>
      <c r="S6">
        <v>2.85</v>
      </c>
    </row>
    <row r="7" spans="1:21" x14ac:dyDescent="0.25">
      <c r="A7" t="s">
        <v>16</v>
      </c>
      <c r="J7" s="2">
        <v>1705</v>
      </c>
      <c r="K7" s="2">
        <v>2731</v>
      </c>
      <c r="L7" s="2">
        <v>3865</v>
      </c>
      <c r="M7" s="2">
        <v>4960</v>
      </c>
      <c r="N7" s="2">
        <v>6153</v>
      </c>
      <c r="O7" s="2">
        <v>7465.42</v>
      </c>
      <c r="P7" s="2">
        <v>8858</v>
      </c>
      <c r="Q7" s="2">
        <v>10372.58</v>
      </c>
      <c r="R7" s="2">
        <v>12055.4</v>
      </c>
      <c r="S7" s="2">
        <v>14088</v>
      </c>
    </row>
    <row r="8" spans="1:21" x14ac:dyDescent="0.25">
      <c r="A8" t="s">
        <v>17</v>
      </c>
    </row>
    <row r="9" spans="1:21" x14ac:dyDescent="0.25">
      <c r="A9" t="s">
        <v>84</v>
      </c>
      <c r="H9">
        <v>62.35</v>
      </c>
      <c r="I9">
        <v>140.41</v>
      </c>
      <c r="J9">
        <v>314</v>
      </c>
      <c r="K9">
        <v>511</v>
      </c>
      <c r="L9">
        <v>834</v>
      </c>
      <c r="M9" s="2">
        <v>1190</v>
      </c>
      <c r="N9" s="2">
        <v>1593</v>
      </c>
      <c r="O9" s="2">
        <v>2151.7800000000002</v>
      </c>
      <c r="P9" s="2">
        <v>2454.58</v>
      </c>
      <c r="Q9" s="2">
        <v>2982.01</v>
      </c>
      <c r="R9" s="2">
        <v>3599.44</v>
      </c>
      <c r="S9" s="2">
        <v>4395.83</v>
      </c>
    </row>
    <row r="10" spans="1:21" x14ac:dyDescent="0.25">
      <c r="A10" t="s">
        <v>17</v>
      </c>
    </row>
    <row r="11" spans="1:21" x14ac:dyDescent="0.25">
      <c r="A11" t="s">
        <v>32</v>
      </c>
    </row>
    <row r="12" spans="1:21" x14ac:dyDescent="0.25">
      <c r="A12" t="s">
        <v>1934</v>
      </c>
      <c r="H12">
        <v>62.44</v>
      </c>
      <c r="I12">
        <v>101.37</v>
      </c>
      <c r="J12">
        <v>169</v>
      </c>
      <c r="K12">
        <v>324</v>
      </c>
      <c r="L12">
        <v>500</v>
      </c>
      <c r="M12">
        <v>706</v>
      </c>
      <c r="N12">
        <v>936</v>
      </c>
      <c r="O12" s="2">
        <v>1186.8699999999999</v>
      </c>
      <c r="P12" s="2">
        <v>1454.77</v>
      </c>
      <c r="Q12" s="2">
        <v>1750.78</v>
      </c>
      <c r="R12" s="2">
        <v>2041.09</v>
      </c>
      <c r="S12" s="2">
        <v>2425.37</v>
      </c>
    </row>
    <row r="13" spans="1:21" x14ac:dyDescent="0.25">
      <c r="A13" t="s">
        <v>1935</v>
      </c>
      <c r="H13">
        <v>531.75</v>
      </c>
      <c r="I13">
        <v>644.37</v>
      </c>
      <c r="J13" s="2">
        <v>1406</v>
      </c>
      <c r="K13" s="2">
        <v>2268</v>
      </c>
      <c r="L13" s="2">
        <v>3189</v>
      </c>
      <c r="M13" s="2">
        <v>4053</v>
      </c>
      <c r="N13" s="2">
        <v>5037</v>
      </c>
      <c r="O13" s="2">
        <v>6112.08</v>
      </c>
      <c r="P13" s="2">
        <v>7230.17</v>
      </c>
      <c r="Q13" s="2">
        <v>8447.51</v>
      </c>
      <c r="R13" s="2">
        <v>9794.59</v>
      </c>
      <c r="S13" s="2">
        <v>11449.38</v>
      </c>
    </row>
    <row r="14" spans="1:21" x14ac:dyDescent="0.25">
      <c r="A14" t="s">
        <v>1936</v>
      </c>
      <c r="H14">
        <v>70.84</v>
      </c>
      <c r="I14">
        <v>77.39</v>
      </c>
      <c r="J14">
        <v>130</v>
      </c>
      <c r="K14">
        <v>139</v>
      </c>
      <c r="L14">
        <v>176</v>
      </c>
      <c r="M14">
        <v>201</v>
      </c>
      <c r="N14">
        <v>180</v>
      </c>
      <c r="O14">
        <v>174.39</v>
      </c>
      <c r="P14">
        <v>178.62</v>
      </c>
      <c r="Q14">
        <v>193.93</v>
      </c>
      <c r="R14">
        <v>202.52</v>
      </c>
      <c r="S14">
        <v>213.42</v>
      </c>
    </row>
    <row r="15" spans="1:21" x14ac:dyDescent="0.25">
      <c r="A15" t="s">
        <v>17</v>
      </c>
    </row>
    <row r="16" spans="1:21" x14ac:dyDescent="0.25">
      <c r="A16" t="s">
        <v>1937</v>
      </c>
    </row>
    <row r="17" spans="1:19" x14ac:dyDescent="0.25">
      <c r="A17" t="s">
        <v>1934</v>
      </c>
      <c r="M17">
        <v>539</v>
      </c>
      <c r="N17">
        <v>741</v>
      </c>
      <c r="O17">
        <v>955.43</v>
      </c>
      <c r="P17" s="2">
        <v>1168.28</v>
      </c>
      <c r="Q17" s="2">
        <v>1400.43</v>
      </c>
      <c r="R17" s="2">
        <v>1636.8</v>
      </c>
      <c r="S17" s="2">
        <v>1994.1</v>
      </c>
    </row>
    <row r="18" spans="1:19" x14ac:dyDescent="0.25">
      <c r="A18" t="s">
        <v>1938</v>
      </c>
      <c r="M18">
        <v>878</v>
      </c>
      <c r="N18" s="2">
        <v>1146</v>
      </c>
      <c r="O18" s="2">
        <v>1070.69</v>
      </c>
      <c r="P18" s="2">
        <v>1253.9100000000001</v>
      </c>
      <c r="Q18" s="2">
        <v>1668.01</v>
      </c>
      <c r="R18" s="2">
        <v>1991.8</v>
      </c>
      <c r="S18" s="2">
        <v>2364.38</v>
      </c>
    </row>
    <row r="19" spans="1:19" x14ac:dyDescent="0.25">
      <c r="A19" t="s">
        <v>1936</v>
      </c>
      <c r="M19">
        <v>-145</v>
      </c>
      <c r="N19">
        <v>-197</v>
      </c>
      <c r="O19">
        <v>-289.44</v>
      </c>
      <c r="P19">
        <v>-348.27</v>
      </c>
      <c r="Q19">
        <v>-349.06</v>
      </c>
      <c r="R19">
        <v>-351.57</v>
      </c>
      <c r="S19">
        <v>-260.69</v>
      </c>
    </row>
    <row r="20" spans="1:19" x14ac:dyDescent="0.25">
      <c r="A20" t="s">
        <v>17</v>
      </c>
    </row>
    <row r="21" spans="1:19" x14ac:dyDescent="0.25">
      <c r="A21" t="s">
        <v>1164</v>
      </c>
      <c r="H21">
        <v>184</v>
      </c>
      <c r="I21">
        <v>326</v>
      </c>
      <c r="J21">
        <v>568</v>
      </c>
      <c r="K21">
        <v>901</v>
      </c>
      <c r="L21" s="2">
        <v>1218</v>
      </c>
      <c r="M21" s="2">
        <v>1626</v>
      </c>
      <c r="N21" s="2">
        <v>2047</v>
      </c>
      <c r="O21" s="2">
        <v>2536.25</v>
      </c>
      <c r="P21" s="2">
        <v>3049.08</v>
      </c>
      <c r="Q21" s="2">
        <v>3599.11</v>
      </c>
      <c r="R21" s="2">
        <v>4140.16</v>
      </c>
    </row>
    <row r="22" spans="1:19" x14ac:dyDescent="0.25">
      <c r="A22" t="s">
        <v>1939</v>
      </c>
      <c r="H22" s="2">
        <v>21800</v>
      </c>
      <c r="I22" s="2">
        <v>25400</v>
      </c>
      <c r="J22" s="2">
        <v>57000</v>
      </c>
      <c r="K22" s="2">
        <v>91700</v>
      </c>
      <c r="L22" s="2">
        <v>126100</v>
      </c>
      <c r="M22" s="2">
        <v>159100</v>
      </c>
      <c r="N22" s="2">
        <v>195100</v>
      </c>
      <c r="O22" s="2">
        <v>235844.38</v>
      </c>
      <c r="P22" s="2">
        <v>278007.99</v>
      </c>
      <c r="Q22" s="2">
        <v>324973.65999999997</v>
      </c>
      <c r="R22" s="2">
        <v>374879.62</v>
      </c>
      <c r="S22" s="2">
        <v>433385.06</v>
      </c>
    </row>
    <row r="23" spans="1:19" x14ac:dyDescent="0.25">
      <c r="A23" t="s">
        <v>1940</v>
      </c>
      <c r="J23" s="2">
        <v>57000</v>
      </c>
      <c r="K23" s="2">
        <v>79000</v>
      </c>
      <c r="L23" s="2">
        <v>106000</v>
      </c>
      <c r="M23" s="2">
        <v>134000</v>
      </c>
      <c r="N23" s="2">
        <v>164000</v>
      </c>
      <c r="O23" s="2">
        <v>194696</v>
      </c>
      <c r="P23" s="2">
        <v>226367</v>
      </c>
      <c r="Q23" s="2">
        <v>261787</v>
      </c>
      <c r="R23" s="2">
        <v>295131</v>
      </c>
      <c r="S23" s="2">
        <v>335338</v>
      </c>
    </row>
    <row r="24" spans="1:19" x14ac:dyDescent="0.25">
      <c r="A24" t="s">
        <v>17</v>
      </c>
    </row>
    <row r="25" spans="1:19" x14ac:dyDescent="0.25">
      <c r="A25" t="s">
        <v>111</v>
      </c>
    </row>
    <row r="26" spans="1:19" x14ac:dyDescent="0.25">
      <c r="A26" t="s">
        <v>63</v>
      </c>
      <c r="J26">
        <v>341</v>
      </c>
      <c r="K26">
        <v>562</v>
      </c>
      <c r="L26">
        <v>903</v>
      </c>
      <c r="M26" s="2">
        <v>1271</v>
      </c>
      <c r="N26" s="2">
        <v>1690</v>
      </c>
      <c r="O26" s="2">
        <v>2077.92</v>
      </c>
      <c r="P26" s="2">
        <v>2524.7399999999998</v>
      </c>
      <c r="Q26" s="2">
        <v>3077.72</v>
      </c>
      <c r="R26" s="2">
        <v>3702.42</v>
      </c>
      <c r="S26" s="2">
        <v>4523.72</v>
      </c>
    </row>
    <row r="27" spans="1:19" x14ac:dyDescent="0.25">
      <c r="A27" t="s">
        <v>64</v>
      </c>
      <c r="J27">
        <v>18.420000000000002</v>
      </c>
      <c r="K27">
        <v>20.58</v>
      </c>
      <c r="L27">
        <v>23.36</v>
      </c>
      <c r="M27">
        <v>25.63</v>
      </c>
      <c r="N27">
        <v>27.47</v>
      </c>
      <c r="O27">
        <v>27.89</v>
      </c>
      <c r="P27">
        <v>28.51</v>
      </c>
      <c r="Q27">
        <v>29.43</v>
      </c>
      <c r="R27">
        <v>30.36</v>
      </c>
      <c r="S27">
        <v>32.11</v>
      </c>
    </row>
    <row r="28" spans="1:19" x14ac:dyDescent="0.25">
      <c r="A28" t="s">
        <v>116</v>
      </c>
      <c r="J28">
        <v>-63</v>
      </c>
      <c r="K28">
        <v>-139</v>
      </c>
      <c r="L28">
        <v>29</v>
      </c>
      <c r="M28">
        <v>327</v>
      </c>
      <c r="N28">
        <v>292</v>
      </c>
      <c r="O28">
        <v>558.36</v>
      </c>
      <c r="P28">
        <v>779.56</v>
      </c>
      <c r="Q28" s="2">
        <v>1098.57</v>
      </c>
      <c r="R28" s="2">
        <v>1365</v>
      </c>
    </row>
    <row r="29" spans="1:19" x14ac:dyDescent="0.25">
      <c r="A29" t="s">
        <v>117</v>
      </c>
      <c r="J29">
        <v>-42</v>
      </c>
      <c r="K29">
        <v>-115</v>
      </c>
      <c r="L29">
        <v>61</v>
      </c>
      <c r="M29">
        <v>373</v>
      </c>
      <c r="N29">
        <v>633</v>
      </c>
      <c r="O29">
        <v>824</v>
      </c>
      <c r="P29" s="2">
        <v>1052.56</v>
      </c>
      <c r="Q29" s="2">
        <v>1349.88</v>
      </c>
      <c r="R29" s="2">
        <v>1659.2</v>
      </c>
      <c r="S29" s="2">
        <v>2258</v>
      </c>
    </row>
    <row r="30" spans="1:19" x14ac:dyDescent="0.25">
      <c r="A30" t="s">
        <v>286</v>
      </c>
      <c r="H30">
        <v>-25.86</v>
      </c>
      <c r="I30">
        <v>-11.42</v>
      </c>
      <c r="J30">
        <v>-2.46</v>
      </c>
      <c r="K30">
        <v>-16.2</v>
      </c>
      <c r="L30">
        <v>5.8</v>
      </c>
      <c r="M30">
        <v>26</v>
      </c>
      <c r="N30">
        <v>34</v>
      </c>
      <c r="O30">
        <v>34.81</v>
      </c>
      <c r="P30">
        <v>36.590000000000003</v>
      </c>
      <c r="Q30">
        <v>40.14</v>
      </c>
      <c r="R30">
        <v>42.77</v>
      </c>
      <c r="S30">
        <v>47.16</v>
      </c>
    </row>
    <row r="31" spans="1:19" x14ac:dyDescent="0.25">
      <c r="A31" t="s">
        <v>17</v>
      </c>
    </row>
    <row r="32" spans="1:19" x14ac:dyDescent="0.25">
      <c r="A32" t="s">
        <v>37</v>
      </c>
    </row>
    <row r="33" spans="1:19" x14ac:dyDescent="0.25">
      <c r="A33" t="s">
        <v>17</v>
      </c>
    </row>
    <row r="34" spans="1:19" x14ac:dyDescent="0.25">
      <c r="A34" t="s">
        <v>38</v>
      </c>
    </row>
    <row r="35" spans="1:19" x14ac:dyDescent="0.25">
      <c r="A35" t="s">
        <v>1164</v>
      </c>
      <c r="H35">
        <v>184</v>
      </c>
      <c r="I35">
        <v>326</v>
      </c>
      <c r="J35">
        <v>568</v>
      </c>
      <c r="K35">
        <v>901</v>
      </c>
      <c r="L35" s="2">
        <v>1218</v>
      </c>
      <c r="M35" s="2">
        <v>1626</v>
      </c>
      <c r="N35" s="2">
        <v>2047</v>
      </c>
      <c r="O35" s="2">
        <v>2536.25</v>
      </c>
      <c r="P35" s="2">
        <v>3049.08</v>
      </c>
      <c r="Q35" s="2">
        <v>3599.11</v>
      </c>
      <c r="R35" s="2">
        <v>4140.16</v>
      </c>
    </row>
    <row r="36" spans="1:19" x14ac:dyDescent="0.25">
      <c r="A36" t="s">
        <v>1941</v>
      </c>
      <c r="O36" s="2">
        <v>12897.66</v>
      </c>
      <c r="P36" s="2">
        <v>13380.97</v>
      </c>
      <c r="Q36" s="2">
        <v>13766.46</v>
      </c>
      <c r="R36" s="2">
        <v>14405.58</v>
      </c>
    </row>
    <row r="37" spans="1:19" x14ac:dyDescent="0.25">
      <c r="A37" t="s">
        <v>17</v>
      </c>
    </row>
    <row r="38" spans="1:19" x14ac:dyDescent="0.25">
      <c r="A38" t="s">
        <v>1942</v>
      </c>
      <c r="O38" s="2">
        <v>2356.79</v>
      </c>
      <c r="P38" s="2">
        <v>2849.42</v>
      </c>
      <c r="Q38" s="2">
        <v>3409.03</v>
      </c>
      <c r="R38" s="2">
        <v>4040.79</v>
      </c>
      <c r="S38" s="2">
        <v>4788.41</v>
      </c>
    </row>
    <row r="39" spans="1:19" x14ac:dyDescent="0.25">
      <c r="A39" t="s">
        <v>17</v>
      </c>
    </row>
    <row r="40" spans="1:19" x14ac:dyDescent="0.25">
      <c r="A40" t="s">
        <v>1943</v>
      </c>
      <c r="H40" s="2">
        <v>21800</v>
      </c>
      <c r="I40" s="2">
        <v>25400</v>
      </c>
      <c r="J40" s="2">
        <v>57000</v>
      </c>
      <c r="K40" s="2">
        <v>91700</v>
      </c>
      <c r="L40" s="2">
        <v>126100</v>
      </c>
      <c r="M40" s="2">
        <v>159100</v>
      </c>
      <c r="N40" s="2">
        <v>195100</v>
      </c>
      <c r="O40" s="2">
        <v>235844.38</v>
      </c>
      <c r="P40" s="2">
        <v>278007.99</v>
      </c>
      <c r="Q40" s="2">
        <v>324973.65999999997</v>
      </c>
      <c r="R40" s="2">
        <v>374879.62</v>
      </c>
      <c r="S40" s="2">
        <v>433385.06</v>
      </c>
    </row>
    <row r="41" spans="1:19" x14ac:dyDescent="0.25">
      <c r="A41" t="s">
        <v>1944</v>
      </c>
      <c r="N41" s="2">
        <v>195100</v>
      </c>
      <c r="O41">
        <v>1.63</v>
      </c>
      <c r="P41">
        <v>1.65</v>
      </c>
      <c r="Q41">
        <v>1.93</v>
      </c>
      <c r="R41">
        <v>3.2</v>
      </c>
    </row>
    <row r="42" spans="1:19" x14ac:dyDescent="0.25">
      <c r="A42" t="s">
        <v>17</v>
      </c>
    </row>
    <row r="43" spans="1:19" x14ac:dyDescent="0.25">
      <c r="A43" t="s">
        <v>1764</v>
      </c>
      <c r="H43">
        <v>110</v>
      </c>
      <c r="I43">
        <v>114</v>
      </c>
      <c r="J43">
        <v>135</v>
      </c>
    </row>
    <row r="44" spans="1:19" x14ac:dyDescent="0.25">
      <c r="A44" t="s">
        <v>17</v>
      </c>
    </row>
    <row r="45" spans="1:19" x14ac:dyDescent="0.25">
      <c r="A45" t="s">
        <v>1945</v>
      </c>
      <c r="O45" s="2">
        <v>32432</v>
      </c>
      <c r="P45" s="2">
        <v>31995</v>
      </c>
      <c r="Q45" s="2">
        <v>32796</v>
      </c>
      <c r="R45" s="2">
        <v>32181</v>
      </c>
      <c r="S45" s="2">
        <v>33285</v>
      </c>
    </row>
    <row r="46" spans="1:19" x14ac:dyDescent="0.25">
      <c r="A46" t="s">
        <v>1940</v>
      </c>
      <c r="J46" s="2">
        <v>57000</v>
      </c>
      <c r="K46" s="2">
        <v>79000</v>
      </c>
      <c r="L46" s="2">
        <v>106000</v>
      </c>
      <c r="M46" s="2">
        <v>134000</v>
      </c>
      <c r="N46" s="2">
        <v>164000</v>
      </c>
      <c r="O46" s="2">
        <v>194696</v>
      </c>
      <c r="P46" s="2">
        <v>226367</v>
      </c>
      <c r="Q46" s="2">
        <v>261787</v>
      </c>
      <c r="R46" s="2">
        <v>295131</v>
      </c>
      <c r="S46" s="2">
        <v>335338</v>
      </c>
    </row>
    <row r="47" spans="1:19" x14ac:dyDescent="0.25">
      <c r="A47" t="s">
        <v>17</v>
      </c>
    </row>
    <row r="48" spans="1:19" x14ac:dyDescent="0.25">
      <c r="A48" t="s">
        <v>1946</v>
      </c>
      <c r="O48">
        <v>0.59</v>
      </c>
      <c r="P48">
        <v>0.61</v>
      </c>
      <c r="Q48">
        <v>0.62</v>
      </c>
      <c r="R48">
        <v>0.65</v>
      </c>
      <c r="S48">
        <v>0.64</v>
      </c>
    </row>
    <row r="49" spans="1:19" x14ac:dyDescent="0.25">
      <c r="A49" t="s">
        <v>1947</v>
      </c>
      <c r="O49">
        <v>2.59</v>
      </c>
      <c r="P49">
        <v>2.6</v>
      </c>
      <c r="Q49">
        <v>2.6</v>
      </c>
      <c r="R49">
        <v>2.59</v>
      </c>
      <c r="S49">
        <v>2.64</v>
      </c>
    </row>
    <row r="50" spans="1:19" x14ac:dyDescent="0.25">
      <c r="A50" t="s">
        <v>17</v>
      </c>
    </row>
    <row r="51" spans="1:19" x14ac:dyDescent="0.25">
      <c r="A51" t="s">
        <v>58</v>
      </c>
    </row>
    <row r="52" spans="1:19" x14ac:dyDescent="0.25">
      <c r="A52" t="s">
        <v>1948</v>
      </c>
    </row>
    <row r="53" spans="1:19" x14ac:dyDescent="0.25">
      <c r="A53" t="s">
        <v>60</v>
      </c>
      <c r="H53">
        <v>62.44</v>
      </c>
      <c r="I53">
        <v>101.37</v>
      </c>
      <c r="J53">
        <v>169</v>
      </c>
      <c r="K53">
        <v>324</v>
      </c>
      <c r="L53">
        <v>500</v>
      </c>
      <c r="M53">
        <v>706</v>
      </c>
      <c r="N53">
        <v>936</v>
      </c>
      <c r="O53" s="2">
        <v>1186.8699999999999</v>
      </c>
      <c r="P53" s="2">
        <v>1454.77</v>
      </c>
      <c r="Q53" s="2">
        <v>1750.78</v>
      </c>
      <c r="R53" s="2">
        <v>2041.09</v>
      </c>
      <c r="S53" s="2">
        <v>2425.37</v>
      </c>
    </row>
    <row r="54" spans="1:19" x14ac:dyDescent="0.25">
      <c r="A54" t="s">
        <v>819</v>
      </c>
      <c r="O54">
        <v>15.79</v>
      </c>
      <c r="P54">
        <v>16.18</v>
      </c>
      <c r="Q54">
        <v>16.260000000000002</v>
      </c>
      <c r="R54">
        <v>15.69</v>
      </c>
    </row>
    <row r="55" spans="1:19" x14ac:dyDescent="0.25">
      <c r="A55" t="s">
        <v>62</v>
      </c>
      <c r="H55">
        <v>24.92</v>
      </c>
      <c r="I55">
        <v>39.729999999999997</v>
      </c>
      <c r="J55">
        <v>63</v>
      </c>
      <c r="K55">
        <v>112</v>
      </c>
      <c r="L55">
        <v>166</v>
      </c>
      <c r="M55">
        <v>219</v>
      </c>
      <c r="N55">
        <v>264</v>
      </c>
      <c r="O55">
        <v>265.88</v>
      </c>
      <c r="P55">
        <v>332.95</v>
      </c>
      <c r="Q55">
        <v>401.02</v>
      </c>
      <c r="R55">
        <v>463.23</v>
      </c>
      <c r="S55">
        <v>520.77</v>
      </c>
    </row>
    <row r="56" spans="1:19" x14ac:dyDescent="0.25">
      <c r="A56" t="s">
        <v>63</v>
      </c>
      <c r="H56">
        <v>37.520000000000003</v>
      </c>
      <c r="I56">
        <v>61.64</v>
      </c>
      <c r="J56">
        <v>106</v>
      </c>
      <c r="K56">
        <v>212</v>
      </c>
      <c r="L56">
        <v>334</v>
      </c>
      <c r="M56">
        <v>487</v>
      </c>
      <c r="N56">
        <v>672</v>
      </c>
      <c r="O56">
        <v>921.54</v>
      </c>
      <c r="P56" s="2">
        <v>1141.26</v>
      </c>
      <c r="Q56" s="2">
        <v>1345.99</v>
      </c>
      <c r="R56" s="2">
        <v>1565.17</v>
      </c>
      <c r="S56" s="2">
        <v>1904.6</v>
      </c>
    </row>
    <row r="57" spans="1:19" x14ac:dyDescent="0.25">
      <c r="A57" t="s">
        <v>64</v>
      </c>
      <c r="O57">
        <v>77</v>
      </c>
      <c r="P57">
        <v>77.16</v>
      </c>
      <c r="Q57">
        <v>77.06</v>
      </c>
      <c r="R57">
        <v>76.31</v>
      </c>
      <c r="S57">
        <v>78.53</v>
      </c>
    </row>
    <row r="58" spans="1:19" x14ac:dyDescent="0.25">
      <c r="A58" t="s">
        <v>1949</v>
      </c>
      <c r="O58" s="2">
        <v>4946.22</v>
      </c>
      <c r="P58" s="2">
        <v>5083.6899999999996</v>
      </c>
      <c r="Q58" s="2">
        <v>5270.85</v>
      </c>
      <c r="R58" s="2">
        <v>5064.49</v>
      </c>
    </row>
    <row r="59" spans="1:19" x14ac:dyDescent="0.25">
      <c r="A59" t="s">
        <v>1950</v>
      </c>
      <c r="O59" s="2">
        <v>1311.37</v>
      </c>
      <c r="P59" s="2">
        <v>1574.95</v>
      </c>
      <c r="Q59" s="2">
        <v>1848.05</v>
      </c>
      <c r="R59" s="2">
        <v>2150.16</v>
      </c>
      <c r="S59" s="2">
        <v>2664.88</v>
      </c>
    </row>
    <row r="60" spans="1:19" x14ac:dyDescent="0.25">
      <c r="A60" t="s">
        <v>1951</v>
      </c>
      <c r="O60" s="2">
        <v>6696.81</v>
      </c>
      <c r="P60" s="2">
        <v>6966.72</v>
      </c>
      <c r="Q60" s="2">
        <v>7211.46</v>
      </c>
      <c r="R60" s="2">
        <v>7404.22</v>
      </c>
      <c r="S60" s="2">
        <v>7946.83</v>
      </c>
    </row>
    <row r="61" spans="1:19" x14ac:dyDescent="0.25">
      <c r="A61" t="s">
        <v>65</v>
      </c>
      <c r="M61">
        <v>539</v>
      </c>
      <c r="N61">
        <v>741</v>
      </c>
      <c r="O61">
        <v>955.43</v>
      </c>
      <c r="P61" s="2">
        <v>1168.28</v>
      </c>
      <c r="Q61" s="2">
        <v>1400.43</v>
      </c>
      <c r="R61" s="2">
        <v>1636.8</v>
      </c>
      <c r="S61" s="2">
        <v>1994.1</v>
      </c>
    </row>
    <row r="62" spans="1:19" x14ac:dyDescent="0.25">
      <c r="A62" t="s">
        <v>66</v>
      </c>
      <c r="O62">
        <v>80.84</v>
      </c>
      <c r="P62">
        <v>81.14</v>
      </c>
      <c r="Q62">
        <v>82.06</v>
      </c>
      <c r="R62">
        <v>82.04</v>
      </c>
      <c r="S62">
        <v>82.22</v>
      </c>
    </row>
    <row r="63" spans="1:19" x14ac:dyDescent="0.25">
      <c r="A63" t="s">
        <v>1952</v>
      </c>
      <c r="O63">
        <v>0.5</v>
      </c>
      <c r="P63">
        <v>0.52</v>
      </c>
      <c r="Q63">
        <v>0.54</v>
      </c>
      <c r="R63">
        <v>0.56000000000000005</v>
      </c>
    </row>
    <row r="64" spans="1:19" x14ac:dyDescent="0.25">
      <c r="A64" t="s">
        <v>17</v>
      </c>
    </row>
    <row r="65" spans="1:19" x14ac:dyDescent="0.25">
      <c r="A65" t="s">
        <v>1953</v>
      </c>
    </row>
    <row r="66" spans="1:19" x14ac:dyDescent="0.25">
      <c r="A66" t="s">
        <v>60</v>
      </c>
      <c r="H66">
        <v>531.75</v>
      </c>
      <c r="I66">
        <v>644.37</v>
      </c>
      <c r="J66" s="2">
        <v>1406</v>
      </c>
      <c r="K66" s="2">
        <v>2268</v>
      </c>
      <c r="L66" s="2">
        <v>3189</v>
      </c>
      <c r="M66" s="2">
        <v>4053</v>
      </c>
      <c r="N66" s="2">
        <v>5037</v>
      </c>
      <c r="O66" s="2">
        <v>6112.08</v>
      </c>
      <c r="P66" s="2">
        <v>7230.17</v>
      </c>
      <c r="Q66" s="2">
        <v>8447.51</v>
      </c>
      <c r="R66" s="2">
        <v>9794.59</v>
      </c>
      <c r="S66" s="2">
        <v>11449.38</v>
      </c>
    </row>
    <row r="67" spans="1:19" x14ac:dyDescent="0.25">
      <c r="A67" t="s">
        <v>819</v>
      </c>
      <c r="O67">
        <v>81.8</v>
      </c>
      <c r="P67">
        <v>81.680000000000007</v>
      </c>
      <c r="Q67">
        <v>81.599999999999994</v>
      </c>
      <c r="R67">
        <v>81.7</v>
      </c>
    </row>
    <row r="68" spans="1:19" x14ac:dyDescent="0.25">
      <c r="A68" t="s">
        <v>62</v>
      </c>
      <c r="H68">
        <v>452.79</v>
      </c>
      <c r="I68">
        <v>508.82</v>
      </c>
      <c r="J68" s="2">
        <v>1120</v>
      </c>
      <c r="K68" s="2">
        <v>1792</v>
      </c>
      <c r="L68" s="2">
        <v>2503</v>
      </c>
      <c r="M68" s="2">
        <v>3175</v>
      </c>
      <c r="N68" s="2">
        <v>3891</v>
      </c>
      <c r="O68" s="2">
        <v>4712.3599999999997</v>
      </c>
      <c r="P68" s="2">
        <v>5551.76</v>
      </c>
      <c r="Q68" s="2">
        <v>6455.63</v>
      </c>
      <c r="R68" s="2">
        <v>7393.21</v>
      </c>
      <c r="S68" s="2">
        <v>8655.07</v>
      </c>
    </row>
    <row r="69" spans="1:19" x14ac:dyDescent="0.25">
      <c r="A69" t="s">
        <v>63</v>
      </c>
      <c r="H69">
        <v>78.97</v>
      </c>
      <c r="I69">
        <v>135.56</v>
      </c>
      <c r="J69">
        <v>286</v>
      </c>
      <c r="K69">
        <v>476</v>
      </c>
      <c r="L69">
        <v>686</v>
      </c>
      <c r="M69">
        <v>878</v>
      </c>
      <c r="N69" s="2">
        <v>1146</v>
      </c>
      <c r="O69" s="2">
        <v>1400.88</v>
      </c>
      <c r="P69" s="2">
        <v>1681.24</v>
      </c>
      <c r="Q69" s="2">
        <v>1986.77</v>
      </c>
      <c r="R69" s="2">
        <v>2401.38</v>
      </c>
      <c r="S69" s="2">
        <v>2794.31</v>
      </c>
    </row>
    <row r="70" spans="1:19" x14ac:dyDescent="0.25">
      <c r="A70" t="s">
        <v>64</v>
      </c>
      <c r="O70">
        <v>22.96</v>
      </c>
      <c r="P70">
        <v>23.27</v>
      </c>
      <c r="Q70">
        <v>23.64</v>
      </c>
      <c r="R70">
        <v>24.55</v>
      </c>
      <c r="S70">
        <v>24.41</v>
      </c>
    </row>
    <row r="71" spans="1:19" x14ac:dyDescent="0.25">
      <c r="A71" t="s">
        <v>1949</v>
      </c>
      <c r="O71" s="2">
        <v>7584.63</v>
      </c>
      <c r="P71" s="2">
        <v>7701.99</v>
      </c>
      <c r="Q71" s="2">
        <v>7646.95</v>
      </c>
    </row>
    <row r="72" spans="1:19" x14ac:dyDescent="0.25">
      <c r="A72" t="s">
        <v>1954</v>
      </c>
      <c r="O72">
        <v>235.1</v>
      </c>
      <c r="P72">
        <v>304.54000000000002</v>
      </c>
      <c r="Q72">
        <v>312.82</v>
      </c>
      <c r="R72">
        <v>377.71</v>
      </c>
      <c r="S72">
        <v>429.93</v>
      </c>
    </row>
    <row r="73" spans="1:19" x14ac:dyDescent="0.25">
      <c r="A73" t="s">
        <v>1950</v>
      </c>
      <c r="O73" s="2">
        <v>1311.37</v>
      </c>
      <c r="P73" s="2">
        <v>1574.95</v>
      </c>
      <c r="Q73" s="2">
        <v>1848.05</v>
      </c>
      <c r="R73" s="2">
        <v>2150.16</v>
      </c>
      <c r="S73" s="2">
        <v>2664.88</v>
      </c>
    </row>
    <row r="74" spans="1:19" x14ac:dyDescent="0.25">
      <c r="A74" t="s">
        <v>1951</v>
      </c>
      <c r="O74" s="2">
        <v>6160.81</v>
      </c>
      <c r="P74" s="2">
        <v>6343.41</v>
      </c>
      <c r="Q74" s="2">
        <v>6423.68</v>
      </c>
      <c r="R74" s="2">
        <v>6842.35</v>
      </c>
    </row>
    <row r="75" spans="1:19" x14ac:dyDescent="0.25">
      <c r="A75" t="s">
        <v>65</v>
      </c>
      <c r="M75">
        <v>878</v>
      </c>
      <c r="N75" s="2">
        <v>1146</v>
      </c>
      <c r="O75" s="2">
        <v>1070.69</v>
      </c>
      <c r="P75" s="2">
        <v>1253.9100000000001</v>
      </c>
      <c r="Q75" s="2">
        <v>1668.01</v>
      </c>
      <c r="R75" s="2">
        <v>1991.8</v>
      </c>
      <c r="S75" s="2">
        <v>2364.38</v>
      </c>
    </row>
    <row r="76" spans="1:19" x14ac:dyDescent="0.25">
      <c r="A76" t="s">
        <v>1952</v>
      </c>
      <c r="O76">
        <v>2.59</v>
      </c>
      <c r="P76">
        <v>2.6</v>
      </c>
      <c r="Q76">
        <v>2.6</v>
      </c>
      <c r="R76">
        <v>2.59</v>
      </c>
      <c r="S76">
        <v>2.64</v>
      </c>
    </row>
    <row r="77" spans="1:19" x14ac:dyDescent="0.25">
      <c r="A77" t="s">
        <v>17</v>
      </c>
    </row>
    <row r="78" spans="1:19" x14ac:dyDescent="0.25">
      <c r="A78" t="s">
        <v>1955</v>
      </c>
    </row>
    <row r="79" spans="1:19" x14ac:dyDescent="0.25">
      <c r="A79" t="s">
        <v>60</v>
      </c>
      <c r="H79">
        <v>70.84</v>
      </c>
      <c r="I79">
        <v>77.39</v>
      </c>
      <c r="J79">
        <v>130</v>
      </c>
      <c r="K79">
        <v>139</v>
      </c>
      <c r="L79">
        <v>176</v>
      </c>
      <c r="M79">
        <v>201</v>
      </c>
      <c r="N79">
        <v>180</v>
      </c>
      <c r="O79">
        <v>174.39</v>
      </c>
      <c r="P79">
        <v>178.62</v>
      </c>
      <c r="Q79">
        <v>193.93</v>
      </c>
      <c r="R79">
        <v>202.52</v>
      </c>
      <c r="S79">
        <v>213.42</v>
      </c>
    </row>
    <row r="80" spans="1:19" x14ac:dyDescent="0.25">
      <c r="A80" t="s">
        <v>819</v>
      </c>
      <c r="O80">
        <v>2.42</v>
      </c>
      <c r="P80">
        <v>2.14</v>
      </c>
      <c r="Q80">
        <v>2.14</v>
      </c>
      <c r="R80">
        <v>2.61</v>
      </c>
    </row>
    <row r="81" spans="1:19" x14ac:dyDescent="0.25">
      <c r="A81" t="s">
        <v>62</v>
      </c>
      <c r="H81">
        <v>123.31</v>
      </c>
      <c r="I81">
        <v>130.57</v>
      </c>
      <c r="J81">
        <v>204</v>
      </c>
      <c r="K81">
        <v>311</v>
      </c>
      <c r="L81">
        <v>357</v>
      </c>
      <c r="M81">
        <v>371</v>
      </c>
      <c r="N81">
        <v>400</v>
      </c>
      <c r="O81">
        <v>457.25</v>
      </c>
      <c r="P81">
        <v>519.29</v>
      </c>
      <c r="Q81">
        <v>539.58000000000004</v>
      </c>
      <c r="R81">
        <v>569.04999999999995</v>
      </c>
      <c r="S81">
        <v>512.51</v>
      </c>
    </row>
    <row r="82" spans="1:19" x14ac:dyDescent="0.25">
      <c r="A82" t="s">
        <v>63</v>
      </c>
      <c r="H82">
        <v>-52.48</v>
      </c>
      <c r="I82">
        <v>-53.18</v>
      </c>
      <c r="J82">
        <v>-74</v>
      </c>
      <c r="K82">
        <v>-172</v>
      </c>
      <c r="L82">
        <v>-181</v>
      </c>
      <c r="M82">
        <v>-170</v>
      </c>
      <c r="N82">
        <v>-220</v>
      </c>
      <c r="O82">
        <v>-298.88</v>
      </c>
      <c r="P82">
        <v>-343.64</v>
      </c>
      <c r="Q82">
        <v>-353.55</v>
      </c>
      <c r="R82">
        <v>-313.12</v>
      </c>
      <c r="S82">
        <v>-299.08999999999997</v>
      </c>
    </row>
    <row r="83" spans="1:19" x14ac:dyDescent="0.25">
      <c r="A83" t="s">
        <v>64</v>
      </c>
      <c r="O83">
        <v>-167.71</v>
      </c>
      <c r="P83">
        <v>-193.36</v>
      </c>
      <c r="Q83">
        <v>-193.17</v>
      </c>
      <c r="R83">
        <v>-177.33</v>
      </c>
      <c r="S83">
        <v>-140.13999999999999</v>
      </c>
    </row>
    <row r="84" spans="1:19" x14ac:dyDescent="0.25">
      <c r="A84" t="s">
        <v>1949</v>
      </c>
    </row>
    <row r="85" spans="1:19" x14ac:dyDescent="0.25">
      <c r="A85" t="s">
        <v>65</v>
      </c>
      <c r="M85">
        <v>-145</v>
      </c>
      <c r="N85">
        <v>-197</v>
      </c>
      <c r="O85">
        <v>-289.44</v>
      </c>
      <c r="P85">
        <v>-348.27</v>
      </c>
      <c r="Q85">
        <v>-349.06</v>
      </c>
      <c r="R85">
        <v>-351.57</v>
      </c>
      <c r="S85">
        <v>-260.69</v>
      </c>
    </row>
    <row r="86" spans="1:19" x14ac:dyDescent="0.25">
      <c r="A86" t="s">
        <v>1952</v>
      </c>
      <c r="O86">
        <v>0.08</v>
      </c>
      <c r="P86">
        <v>7.0000000000000007E-2</v>
      </c>
      <c r="Q86">
        <v>0.06</v>
      </c>
    </row>
    <row r="87" spans="1:19" x14ac:dyDescent="0.25">
      <c r="A87" t="s">
        <v>17</v>
      </c>
    </row>
    <row r="88" spans="1:19" x14ac:dyDescent="0.25">
      <c r="A88" t="s">
        <v>463</v>
      </c>
    </row>
    <row r="89" spans="1:19" x14ac:dyDescent="0.25">
      <c r="A89" t="s">
        <v>1956</v>
      </c>
    </row>
    <row r="90" spans="1:19" x14ac:dyDescent="0.25">
      <c r="A90" t="s">
        <v>944</v>
      </c>
      <c r="H90">
        <v>55</v>
      </c>
      <c r="I90">
        <v>63.97</v>
      </c>
      <c r="J90">
        <v>112</v>
      </c>
      <c r="K90">
        <v>113</v>
      </c>
      <c r="O90">
        <v>164.9</v>
      </c>
      <c r="P90">
        <v>165.36</v>
      </c>
      <c r="Q90">
        <v>184.61</v>
      </c>
      <c r="R90">
        <v>198.69</v>
      </c>
    </row>
    <row r="91" spans="1:19" x14ac:dyDescent="0.25">
      <c r="A91" t="s">
        <v>126</v>
      </c>
      <c r="H91">
        <v>82.1</v>
      </c>
      <c r="I91">
        <v>85.01</v>
      </c>
      <c r="J91">
        <v>152</v>
      </c>
      <c r="K91">
        <v>215</v>
      </c>
      <c r="O91">
        <v>442.05</v>
      </c>
      <c r="P91">
        <v>513.16</v>
      </c>
      <c r="Q91">
        <v>549.04</v>
      </c>
      <c r="R91">
        <v>580.89</v>
      </c>
      <c r="S91">
        <v>474.12</v>
      </c>
    </row>
    <row r="92" spans="1:19" x14ac:dyDescent="0.25">
      <c r="A92" t="s">
        <v>741</v>
      </c>
      <c r="H92">
        <v>-27.1</v>
      </c>
      <c r="I92">
        <v>-21.05</v>
      </c>
      <c r="J92">
        <v>-40</v>
      </c>
      <c r="K92">
        <v>-102</v>
      </c>
      <c r="O92">
        <v>259.58</v>
      </c>
      <c r="P92">
        <v>342.48</v>
      </c>
      <c r="Q92">
        <v>339.98</v>
      </c>
      <c r="R92">
        <v>327.54000000000002</v>
      </c>
    </row>
    <row r="93" spans="1:19" x14ac:dyDescent="0.25">
      <c r="A93" t="s">
        <v>34</v>
      </c>
    </row>
    <row r="94" spans="1:19" x14ac:dyDescent="0.25">
      <c r="A94" t="s">
        <v>944</v>
      </c>
      <c r="H94">
        <v>15.84</v>
      </c>
      <c r="I94">
        <v>13.42</v>
      </c>
      <c r="J94">
        <v>18</v>
      </c>
      <c r="K94">
        <v>26</v>
      </c>
      <c r="O94">
        <v>42.95</v>
      </c>
      <c r="P94">
        <v>46.14</v>
      </c>
      <c r="Q94">
        <v>61.79</v>
      </c>
      <c r="R94">
        <v>65.5</v>
      </c>
    </row>
    <row r="95" spans="1:19" x14ac:dyDescent="0.25">
      <c r="A95" t="s">
        <v>126</v>
      </c>
      <c r="H95">
        <v>41.22</v>
      </c>
      <c r="I95">
        <v>45.56</v>
      </c>
      <c r="J95">
        <v>52</v>
      </c>
      <c r="K95">
        <v>101</v>
      </c>
      <c r="O95">
        <v>170.3</v>
      </c>
      <c r="P95">
        <v>174.12</v>
      </c>
      <c r="Q95">
        <v>171.79</v>
      </c>
      <c r="R95">
        <v>165.5</v>
      </c>
    </row>
    <row r="96" spans="1:19" x14ac:dyDescent="0.25">
      <c r="A96" t="s">
        <v>741</v>
      </c>
      <c r="H96">
        <v>-25.38</v>
      </c>
      <c r="I96">
        <v>-32.14</v>
      </c>
      <c r="J96">
        <v>-34</v>
      </c>
      <c r="K96">
        <v>-75</v>
      </c>
      <c r="O96">
        <v>135.94999999999999</v>
      </c>
      <c r="P96">
        <v>120</v>
      </c>
      <c r="Q96">
        <v>110</v>
      </c>
      <c r="R96">
        <v>100</v>
      </c>
    </row>
    <row r="97" spans="1:19" x14ac:dyDescent="0.25">
      <c r="A97" t="s">
        <v>17</v>
      </c>
    </row>
    <row r="98" spans="1:19" x14ac:dyDescent="0.25">
      <c r="A98" t="s">
        <v>79</v>
      </c>
    </row>
    <row r="99" spans="1:19" x14ac:dyDescent="0.25">
      <c r="A99" t="s">
        <v>80</v>
      </c>
      <c r="J99" s="2">
        <v>1705</v>
      </c>
      <c r="K99" s="2">
        <v>2731</v>
      </c>
      <c r="L99" s="2">
        <v>3865</v>
      </c>
      <c r="M99" s="2">
        <v>4960</v>
      </c>
      <c r="N99" s="2">
        <v>6153</v>
      </c>
      <c r="O99" s="2">
        <v>7465.42</v>
      </c>
      <c r="P99" s="2">
        <v>8858</v>
      </c>
      <c r="Q99" s="2">
        <v>10372.58</v>
      </c>
      <c r="R99" s="2">
        <v>12055.4</v>
      </c>
      <c r="S99" s="2">
        <v>14088</v>
      </c>
    </row>
    <row r="100" spans="1:19" x14ac:dyDescent="0.25">
      <c r="A100" t="s">
        <v>17</v>
      </c>
    </row>
    <row r="101" spans="1:19" x14ac:dyDescent="0.25">
      <c r="A101" t="s">
        <v>82</v>
      </c>
      <c r="H101">
        <v>602.67999999999995</v>
      </c>
      <c r="I101">
        <v>682.72</v>
      </c>
      <c r="J101" s="2">
        <v>1391</v>
      </c>
      <c r="K101" s="2">
        <v>2220</v>
      </c>
      <c r="L101" s="2">
        <v>3031</v>
      </c>
      <c r="M101" s="2">
        <v>3770</v>
      </c>
      <c r="N101" s="2">
        <v>4560</v>
      </c>
      <c r="O101" s="2">
        <v>5301.92</v>
      </c>
      <c r="P101" s="2">
        <v>6391.82</v>
      </c>
      <c r="Q101" s="2">
        <v>7370.35</v>
      </c>
      <c r="R101" s="2">
        <v>8455.83</v>
      </c>
      <c r="S101" s="2">
        <v>9692.35</v>
      </c>
    </row>
    <row r="102" spans="1:19" x14ac:dyDescent="0.25">
      <c r="A102" t="s">
        <v>83</v>
      </c>
      <c r="H102">
        <v>90.62</v>
      </c>
      <c r="I102">
        <v>82.94</v>
      </c>
      <c r="J102">
        <v>81.58</v>
      </c>
      <c r="K102">
        <v>81.290000000000006</v>
      </c>
      <c r="L102">
        <v>78.42</v>
      </c>
      <c r="M102">
        <v>76.010000000000005</v>
      </c>
      <c r="N102">
        <v>74.11</v>
      </c>
      <c r="O102">
        <v>73.11</v>
      </c>
      <c r="P102">
        <v>72.41</v>
      </c>
      <c r="Q102">
        <v>70.84</v>
      </c>
      <c r="R102">
        <v>69.400000000000006</v>
      </c>
    </row>
    <row r="103" spans="1:19" x14ac:dyDescent="0.25">
      <c r="A103" t="s">
        <v>84</v>
      </c>
      <c r="H103">
        <v>62.35</v>
      </c>
      <c r="I103">
        <v>140.41</v>
      </c>
      <c r="J103">
        <v>314</v>
      </c>
      <c r="K103">
        <v>511</v>
      </c>
      <c r="L103">
        <v>834</v>
      </c>
      <c r="M103" s="2">
        <v>1190</v>
      </c>
      <c r="N103" s="2">
        <v>1593</v>
      </c>
      <c r="O103" s="2">
        <v>2151.7800000000002</v>
      </c>
      <c r="P103" s="2">
        <v>2454.58</v>
      </c>
      <c r="Q103" s="2">
        <v>2982.01</v>
      </c>
      <c r="R103" s="2">
        <v>3599.44</v>
      </c>
      <c r="S103" s="2">
        <v>4395.83</v>
      </c>
    </row>
    <row r="104" spans="1:19" x14ac:dyDescent="0.25">
      <c r="A104" t="s">
        <v>85</v>
      </c>
      <c r="O104">
        <v>26.92</v>
      </c>
      <c r="P104">
        <v>27.71</v>
      </c>
      <c r="Q104">
        <v>28.55</v>
      </c>
      <c r="R104">
        <v>29.93</v>
      </c>
      <c r="S104">
        <v>31.2</v>
      </c>
    </row>
    <row r="105" spans="1:19" x14ac:dyDescent="0.25">
      <c r="A105" t="s">
        <v>17</v>
      </c>
    </row>
    <row r="106" spans="1:19" x14ac:dyDescent="0.25">
      <c r="A106" t="s">
        <v>275</v>
      </c>
      <c r="H106">
        <v>275.72000000000003</v>
      </c>
      <c r="I106">
        <v>360.56</v>
      </c>
      <c r="J106">
        <v>542</v>
      </c>
      <c r="K106">
        <v>895</v>
      </c>
      <c r="L106" s="2">
        <v>1121</v>
      </c>
      <c r="M106" s="2">
        <v>1174</v>
      </c>
      <c r="N106" s="2">
        <v>1301</v>
      </c>
      <c r="O106" s="2">
        <v>1436.47</v>
      </c>
      <c r="P106" s="2">
        <v>1738.58</v>
      </c>
      <c r="Q106" s="2">
        <v>1983.55</v>
      </c>
      <c r="R106" s="2">
        <v>2256.54</v>
      </c>
      <c r="S106" s="2">
        <v>2728.84</v>
      </c>
    </row>
    <row r="107" spans="1:19" x14ac:dyDescent="0.25">
      <c r="A107" t="s">
        <v>83</v>
      </c>
      <c r="H107">
        <v>41.46</v>
      </c>
      <c r="I107">
        <v>43.8</v>
      </c>
      <c r="J107">
        <v>31.79</v>
      </c>
      <c r="K107">
        <v>32.770000000000003</v>
      </c>
      <c r="L107">
        <v>29</v>
      </c>
      <c r="M107">
        <v>23.67</v>
      </c>
      <c r="N107">
        <v>21.14</v>
      </c>
      <c r="O107">
        <v>19.89</v>
      </c>
      <c r="P107">
        <v>20.34</v>
      </c>
      <c r="Q107">
        <v>19.43</v>
      </c>
      <c r="R107">
        <v>18.14</v>
      </c>
    </row>
    <row r="108" spans="1:19" x14ac:dyDescent="0.25">
      <c r="A108" t="s">
        <v>387</v>
      </c>
      <c r="H108">
        <v>129.07</v>
      </c>
      <c r="I108">
        <v>139.33000000000001</v>
      </c>
      <c r="J108">
        <v>190</v>
      </c>
      <c r="K108">
        <v>319</v>
      </c>
      <c r="L108">
        <v>401</v>
      </c>
      <c r="M108">
        <v>470</v>
      </c>
      <c r="N108">
        <v>571</v>
      </c>
      <c r="O108">
        <v>658.3</v>
      </c>
      <c r="P108">
        <v>802.74</v>
      </c>
      <c r="Q108">
        <v>946.14</v>
      </c>
      <c r="R108" s="2">
        <v>1071.3800000000001</v>
      </c>
      <c r="S108" s="2">
        <v>1493.62</v>
      </c>
    </row>
    <row r="109" spans="1:19" x14ac:dyDescent="0.25">
      <c r="A109" t="s">
        <v>88</v>
      </c>
      <c r="H109">
        <v>82.68</v>
      </c>
      <c r="I109">
        <v>112.66</v>
      </c>
      <c r="J109">
        <v>189</v>
      </c>
      <c r="K109">
        <v>294</v>
      </c>
      <c r="L109">
        <v>362</v>
      </c>
      <c r="M109">
        <v>307</v>
      </c>
      <c r="N109">
        <v>344</v>
      </c>
      <c r="O109">
        <v>359.12</v>
      </c>
      <c r="P109">
        <v>430.13</v>
      </c>
      <c r="Q109">
        <v>475.8</v>
      </c>
      <c r="R109">
        <v>539.88</v>
      </c>
      <c r="S109">
        <v>565.16</v>
      </c>
    </row>
    <row r="110" spans="1:19" x14ac:dyDescent="0.25">
      <c r="A110" t="s">
        <v>89</v>
      </c>
      <c r="H110">
        <v>63.97</v>
      </c>
      <c r="I110">
        <v>108.57</v>
      </c>
      <c r="J110">
        <v>163</v>
      </c>
      <c r="K110">
        <v>282</v>
      </c>
      <c r="L110">
        <v>358</v>
      </c>
      <c r="M110">
        <v>351</v>
      </c>
      <c r="N110">
        <v>374</v>
      </c>
      <c r="O110">
        <v>426.43</v>
      </c>
      <c r="P110">
        <v>509.84</v>
      </c>
      <c r="Q110">
        <v>574.39</v>
      </c>
      <c r="R110">
        <v>645.09</v>
      </c>
      <c r="S110">
        <v>670.06</v>
      </c>
    </row>
    <row r="111" spans="1:19" x14ac:dyDescent="0.25">
      <c r="A111" t="s">
        <v>61</v>
      </c>
      <c r="H111">
        <v>9.6199999999999992</v>
      </c>
      <c r="I111">
        <v>13.19</v>
      </c>
      <c r="J111">
        <v>9.56</v>
      </c>
      <c r="K111">
        <v>10.33</v>
      </c>
      <c r="L111">
        <v>9.26</v>
      </c>
      <c r="M111">
        <v>7.08</v>
      </c>
      <c r="N111">
        <v>6.08</v>
      </c>
      <c r="O111">
        <v>5.8</v>
      </c>
      <c r="P111">
        <v>5.66</v>
      </c>
      <c r="Q111">
        <v>5.52</v>
      </c>
      <c r="R111">
        <v>5.47</v>
      </c>
    </row>
    <row r="112" spans="1:19" x14ac:dyDescent="0.25">
      <c r="A112" t="s">
        <v>17</v>
      </c>
    </row>
    <row r="113" spans="1:19" x14ac:dyDescent="0.25">
      <c r="A113" t="s">
        <v>91</v>
      </c>
      <c r="H113">
        <v>-213.37</v>
      </c>
      <c r="I113">
        <v>-220.15</v>
      </c>
      <c r="J113">
        <v>-228</v>
      </c>
      <c r="K113">
        <v>-384</v>
      </c>
      <c r="L113">
        <v>-287</v>
      </c>
      <c r="M113">
        <v>16</v>
      </c>
      <c r="N113">
        <v>292</v>
      </c>
      <c r="O113">
        <v>529.65</v>
      </c>
      <c r="P113">
        <v>723.76</v>
      </c>
      <c r="Q113">
        <v>988.23</v>
      </c>
      <c r="R113" s="2">
        <v>1343.86</v>
      </c>
      <c r="S113" s="2">
        <v>1666.99</v>
      </c>
    </row>
    <row r="114" spans="1:19" x14ac:dyDescent="0.25">
      <c r="A114" t="s">
        <v>92</v>
      </c>
      <c r="H114">
        <v>-32.08</v>
      </c>
      <c r="I114">
        <v>-26.74</v>
      </c>
      <c r="J114">
        <v>-13.37</v>
      </c>
      <c r="K114">
        <v>-14.06</v>
      </c>
      <c r="L114">
        <v>-7.43</v>
      </c>
      <c r="M114">
        <v>0.32</v>
      </c>
      <c r="N114">
        <v>4.75</v>
      </c>
      <c r="O114">
        <v>7.2</v>
      </c>
      <c r="P114">
        <v>8.26</v>
      </c>
      <c r="Q114">
        <v>9.5</v>
      </c>
      <c r="R114">
        <v>12.25</v>
      </c>
    </row>
    <row r="115" spans="1:19" x14ac:dyDescent="0.25">
      <c r="A115" t="s">
        <v>17</v>
      </c>
    </row>
    <row r="116" spans="1:19" x14ac:dyDescent="0.25">
      <c r="A116" t="s">
        <v>93</v>
      </c>
      <c r="H116">
        <v>6.84</v>
      </c>
      <c r="I116">
        <v>27.07</v>
      </c>
      <c r="J116">
        <v>21</v>
      </c>
      <c r="K116">
        <v>24</v>
      </c>
      <c r="L116">
        <v>32</v>
      </c>
      <c r="M116">
        <v>46</v>
      </c>
      <c r="N116">
        <v>64</v>
      </c>
      <c r="O116">
        <v>47.07</v>
      </c>
      <c r="P116">
        <v>56.82</v>
      </c>
      <c r="Q116">
        <v>68.28</v>
      </c>
      <c r="R116">
        <v>69.5</v>
      </c>
      <c r="S116">
        <v>75.150000000000006</v>
      </c>
    </row>
    <row r="117" spans="1:19" x14ac:dyDescent="0.25">
      <c r="A117" t="s">
        <v>83</v>
      </c>
      <c r="H117">
        <v>1.03</v>
      </c>
      <c r="I117">
        <v>3.29</v>
      </c>
      <c r="J117">
        <v>1.23</v>
      </c>
      <c r="K117">
        <v>0.88</v>
      </c>
      <c r="L117">
        <v>0.83</v>
      </c>
      <c r="M117">
        <v>0.93</v>
      </c>
      <c r="N117">
        <v>1.04</v>
      </c>
      <c r="O117">
        <v>0.67</v>
      </c>
      <c r="P117">
        <v>0.71</v>
      </c>
      <c r="Q117">
        <v>0.66</v>
      </c>
      <c r="R117">
        <v>0.52</v>
      </c>
      <c r="S117">
        <v>0.53</v>
      </c>
    </row>
    <row r="118" spans="1:19" x14ac:dyDescent="0.25">
      <c r="A118" t="s">
        <v>17</v>
      </c>
    </row>
    <row r="119" spans="1:19" x14ac:dyDescent="0.25">
      <c r="A119" t="s">
        <v>483</v>
      </c>
    </row>
    <row r="120" spans="1:19" x14ac:dyDescent="0.25">
      <c r="A120" t="s">
        <v>398</v>
      </c>
      <c r="H120">
        <v>2.11</v>
      </c>
      <c r="I120">
        <v>0.84</v>
      </c>
      <c r="J120">
        <v>0</v>
      </c>
      <c r="K120">
        <v>11</v>
      </c>
      <c r="L120">
        <v>37</v>
      </c>
      <c r="M120">
        <v>42</v>
      </c>
      <c r="N120">
        <v>51</v>
      </c>
      <c r="O120">
        <v>47.31</v>
      </c>
      <c r="P120">
        <v>54.97</v>
      </c>
      <c r="Q120">
        <v>68.010000000000005</v>
      </c>
      <c r="R120">
        <v>90.69</v>
      </c>
      <c r="S120">
        <v>143</v>
      </c>
    </row>
    <row r="121" spans="1:19" x14ac:dyDescent="0.25">
      <c r="A121" t="s">
        <v>686</v>
      </c>
      <c r="H121">
        <v>0</v>
      </c>
      <c r="I121">
        <v>7.28</v>
      </c>
      <c r="J121">
        <v>103</v>
      </c>
      <c r="K121">
        <v>0</v>
      </c>
      <c r="L121">
        <v>0</v>
      </c>
    </row>
    <row r="122" spans="1:19" x14ac:dyDescent="0.25">
      <c r="A122" t="s">
        <v>1957</v>
      </c>
      <c r="H122">
        <v>1.5</v>
      </c>
      <c r="I122">
        <v>8.2200000000000006</v>
      </c>
      <c r="J122">
        <v>97</v>
      </c>
      <c r="K122">
        <v>-95</v>
      </c>
      <c r="L122">
        <v>-3</v>
      </c>
      <c r="M122">
        <v>49</v>
      </c>
      <c r="N122">
        <v>-3</v>
      </c>
      <c r="O122">
        <v>-7.59</v>
      </c>
      <c r="P122">
        <v>-19.420000000000002</v>
      </c>
      <c r="Q122">
        <v>-31.12</v>
      </c>
    </row>
    <row r="123" spans="1:19" x14ac:dyDescent="0.25">
      <c r="A123" t="s">
        <v>99</v>
      </c>
      <c r="H123">
        <v>-0.67</v>
      </c>
      <c r="I123">
        <v>27.8</v>
      </c>
      <c r="J123">
        <v>262</v>
      </c>
      <c r="K123">
        <v>-107</v>
      </c>
      <c r="L123">
        <v>-43</v>
      </c>
      <c r="M123">
        <v>-6</v>
      </c>
      <c r="N123">
        <v>-54</v>
      </c>
      <c r="O123">
        <v>-58.11</v>
      </c>
      <c r="P123">
        <v>-58.16</v>
      </c>
      <c r="Q123">
        <v>-87.27</v>
      </c>
    </row>
    <row r="124" spans="1:19" x14ac:dyDescent="0.25">
      <c r="A124" t="s">
        <v>17</v>
      </c>
    </row>
    <row r="125" spans="1:19" x14ac:dyDescent="0.25">
      <c r="A125" t="s">
        <v>100</v>
      </c>
      <c r="J125">
        <v>-322</v>
      </c>
      <c r="K125">
        <v>-273</v>
      </c>
      <c r="L125">
        <v>-244</v>
      </c>
      <c r="M125">
        <v>22</v>
      </c>
      <c r="N125">
        <v>346</v>
      </c>
      <c r="O125">
        <v>611.16999999999996</v>
      </c>
      <c r="P125">
        <v>840.56</v>
      </c>
      <c r="Q125" s="2">
        <v>1149.33</v>
      </c>
      <c r="R125" s="2">
        <v>1433.4</v>
      </c>
      <c r="S125" s="2">
        <v>1810</v>
      </c>
    </row>
    <row r="126" spans="1:19" x14ac:dyDescent="0.25">
      <c r="A126" t="s">
        <v>17</v>
      </c>
    </row>
    <row r="127" spans="1:19" x14ac:dyDescent="0.25">
      <c r="A127" t="s">
        <v>101</v>
      </c>
      <c r="H127">
        <v>-3.25</v>
      </c>
      <c r="I127">
        <v>0.26</v>
      </c>
      <c r="J127">
        <v>-3</v>
      </c>
      <c r="K127">
        <v>-2</v>
      </c>
      <c r="L127">
        <v>2</v>
      </c>
      <c r="M127">
        <v>3</v>
      </c>
      <c r="N127">
        <v>4</v>
      </c>
      <c r="O127">
        <v>25.69</v>
      </c>
      <c r="P127">
        <v>71.95</v>
      </c>
      <c r="Q127">
        <v>143.80000000000001</v>
      </c>
      <c r="R127">
        <v>168.32</v>
      </c>
      <c r="S127">
        <v>380.1</v>
      </c>
    </row>
    <row r="128" spans="1:19" x14ac:dyDescent="0.25">
      <c r="A128" t="s">
        <v>102</v>
      </c>
      <c r="H128">
        <v>1.5</v>
      </c>
      <c r="I128">
        <v>-0.1</v>
      </c>
      <c r="J128">
        <v>0.5</v>
      </c>
      <c r="K128">
        <v>0.6</v>
      </c>
      <c r="L128">
        <v>-0.8</v>
      </c>
      <c r="M128">
        <v>11.5</v>
      </c>
      <c r="N128">
        <v>4</v>
      </c>
      <c r="O128">
        <v>3.31</v>
      </c>
      <c r="P128">
        <v>4.21</v>
      </c>
      <c r="Q128">
        <v>4.5599999999999996</v>
      </c>
      <c r="R128">
        <v>0.5</v>
      </c>
      <c r="S128">
        <v>21</v>
      </c>
    </row>
    <row r="129" spans="1:19" x14ac:dyDescent="0.25">
      <c r="A129" t="s">
        <v>17</v>
      </c>
    </row>
    <row r="130" spans="1:19" x14ac:dyDescent="0.25">
      <c r="A130" t="s">
        <v>106</v>
      </c>
      <c r="J130">
        <v>-487</v>
      </c>
      <c r="K130">
        <v>-275</v>
      </c>
      <c r="L130">
        <v>-246</v>
      </c>
      <c r="M130">
        <v>19</v>
      </c>
      <c r="N130">
        <v>342</v>
      </c>
      <c r="O130">
        <v>558.77</v>
      </c>
      <c r="P130">
        <v>713.91</v>
      </c>
      <c r="Q130">
        <v>933.54</v>
      </c>
      <c r="R130" s="2">
        <v>1229.75</v>
      </c>
      <c r="S130" s="2">
        <v>1430</v>
      </c>
    </row>
    <row r="131" spans="1:19" x14ac:dyDescent="0.25">
      <c r="A131" t="s">
        <v>107</v>
      </c>
      <c r="H131">
        <v>-31.49</v>
      </c>
      <c r="I131">
        <v>-30.25</v>
      </c>
      <c r="J131">
        <v>-28.56</v>
      </c>
      <c r="K131">
        <v>-10.07</v>
      </c>
      <c r="L131">
        <v>-6.36</v>
      </c>
      <c r="M131">
        <v>0.38</v>
      </c>
      <c r="N131">
        <v>5.56</v>
      </c>
      <c r="O131">
        <v>7.66</v>
      </c>
      <c r="P131">
        <v>8.57</v>
      </c>
      <c r="Q131">
        <v>9.6199999999999992</v>
      </c>
      <c r="R131">
        <v>11.35</v>
      </c>
    </row>
    <row r="132" spans="1:19" x14ac:dyDescent="0.25">
      <c r="A132" t="s">
        <v>17</v>
      </c>
    </row>
    <row r="133" spans="1:19" x14ac:dyDescent="0.25">
      <c r="A133" t="s">
        <v>108</v>
      </c>
      <c r="H133">
        <v>194.82</v>
      </c>
      <c r="I133">
        <v>199.98</v>
      </c>
      <c r="J133">
        <v>289.58</v>
      </c>
      <c r="K133">
        <v>511.75</v>
      </c>
      <c r="L133">
        <v>532</v>
      </c>
      <c r="M133">
        <v>559</v>
      </c>
      <c r="N133">
        <v>582</v>
      </c>
      <c r="O133">
        <v>584.84</v>
      </c>
      <c r="P133">
        <v>582.21</v>
      </c>
      <c r="Q133">
        <v>563.79</v>
      </c>
      <c r="R133">
        <v>579.80999999999995</v>
      </c>
      <c r="S133">
        <v>477.55</v>
      </c>
    </row>
    <row r="134" spans="1:19" x14ac:dyDescent="0.25">
      <c r="A134" t="s">
        <v>17</v>
      </c>
    </row>
    <row r="135" spans="1:19" x14ac:dyDescent="0.25">
      <c r="A135" t="s">
        <v>109</v>
      </c>
      <c r="H135">
        <v>194.82</v>
      </c>
      <c r="I135">
        <v>199.98</v>
      </c>
      <c r="J135">
        <v>289.58</v>
      </c>
      <c r="K135">
        <v>512.24</v>
      </c>
      <c r="L135">
        <v>533</v>
      </c>
      <c r="M135">
        <v>591</v>
      </c>
      <c r="N135">
        <v>607</v>
      </c>
      <c r="O135">
        <v>590.09</v>
      </c>
      <c r="P135">
        <v>586.52</v>
      </c>
      <c r="Q135">
        <v>568.19000000000005</v>
      </c>
      <c r="R135">
        <v>573.66</v>
      </c>
      <c r="S135">
        <v>453.42</v>
      </c>
    </row>
    <row r="136" spans="1:19" x14ac:dyDescent="0.25">
      <c r="A136" t="s">
        <v>110</v>
      </c>
      <c r="I136">
        <v>-1.25</v>
      </c>
      <c r="J136">
        <v>-1.68</v>
      </c>
      <c r="K136">
        <v>-0.72</v>
      </c>
      <c r="L136">
        <v>-0.47</v>
      </c>
      <c r="M136">
        <v>0.03</v>
      </c>
      <c r="N136">
        <v>0.56000000000000005</v>
      </c>
      <c r="O136">
        <v>0.95</v>
      </c>
      <c r="P136">
        <v>1.18</v>
      </c>
      <c r="Q136">
        <v>1.59</v>
      </c>
      <c r="R136">
        <v>2.16</v>
      </c>
      <c r="S136">
        <v>2.85</v>
      </c>
    </row>
    <row r="137" spans="1:19" x14ac:dyDescent="0.25">
      <c r="A137" t="s">
        <v>17</v>
      </c>
    </row>
    <row r="138" spans="1:19" x14ac:dyDescent="0.25">
      <c r="A138" t="s">
        <v>274</v>
      </c>
    </row>
    <row r="139" spans="1:19" x14ac:dyDescent="0.25">
      <c r="A139" t="s">
        <v>601</v>
      </c>
      <c r="J139" s="2">
        <v>1364</v>
      </c>
      <c r="K139" s="2">
        <v>2169</v>
      </c>
      <c r="L139" s="2">
        <v>2962</v>
      </c>
      <c r="M139" s="2">
        <v>3689</v>
      </c>
      <c r="N139" s="2">
        <v>4463</v>
      </c>
      <c r="O139" s="2">
        <v>5408.65</v>
      </c>
      <c r="P139" s="2">
        <v>6368.77</v>
      </c>
      <c r="Q139" s="2">
        <v>7343.81</v>
      </c>
      <c r="R139" s="2">
        <v>8663.7199999999993</v>
      </c>
    </row>
    <row r="140" spans="1:19" x14ac:dyDescent="0.25">
      <c r="A140" t="s">
        <v>63</v>
      </c>
      <c r="J140">
        <v>341</v>
      </c>
      <c r="K140">
        <v>562</v>
      </c>
      <c r="L140">
        <v>903</v>
      </c>
      <c r="M140" s="2">
        <v>1271</v>
      </c>
      <c r="N140" s="2">
        <v>1690</v>
      </c>
      <c r="O140" s="2">
        <v>2077.92</v>
      </c>
      <c r="P140" s="2">
        <v>2524.7399999999998</v>
      </c>
      <c r="Q140" s="2">
        <v>3077.72</v>
      </c>
      <c r="R140" s="2">
        <v>3702.42</v>
      </c>
      <c r="S140" s="2">
        <v>4523.72</v>
      </c>
    </row>
    <row r="141" spans="1:19" x14ac:dyDescent="0.25">
      <c r="A141" t="s">
        <v>64</v>
      </c>
      <c r="J141">
        <v>18.420000000000002</v>
      </c>
      <c r="K141">
        <v>20.58</v>
      </c>
      <c r="L141">
        <v>23.36</v>
      </c>
      <c r="M141">
        <v>25.63</v>
      </c>
      <c r="N141">
        <v>27.47</v>
      </c>
      <c r="O141">
        <v>27.89</v>
      </c>
      <c r="P141">
        <v>28.51</v>
      </c>
      <c r="Q141">
        <v>29.43</v>
      </c>
      <c r="R141">
        <v>30.36</v>
      </c>
      <c r="S141">
        <v>32.11</v>
      </c>
    </row>
    <row r="142" spans="1:19" x14ac:dyDescent="0.25">
      <c r="A142" t="s">
        <v>283</v>
      </c>
      <c r="J142">
        <v>384</v>
      </c>
      <c r="K142">
        <v>680</v>
      </c>
      <c r="L142">
        <v>845</v>
      </c>
      <c r="M142">
        <v>897</v>
      </c>
      <c r="N142" s="2">
        <v>1057</v>
      </c>
      <c r="O142" s="2">
        <v>1240.1300000000001</v>
      </c>
      <c r="P142" s="2">
        <v>1463.46</v>
      </c>
      <c r="Q142" s="2">
        <v>1694.85</v>
      </c>
      <c r="R142" s="2">
        <v>1911.52</v>
      </c>
      <c r="S142" s="2">
        <v>2265.4299999999998</v>
      </c>
    </row>
    <row r="143" spans="1:19" x14ac:dyDescent="0.25">
      <c r="A143" t="s">
        <v>114</v>
      </c>
      <c r="J143">
        <v>112</v>
      </c>
      <c r="K143">
        <v>207</v>
      </c>
      <c r="L143">
        <v>257</v>
      </c>
      <c r="M143">
        <v>259</v>
      </c>
      <c r="N143">
        <v>277</v>
      </c>
      <c r="O143">
        <v>336</v>
      </c>
      <c r="P143">
        <v>394.18</v>
      </c>
      <c r="Q143">
        <v>445.4</v>
      </c>
      <c r="R143">
        <v>496.43</v>
      </c>
      <c r="S143">
        <v>461.04</v>
      </c>
    </row>
    <row r="144" spans="1:19" x14ac:dyDescent="0.25">
      <c r="A144" t="s">
        <v>76</v>
      </c>
      <c r="J144">
        <v>6.57</v>
      </c>
      <c r="K144">
        <v>7.58</v>
      </c>
      <c r="L144">
        <v>6.65</v>
      </c>
      <c r="M144">
        <v>5.22</v>
      </c>
      <c r="N144">
        <v>4.5</v>
      </c>
      <c r="O144">
        <v>4.5</v>
      </c>
      <c r="P144">
        <v>4.45</v>
      </c>
      <c r="Q144">
        <v>4.34</v>
      </c>
      <c r="R144">
        <v>4.24</v>
      </c>
    </row>
    <row r="145" spans="1:19" x14ac:dyDescent="0.25">
      <c r="A145" t="s">
        <v>1958</v>
      </c>
      <c r="J145">
        <v>165</v>
      </c>
      <c r="K145">
        <v>265</v>
      </c>
      <c r="L145">
        <v>337</v>
      </c>
      <c r="M145">
        <v>409</v>
      </c>
      <c r="N145">
        <v>508</v>
      </c>
      <c r="O145">
        <v>612.55999999999995</v>
      </c>
      <c r="P145">
        <v>726.68</v>
      </c>
      <c r="Q145">
        <v>874.51</v>
      </c>
      <c r="R145" s="2">
        <v>1026.5999999999999</v>
      </c>
      <c r="S145" s="2">
        <v>1369.14</v>
      </c>
    </row>
    <row r="146" spans="1:19" x14ac:dyDescent="0.25">
      <c r="A146" t="s">
        <v>115</v>
      </c>
      <c r="J146">
        <v>107</v>
      </c>
      <c r="K146">
        <v>208</v>
      </c>
      <c r="L146">
        <v>251</v>
      </c>
      <c r="M146">
        <v>229</v>
      </c>
      <c r="N146">
        <v>272</v>
      </c>
      <c r="O146">
        <v>303.39999999999998</v>
      </c>
      <c r="P146">
        <v>350.32</v>
      </c>
      <c r="Q146">
        <v>378.09</v>
      </c>
      <c r="R146">
        <v>434.61</v>
      </c>
      <c r="S146">
        <v>435.25</v>
      </c>
    </row>
    <row r="147" spans="1:19" x14ac:dyDescent="0.25">
      <c r="A147" t="s">
        <v>116</v>
      </c>
      <c r="J147">
        <v>-63</v>
      </c>
      <c r="K147">
        <v>-139</v>
      </c>
      <c r="L147">
        <v>29</v>
      </c>
      <c r="M147">
        <v>327</v>
      </c>
      <c r="N147">
        <v>292</v>
      </c>
      <c r="O147">
        <v>558.36</v>
      </c>
      <c r="P147">
        <v>779.56</v>
      </c>
      <c r="Q147" s="2">
        <v>1098.57</v>
      </c>
      <c r="R147" s="2">
        <v>1365</v>
      </c>
    </row>
    <row r="148" spans="1:19" x14ac:dyDescent="0.25">
      <c r="A148" t="s">
        <v>117</v>
      </c>
      <c r="J148">
        <v>-42</v>
      </c>
      <c r="K148">
        <v>-115</v>
      </c>
      <c r="L148">
        <v>61</v>
      </c>
      <c r="M148">
        <v>373</v>
      </c>
      <c r="N148">
        <v>633</v>
      </c>
      <c r="O148">
        <v>824</v>
      </c>
      <c r="P148" s="2">
        <v>1052.56</v>
      </c>
      <c r="Q148" s="2">
        <v>1349.88</v>
      </c>
      <c r="R148" s="2">
        <v>1659.2</v>
      </c>
      <c r="S148" s="2">
        <v>2258</v>
      </c>
    </row>
    <row r="149" spans="1:19" x14ac:dyDescent="0.25">
      <c r="A149" t="s">
        <v>286</v>
      </c>
      <c r="H149">
        <v>-25.86</v>
      </c>
      <c r="I149">
        <v>-11.42</v>
      </c>
      <c r="J149">
        <v>-2.46</v>
      </c>
      <c r="K149">
        <v>-16.2</v>
      </c>
      <c r="L149">
        <v>5.8</v>
      </c>
      <c r="M149">
        <v>26</v>
      </c>
      <c r="N149">
        <v>34</v>
      </c>
      <c r="O149">
        <v>34.81</v>
      </c>
      <c r="P149">
        <v>36.590000000000003</v>
      </c>
      <c r="Q149">
        <v>40.14</v>
      </c>
      <c r="R149">
        <v>42.77</v>
      </c>
      <c r="S149">
        <v>47.16</v>
      </c>
    </row>
    <row r="150" spans="1:19" x14ac:dyDescent="0.25">
      <c r="A150" t="s">
        <v>1959</v>
      </c>
      <c r="J150">
        <v>-487</v>
      </c>
      <c r="K150">
        <v>-275</v>
      </c>
      <c r="L150">
        <v>-246</v>
      </c>
      <c r="M150">
        <v>19</v>
      </c>
      <c r="N150">
        <v>342</v>
      </c>
      <c r="O150">
        <v>626.15</v>
      </c>
      <c r="P150">
        <v>768.33</v>
      </c>
      <c r="Q150" s="2">
        <v>1019.94</v>
      </c>
      <c r="R150" s="2">
        <v>1227.5</v>
      </c>
      <c r="S150" s="2">
        <v>1430</v>
      </c>
    </row>
    <row r="151" spans="1:19" x14ac:dyDescent="0.25">
      <c r="A151" t="s">
        <v>124</v>
      </c>
      <c r="J151">
        <v>-1.68</v>
      </c>
      <c r="K151">
        <v>-0.72</v>
      </c>
      <c r="L151">
        <v>-0.47</v>
      </c>
      <c r="M151">
        <v>0.03</v>
      </c>
      <c r="N151">
        <v>0.56000000000000005</v>
      </c>
      <c r="O151">
        <v>1.06</v>
      </c>
      <c r="P151">
        <v>1.36</v>
      </c>
      <c r="Q151">
        <v>1.84</v>
      </c>
      <c r="R151">
        <v>2.19</v>
      </c>
      <c r="S151">
        <v>2.99</v>
      </c>
    </row>
    <row r="152" spans="1:19" x14ac:dyDescent="0.25">
      <c r="A152" t="s">
        <v>17</v>
      </c>
    </row>
    <row r="153" spans="1:19" x14ac:dyDescent="0.25">
      <c r="A153" t="s">
        <v>125</v>
      </c>
    </row>
    <row r="154" spans="1:19" x14ac:dyDescent="0.25">
      <c r="A154" t="s">
        <v>67</v>
      </c>
      <c r="H154">
        <v>33.71</v>
      </c>
      <c r="I154">
        <v>86.36</v>
      </c>
      <c r="J154">
        <v>144</v>
      </c>
      <c r="K154">
        <v>233</v>
      </c>
      <c r="L154">
        <v>288</v>
      </c>
      <c r="M154">
        <v>253</v>
      </c>
      <c r="N154">
        <v>255</v>
      </c>
      <c r="O154">
        <v>239.83</v>
      </c>
      <c r="P154">
        <v>275.79000000000002</v>
      </c>
      <c r="Q154">
        <v>311.64999999999998</v>
      </c>
      <c r="R154">
        <v>335.02</v>
      </c>
      <c r="S154">
        <v>516.15</v>
      </c>
    </row>
    <row r="155" spans="1:19" x14ac:dyDescent="0.25">
      <c r="A155" t="s">
        <v>61</v>
      </c>
      <c r="H155">
        <v>5.07</v>
      </c>
      <c r="I155">
        <v>10.49</v>
      </c>
      <c r="J155">
        <v>8.2100000000000009</v>
      </c>
      <c r="K155">
        <v>8.35</v>
      </c>
      <c r="L155">
        <v>7.17</v>
      </c>
      <c r="M155">
        <v>5.0999999999999996</v>
      </c>
      <c r="N155">
        <v>3.93</v>
      </c>
      <c r="O155">
        <v>2.5299999999999998</v>
      </c>
      <c r="P155">
        <v>2.39</v>
      </c>
      <c r="Q155">
        <v>1.72</v>
      </c>
      <c r="R155">
        <v>1.55</v>
      </c>
    </row>
    <row r="156" spans="1:19" x14ac:dyDescent="0.25">
      <c r="A156" t="s">
        <v>128</v>
      </c>
      <c r="H156">
        <v>0.46</v>
      </c>
      <c r="I156">
        <v>7.3</v>
      </c>
      <c r="J156">
        <v>12</v>
      </c>
      <c r="K156">
        <v>33</v>
      </c>
      <c r="L156">
        <v>43</v>
      </c>
      <c r="M156">
        <v>40</v>
      </c>
      <c r="N156">
        <v>38</v>
      </c>
      <c r="O156">
        <v>31.07</v>
      </c>
      <c r="P156">
        <v>37.909999999999997</v>
      </c>
      <c r="Q156">
        <v>42.04</v>
      </c>
      <c r="R156">
        <v>53.92</v>
      </c>
      <c r="S156">
        <v>65.95</v>
      </c>
    </row>
    <row r="157" spans="1:19" x14ac:dyDescent="0.25">
      <c r="A157" t="s">
        <v>114</v>
      </c>
      <c r="H157">
        <v>3.37</v>
      </c>
      <c r="I157">
        <v>30</v>
      </c>
      <c r="J157">
        <v>48</v>
      </c>
      <c r="K157">
        <v>72</v>
      </c>
      <c r="L157">
        <v>94</v>
      </c>
      <c r="M157">
        <v>84</v>
      </c>
      <c r="N157">
        <v>94</v>
      </c>
      <c r="O157">
        <v>91.72</v>
      </c>
      <c r="P157">
        <v>106.62</v>
      </c>
      <c r="Q157">
        <v>121.5</v>
      </c>
      <c r="R157">
        <v>135.86000000000001</v>
      </c>
      <c r="S157">
        <v>203.4</v>
      </c>
    </row>
    <row r="158" spans="1:19" x14ac:dyDescent="0.25">
      <c r="A158" t="s">
        <v>129</v>
      </c>
      <c r="H158">
        <v>1.17</v>
      </c>
      <c r="I158">
        <v>16.3</v>
      </c>
      <c r="J158">
        <v>24</v>
      </c>
      <c r="K158">
        <v>50</v>
      </c>
      <c r="L158">
        <v>58</v>
      </c>
      <c r="M158">
        <v>54</v>
      </c>
      <c r="N158">
        <v>60</v>
      </c>
      <c r="O158">
        <v>57.61</v>
      </c>
      <c r="P158">
        <v>68.63</v>
      </c>
      <c r="Q158">
        <v>79.02</v>
      </c>
      <c r="R158">
        <v>91.01</v>
      </c>
      <c r="S158">
        <v>121.46</v>
      </c>
    </row>
    <row r="159" spans="1:19" x14ac:dyDescent="0.25">
      <c r="A159" t="s">
        <v>115</v>
      </c>
      <c r="H159">
        <v>28.71</v>
      </c>
      <c r="I159">
        <v>32.76</v>
      </c>
      <c r="J159">
        <v>58</v>
      </c>
      <c r="K159">
        <v>73</v>
      </c>
      <c r="L159">
        <v>82</v>
      </c>
      <c r="M159">
        <v>63</v>
      </c>
      <c r="N159">
        <v>63</v>
      </c>
      <c r="O159">
        <v>58.47</v>
      </c>
      <c r="P159">
        <v>68.67</v>
      </c>
      <c r="Q159">
        <v>81.39</v>
      </c>
      <c r="R159">
        <v>88.89</v>
      </c>
      <c r="S159">
        <v>125.34</v>
      </c>
    </row>
    <row r="160" spans="1:19" x14ac:dyDescent="0.25">
      <c r="A160" t="s">
        <v>396</v>
      </c>
      <c r="H160">
        <v>4.25</v>
      </c>
      <c r="I160">
        <v>8.2899999999999991</v>
      </c>
      <c r="J160">
        <v>4</v>
      </c>
      <c r="K160">
        <v>5</v>
      </c>
      <c r="L160">
        <v>5</v>
      </c>
      <c r="M160">
        <v>5</v>
      </c>
      <c r="N160">
        <v>5</v>
      </c>
      <c r="O160">
        <v>3.91</v>
      </c>
      <c r="P160">
        <v>4.3099999999999996</v>
      </c>
      <c r="Q160">
        <v>4.24</v>
      </c>
      <c r="R160">
        <v>4.25</v>
      </c>
      <c r="S160">
        <v>5.62</v>
      </c>
    </row>
    <row r="161" spans="1:19" x14ac:dyDescent="0.25">
      <c r="A161" t="s">
        <v>131</v>
      </c>
    </row>
    <row r="162" spans="1:19" x14ac:dyDescent="0.25">
      <c r="A162" t="s">
        <v>1960</v>
      </c>
      <c r="I162">
        <v>2.77</v>
      </c>
      <c r="J162">
        <v>1</v>
      </c>
      <c r="K162">
        <v>-1</v>
      </c>
      <c r="L162">
        <v>14</v>
      </c>
      <c r="M162">
        <v>5</v>
      </c>
      <c r="N162">
        <v>1</v>
      </c>
      <c r="O162">
        <v>0</v>
      </c>
      <c r="P162">
        <v>0</v>
      </c>
    </row>
    <row r="163" spans="1:19" x14ac:dyDescent="0.25">
      <c r="A163" t="s">
        <v>1961</v>
      </c>
      <c r="H163">
        <v>1.25</v>
      </c>
      <c r="I163">
        <v>12.89</v>
      </c>
      <c r="J163">
        <v>5</v>
      </c>
      <c r="K163">
        <v>4</v>
      </c>
      <c r="L163">
        <v>15</v>
      </c>
      <c r="M163">
        <v>47</v>
      </c>
      <c r="N163">
        <v>12</v>
      </c>
      <c r="O163">
        <v>3.48</v>
      </c>
      <c r="P163">
        <v>3.99</v>
      </c>
      <c r="Q163">
        <v>5.07</v>
      </c>
      <c r="R163">
        <v>6.5</v>
      </c>
      <c r="S163">
        <v>4</v>
      </c>
    </row>
    <row r="164" spans="1:19" x14ac:dyDescent="0.25">
      <c r="A164" t="s">
        <v>17</v>
      </c>
    </row>
    <row r="165" spans="1:19" x14ac:dyDescent="0.25">
      <c r="A165" t="s">
        <v>134</v>
      </c>
    </row>
    <row r="166" spans="1:19" x14ac:dyDescent="0.25">
      <c r="A166" t="s">
        <v>135</v>
      </c>
    </row>
    <row r="167" spans="1:19" x14ac:dyDescent="0.25">
      <c r="A167" t="s">
        <v>136</v>
      </c>
      <c r="H167">
        <v>228.47</v>
      </c>
      <c r="I167">
        <v>673.06</v>
      </c>
      <c r="J167" s="2">
        <v>1485</v>
      </c>
      <c r="K167" s="2">
        <v>1407</v>
      </c>
      <c r="L167" s="2">
        <v>1570</v>
      </c>
      <c r="M167" s="2">
        <v>1975</v>
      </c>
      <c r="N167" s="2">
        <v>2669</v>
      </c>
      <c r="O167" s="2">
        <v>3082.04</v>
      </c>
      <c r="P167" s="2">
        <v>3923.03</v>
      </c>
      <c r="Q167" s="2">
        <v>4652.42</v>
      </c>
      <c r="R167" s="2">
        <v>6131.67</v>
      </c>
      <c r="S167" s="2">
        <v>3243.78</v>
      </c>
    </row>
    <row r="168" spans="1:19" x14ac:dyDescent="0.25">
      <c r="A168" t="s">
        <v>137</v>
      </c>
      <c r="H168">
        <v>150.37</v>
      </c>
      <c r="I168">
        <v>581.82000000000005</v>
      </c>
      <c r="J168" s="2">
        <v>1266</v>
      </c>
      <c r="K168" s="2">
        <v>1021</v>
      </c>
      <c r="L168" s="2">
        <v>1124</v>
      </c>
      <c r="M168" s="2">
        <v>1417</v>
      </c>
      <c r="N168" s="2">
        <v>1991</v>
      </c>
      <c r="O168" s="2">
        <v>2084.9699999999998</v>
      </c>
      <c r="P168" s="2">
        <v>2709.89</v>
      </c>
      <c r="Q168" s="2">
        <v>3581.72</v>
      </c>
      <c r="R168" s="2">
        <v>6151.08</v>
      </c>
    </row>
    <row r="169" spans="1:19" x14ac:dyDescent="0.25">
      <c r="A169" t="s">
        <v>139</v>
      </c>
      <c r="H169">
        <v>150.37</v>
      </c>
      <c r="I169">
        <v>581.82000000000005</v>
      </c>
      <c r="J169">
        <v>809</v>
      </c>
      <c r="K169">
        <v>547</v>
      </c>
      <c r="L169">
        <v>605</v>
      </c>
      <c r="M169">
        <v>903</v>
      </c>
      <c r="N169" s="2">
        <v>1353</v>
      </c>
      <c r="O169" s="2">
        <v>1469.9</v>
      </c>
      <c r="P169" s="2">
        <v>2149.6999999999998</v>
      </c>
      <c r="Q169" s="2">
        <v>2597.31</v>
      </c>
      <c r="R169" s="2">
        <v>3758.52</v>
      </c>
      <c r="S169" s="2">
        <v>1042.44</v>
      </c>
    </row>
    <row r="170" spans="1:19" x14ac:dyDescent="0.25">
      <c r="A170" t="s">
        <v>140</v>
      </c>
      <c r="J170">
        <v>457</v>
      </c>
      <c r="K170">
        <v>474</v>
      </c>
      <c r="L170">
        <v>519</v>
      </c>
      <c r="M170">
        <v>514</v>
      </c>
      <c r="N170">
        <v>638</v>
      </c>
      <c r="O170">
        <v>677.17</v>
      </c>
      <c r="P170">
        <v>696.22</v>
      </c>
      <c r="Q170">
        <v>743.24</v>
      </c>
      <c r="R170">
        <v>762.79</v>
      </c>
      <c r="S170">
        <v>834.91</v>
      </c>
    </row>
    <row r="171" spans="1:19" x14ac:dyDescent="0.25">
      <c r="A171" t="s">
        <v>141</v>
      </c>
      <c r="H171">
        <v>15.09</v>
      </c>
      <c r="I171">
        <v>32.630000000000003</v>
      </c>
      <c r="J171">
        <v>55</v>
      </c>
      <c r="K171">
        <v>77</v>
      </c>
      <c r="L171">
        <v>69</v>
      </c>
      <c r="M171">
        <v>115</v>
      </c>
      <c r="N171">
        <v>127</v>
      </c>
      <c r="O171">
        <v>169.06</v>
      </c>
      <c r="P171">
        <v>202.07</v>
      </c>
      <c r="Q171">
        <v>236.93</v>
      </c>
      <c r="R171">
        <v>251.97</v>
      </c>
      <c r="S171">
        <v>281.3</v>
      </c>
    </row>
    <row r="172" spans="1:19" x14ac:dyDescent="0.25">
      <c r="A172" t="s">
        <v>340</v>
      </c>
      <c r="H172">
        <v>15.39</v>
      </c>
      <c r="I172">
        <v>19.329999999999998</v>
      </c>
      <c r="J172">
        <v>42</v>
      </c>
      <c r="K172">
        <v>110</v>
      </c>
      <c r="L172">
        <v>118</v>
      </c>
      <c r="M172">
        <v>118</v>
      </c>
      <c r="N172">
        <v>114</v>
      </c>
      <c r="O172">
        <v>208.46</v>
      </c>
      <c r="P172">
        <v>237.03</v>
      </c>
      <c r="Q172">
        <v>245.71</v>
      </c>
      <c r="R172">
        <v>273.13</v>
      </c>
      <c r="S172">
        <v>253.38</v>
      </c>
    </row>
    <row r="173" spans="1:19" x14ac:dyDescent="0.25">
      <c r="A173" t="s">
        <v>203</v>
      </c>
      <c r="H173">
        <v>36.01</v>
      </c>
      <c r="I173">
        <v>21.61</v>
      </c>
      <c r="J173">
        <v>92</v>
      </c>
      <c r="K173">
        <v>155</v>
      </c>
      <c r="L173">
        <v>0</v>
      </c>
      <c r="M173">
        <v>0</v>
      </c>
      <c r="N173">
        <v>0</v>
      </c>
      <c r="O173">
        <v>552.30999999999995</v>
      </c>
      <c r="P173">
        <v>621.87</v>
      </c>
      <c r="Q173">
        <v>677.31</v>
      </c>
      <c r="R173">
        <v>780.38</v>
      </c>
    </row>
    <row r="174" spans="1:19" x14ac:dyDescent="0.25">
      <c r="A174" t="s">
        <v>145</v>
      </c>
      <c r="J174">
        <v>30</v>
      </c>
      <c r="K174">
        <v>44</v>
      </c>
      <c r="L174">
        <v>259</v>
      </c>
      <c r="M174">
        <v>325</v>
      </c>
      <c r="N174">
        <v>437</v>
      </c>
    </row>
    <row r="175" spans="1:19" x14ac:dyDescent="0.25">
      <c r="A175" t="s">
        <v>146</v>
      </c>
      <c r="H175">
        <v>77.28</v>
      </c>
      <c r="I175">
        <v>102.89</v>
      </c>
      <c r="J175">
        <v>250</v>
      </c>
      <c r="K175">
        <v>354</v>
      </c>
      <c r="L175">
        <v>388</v>
      </c>
      <c r="M175">
        <v>433</v>
      </c>
      <c r="N175">
        <v>476</v>
      </c>
      <c r="O175">
        <v>537.17999999999995</v>
      </c>
      <c r="P175">
        <v>564.54</v>
      </c>
      <c r="Q175">
        <v>608.45000000000005</v>
      </c>
      <c r="R175">
        <v>646.99</v>
      </c>
      <c r="S175">
        <v>410.21</v>
      </c>
    </row>
    <row r="176" spans="1:19" x14ac:dyDescent="0.25">
      <c r="A176" t="s">
        <v>409</v>
      </c>
      <c r="H176">
        <v>19.96</v>
      </c>
      <c r="I176">
        <v>34.06</v>
      </c>
      <c r="J176">
        <v>41</v>
      </c>
      <c r="K176">
        <v>61</v>
      </c>
      <c r="L176">
        <v>75</v>
      </c>
      <c r="M176">
        <v>98</v>
      </c>
      <c r="N176">
        <v>105</v>
      </c>
      <c r="O176">
        <v>145.65</v>
      </c>
      <c r="P176">
        <v>156.63999999999999</v>
      </c>
      <c r="Q176">
        <v>183.54</v>
      </c>
      <c r="R176">
        <v>190.62</v>
      </c>
      <c r="S176">
        <v>39.21</v>
      </c>
    </row>
    <row r="177" spans="1:19" x14ac:dyDescent="0.25">
      <c r="A177" t="s">
        <v>310</v>
      </c>
      <c r="J177">
        <v>79</v>
      </c>
      <c r="K177">
        <v>77</v>
      </c>
      <c r="L177">
        <v>36</v>
      </c>
      <c r="M177">
        <v>25</v>
      </c>
      <c r="N177">
        <v>27</v>
      </c>
      <c r="O177">
        <v>20.5</v>
      </c>
      <c r="P177">
        <v>20.5</v>
      </c>
      <c r="Q177">
        <v>27.16</v>
      </c>
      <c r="R177">
        <v>28.74</v>
      </c>
    </row>
    <row r="178" spans="1:19" x14ac:dyDescent="0.25">
      <c r="A178" t="s">
        <v>691</v>
      </c>
      <c r="J178">
        <v>25</v>
      </c>
      <c r="K178">
        <v>38</v>
      </c>
      <c r="L178">
        <v>0</v>
      </c>
      <c r="M178">
        <v>0</v>
      </c>
      <c r="N178">
        <v>0</v>
      </c>
      <c r="O178">
        <v>78.349999999999994</v>
      </c>
      <c r="P178">
        <v>173.97</v>
      </c>
      <c r="Q178">
        <v>103</v>
      </c>
    </row>
    <row r="179" spans="1:19" x14ac:dyDescent="0.25">
      <c r="A179" t="s">
        <v>312</v>
      </c>
      <c r="H179">
        <v>52.55</v>
      </c>
      <c r="I179">
        <v>52.78</v>
      </c>
      <c r="J179">
        <v>90</v>
      </c>
      <c r="K179">
        <v>136</v>
      </c>
      <c r="L179">
        <v>139</v>
      </c>
      <c r="M179">
        <v>133</v>
      </c>
      <c r="N179">
        <v>127</v>
      </c>
      <c r="O179">
        <v>122</v>
      </c>
      <c r="P179">
        <v>122</v>
      </c>
      <c r="Q179">
        <v>124</v>
      </c>
      <c r="R179">
        <v>124</v>
      </c>
    </row>
    <row r="180" spans="1:19" x14ac:dyDescent="0.25">
      <c r="A180" t="s">
        <v>151</v>
      </c>
      <c r="H180">
        <v>10.44</v>
      </c>
      <c r="I180">
        <v>6.84</v>
      </c>
      <c r="J180">
        <v>16</v>
      </c>
      <c r="K180">
        <v>29</v>
      </c>
      <c r="L180">
        <v>26</v>
      </c>
      <c r="M180">
        <v>20</v>
      </c>
      <c r="N180">
        <v>14</v>
      </c>
      <c r="O180">
        <v>12.94</v>
      </c>
      <c r="P180">
        <v>14.8</v>
      </c>
      <c r="Q180">
        <v>15.77</v>
      </c>
      <c r="R180">
        <v>42.8</v>
      </c>
    </row>
    <row r="181" spans="1:19" x14ac:dyDescent="0.25">
      <c r="A181" t="s">
        <v>152</v>
      </c>
      <c r="H181">
        <v>35.89</v>
      </c>
      <c r="I181">
        <v>35.89</v>
      </c>
      <c r="J181">
        <v>74</v>
      </c>
      <c r="K181">
        <v>107</v>
      </c>
      <c r="L181">
        <v>113</v>
      </c>
      <c r="M181">
        <v>113</v>
      </c>
      <c r="N181">
        <v>113</v>
      </c>
      <c r="O181">
        <v>110.86</v>
      </c>
      <c r="P181">
        <v>111.59</v>
      </c>
      <c r="Q181">
        <v>112.54</v>
      </c>
      <c r="R181">
        <v>114.75</v>
      </c>
      <c r="S181">
        <v>113</v>
      </c>
    </row>
    <row r="182" spans="1:19" x14ac:dyDescent="0.25">
      <c r="A182" t="s">
        <v>693</v>
      </c>
      <c r="H182">
        <v>2.31</v>
      </c>
      <c r="I182">
        <v>1.21</v>
      </c>
      <c r="J182">
        <v>8</v>
      </c>
      <c r="K182">
        <v>28</v>
      </c>
      <c r="L182">
        <v>55</v>
      </c>
      <c r="M182">
        <v>59</v>
      </c>
      <c r="N182">
        <v>71</v>
      </c>
      <c r="O182">
        <v>70.27</v>
      </c>
      <c r="P182">
        <v>71.709999999999994</v>
      </c>
      <c r="Q182">
        <v>79.05</v>
      </c>
      <c r="R182">
        <v>74.25</v>
      </c>
      <c r="S182">
        <v>73</v>
      </c>
    </row>
    <row r="183" spans="1:19" x14ac:dyDescent="0.25">
      <c r="A183" t="s">
        <v>154</v>
      </c>
      <c r="H183">
        <v>0.62</v>
      </c>
      <c r="I183">
        <v>0.6</v>
      </c>
      <c r="J183">
        <v>6</v>
      </c>
      <c r="K183">
        <v>14</v>
      </c>
      <c r="L183">
        <v>83</v>
      </c>
      <c r="M183">
        <v>118</v>
      </c>
      <c r="N183">
        <v>146</v>
      </c>
      <c r="O183">
        <v>174.1</v>
      </c>
      <c r="P183">
        <v>175.95</v>
      </c>
      <c r="Q183">
        <v>200.33</v>
      </c>
      <c r="R183">
        <v>191</v>
      </c>
    </row>
    <row r="184" spans="1:19" x14ac:dyDescent="0.25">
      <c r="A184" t="s">
        <v>155</v>
      </c>
      <c r="H184">
        <v>305.74</v>
      </c>
      <c r="I184">
        <v>775.96</v>
      </c>
      <c r="J184" s="2">
        <v>1735</v>
      </c>
      <c r="K184" s="2">
        <v>1761</v>
      </c>
      <c r="L184" s="2">
        <v>1958</v>
      </c>
      <c r="M184" s="2">
        <v>2408</v>
      </c>
      <c r="N184" s="2">
        <v>3145</v>
      </c>
      <c r="O184" s="2">
        <v>3571.96</v>
      </c>
      <c r="P184" s="2">
        <v>4474.1099999999997</v>
      </c>
      <c r="Q184" s="2">
        <v>5252.8</v>
      </c>
      <c r="R184" s="2">
        <v>6764.46</v>
      </c>
      <c r="S184" s="2">
        <v>3653.99</v>
      </c>
    </row>
    <row r="185" spans="1:19" x14ac:dyDescent="0.25">
      <c r="A185" t="s">
        <v>17</v>
      </c>
    </row>
    <row r="186" spans="1:19" x14ac:dyDescent="0.25">
      <c r="A186" t="s">
        <v>156</v>
      </c>
    </row>
    <row r="187" spans="1:19" x14ac:dyDescent="0.25">
      <c r="A187" t="s">
        <v>157</v>
      </c>
      <c r="H187">
        <v>139.69999999999999</v>
      </c>
      <c r="I187">
        <v>136.41</v>
      </c>
      <c r="J187">
        <v>352</v>
      </c>
      <c r="K187">
        <v>496</v>
      </c>
      <c r="L187">
        <v>663</v>
      </c>
      <c r="M187">
        <v>811</v>
      </c>
      <c r="N187">
        <v>969</v>
      </c>
      <c r="O187" s="2">
        <v>1126.8800000000001</v>
      </c>
      <c r="P187" s="2">
        <v>1251.77</v>
      </c>
      <c r="Q187" s="2">
        <v>1401.74</v>
      </c>
      <c r="R187" s="2">
        <v>1422.17</v>
      </c>
      <c r="S187" s="2">
        <v>1535.73</v>
      </c>
    </row>
    <row r="188" spans="1:19" x14ac:dyDescent="0.25">
      <c r="A188" t="s">
        <v>158</v>
      </c>
      <c r="H188">
        <v>31.52</v>
      </c>
      <c r="I188">
        <v>30.55</v>
      </c>
      <c r="J188">
        <v>40</v>
      </c>
      <c r="K188">
        <v>30</v>
      </c>
      <c r="L188">
        <v>32</v>
      </c>
      <c r="M188">
        <v>37</v>
      </c>
      <c r="N188">
        <v>47</v>
      </c>
      <c r="O188">
        <v>58.23</v>
      </c>
      <c r="P188">
        <v>67.36</v>
      </c>
      <c r="Q188">
        <v>76.41</v>
      </c>
      <c r="R188">
        <v>88.65</v>
      </c>
      <c r="S188">
        <v>109.72</v>
      </c>
    </row>
    <row r="189" spans="1:19" x14ac:dyDescent="0.25">
      <c r="A189" t="s">
        <v>417</v>
      </c>
      <c r="H189">
        <v>38.979999999999997</v>
      </c>
      <c r="I189">
        <v>42.68</v>
      </c>
      <c r="J189">
        <v>44</v>
      </c>
      <c r="K189">
        <v>39</v>
      </c>
      <c r="L189">
        <v>39</v>
      </c>
      <c r="M189">
        <v>59</v>
      </c>
      <c r="N189">
        <v>68</v>
      </c>
      <c r="O189">
        <v>74.95</v>
      </c>
      <c r="P189">
        <v>82.44</v>
      </c>
      <c r="Q189">
        <v>91.27</v>
      </c>
      <c r="R189">
        <v>107.83</v>
      </c>
      <c r="S189">
        <v>77</v>
      </c>
    </row>
    <row r="190" spans="1:19" x14ac:dyDescent="0.25">
      <c r="A190" t="s">
        <v>695</v>
      </c>
      <c r="H190">
        <v>69.2</v>
      </c>
      <c r="I190">
        <v>63.17</v>
      </c>
      <c r="J190">
        <v>246</v>
      </c>
      <c r="K190">
        <v>413</v>
      </c>
      <c r="L190">
        <v>592</v>
      </c>
      <c r="M190">
        <v>715</v>
      </c>
      <c r="N190">
        <v>854</v>
      </c>
      <c r="O190">
        <v>993.32</v>
      </c>
      <c r="P190" s="2">
        <v>1097.2</v>
      </c>
      <c r="Q190" s="2">
        <v>1235.8599999999999</v>
      </c>
      <c r="R190" s="2">
        <v>1225.69</v>
      </c>
      <c r="S190" s="2">
        <v>1349.01</v>
      </c>
    </row>
    <row r="191" spans="1:19" x14ac:dyDescent="0.25">
      <c r="A191" t="s">
        <v>1962</v>
      </c>
      <c r="H191">
        <v>6.72</v>
      </c>
      <c r="I191">
        <v>10.64</v>
      </c>
      <c r="J191">
        <v>34</v>
      </c>
      <c r="K191">
        <v>60</v>
      </c>
      <c r="L191">
        <v>0</v>
      </c>
      <c r="M191">
        <v>0</v>
      </c>
      <c r="N191">
        <v>0</v>
      </c>
      <c r="O191">
        <v>210.23</v>
      </c>
      <c r="P191">
        <v>216.92</v>
      </c>
      <c r="Q191">
        <v>235.52</v>
      </c>
      <c r="R191">
        <v>216</v>
      </c>
      <c r="S191">
        <v>216</v>
      </c>
    </row>
    <row r="192" spans="1:19" x14ac:dyDescent="0.25">
      <c r="A192" t="s">
        <v>164</v>
      </c>
      <c r="H192">
        <v>49.92</v>
      </c>
      <c r="I192">
        <v>261.63</v>
      </c>
      <c r="J192">
        <v>292</v>
      </c>
      <c r="K192">
        <v>167</v>
      </c>
      <c r="L192">
        <v>101</v>
      </c>
      <c r="M192">
        <v>52</v>
      </c>
      <c r="N192">
        <v>52</v>
      </c>
      <c r="O192">
        <v>57.51</v>
      </c>
      <c r="P192">
        <v>-27.9</v>
      </c>
      <c r="Q192">
        <v>-243.64</v>
      </c>
      <c r="R192">
        <v>-893.73</v>
      </c>
      <c r="S192" s="2">
        <v>-6111.74</v>
      </c>
    </row>
    <row r="193" spans="1:19" x14ac:dyDescent="0.25">
      <c r="A193" t="s">
        <v>1963</v>
      </c>
      <c r="H193">
        <v>3.19</v>
      </c>
      <c r="I193">
        <v>48.85</v>
      </c>
      <c r="J193">
        <v>181</v>
      </c>
      <c r="K193">
        <v>68</v>
      </c>
      <c r="L193">
        <v>64</v>
      </c>
      <c r="M193">
        <v>22</v>
      </c>
      <c r="N193">
        <v>19</v>
      </c>
      <c r="O193">
        <v>15.94</v>
      </c>
      <c r="P193">
        <v>17.59</v>
      </c>
      <c r="Q193">
        <v>13.42</v>
      </c>
      <c r="R193">
        <v>13.9</v>
      </c>
      <c r="S193">
        <v>11</v>
      </c>
    </row>
    <row r="194" spans="1:19" x14ac:dyDescent="0.25">
      <c r="A194" t="s">
        <v>544</v>
      </c>
    </row>
    <row r="195" spans="1:19" x14ac:dyDescent="0.25">
      <c r="A195" t="s">
        <v>1964</v>
      </c>
      <c r="J195">
        <v>77</v>
      </c>
      <c r="K195">
        <v>80</v>
      </c>
      <c r="L195">
        <v>33</v>
      </c>
      <c r="M195">
        <v>24</v>
      </c>
      <c r="N195">
        <v>20</v>
      </c>
      <c r="O195">
        <v>11.88</v>
      </c>
      <c r="P195">
        <v>11.88</v>
      </c>
      <c r="Q195">
        <v>16.149999999999999</v>
      </c>
      <c r="R195">
        <v>16.149999999999999</v>
      </c>
    </row>
    <row r="196" spans="1:19" x14ac:dyDescent="0.25">
      <c r="A196" t="s">
        <v>161</v>
      </c>
      <c r="H196">
        <v>45.89</v>
      </c>
      <c r="I196">
        <v>34.07</v>
      </c>
      <c r="J196">
        <v>12</v>
      </c>
      <c r="K196">
        <v>7</v>
      </c>
      <c r="L196">
        <v>0</v>
      </c>
      <c r="M196">
        <v>0</v>
      </c>
      <c r="N196">
        <v>0</v>
      </c>
      <c r="P196">
        <v>7</v>
      </c>
      <c r="Q196">
        <v>14</v>
      </c>
      <c r="R196">
        <v>21</v>
      </c>
    </row>
    <row r="197" spans="1:19" x14ac:dyDescent="0.25">
      <c r="A197" t="s">
        <v>709</v>
      </c>
      <c r="H197">
        <v>0.84</v>
      </c>
      <c r="I197">
        <v>7.01</v>
      </c>
      <c r="J197">
        <v>22</v>
      </c>
      <c r="K197">
        <v>12</v>
      </c>
      <c r="L197">
        <v>4</v>
      </c>
      <c r="M197">
        <v>6</v>
      </c>
      <c r="N197">
        <v>13</v>
      </c>
      <c r="O197">
        <v>29.52</v>
      </c>
      <c r="P197">
        <v>31.62</v>
      </c>
      <c r="Q197">
        <v>31.88</v>
      </c>
      <c r="R197">
        <v>38.75</v>
      </c>
    </row>
    <row r="198" spans="1:19" x14ac:dyDescent="0.25">
      <c r="A198" t="s">
        <v>167</v>
      </c>
      <c r="H198">
        <v>189.61</v>
      </c>
      <c r="I198">
        <v>398.04</v>
      </c>
      <c r="J198">
        <v>644</v>
      </c>
      <c r="K198">
        <v>663</v>
      </c>
      <c r="L198">
        <v>764</v>
      </c>
      <c r="M198">
        <v>863</v>
      </c>
      <c r="N198" s="2">
        <v>1021</v>
      </c>
      <c r="O198" s="2">
        <v>1178.21</v>
      </c>
      <c r="P198" s="2">
        <v>1258.69</v>
      </c>
      <c r="Q198" s="2">
        <v>1293.6500000000001</v>
      </c>
      <c r="R198">
        <v>717.79</v>
      </c>
      <c r="S198" s="2">
        <v>-4576.01</v>
      </c>
    </row>
    <row r="199" spans="1:19" x14ac:dyDescent="0.25">
      <c r="A199" t="s">
        <v>170</v>
      </c>
      <c r="H199">
        <v>116.13</v>
      </c>
      <c r="I199">
        <v>377.92</v>
      </c>
      <c r="J199" s="2">
        <v>1091</v>
      </c>
      <c r="K199" s="2">
        <v>1098</v>
      </c>
      <c r="L199" s="2">
        <v>1194</v>
      </c>
      <c r="M199" s="2">
        <v>1545</v>
      </c>
      <c r="N199" s="2">
        <v>2124</v>
      </c>
      <c r="O199" s="2">
        <v>2417.14</v>
      </c>
      <c r="P199" s="2">
        <v>3232.86</v>
      </c>
      <c r="Q199" s="2">
        <v>4063.46</v>
      </c>
      <c r="R199" s="2">
        <v>6048.2</v>
      </c>
      <c r="S199" s="2">
        <v>8230</v>
      </c>
    </row>
    <row r="200" spans="1:19" x14ac:dyDescent="0.25">
      <c r="A200" t="s">
        <v>1965</v>
      </c>
      <c r="H200">
        <v>-331.18</v>
      </c>
      <c r="I200">
        <v>-472.08</v>
      </c>
      <c r="J200" s="2">
        <v>1091</v>
      </c>
      <c r="K200" s="2">
        <v>1098</v>
      </c>
      <c r="L200" s="2">
        <v>1194</v>
      </c>
      <c r="M200" s="2">
        <v>1545</v>
      </c>
      <c r="N200" s="2">
        <v>2124</v>
      </c>
      <c r="O200" s="2">
        <v>2392.09</v>
      </c>
      <c r="P200" s="2">
        <v>3084.32</v>
      </c>
      <c r="Q200" s="2">
        <v>3606.54</v>
      </c>
      <c r="R200" s="2">
        <v>6058.31</v>
      </c>
      <c r="S200" s="2">
        <v>8230</v>
      </c>
    </row>
    <row r="201" spans="1:19" x14ac:dyDescent="0.25">
      <c r="A201" t="s">
        <v>172</v>
      </c>
      <c r="H201">
        <v>56.01</v>
      </c>
      <c r="I201">
        <v>145.33000000000001</v>
      </c>
      <c r="J201" s="2">
        <v>2194</v>
      </c>
      <c r="K201" s="2">
        <v>2477</v>
      </c>
      <c r="L201" s="2">
        <v>2817</v>
      </c>
      <c r="M201" s="2">
        <v>3150</v>
      </c>
      <c r="N201" s="2">
        <v>3384</v>
      </c>
      <c r="O201" s="2">
        <v>3083.4</v>
      </c>
      <c r="P201" s="2">
        <v>3209.54</v>
      </c>
      <c r="Q201" s="2">
        <v>3272.04</v>
      </c>
      <c r="R201" s="2">
        <v>4149.05</v>
      </c>
      <c r="S201" s="2">
        <v>3029</v>
      </c>
    </row>
    <row r="202" spans="1:19" x14ac:dyDescent="0.25">
      <c r="A202" t="s">
        <v>173</v>
      </c>
      <c r="H202">
        <v>-385.92</v>
      </c>
      <c r="I202">
        <v>-615.87</v>
      </c>
      <c r="J202" s="2">
        <v>-1102</v>
      </c>
      <c r="K202" s="2">
        <v>-1377</v>
      </c>
      <c r="L202" s="2">
        <v>-1623</v>
      </c>
      <c r="M202" s="2">
        <v>-1604</v>
      </c>
      <c r="N202" s="2">
        <v>-1262</v>
      </c>
      <c r="O202">
        <v>-734.64</v>
      </c>
      <c r="P202">
        <v>-119.58</v>
      </c>
      <c r="Q202">
        <v>607.20000000000005</v>
      </c>
      <c r="R202" s="2">
        <v>1629.6</v>
      </c>
      <c r="S202" s="2">
        <v>5203</v>
      </c>
    </row>
    <row r="203" spans="1:19" x14ac:dyDescent="0.25">
      <c r="A203" t="s">
        <v>174</v>
      </c>
      <c r="H203">
        <v>-0.06</v>
      </c>
      <c r="I203">
        <v>0.23</v>
      </c>
      <c r="J203">
        <v>-1</v>
      </c>
      <c r="K203">
        <v>-2</v>
      </c>
      <c r="L203">
        <v>0</v>
      </c>
      <c r="M203">
        <v>-1</v>
      </c>
      <c r="N203">
        <v>2</v>
      </c>
      <c r="O203">
        <v>-1.92</v>
      </c>
      <c r="P203">
        <v>-1.92</v>
      </c>
      <c r="Q203">
        <v>-1.87</v>
      </c>
      <c r="R203">
        <v>-3.37</v>
      </c>
      <c r="S203">
        <v>-2</v>
      </c>
    </row>
    <row r="204" spans="1:19" x14ac:dyDescent="0.25">
      <c r="A204" t="s">
        <v>326</v>
      </c>
      <c r="H204">
        <v>305.74</v>
      </c>
      <c r="I204">
        <v>775.96</v>
      </c>
      <c r="J204" s="2">
        <v>1735</v>
      </c>
      <c r="K204" s="2">
        <v>1761</v>
      </c>
      <c r="L204" s="2">
        <v>1958</v>
      </c>
      <c r="M204" s="2">
        <v>2408</v>
      </c>
      <c r="N204" s="2">
        <v>3145</v>
      </c>
      <c r="O204" s="2">
        <v>3571.96</v>
      </c>
      <c r="P204" s="2">
        <v>4474.1099999999997</v>
      </c>
      <c r="Q204" s="2">
        <v>5252.8</v>
      </c>
      <c r="R204" s="2">
        <v>6764.46</v>
      </c>
      <c r="S204" s="2">
        <v>3653.99</v>
      </c>
    </row>
    <row r="205" spans="1:19" x14ac:dyDescent="0.25">
      <c r="A205" t="s">
        <v>17</v>
      </c>
    </row>
    <row r="206" spans="1:19" x14ac:dyDescent="0.25">
      <c r="A206" t="s">
        <v>176</v>
      </c>
    </row>
    <row r="207" spans="1:19" x14ac:dyDescent="0.25">
      <c r="A207" t="s">
        <v>177</v>
      </c>
      <c r="H207">
        <v>-141.13999999999999</v>
      </c>
      <c r="I207">
        <v>-410.12</v>
      </c>
      <c r="J207" s="2">
        <v>-1167</v>
      </c>
      <c r="K207">
        <v>-927</v>
      </c>
      <c r="L207" s="2">
        <v>-1078</v>
      </c>
      <c r="M207" s="2">
        <v>-1393</v>
      </c>
      <c r="N207" s="2">
        <v>-1971</v>
      </c>
    </row>
    <row r="208" spans="1:19" x14ac:dyDescent="0.25">
      <c r="A208" t="s">
        <v>179</v>
      </c>
      <c r="I208">
        <v>-45.89</v>
      </c>
      <c r="J208">
        <v>-38.79</v>
      </c>
      <c r="K208">
        <v>-15.73</v>
      </c>
      <c r="L208">
        <v>-13.23</v>
      </c>
      <c r="M208">
        <v>0.87</v>
      </c>
      <c r="N208">
        <v>12.32</v>
      </c>
      <c r="O208">
        <v>15</v>
      </c>
      <c r="P208">
        <v>16</v>
      </c>
      <c r="Q208">
        <v>17</v>
      </c>
      <c r="R208">
        <v>18</v>
      </c>
    </row>
    <row r="209" spans="1:19" x14ac:dyDescent="0.25">
      <c r="A209" t="s">
        <v>180</v>
      </c>
      <c r="K209">
        <v>-25.13</v>
      </c>
      <c r="L209">
        <v>-21.47</v>
      </c>
      <c r="M209">
        <v>1.39</v>
      </c>
      <c r="N209">
        <v>18.64</v>
      </c>
      <c r="O209">
        <v>22</v>
      </c>
      <c r="P209">
        <v>21</v>
      </c>
      <c r="Q209">
        <v>21</v>
      </c>
      <c r="R209">
        <v>22</v>
      </c>
    </row>
    <row r="210" spans="1:19" x14ac:dyDescent="0.25">
      <c r="A210" t="s">
        <v>424</v>
      </c>
      <c r="O210">
        <v>4.1399999999999997</v>
      </c>
      <c r="P210">
        <v>5.77</v>
      </c>
      <c r="Q210">
        <v>8.0500000000000007</v>
      </c>
    </row>
    <row r="211" spans="1:19" x14ac:dyDescent="0.25">
      <c r="A211" t="s">
        <v>814</v>
      </c>
      <c r="O211">
        <v>3.94</v>
      </c>
      <c r="P211">
        <v>5.49</v>
      </c>
    </row>
    <row r="212" spans="1:19" x14ac:dyDescent="0.25">
      <c r="A212" t="s">
        <v>1966</v>
      </c>
      <c r="O212">
        <v>8.06</v>
      </c>
      <c r="P212">
        <v>8.1999999999999993</v>
      </c>
      <c r="Q212">
        <v>8.59</v>
      </c>
    </row>
    <row r="213" spans="1:19" x14ac:dyDescent="0.25">
      <c r="A213" t="s">
        <v>17</v>
      </c>
    </row>
    <row r="214" spans="1:19" x14ac:dyDescent="0.25">
      <c r="A214" t="s">
        <v>188</v>
      </c>
    </row>
    <row r="215" spans="1:19" x14ac:dyDescent="0.25">
      <c r="A215" t="s">
        <v>189</v>
      </c>
    </row>
    <row r="216" spans="1:19" x14ac:dyDescent="0.25">
      <c r="A216" t="s">
        <v>190</v>
      </c>
      <c r="H216">
        <v>6.84</v>
      </c>
      <c r="I216">
        <v>27.07</v>
      </c>
      <c r="J216">
        <v>21</v>
      </c>
      <c r="K216">
        <v>24</v>
      </c>
      <c r="L216">
        <v>32</v>
      </c>
      <c r="M216">
        <v>46</v>
      </c>
      <c r="N216">
        <v>64</v>
      </c>
      <c r="O216">
        <v>47.07</v>
      </c>
      <c r="P216">
        <v>56.82</v>
      </c>
      <c r="Q216">
        <v>68.28</v>
      </c>
      <c r="R216">
        <v>69.5</v>
      </c>
      <c r="S216">
        <v>75.150000000000006</v>
      </c>
    </row>
    <row r="217" spans="1:19" x14ac:dyDescent="0.25">
      <c r="A217" t="s">
        <v>67</v>
      </c>
      <c r="H217">
        <v>33.71</v>
      </c>
      <c r="I217">
        <v>86.36</v>
      </c>
      <c r="J217">
        <v>140</v>
      </c>
      <c r="K217">
        <v>228</v>
      </c>
      <c r="L217">
        <v>277</v>
      </c>
      <c r="M217">
        <v>253</v>
      </c>
      <c r="N217">
        <v>242</v>
      </c>
      <c r="O217">
        <v>237.17</v>
      </c>
      <c r="P217">
        <v>279.66000000000003</v>
      </c>
      <c r="Q217">
        <v>299.61</v>
      </c>
      <c r="R217">
        <v>332.79</v>
      </c>
      <c r="S217">
        <v>516.15</v>
      </c>
    </row>
    <row r="218" spans="1:19" x14ac:dyDescent="0.25">
      <c r="A218" t="s">
        <v>703</v>
      </c>
      <c r="H218">
        <v>0.66</v>
      </c>
      <c r="I218">
        <v>0.33</v>
      </c>
      <c r="J218">
        <v>30</v>
      </c>
      <c r="K218">
        <v>44</v>
      </c>
      <c r="L218">
        <v>62</v>
      </c>
      <c r="M218">
        <v>82</v>
      </c>
      <c r="N218">
        <v>99</v>
      </c>
      <c r="O218">
        <v>75.17</v>
      </c>
      <c r="P218">
        <v>90.09</v>
      </c>
      <c r="Q218">
        <v>97.41</v>
      </c>
      <c r="R218">
        <v>84.96</v>
      </c>
      <c r="S218">
        <v>84</v>
      </c>
    </row>
    <row r="219" spans="1:19" x14ac:dyDescent="0.25">
      <c r="A219" t="s">
        <v>1967</v>
      </c>
      <c r="H219">
        <v>1.5</v>
      </c>
      <c r="I219">
        <v>15.5</v>
      </c>
      <c r="J219">
        <v>203</v>
      </c>
      <c r="K219">
        <v>-92</v>
      </c>
      <c r="L219">
        <v>7</v>
      </c>
      <c r="M219">
        <v>54</v>
      </c>
      <c r="N219">
        <v>-3</v>
      </c>
      <c r="O219">
        <v>-7.61</v>
      </c>
      <c r="P219">
        <v>-7.53</v>
      </c>
      <c r="Q219">
        <v>-18.899999999999999</v>
      </c>
    </row>
    <row r="220" spans="1:19" x14ac:dyDescent="0.25">
      <c r="A220" t="s">
        <v>1968</v>
      </c>
      <c r="K220">
        <v>34</v>
      </c>
      <c r="L220">
        <v>64</v>
      </c>
      <c r="M220">
        <v>70</v>
      </c>
      <c r="N220">
        <v>91</v>
      </c>
      <c r="O220">
        <v>85.98</v>
      </c>
      <c r="P220">
        <v>128.25</v>
      </c>
      <c r="Q220">
        <v>149.19999999999999</v>
      </c>
      <c r="R220">
        <v>208.99</v>
      </c>
      <c r="S220">
        <v>201.37</v>
      </c>
    </row>
    <row r="221" spans="1:19" x14ac:dyDescent="0.25">
      <c r="A221" t="s">
        <v>512</v>
      </c>
      <c r="H221">
        <v>0.24</v>
      </c>
      <c r="I221">
        <v>0.05</v>
      </c>
      <c r="J221">
        <v>25</v>
      </c>
      <c r="K221">
        <v>15</v>
      </c>
      <c r="L221">
        <v>-17</v>
      </c>
      <c r="M221">
        <v>-7</v>
      </c>
      <c r="N221">
        <v>17</v>
      </c>
      <c r="O221">
        <v>2</v>
      </c>
    </row>
    <row r="222" spans="1:19" x14ac:dyDescent="0.25">
      <c r="A222" t="s">
        <v>1969</v>
      </c>
    </row>
    <row r="223" spans="1:19" x14ac:dyDescent="0.25">
      <c r="A223" t="s">
        <v>141</v>
      </c>
      <c r="H223">
        <v>-4.0999999999999996</v>
      </c>
      <c r="I223">
        <v>-12.71</v>
      </c>
      <c r="J223">
        <v>-23</v>
      </c>
      <c r="K223">
        <v>-35</v>
      </c>
      <c r="L223">
        <v>-3</v>
      </c>
      <c r="M223">
        <v>-72</v>
      </c>
      <c r="N223">
        <v>-33</v>
      </c>
      <c r="O223">
        <v>-52.3</v>
      </c>
      <c r="P223">
        <v>-38.5</v>
      </c>
      <c r="Q223">
        <v>-45.82</v>
      </c>
      <c r="R223">
        <v>-33.04</v>
      </c>
      <c r="S223">
        <v>-35.299999999999997</v>
      </c>
    </row>
    <row r="224" spans="1:19" x14ac:dyDescent="0.25">
      <c r="A224" t="s">
        <v>145</v>
      </c>
      <c r="H224">
        <v>-10.97</v>
      </c>
      <c r="I224">
        <v>11.56</v>
      </c>
      <c r="J224">
        <v>1</v>
      </c>
      <c r="K224">
        <v>4</v>
      </c>
      <c r="L224">
        <v>0</v>
      </c>
      <c r="M224">
        <v>-15</v>
      </c>
      <c r="N224">
        <v>-52</v>
      </c>
      <c r="O224">
        <v>-29.28</v>
      </c>
      <c r="P224">
        <v>-74.75</v>
      </c>
      <c r="Q224">
        <v>-68.42</v>
      </c>
      <c r="R224">
        <v>-61.92</v>
      </c>
      <c r="S224">
        <v>-77.28</v>
      </c>
    </row>
    <row r="225" spans="1:21" x14ac:dyDescent="0.25">
      <c r="A225" t="s">
        <v>142</v>
      </c>
      <c r="H225">
        <v>32.29</v>
      </c>
      <c r="I225">
        <v>0.76</v>
      </c>
      <c r="J225">
        <v>-56</v>
      </c>
      <c r="K225">
        <v>-71</v>
      </c>
      <c r="L225">
        <v>-107</v>
      </c>
      <c r="M225">
        <v>-130</v>
      </c>
      <c r="O225">
        <v>-122.98</v>
      </c>
      <c r="P225">
        <v>-183.16</v>
      </c>
      <c r="Q225">
        <v>-215.09</v>
      </c>
      <c r="R225">
        <v>-367.81</v>
      </c>
      <c r="S225">
        <v>-446.11</v>
      </c>
    </row>
    <row r="226" spans="1:21" x14ac:dyDescent="0.25">
      <c r="A226" t="s">
        <v>340</v>
      </c>
      <c r="H226">
        <v>-6.67</v>
      </c>
      <c r="I226">
        <v>-3.94</v>
      </c>
      <c r="J226">
        <v>-23</v>
      </c>
      <c r="K226">
        <v>-68</v>
      </c>
      <c r="L226">
        <v>-7</v>
      </c>
      <c r="M226">
        <v>0</v>
      </c>
      <c r="N226">
        <v>4</v>
      </c>
      <c r="O226">
        <v>-92.78</v>
      </c>
      <c r="P226">
        <v>-28.46</v>
      </c>
      <c r="Q226">
        <v>11.61</v>
      </c>
      <c r="R226">
        <v>-20.58</v>
      </c>
      <c r="S226">
        <v>-11.48</v>
      </c>
    </row>
    <row r="227" spans="1:21" x14ac:dyDescent="0.25">
      <c r="A227" t="s">
        <v>158</v>
      </c>
      <c r="H227">
        <v>14.59</v>
      </c>
      <c r="I227">
        <v>-6.14</v>
      </c>
      <c r="J227">
        <v>15</v>
      </c>
      <c r="K227">
        <v>-11</v>
      </c>
      <c r="L227">
        <v>1</v>
      </c>
      <c r="M227">
        <v>5</v>
      </c>
      <c r="N227">
        <v>11</v>
      </c>
      <c r="O227">
        <v>13.6</v>
      </c>
      <c r="P227">
        <v>8.5299999999999994</v>
      </c>
      <c r="Q227">
        <v>11.21</v>
      </c>
      <c r="R227">
        <v>11.3</v>
      </c>
      <c r="S227">
        <v>12.78</v>
      </c>
    </row>
    <row r="228" spans="1:21" x14ac:dyDescent="0.25">
      <c r="A228" t="s">
        <v>201</v>
      </c>
      <c r="H228">
        <v>21.96</v>
      </c>
      <c r="I228">
        <v>-2.73</v>
      </c>
      <c r="J228">
        <v>145</v>
      </c>
      <c r="K228">
        <v>116</v>
      </c>
      <c r="L228">
        <v>81</v>
      </c>
      <c r="M228">
        <v>48</v>
      </c>
      <c r="N228">
        <v>21</v>
      </c>
      <c r="O228">
        <v>34.04</v>
      </c>
      <c r="P228">
        <v>117.44</v>
      </c>
      <c r="Q228">
        <v>106.76</v>
      </c>
      <c r="R228">
        <v>69.959999999999994</v>
      </c>
      <c r="S228">
        <v>74.42</v>
      </c>
    </row>
    <row r="229" spans="1:21" x14ac:dyDescent="0.25">
      <c r="A229" t="s">
        <v>161</v>
      </c>
      <c r="H229">
        <v>22.78</v>
      </c>
      <c r="I229">
        <v>-8.33</v>
      </c>
      <c r="J229">
        <v>-2</v>
      </c>
      <c r="K229">
        <v>-11</v>
      </c>
      <c r="L229">
        <v>-5</v>
      </c>
      <c r="M229">
        <v>23</v>
      </c>
      <c r="N229">
        <v>6</v>
      </c>
      <c r="O229">
        <v>6.24</v>
      </c>
      <c r="P229">
        <v>11.7</v>
      </c>
      <c r="Q229">
        <v>12.9</v>
      </c>
      <c r="R229">
        <v>15</v>
      </c>
    </row>
    <row r="230" spans="1:21" x14ac:dyDescent="0.25">
      <c r="A230" t="s">
        <v>1970</v>
      </c>
      <c r="J230">
        <v>16</v>
      </c>
      <c r="K230">
        <v>4</v>
      </c>
      <c r="L230">
        <v>1</v>
      </c>
      <c r="M230">
        <v>-4</v>
      </c>
      <c r="N230">
        <v>-6</v>
      </c>
      <c r="O230">
        <v>1</v>
      </c>
    </row>
    <row r="231" spans="1:21" x14ac:dyDescent="0.25">
      <c r="A231" t="s">
        <v>1929</v>
      </c>
      <c r="J231">
        <v>-1</v>
      </c>
      <c r="K231">
        <v>-13</v>
      </c>
      <c r="L231">
        <v>-8</v>
      </c>
      <c r="M231">
        <v>-3</v>
      </c>
      <c r="N231">
        <v>5</v>
      </c>
      <c r="O231">
        <v>-10.55</v>
      </c>
      <c r="P231">
        <v>-12.84</v>
      </c>
      <c r="Q231">
        <v>-23.7</v>
      </c>
    </row>
    <row r="232" spans="1:21" x14ac:dyDescent="0.25">
      <c r="A232" t="s">
        <v>204</v>
      </c>
      <c r="H232">
        <v>-126.48</v>
      </c>
      <c r="I232">
        <v>-124.63</v>
      </c>
      <c r="J232">
        <v>2</v>
      </c>
      <c r="K232">
        <v>-156</v>
      </c>
      <c r="L232">
        <v>135</v>
      </c>
      <c r="M232">
        <v>360</v>
      </c>
      <c r="N232">
        <v>661</v>
      </c>
      <c r="O232">
        <v>748.62</v>
      </c>
      <c r="P232" s="2">
        <v>1032.5999999999999</v>
      </c>
      <c r="Q232" s="2">
        <v>1350.99</v>
      </c>
      <c r="R232" s="2">
        <v>1685.51</v>
      </c>
      <c r="S232" s="2">
        <v>2203.69</v>
      </c>
    </row>
    <row r="233" spans="1:21" x14ac:dyDescent="0.25">
      <c r="A233" t="s">
        <v>17</v>
      </c>
    </row>
    <row r="234" spans="1:21" x14ac:dyDescent="0.25">
      <c r="A234" t="s">
        <v>205</v>
      </c>
    </row>
    <row r="235" spans="1:21" x14ac:dyDescent="0.25">
      <c r="A235" t="s">
        <v>206</v>
      </c>
      <c r="H235">
        <v>-9.1300000000000008</v>
      </c>
      <c r="I235">
        <v>-27.56</v>
      </c>
      <c r="J235">
        <v>-12</v>
      </c>
      <c r="K235">
        <v>-16</v>
      </c>
      <c r="L235">
        <v>-42</v>
      </c>
      <c r="M235">
        <v>-54</v>
      </c>
      <c r="N235">
        <v>-53</v>
      </c>
      <c r="O235">
        <v>-60.36</v>
      </c>
      <c r="P235">
        <v>-71.42</v>
      </c>
      <c r="Q235">
        <v>-87.9</v>
      </c>
      <c r="R235">
        <v>-96.42</v>
      </c>
      <c r="S235">
        <v>-113</v>
      </c>
      <c r="T235">
        <v>-140</v>
      </c>
      <c r="U235">
        <v>-167</v>
      </c>
    </row>
    <row r="236" spans="1:21" x14ac:dyDescent="0.25">
      <c r="A236" t="s">
        <v>61</v>
      </c>
      <c r="H236">
        <v>1.37</v>
      </c>
      <c r="I236">
        <v>3.35</v>
      </c>
      <c r="J236">
        <v>0.7</v>
      </c>
      <c r="K236">
        <v>0.59</v>
      </c>
      <c r="L236">
        <v>1.0900000000000001</v>
      </c>
      <c r="M236">
        <v>1.0900000000000001</v>
      </c>
      <c r="N236">
        <v>0.86</v>
      </c>
      <c r="O236">
        <v>0.89</v>
      </c>
      <c r="P236">
        <v>1.08</v>
      </c>
      <c r="Q236">
        <v>1.26</v>
      </c>
    </row>
    <row r="237" spans="1:21" x14ac:dyDescent="0.25">
      <c r="A237" t="s">
        <v>432</v>
      </c>
      <c r="J237">
        <v>-469</v>
      </c>
      <c r="K237">
        <v>-434</v>
      </c>
      <c r="L237">
        <v>-623</v>
      </c>
      <c r="M237">
        <v>-473</v>
      </c>
      <c r="N237">
        <v>-633</v>
      </c>
      <c r="O237">
        <v>-348.56</v>
      </c>
      <c r="P237">
        <v>-316.72000000000003</v>
      </c>
      <c r="Q237">
        <v>-336.42</v>
      </c>
      <c r="R237">
        <v>-777.86</v>
      </c>
    </row>
    <row r="238" spans="1:21" x14ac:dyDescent="0.25">
      <c r="A238" t="s">
        <v>207</v>
      </c>
      <c r="H238">
        <v>-5.6</v>
      </c>
      <c r="I238">
        <v>-8.52</v>
      </c>
      <c r="J238">
        <v>-7</v>
      </c>
      <c r="K238">
        <v>-17</v>
      </c>
      <c r="L238">
        <v>0</v>
      </c>
      <c r="M238">
        <v>0</v>
      </c>
      <c r="N238">
        <v>0</v>
      </c>
      <c r="O238">
        <v>-22.85</v>
      </c>
      <c r="P238">
        <v>-42.26</v>
      </c>
      <c r="Q238">
        <v>-64.03</v>
      </c>
      <c r="R238">
        <v>-56</v>
      </c>
    </row>
    <row r="239" spans="1:21" x14ac:dyDescent="0.25">
      <c r="A239" t="s">
        <v>1971</v>
      </c>
      <c r="J239">
        <v>5</v>
      </c>
      <c r="K239">
        <v>46</v>
      </c>
      <c r="L239">
        <v>35</v>
      </c>
      <c r="M239">
        <v>126</v>
      </c>
      <c r="N239">
        <v>178</v>
      </c>
      <c r="O239">
        <v>90</v>
      </c>
      <c r="P239">
        <v>242.31</v>
      </c>
      <c r="Q239">
        <v>274.88</v>
      </c>
      <c r="R239">
        <v>300.98</v>
      </c>
    </row>
    <row r="240" spans="1:21" x14ac:dyDescent="0.25">
      <c r="A240" t="s">
        <v>921</v>
      </c>
      <c r="O240">
        <v>174.27</v>
      </c>
      <c r="P240">
        <v>338.07</v>
      </c>
      <c r="Q240">
        <v>378.81</v>
      </c>
      <c r="R240">
        <v>414.24</v>
      </c>
    </row>
    <row r="241" spans="1:19" x14ac:dyDescent="0.25">
      <c r="A241" t="s">
        <v>211</v>
      </c>
      <c r="H241">
        <v>0</v>
      </c>
      <c r="I241">
        <v>0</v>
      </c>
      <c r="J241">
        <v>-26</v>
      </c>
      <c r="K241">
        <v>-46</v>
      </c>
      <c r="L241">
        <v>-9</v>
      </c>
      <c r="M241">
        <v>0</v>
      </c>
      <c r="N241">
        <v>0</v>
      </c>
    </row>
    <row r="242" spans="1:19" x14ac:dyDescent="0.25">
      <c r="A242" t="s">
        <v>213</v>
      </c>
      <c r="H242">
        <v>-47.43</v>
      </c>
      <c r="I242">
        <v>-35.86</v>
      </c>
      <c r="J242">
        <v>-503</v>
      </c>
      <c r="K242">
        <v>-98</v>
      </c>
      <c r="L242">
        <v>-86</v>
      </c>
      <c r="M242">
        <v>-39</v>
      </c>
      <c r="N242">
        <v>-172</v>
      </c>
      <c r="O242">
        <v>-179.62</v>
      </c>
      <c r="P242">
        <v>-115.61</v>
      </c>
      <c r="Q242">
        <v>-160.34</v>
      </c>
      <c r="R242">
        <v>-131.03</v>
      </c>
      <c r="S242">
        <v>-112.86</v>
      </c>
    </row>
    <row r="243" spans="1:19" x14ac:dyDescent="0.25">
      <c r="A243" t="s">
        <v>17</v>
      </c>
    </row>
    <row r="244" spans="1:19" x14ac:dyDescent="0.25">
      <c r="A244" t="s">
        <v>214</v>
      </c>
    </row>
    <row r="245" spans="1:19" x14ac:dyDescent="0.25">
      <c r="A245" t="s">
        <v>1972</v>
      </c>
      <c r="H245">
        <v>-1.46</v>
      </c>
      <c r="I245">
        <v>3.92</v>
      </c>
      <c r="J245">
        <v>30</v>
      </c>
      <c r="K245">
        <v>23</v>
      </c>
      <c r="L245">
        <v>27</v>
      </c>
      <c r="M245">
        <v>-81</v>
      </c>
      <c r="N245">
        <v>36</v>
      </c>
    </row>
    <row r="246" spans="1:19" x14ac:dyDescent="0.25">
      <c r="A246" t="s">
        <v>216</v>
      </c>
      <c r="H246">
        <v>0.55000000000000004</v>
      </c>
      <c r="I246">
        <v>3.48</v>
      </c>
      <c r="J246">
        <v>21</v>
      </c>
      <c r="K246">
        <v>15</v>
      </c>
      <c r="L246">
        <v>36</v>
      </c>
      <c r="M246">
        <v>99</v>
      </c>
      <c r="N246">
        <v>81</v>
      </c>
      <c r="O246">
        <v>15.18</v>
      </c>
      <c r="P246">
        <v>3</v>
      </c>
    </row>
    <row r="247" spans="1:19" x14ac:dyDescent="0.25">
      <c r="A247" t="s">
        <v>765</v>
      </c>
      <c r="H247">
        <v>-0.04</v>
      </c>
      <c r="I247">
        <v>-0.43</v>
      </c>
      <c r="J247">
        <v>0</v>
      </c>
      <c r="K247">
        <v>0</v>
      </c>
      <c r="L247">
        <v>0</v>
      </c>
      <c r="M247">
        <v>0</v>
      </c>
      <c r="N247">
        <v>-107</v>
      </c>
    </row>
    <row r="248" spans="1:19" x14ac:dyDescent="0.25">
      <c r="A248" t="s">
        <v>218</v>
      </c>
      <c r="H248">
        <v>256.33999999999997</v>
      </c>
      <c r="I248">
        <v>594.5</v>
      </c>
      <c r="J248">
        <v>759</v>
      </c>
      <c r="K248">
        <v>38</v>
      </c>
      <c r="L248">
        <v>63</v>
      </c>
      <c r="M248">
        <v>18</v>
      </c>
      <c r="N248">
        <v>7</v>
      </c>
      <c r="O248">
        <v>-526.27</v>
      </c>
      <c r="P248">
        <v>-390.93</v>
      </c>
      <c r="Q248">
        <v>-656.4</v>
      </c>
      <c r="R248" s="2">
        <v>-1114</v>
      </c>
      <c r="S248" s="2">
        <v>-2535</v>
      </c>
    </row>
    <row r="249" spans="1:19" x14ac:dyDescent="0.25">
      <c r="A249" t="s">
        <v>17</v>
      </c>
    </row>
    <row r="250" spans="1:19" x14ac:dyDescent="0.25">
      <c r="A250" t="s">
        <v>176</v>
      </c>
    </row>
    <row r="251" spans="1:19" x14ac:dyDescent="0.25">
      <c r="A251" t="s">
        <v>219</v>
      </c>
      <c r="H251">
        <v>-0.03</v>
      </c>
      <c r="I251">
        <v>0.28000000000000003</v>
      </c>
      <c r="J251">
        <v>-1</v>
      </c>
      <c r="K251">
        <v>0</v>
      </c>
      <c r="L251">
        <v>0</v>
      </c>
      <c r="M251">
        <v>-1</v>
      </c>
      <c r="N251">
        <v>2</v>
      </c>
    </row>
    <row r="252" spans="1:19" x14ac:dyDescent="0.25">
      <c r="A252" t="s">
        <v>1213</v>
      </c>
      <c r="H252">
        <v>82.4</v>
      </c>
      <c r="I252">
        <v>434.29</v>
      </c>
      <c r="J252">
        <v>257</v>
      </c>
      <c r="K252">
        <v>-216</v>
      </c>
      <c r="L252">
        <v>112</v>
      </c>
      <c r="M252">
        <v>338</v>
      </c>
      <c r="N252">
        <v>498</v>
      </c>
      <c r="O252">
        <v>116.12</v>
      </c>
      <c r="P252">
        <v>625.52</v>
      </c>
      <c r="Q252">
        <v>639.21</v>
      </c>
      <c r="R252">
        <v>886.08</v>
      </c>
      <c r="S252">
        <v>-444.17</v>
      </c>
    </row>
    <row r="253" spans="1:19" x14ac:dyDescent="0.25">
      <c r="A253" t="s">
        <v>221</v>
      </c>
      <c r="H253">
        <v>76.989999999999995</v>
      </c>
      <c r="I253">
        <v>159.38999999999999</v>
      </c>
      <c r="J253">
        <v>594</v>
      </c>
      <c r="K253">
        <v>851</v>
      </c>
      <c r="L253">
        <v>635</v>
      </c>
      <c r="M253">
        <v>747</v>
      </c>
      <c r="N253" s="2">
        <v>1085</v>
      </c>
      <c r="O253" s="2">
        <v>1547.12</v>
      </c>
      <c r="P253" s="2">
        <v>1667.79</v>
      </c>
      <c r="Q253" s="2">
        <v>2076.59</v>
      </c>
      <c r="R253" s="2">
        <v>2455.2800000000002</v>
      </c>
      <c r="S253" s="2">
        <v>1486.61</v>
      </c>
    </row>
    <row r="254" spans="1:19" x14ac:dyDescent="0.25">
      <c r="A254" t="s">
        <v>222</v>
      </c>
      <c r="H254">
        <v>159.38999999999999</v>
      </c>
      <c r="I254">
        <v>593.67999999999995</v>
      </c>
      <c r="J254">
        <v>851</v>
      </c>
      <c r="K254">
        <v>635</v>
      </c>
      <c r="L254">
        <v>747</v>
      </c>
      <c r="M254" s="2">
        <v>1085</v>
      </c>
      <c r="N254" s="2">
        <v>1583</v>
      </c>
      <c r="O254" s="2">
        <v>1667.79</v>
      </c>
      <c r="P254" s="2">
        <v>2371</v>
      </c>
      <c r="Q254" s="2">
        <v>2759.05</v>
      </c>
      <c r="R254" s="2">
        <v>3093.24</v>
      </c>
      <c r="S254" s="2">
        <v>1042.44</v>
      </c>
    </row>
    <row r="255" spans="1:19" x14ac:dyDescent="0.25">
      <c r="A255" t="s">
        <v>178</v>
      </c>
    </row>
    <row r="256" spans="1:19" x14ac:dyDescent="0.25">
      <c r="A256" t="s">
        <v>1973</v>
      </c>
      <c r="J256">
        <v>26</v>
      </c>
      <c r="K256">
        <v>46</v>
      </c>
      <c r="L256">
        <v>9</v>
      </c>
      <c r="M256">
        <v>0</v>
      </c>
      <c r="O256">
        <v>0</v>
      </c>
      <c r="P256">
        <v>0</v>
      </c>
    </row>
    <row r="257" spans="1:19" x14ac:dyDescent="0.25">
      <c r="A257" t="s">
        <v>225</v>
      </c>
      <c r="H257">
        <v>-141.22</v>
      </c>
      <c r="I257">
        <v>-160.71</v>
      </c>
      <c r="J257">
        <v>-17</v>
      </c>
      <c r="K257">
        <v>-189</v>
      </c>
      <c r="L257">
        <v>93</v>
      </c>
      <c r="M257">
        <v>306</v>
      </c>
      <c r="N257">
        <v>608</v>
      </c>
      <c r="O257">
        <v>686.85</v>
      </c>
      <c r="P257">
        <v>957</v>
      </c>
      <c r="Q257" s="2">
        <v>1248.55</v>
      </c>
      <c r="R257" s="2">
        <v>1567</v>
      </c>
      <c r="S257" s="2">
        <v>2090.83</v>
      </c>
    </row>
    <row r="258" spans="1:19" x14ac:dyDescent="0.25">
      <c r="A258" t="s">
        <v>228</v>
      </c>
      <c r="H258">
        <v>-20.39</v>
      </c>
      <c r="I258">
        <v>-18.489999999999998</v>
      </c>
      <c r="J258">
        <v>-0.59</v>
      </c>
      <c r="K258">
        <v>-6.3</v>
      </c>
      <c r="L258">
        <v>2.41</v>
      </c>
      <c r="M258">
        <v>6.17</v>
      </c>
      <c r="N258">
        <v>9.8800000000000008</v>
      </c>
      <c r="O258">
        <v>9.06</v>
      </c>
      <c r="P258">
        <v>11.03</v>
      </c>
      <c r="Q258">
        <v>13.63</v>
      </c>
      <c r="R258">
        <v>14.54</v>
      </c>
      <c r="S258">
        <v>14.84</v>
      </c>
    </row>
    <row r="259" spans="1:19" x14ac:dyDescent="0.25">
      <c r="A259" t="s">
        <v>17</v>
      </c>
    </row>
    <row r="260" spans="1:19" x14ac:dyDescent="0.25">
      <c r="A260" t="s">
        <v>231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2058-0C59-42FE-9F2F-34F9DA3FF465}">
  <dimension ref="A1:U205"/>
  <sheetViews>
    <sheetView workbookViewId="0">
      <selection sqref="A1:U205"/>
    </sheetView>
  </sheetViews>
  <sheetFormatPr defaultRowHeight="15" x14ac:dyDescent="0.25"/>
  <sheetData>
    <row r="1" spans="1:21" x14ac:dyDescent="0.25">
      <c r="A1" t="s">
        <v>1974</v>
      </c>
    </row>
    <row r="2" spans="1:21" x14ac:dyDescent="0.25">
      <c r="A2" t="s">
        <v>1975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41637</v>
      </c>
      <c r="C4" s="1">
        <v>42001</v>
      </c>
      <c r="D4" s="1">
        <v>42372</v>
      </c>
      <c r="E4" s="1">
        <v>42736</v>
      </c>
      <c r="F4" s="1">
        <v>43100</v>
      </c>
      <c r="G4" s="1">
        <v>43464</v>
      </c>
      <c r="H4" s="1">
        <v>43828</v>
      </c>
      <c r="I4" s="1">
        <v>44199</v>
      </c>
      <c r="J4" s="1">
        <v>44563</v>
      </c>
      <c r="K4" s="1">
        <v>44927</v>
      </c>
      <c r="L4" s="1">
        <v>45291</v>
      </c>
      <c r="M4" s="1">
        <v>45655</v>
      </c>
      <c r="N4" s="1">
        <v>46019</v>
      </c>
      <c r="O4" s="1">
        <v>46390</v>
      </c>
      <c r="P4" s="1">
        <v>46754</v>
      </c>
      <c r="Q4" s="1">
        <v>47118</v>
      </c>
      <c r="R4" s="1">
        <v>47482</v>
      </c>
      <c r="S4" s="1">
        <v>47846</v>
      </c>
      <c r="T4" s="1">
        <v>48210</v>
      </c>
      <c r="U4" s="1">
        <v>48581</v>
      </c>
    </row>
    <row r="5" spans="1:21" x14ac:dyDescent="0.25">
      <c r="A5" t="s">
        <v>14</v>
      </c>
    </row>
    <row r="6" spans="1:21" x14ac:dyDescent="0.25">
      <c r="A6" t="s">
        <v>15</v>
      </c>
      <c r="B6">
        <v>0.48</v>
      </c>
      <c r="C6">
        <v>0.72</v>
      </c>
      <c r="D6">
        <v>0.86</v>
      </c>
      <c r="E6">
        <v>0.83</v>
      </c>
      <c r="F6">
        <v>1.01</v>
      </c>
      <c r="G6">
        <v>1.29</v>
      </c>
      <c r="H6">
        <v>1.25</v>
      </c>
      <c r="I6">
        <v>2.4900000000000002</v>
      </c>
      <c r="J6">
        <v>2.1</v>
      </c>
      <c r="K6">
        <v>2.39</v>
      </c>
      <c r="L6">
        <v>2.84</v>
      </c>
      <c r="M6">
        <v>3.75</v>
      </c>
      <c r="N6">
        <v>5.31</v>
      </c>
      <c r="O6">
        <v>5.56</v>
      </c>
      <c r="P6">
        <v>5.96</v>
      </c>
      <c r="Q6">
        <v>6.53</v>
      </c>
      <c r="R6">
        <v>7.39</v>
      </c>
      <c r="S6">
        <v>8.07</v>
      </c>
      <c r="T6">
        <v>8.9700000000000006</v>
      </c>
      <c r="U6">
        <v>10.44</v>
      </c>
    </row>
    <row r="7" spans="1:21" x14ac:dyDescent="0.25">
      <c r="A7" t="s">
        <v>16</v>
      </c>
      <c r="B7" s="2">
        <v>2437.91</v>
      </c>
      <c r="C7" s="2">
        <v>2967.42</v>
      </c>
      <c r="D7" s="2">
        <v>3593.03</v>
      </c>
      <c r="E7" s="2">
        <v>4046.39</v>
      </c>
      <c r="F7" s="2">
        <v>4664.6099999999997</v>
      </c>
      <c r="G7" s="2">
        <v>5207.34</v>
      </c>
      <c r="H7" s="2">
        <v>5634.84</v>
      </c>
      <c r="I7" s="2">
        <v>6468.76</v>
      </c>
      <c r="J7" s="2">
        <v>6099.87</v>
      </c>
      <c r="K7" s="2">
        <v>6404.22</v>
      </c>
      <c r="L7" s="2">
        <v>6837.38</v>
      </c>
      <c r="M7" s="2">
        <v>7719.29</v>
      </c>
      <c r="N7" s="2">
        <v>8806.16</v>
      </c>
      <c r="O7" s="2">
        <v>9488.89</v>
      </c>
      <c r="P7" s="2">
        <v>10211.24</v>
      </c>
      <c r="Q7" s="2">
        <v>11148.23</v>
      </c>
      <c r="R7" s="2">
        <v>12199.2</v>
      </c>
      <c r="S7" s="2">
        <v>13350.5</v>
      </c>
      <c r="T7" s="2">
        <v>14808</v>
      </c>
      <c r="U7" s="2">
        <v>15693</v>
      </c>
    </row>
    <row r="8" spans="1:21" x14ac:dyDescent="0.25">
      <c r="A8" t="s">
        <v>17</v>
      </c>
    </row>
    <row r="9" spans="1:21" x14ac:dyDescent="0.25">
      <c r="A9" t="s">
        <v>1976</v>
      </c>
    </row>
    <row r="10" spans="1:21" x14ac:dyDescent="0.25">
      <c r="A10" t="s">
        <v>1977</v>
      </c>
      <c r="B10">
        <v>10.7</v>
      </c>
      <c r="C10">
        <v>9.9</v>
      </c>
      <c r="D10">
        <v>5.8</v>
      </c>
      <c r="E10">
        <v>2.7</v>
      </c>
      <c r="F10">
        <v>2.9</v>
      </c>
      <c r="G10">
        <v>2.1</v>
      </c>
      <c r="H10">
        <v>1.1000000000000001</v>
      </c>
      <c r="I10">
        <v>6.9</v>
      </c>
      <c r="J10">
        <v>-6.7</v>
      </c>
      <c r="K10">
        <v>2.2000000000000002</v>
      </c>
      <c r="L10">
        <v>3.4</v>
      </c>
      <c r="M10">
        <v>7.6</v>
      </c>
      <c r="N10">
        <v>7.3</v>
      </c>
      <c r="O10">
        <v>-0.09</v>
      </c>
      <c r="P10">
        <v>2.78</v>
      </c>
      <c r="Q10">
        <v>2.79</v>
      </c>
      <c r="R10">
        <v>2.96</v>
      </c>
      <c r="S10">
        <v>2.95</v>
      </c>
      <c r="T10">
        <v>3.27</v>
      </c>
      <c r="U10">
        <v>3.35</v>
      </c>
    </row>
    <row r="11" spans="1:21" x14ac:dyDescent="0.25">
      <c r="A11" t="s">
        <v>1978</v>
      </c>
      <c r="B11">
        <v>21.44</v>
      </c>
      <c r="C11">
        <v>21.66</v>
      </c>
      <c r="D11">
        <v>16.27</v>
      </c>
      <c r="E11">
        <v>8.66</v>
      </c>
      <c r="F11">
        <v>5.68</v>
      </c>
      <c r="G11">
        <v>5.0599999999999996</v>
      </c>
      <c r="H11">
        <v>3.22</v>
      </c>
      <c r="I11">
        <v>8.08</v>
      </c>
      <c r="J11">
        <v>-0.26</v>
      </c>
      <c r="K11">
        <v>-4.6500000000000004</v>
      </c>
      <c r="L11">
        <v>5.67</v>
      </c>
      <c r="M11">
        <v>11.26</v>
      </c>
      <c r="N11">
        <v>15.45</v>
      </c>
      <c r="O11">
        <v>7.29</v>
      </c>
      <c r="P11">
        <v>2.91</v>
      </c>
      <c r="Q11">
        <v>5.53</v>
      </c>
      <c r="R11">
        <v>5.67</v>
      </c>
      <c r="S11">
        <v>5.5</v>
      </c>
      <c r="T11">
        <v>7</v>
      </c>
      <c r="U11">
        <v>7</v>
      </c>
    </row>
    <row r="12" spans="1:21" x14ac:dyDescent="0.25">
      <c r="A12" t="s">
        <v>1979</v>
      </c>
      <c r="B12">
        <v>19</v>
      </c>
      <c r="C12">
        <v>24</v>
      </c>
      <c r="D12">
        <v>26</v>
      </c>
      <c r="E12">
        <v>36</v>
      </c>
      <c r="F12">
        <v>32</v>
      </c>
      <c r="G12">
        <v>28</v>
      </c>
      <c r="H12">
        <v>27</v>
      </c>
      <c r="I12">
        <v>22</v>
      </c>
      <c r="J12">
        <v>12</v>
      </c>
      <c r="K12">
        <v>12</v>
      </c>
      <c r="L12">
        <v>21</v>
      </c>
      <c r="M12">
        <v>33</v>
      </c>
      <c r="N12">
        <v>37</v>
      </c>
      <c r="O12">
        <v>42</v>
      </c>
      <c r="P12">
        <v>44</v>
      </c>
      <c r="Q12">
        <v>49</v>
      </c>
      <c r="R12">
        <v>52</v>
      </c>
      <c r="S12">
        <v>55</v>
      </c>
      <c r="T12">
        <v>57</v>
      </c>
      <c r="U12">
        <v>51</v>
      </c>
    </row>
    <row r="13" spans="1:21" x14ac:dyDescent="0.25">
      <c r="A13" t="s">
        <v>1980</v>
      </c>
      <c r="F13">
        <v>32</v>
      </c>
      <c r="G13">
        <v>30</v>
      </c>
      <c r="H13">
        <v>28</v>
      </c>
      <c r="I13">
        <v>22</v>
      </c>
      <c r="J13">
        <v>12</v>
      </c>
      <c r="K13">
        <v>16</v>
      </c>
      <c r="L13">
        <v>30</v>
      </c>
      <c r="M13">
        <v>33</v>
      </c>
      <c r="N13">
        <v>37</v>
      </c>
      <c r="O13">
        <v>43</v>
      </c>
      <c r="P13">
        <v>46</v>
      </c>
      <c r="Q13">
        <v>48</v>
      </c>
      <c r="R13">
        <v>50</v>
      </c>
      <c r="S13">
        <v>54</v>
      </c>
    </row>
    <row r="14" spans="1:21" x14ac:dyDescent="0.25">
      <c r="A14" t="s">
        <v>1981</v>
      </c>
      <c r="B14">
        <v>0</v>
      </c>
      <c r="C14">
        <v>0</v>
      </c>
      <c r="D14">
        <v>1</v>
      </c>
      <c r="E14">
        <v>0</v>
      </c>
      <c r="F14">
        <v>0</v>
      </c>
      <c r="G14">
        <v>2</v>
      </c>
      <c r="H14">
        <v>1</v>
      </c>
      <c r="I14">
        <v>0</v>
      </c>
      <c r="J14">
        <v>0</v>
      </c>
      <c r="K14">
        <v>4</v>
      </c>
      <c r="L14">
        <v>11</v>
      </c>
      <c r="M14">
        <v>0</v>
      </c>
      <c r="N14">
        <v>0</v>
      </c>
      <c r="O14">
        <v>0</v>
      </c>
      <c r="P14">
        <v>2</v>
      </c>
      <c r="Q14">
        <v>2</v>
      </c>
    </row>
    <row r="15" spans="1:21" x14ac:dyDescent="0.25">
      <c r="A15" t="s">
        <v>1982</v>
      </c>
      <c r="D15" s="2">
        <v>5976.78</v>
      </c>
      <c r="E15" s="2">
        <v>7070.25</v>
      </c>
      <c r="F15" s="2">
        <v>8054.72</v>
      </c>
      <c r="G15" s="2">
        <v>9029.77</v>
      </c>
      <c r="H15" s="2">
        <v>9846.08</v>
      </c>
      <c r="I15" s="2">
        <v>10511.72</v>
      </c>
      <c r="J15" s="2">
        <v>10846</v>
      </c>
      <c r="K15" s="2">
        <v>10894.4</v>
      </c>
      <c r="L15" s="2">
        <v>11322.8</v>
      </c>
      <c r="M15" s="2">
        <v>12123.03</v>
      </c>
      <c r="N15" s="2">
        <v>12992.1</v>
      </c>
      <c r="O15" s="2">
        <v>14329.42</v>
      </c>
      <c r="P15" s="2">
        <v>15513.13</v>
      </c>
      <c r="Q15" s="2">
        <v>17012.7</v>
      </c>
      <c r="R15" s="2">
        <v>18749.73</v>
      </c>
      <c r="S15" s="2">
        <v>20152.12</v>
      </c>
      <c r="T15" s="2">
        <v>22370.06</v>
      </c>
      <c r="U15" s="2">
        <v>23204.07</v>
      </c>
    </row>
    <row r="16" spans="1:21" x14ac:dyDescent="0.25">
      <c r="A16" t="s">
        <v>1983</v>
      </c>
      <c r="B16">
        <v>12.83</v>
      </c>
      <c r="C16">
        <v>14.71</v>
      </c>
      <c r="F16">
        <v>13.92</v>
      </c>
      <c r="G16">
        <v>12.11</v>
      </c>
      <c r="H16">
        <v>9.0399999999999991</v>
      </c>
      <c r="I16">
        <v>6.76</v>
      </c>
      <c r="J16">
        <v>3.18</v>
      </c>
      <c r="K16">
        <v>0.45</v>
      </c>
      <c r="L16">
        <v>3.93</v>
      </c>
      <c r="M16">
        <v>7.07</v>
      </c>
      <c r="N16">
        <v>7.17</v>
      </c>
      <c r="O16">
        <v>8.24</v>
      </c>
      <c r="P16">
        <v>8.3800000000000008</v>
      </c>
      <c r="Q16">
        <v>7.97</v>
      </c>
      <c r="R16">
        <v>7.93</v>
      </c>
      <c r="S16">
        <v>7.34</v>
      </c>
      <c r="T16">
        <v>6.84</v>
      </c>
      <c r="U16">
        <v>6.4</v>
      </c>
    </row>
    <row r="17" spans="1:21" x14ac:dyDescent="0.25">
      <c r="A17" t="s">
        <v>17</v>
      </c>
    </row>
    <row r="18" spans="1:21" x14ac:dyDescent="0.25">
      <c r="A18" t="s">
        <v>84</v>
      </c>
      <c r="B18">
        <v>725.27</v>
      </c>
      <c r="D18" s="2">
        <v>1051.6300000000001</v>
      </c>
      <c r="E18" s="2">
        <v>1363.45</v>
      </c>
      <c r="F18" s="2">
        <v>1567.03</v>
      </c>
      <c r="G18" s="2">
        <v>1747.48</v>
      </c>
      <c r="H18" s="2">
        <v>1894.82</v>
      </c>
      <c r="I18" s="2">
        <v>2379.29</v>
      </c>
      <c r="J18" s="2">
        <v>2209.21</v>
      </c>
      <c r="K18" s="2">
        <v>2348.56</v>
      </c>
      <c r="L18" s="2">
        <v>2521.84</v>
      </c>
      <c r="M18" s="2">
        <v>2941.49</v>
      </c>
      <c r="N18" s="2">
        <v>3416.39</v>
      </c>
      <c r="O18" s="2">
        <v>3671.28</v>
      </c>
      <c r="P18" s="2">
        <v>3941.84</v>
      </c>
      <c r="Q18" s="2">
        <v>4296.8900000000003</v>
      </c>
      <c r="R18" s="2">
        <v>4649</v>
      </c>
      <c r="S18" s="2">
        <v>4956.12</v>
      </c>
    </row>
    <row r="19" spans="1:21" x14ac:dyDescent="0.25">
      <c r="A19" t="s">
        <v>85</v>
      </c>
      <c r="B19">
        <v>29.75</v>
      </c>
      <c r="C19">
        <v>29.83</v>
      </c>
      <c r="D19">
        <v>29.27</v>
      </c>
      <c r="E19">
        <v>29.21</v>
      </c>
      <c r="F19">
        <v>28.94</v>
      </c>
      <c r="G19">
        <v>33.56</v>
      </c>
      <c r="H19">
        <v>33.630000000000003</v>
      </c>
      <c r="I19">
        <v>36.78</v>
      </c>
      <c r="J19">
        <v>36.22</v>
      </c>
      <c r="K19">
        <v>36.67</v>
      </c>
      <c r="L19">
        <v>36.9</v>
      </c>
      <c r="M19">
        <v>38.1</v>
      </c>
      <c r="N19">
        <v>38.799999999999997</v>
      </c>
      <c r="O19">
        <v>38.71</v>
      </c>
      <c r="P19">
        <v>38.700000000000003</v>
      </c>
      <c r="Q19">
        <v>38.659999999999997</v>
      </c>
      <c r="R19">
        <v>38.75</v>
      </c>
      <c r="S19">
        <v>38.590000000000003</v>
      </c>
      <c r="T19">
        <v>38.28</v>
      </c>
      <c r="U19">
        <v>38.26</v>
      </c>
    </row>
    <row r="20" spans="1:21" x14ac:dyDescent="0.25">
      <c r="A20" t="s">
        <v>17</v>
      </c>
    </row>
    <row r="21" spans="1:21" x14ac:dyDescent="0.25">
      <c r="A21" t="s">
        <v>446</v>
      </c>
      <c r="B21">
        <v>160.59</v>
      </c>
      <c r="D21">
        <v>239.9</v>
      </c>
      <c r="E21">
        <v>254.35</v>
      </c>
      <c r="F21">
        <v>309.57</v>
      </c>
      <c r="G21">
        <v>294.38</v>
      </c>
      <c r="H21">
        <v>355.21</v>
      </c>
      <c r="I21">
        <v>494.04</v>
      </c>
      <c r="J21">
        <v>364.8</v>
      </c>
      <c r="K21">
        <v>371.33</v>
      </c>
      <c r="L21">
        <v>465.07</v>
      </c>
      <c r="M21">
        <v>645.21</v>
      </c>
      <c r="N21">
        <v>716</v>
      </c>
      <c r="O21">
        <v>706.05</v>
      </c>
      <c r="P21">
        <v>781.54</v>
      </c>
      <c r="Q21">
        <v>859.74</v>
      </c>
      <c r="R21">
        <v>991.39</v>
      </c>
      <c r="S21" s="2">
        <v>1086.9000000000001</v>
      </c>
      <c r="T21" s="2">
        <v>1061.57</v>
      </c>
      <c r="U21" s="2">
        <v>1152.8800000000001</v>
      </c>
    </row>
    <row r="22" spans="1:21" x14ac:dyDescent="0.25">
      <c r="A22" t="s">
        <v>242</v>
      </c>
      <c r="B22">
        <v>-87.46</v>
      </c>
      <c r="C22">
        <v>-127.07</v>
      </c>
      <c r="D22">
        <v>-125.31</v>
      </c>
      <c r="E22">
        <v>-181.02</v>
      </c>
      <c r="F22">
        <v>-198.62</v>
      </c>
      <c r="G22">
        <v>-177.08</v>
      </c>
      <c r="H22">
        <v>-183.23</v>
      </c>
      <c r="I22">
        <v>-121.97</v>
      </c>
      <c r="J22">
        <v>-102.38</v>
      </c>
      <c r="K22">
        <v>-124.01</v>
      </c>
      <c r="L22">
        <v>-225.31</v>
      </c>
      <c r="M22">
        <v>-230.38</v>
      </c>
      <c r="N22">
        <v>-248.27</v>
      </c>
      <c r="O22">
        <v>-315.8</v>
      </c>
      <c r="P22">
        <v>-328.57</v>
      </c>
      <c r="Q22">
        <v>-341.92</v>
      </c>
      <c r="R22">
        <v>-351.6</v>
      </c>
      <c r="S22">
        <v>-372</v>
      </c>
      <c r="T22">
        <v>-385.67</v>
      </c>
      <c r="U22">
        <v>-463</v>
      </c>
    </row>
    <row r="23" spans="1:21" x14ac:dyDescent="0.25">
      <c r="A23" t="s">
        <v>17</v>
      </c>
    </row>
    <row r="24" spans="1:21" x14ac:dyDescent="0.25">
      <c r="A24" t="s">
        <v>37</v>
      </c>
    </row>
    <row r="25" spans="1:21" x14ac:dyDescent="0.25">
      <c r="A25" t="s">
        <v>17</v>
      </c>
    </row>
    <row r="26" spans="1:21" x14ac:dyDescent="0.25">
      <c r="A26" t="s">
        <v>38</v>
      </c>
    </row>
    <row r="27" spans="1:21" x14ac:dyDescent="0.25">
      <c r="A27" t="s">
        <v>1976</v>
      </c>
    </row>
    <row r="28" spans="1:21" x14ac:dyDescent="0.25">
      <c r="A28" t="s">
        <v>1977</v>
      </c>
      <c r="B28">
        <v>10.7</v>
      </c>
      <c r="C28">
        <v>9.9</v>
      </c>
      <c r="D28">
        <v>5.8</v>
      </c>
      <c r="E28">
        <v>2.7</v>
      </c>
      <c r="F28">
        <v>2.9</v>
      </c>
      <c r="G28">
        <v>2.1</v>
      </c>
      <c r="H28">
        <v>1.1000000000000001</v>
      </c>
      <c r="I28">
        <v>6.9</v>
      </c>
      <c r="J28">
        <v>-6.7</v>
      </c>
      <c r="K28">
        <v>2.2000000000000002</v>
      </c>
      <c r="L28">
        <v>3.4</v>
      </c>
      <c r="M28">
        <v>7.6</v>
      </c>
      <c r="N28">
        <v>7.3</v>
      </c>
      <c r="O28">
        <v>-0.09</v>
      </c>
      <c r="P28">
        <v>2.78</v>
      </c>
      <c r="Q28">
        <v>2.79</v>
      </c>
      <c r="R28">
        <v>2.96</v>
      </c>
      <c r="S28">
        <v>2.95</v>
      </c>
      <c r="T28">
        <v>3.27</v>
      </c>
      <c r="U28">
        <v>3.35</v>
      </c>
    </row>
    <row r="29" spans="1:21" x14ac:dyDescent="0.25">
      <c r="A29" t="s">
        <v>1984</v>
      </c>
      <c r="B29">
        <v>21.44</v>
      </c>
      <c r="C29">
        <v>21.66</v>
      </c>
      <c r="D29">
        <v>16.27</v>
      </c>
      <c r="E29">
        <v>8.66</v>
      </c>
      <c r="F29">
        <v>5.68</v>
      </c>
      <c r="G29">
        <v>5.0599999999999996</v>
      </c>
      <c r="H29">
        <v>3.22</v>
      </c>
      <c r="I29">
        <v>8.08</v>
      </c>
      <c r="J29">
        <v>-0.26</v>
      </c>
      <c r="K29">
        <v>-4.6500000000000004</v>
      </c>
      <c r="L29">
        <v>5.67</v>
      </c>
      <c r="M29">
        <v>11.26</v>
      </c>
      <c r="N29">
        <v>15.45</v>
      </c>
      <c r="O29">
        <v>7.29</v>
      </c>
      <c r="P29">
        <v>2.91</v>
      </c>
      <c r="Q29">
        <v>5.53</v>
      </c>
      <c r="R29">
        <v>5.67</v>
      </c>
      <c r="S29">
        <v>5.5</v>
      </c>
      <c r="T29">
        <v>7</v>
      </c>
      <c r="U29">
        <v>7</v>
      </c>
    </row>
    <row r="30" spans="1:21" x14ac:dyDescent="0.25">
      <c r="A30" t="s">
        <v>17</v>
      </c>
    </row>
    <row r="31" spans="1:21" x14ac:dyDescent="0.25">
      <c r="A31" t="s">
        <v>1985</v>
      </c>
      <c r="B31">
        <v>19</v>
      </c>
      <c r="C31">
        <v>24</v>
      </c>
      <c r="D31">
        <v>26</v>
      </c>
      <c r="E31">
        <v>36</v>
      </c>
      <c r="F31">
        <v>32</v>
      </c>
      <c r="G31">
        <v>28</v>
      </c>
      <c r="H31">
        <v>27</v>
      </c>
      <c r="I31">
        <v>22</v>
      </c>
      <c r="J31">
        <v>12</v>
      </c>
      <c r="K31">
        <v>12</v>
      </c>
      <c r="L31">
        <v>21</v>
      </c>
      <c r="M31">
        <v>33</v>
      </c>
      <c r="N31">
        <v>37</v>
      </c>
      <c r="O31">
        <v>42</v>
      </c>
      <c r="P31">
        <v>44</v>
      </c>
      <c r="Q31">
        <v>49</v>
      </c>
      <c r="R31">
        <v>52</v>
      </c>
      <c r="S31">
        <v>55</v>
      </c>
      <c r="T31">
        <v>57</v>
      </c>
      <c r="U31">
        <v>51</v>
      </c>
    </row>
    <row r="32" spans="1:21" x14ac:dyDescent="0.25">
      <c r="A32" t="s">
        <v>1986</v>
      </c>
      <c r="F32">
        <v>32</v>
      </c>
      <c r="G32">
        <v>30</v>
      </c>
      <c r="H32">
        <v>28</v>
      </c>
      <c r="I32">
        <v>22</v>
      </c>
      <c r="J32">
        <v>12</v>
      </c>
      <c r="K32">
        <v>16</v>
      </c>
      <c r="L32">
        <v>30</v>
      </c>
      <c r="M32">
        <v>33</v>
      </c>
      <c r="N32">
        <v>37</v>
      </c>
      <c r="O32">
        <v>43</v>
      </c>
      <c r="P32">
        <v>46</v>
      </c>
      <c r="Q32">
        <v>48</v>
      </c>
      <c r="R32">
        <v>50</v>
      </c>
      <c r="S32">
        <v>54</v>
      </c>
    </row>
    <row r="33" spans="1:21" x14ac:dyDescent="0.25">
      <c r="A33" t="s">
        <v>1987</v>
      </c>
      <c r="B33">
        <v>0</v>
      </c>
      <c r="C33">
        <v>0</v>
      </c>
      <c r="D33">
        <v>1</v>
      </c>
      <c r="E33">
        <v>0</v>
      </c>
      <c r="F33">
        <v>0</v>
      </c>
      <c r="G33">
        <v>2</v>
      </c>
      <c r="H33">
        <v>1</v>
      </c>
      <c r="I33">
        <v>0</v>
      </c>
      <c r="J33">
        <v>0</v>
      </c>
      <c r="K33">
        <v>4</v>
      </c>
      <c r="L33">
        <v>11</v>
      </c>
      <c r="M33">
        <v>0</v>
      </c>
      <c r="N33">
        <v>0</v>
      </c>
      <c r="O33">
        <v>0</v>
      </c>
      <c r="P33">
        <v>2</v>
      </c>
      <c r="Q33">
        <v>2</v>
      </c>
    </row>
    <row r="34" spans="1:21" x14ac:dyDescent="0.25">
      <c r="A34" t="s">
        <v>1988</v>
      </c>
      <c r="B34">
        <v>167</v>
      </c>
      <c r="C34">
        <v>191</v>
      </c>
      <c r="D34">
        <v>217</v>
      </c>
      <c r="E34">
        <v>253</v>
      </c>
      <c r="F34">
        <v>285</v>
      </c>
      <c r="G34">
        <v>313</v>
      </c>
      <c r="H34">
        <v>340</v>
      </c>
      <c r="I34">
        <v>362</v>
      </c>
      <c r="J34">
        <v>374</v>
      </c>
      <c r="K34">
        <v>386</v>
      </c>
      <c r="L34">
        <v>407</v>
      </c>
      <c r="M34">
        <v>440</v>
      </c>
      <c r="N34">
        <v>477</v>
      </c>
      <c r="O34">
        <v>519</v>
      </c>
      <c r="P34">
        <v>565</v>
      </c>
      <c r="Q34">
        <v>616</v>
      </c>
      <c r="R34">
        <v>665</v>
      </c>
      <c r="S34">
        <v>722</v>
      </c>
      <c r="T34">
        <v>781</v>
      </c>
      <c r="U34">
        <v>814</v>
      </c>
    </row>
    <row r="35" spans="1:21" x14ac:dyDescent="0.25">
      <c r="A35" t="s">
        <v>1989</v>
      </c>
      <c r="B35">
        <v>15.58</v>
      </c>
      <c r="C35">
        <v>16.670000000000002</v>
      </c>
      <c r="D35">
        <v>17.66</v>
      </c>
      <c r="E35">
        <v>17.22</v>
      </c>
      <c r="F35">
        <v>17.34</v>
      </c>
      <c r="G35">
        <v>17.420000000000002</v>
      </c>
      <c r="H35">
        <v>17.260000000000002</v>
      </c>
      <c r="I35">
        <v>18.43</v>
      </c>
      <c r="J35">
        <v>16.579999999999998</v>
      </c>
      <c r="K35">
        <v>16.850000000000001</v>
      </c>
      <c r="L35">
        <v>17.239999999999998</v>
      </c>
      <c r="M35">
        <v>18.23</v>
      </c>
      <c r="N35">
        <v>19.21</v>
      </c>
      <c r="O35">
        <v>18.98</v>
      </c>
      <c r="P35">
        <v>18.86</v>
      </c>
      <c r="Q35">
        <v>16.45</v>
      </c>
      <c r="R35">
        <v>18.89</v>
      </c>
      <c r="S35">
        <v>18.87</v>
      </c>
      <c r="T35">
        <v>19.329999999999998</v>
      </c>
      <c r="U35">
        <v>19.43</v>
      </c>
    </row>
    <row r="36" spans="1:21" x14ac:dyDescent="0.25">
      <c r="A36" t="s">
        <v>17</v>
      </c>
    </row>
    <row r="37" spans="1:21" x14ac:dyDescent="0.25">
      <c r="A37" t="s">
        <v>1982</v>
      </c>
      <c r="D37" s="2">
        <v>5976.78</v>
      </c>
      <c r="E37" s="2">
        <v>7070.25</v>
      </c>
      <c r="F37" s="2">
        <v>8054.72</v>
      </c>
      <c r="G37" s="2">
        <v>9029.77</v>
      </c>
      <c r="H37" s="2">
        <v>9846.08</v>
      </c>
      <c r="I37" s="2">
        <v>10511.72</v>
      </c>
      <c r="J37" s="2">
        <v>10846</v>
      </c>
      <c r="K37" s="2">
        <v>10894.4</v>
      </c>
      <c r="L37" s="2">
        <v>11322.8</v>
      </c>
      <c r="M37" s="2">
        <v>12123.03</v>
      </c>
      <c r="N37" s="2">
        <v>12992.1</v>
      </c>
      <c r="O37" s="2">
        <v>14329.42</v>
      </c>
      <c r="P37" s="2">
        <v>15513.13</v>
      </c>
      <c r="Q37" s="2">
        <v>17012.7</v>
      </c>
      <c r="R37" s="2">
        <v>18749.73</v>
      </c>
      <c r="S37" s="2">
        <v>20152.12</v>
      </c>
      <c r="T37" s="2">
        <v>22370.06</v>
      </c>
      <c r="U37" s="2">
        <v>23204.07</v>
      </c>
    </row>
    <row r="38" spans="1:21" x14ac:dyDescent="0.25">
      <c r="A38" t="s">
        <v>1983</v>
      </c>
      <c r="B38">
        <v>12.83</v>
      </c>
      <c r="C38">
        <v>14.71</v>
      </c>
      <c r="F38">
        <v>13.92</v>
      </c>
      <c r="G38">
        <v>12.11</v>
      </c>
      <c r="H38">
        <v>9.0399999999999991</v>
      </c>
      <c r="I38">
        <v>6.76</v>
      </c>
      <c r="J38">
        <v>3.18</v>
      </c>
      <c r="K38">
        <v>0.45</v>
      </c>
      <c r="L38">
        <v>3.93</v>
      </c>
      <c r="M38">
        <v>7.07</v>
      </c>
      <c r="N38">
        <v>7.17</v>
      </c>
      <c r="O38">
        <v>8.24</v>
      </c>
      <c r="P38">
        <v>8.3800000000000008</v>
      </c>
      <c r="Q38">
        <v>7.97</v>
      </c>
      <c r="R38">
        <v>7.93</v>
      </c>
      <c r="S38">
        <v>7.34</v>
      </c>
      <c r="T38">
        <v>6.84</v>
      </c>
      <c r="U38">
        <v>6.4</v>
      </c>
    </row>
    <row r="39" spans="1:21" x14ac:dyDescent="0.25">
      <c r="A39" t="s">
        <v>1990</v>
      </c>
      <c r="B39" s="2">
        <v>27606.89</v>
      </c>
      <c r="C39" s="2">
        <v>27646.58</v>
      </c>
      <c r="D39" s="2">
        <v>27542.76</v>
      </c>
      <c r="E39" s="2">
        <v>27945.64</v>
      </c>
      <c r="F39" s="2">
        <v>28262.18</v>
      </c>
      <c r="G39" s="2">
        <v>28849.1</v>
      </c>
      <c r="H39" s="2">
        <v>28959.06</v>
      </c>
      <c r="I39" s="2">
        <v>29037.9</v>
      </c>
      <c r="J39" s="2">
        <v>29000</v>
      </c>
      <c r="K39" s="2">
        <v>28223.82</v>
      </c>
      <c r="L39" s="2">
        <v>27820.14</v>
      </c>
      <c r="M39" s="2">
        <v>27552.35</v>
      </c>
      <c r="N39" s="2">
        <v>27237.1</v>
      </c>
      <c r="O39" s="2">
        <v>27072.29</v>
      </c>
      <c r="P39" s="2">
        <v>26822.1</v>
      </c>
      <c r="Q39" s="2">
        <v>26732.23</v>
      </c>
      <c r="R39" s="2">
        <v>26807.13</v>
      </c>
      <c r="S39" s="2">
        <v>26691.33</v>
      </c>
      <c r="T39" s="2">
        <v>27552</v>
      </c>
      <c r="U39" s="2">
        <v>27552</v>
      </c>
    </row>
    <row r="40" spans="1:21" x14ac:dyDescent="0.25">
      <c r="A40" t="s">
        <v>1991</v>
      </c>
      <c r="B40">
        <v>563.83000000000004</v>
      </c>
      <c r="C40">
        <v>603.41</v>
      </c>
      <c r="D40">
        <v>639.91999999999996</v>
      </c>
      <c r="E40">
        <v>620.28</v>
      </c>
      <c r="F40">
        <v>616.80999999999995</v>
      </c>
      <c r="G40">
        <v>609.6</v>
      </c>
      <c r="H40">
        <v>597.04</v>
      </c>
      <c r="I40">
        <v>635.51</v>
      </c>
      <c r="J40">
        <v>571.21</v>
      </c>
      <c r="K40">
        <v>589.15</v>
      </c>
      <c r="L40">
        <v>615.5</v>
      </c>
      <c r="M40">
        <v>658.48</v>
      </c>
      <c r="N40">
        <v>701.26</v>
      </c>
      <c r="O40">
        <v>690.26</v>
      </c>
      <c r="P40">
        <v>688.24</v>
      </c>
      <c r="Q40">
        <v>683.55</v>
      </c>
      <c r="R40">
        <v>681.4</v>
      </c>
      <c r="S40">
        <v>686.03</v>
      </c>
      <c r="T40">
        <v>678.39</v>
      </c>
      <c r="U40">
        <v>682.09</v>
      </c>
    </row>
    <row r="41" spans="1:21" x14ac:dyDescent="0.25">
      <c r="A41" t="s">
        <v>1992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</row>
    <row r="42" spans="1:21" x14ac:dyDescent="0.25">
      <c r="A42" t="s">
        <v>17</v>
      </c>
    </row>
    <row r="43" spans="1:21" x14ac:dyDescent="0.25">
      <c r="A43" t="s">
        <v>1993</v>
      </c>
    </row>
    <row r="44" spans="1:21" x14ac:dyDescent="0.25">
      <c r="A44" t="s">
        <v>1994</v>
      </c>
      <c r="B44">
        <v>148</v>
      </c>
      <c r="C44">
        <v>167</v>
      </c>
      <c r="D44">
        <v>191</v>
      </c>
      <c r="E44">
        <v>217</v>
      </c>
      <c r="F44">
        <v>253</v>
      </c>
      <c r="G44">
        <v>285</v>
      </c>
      <c r="H44">
        <v>313</v>
      </c>
      <c r="I44">
        <v>340</v>
      </c>
      <c r="J44">
        <v>362</v>
      </c>
      <c r="K44">
        <v>374</v>
      </c>
      <c r="L44">
        <v>386</v>
      </c>
      <c r="M44">
        <v>407</v>
      </c>
      <c r="N44">
        <v>440</v>
      </c>
      <c r="O44">
        <v>481</v>
      </c>
      <c r="P44">
        <v>524</v>
      </c>
      <c r="Q44">
        <v>572</v>
      </c>
      <c r="R44">
        <v>617</v>
      </c>
      <c r="S44">
        <v>670</v>
      </c>
      <c r="T44">
        <v>725</v>
      </c>
      <c r="U44">
        <v>776</v>
      </c>
    </row>
    <row r="45" spans="1:21" x14ac:dyDescent="0.25">
      <c r="A45" t="s">
        <v>1995</v>
      </c>
      <c r="B45">
        <v>19</v>
      </c>
      <c r="C45">
        <v>24</v>
      </c>
      <c r="D45">
        <v>27</v>
      </c>
      <c r="E45">
        <v>36</v>
      </c>
      <c r="F45">
        <v>32</v>
      </c>
      <c r="G45">
        <v>30</v>
      </c>
      <c r="H45">
        <v>28</v>
      </c>
      <c r="I45">
        <v>22</v>
      </c>
      <c r="J45">
        <v>12</v>
      </c>
      <c r="K45">
        <v>16</v>
      </c>
      <c r="L45">
        <v>32</v>
      </c>
      <c r="M45">
        <v>33</v>
      </c>
      <c r="N45">
        <v>37</v>
      </c>
      <c r="O45">
        <v>43</v>
      </c>
      <c r="P45">
        <v>47</v>
      </c>
      <c r="Q45">
        <v>51</v>
      </c>
      <c r="R45">
        <v>50</v>
      </c>
      <c r="S45">
        <v>54</v>
      </c>
    </row>
    <row r="46" spans="1:21" x14ac:dyDescent="0.25">
      <c r="A46" t="s">
        <v>17</v>
      </c>
    </row>
    <row r="47" spans="1:21" x14ac:dyDescent="0.25">
      <c r="A47" t="s">
        <v>1996</v>
      </c>
      <c r="I47">
        <v>11</v>
      </c>
      <c r="J47">
        <v>10.4</v>
      </c>
      <c r="K47">
        <v>11.4</v>
      </c>
      <c r="L47">
        <v>17</v>
      </c>
      <c r="M47">
        <v>37</v>
      </c>
      <c r="N47">
        <v>15</v>
      </c>
      <c r="O47">
        <v>15.93</v>
      </c>
      <c r="P47">
        <v>16.61</v>
      </c>
      <c r="Q47">
        <v>16.989999999999998</v>
      </c>
    </row>
    <row r="48" spans="1:21" x14ac:dyDescent="0.25">
      <c r="A48" t="s">
        <v>17</v>
      </c>
    </row>
    <row r="49" spans="1:21" x14ac:dyDescent="0.25">
      <c r="A49" t="s">
        <v>58</v>
      </c>
    </row>
    <row r="50" spans="1:21" x14ac:dyDescent="0.25">
      <c r="A50" t="s">
        <v>1997</v>
      </c>
    </row>
    <row r="51" spans="1:21" x14ac:dyDescent="0.25">
      <c r="A51" t="s">
        <v>60</v>
      </c>
      <c r="F51" s="2">
        <v>2703.2</v>
      </c>
      <c r="G51" s="2">
        <v>2995.65</v>
      </c>
      <c r="H51" s="2">
        <v>3252.93</v>
      </c>
      <c r="I51" s="2">
        <v>3700.88</v>
      </c>
      <c r="J51" s="2">
        <v>3518.18</v>
      </c>
      <c r="K51" s="2">
        <v>3717.64</v>
      </c>
      <c r="L51" s="2">
        <v>3915.97</v>
      </c>
      <c r="M51" s="2">
        <v>4424.76</v>
      </c>
      <c r="N51" s="2">
        <v>5020.1400000000003</v>
      </c>
      <c r="O51" s="2">
        <v>4437.1899999999996</v>
      </c>
      <c r="P51" s="2">
        <v>5675.11</v>
      </c>
      <c r="Q51" s="2">
        <v>6282.4</v>
      </c>
    </row>
    <row r="52" spans="1:21" x14ac:dyDescent="0.25">
      <c r="A52" t="s">
        <v>61</v>
      </c>
      <c r="B52">
        <v>50.1</v>
      </c>
      <c r="C52">
        <v>50.8</v>
      </c>
      <c r="D52">
        <v>50.8</v>
      </c>
      <c r="E52">
        <v>50.4</v>
      </c>
      <c r="F52">
        <v>58</v>
      </c>
      <c r="G52">
        <v>57.5</v>
      </c>
      <c r="H52">
        <v>57.7</v>
      </c>
      <c r="I52">
        <v>57.2</v>
      </c>
      <c r="J52">
        <v>57.7</v>
      </c>
      <c r="K52">
        <v>58</v>
      </c>
      <c r="L52">
        <v>57.3</v>
      </c>
      <c r="M52">
        <v>57.3</v>
      </c>
      <c r="N52">
        <v>57</v>
      </c>
      <c r="O52">
        <v>56.1</v>
      </c>
      <c r="P52">
        <v>55.68</v>
      </c>
      <c r="Q52">
        <v>56.83</v>
      </c>
    </row>
    <row r="53" spans="1:21" x14ac:dyDescent="0.25">
      <c r="A53" t="s">
        <v>17</v>
      </c>
    </row>
    <row r="54" spans="1:21" x14ac:dyDescent="0.25">
      <c r="A54" t="s">
        <v>1998</v>
      </c>
    </row>
    <row r="55" spans="1:21" x14ac:dyDescent="0.25">
      <c r="A55" t="s">
        <v>60</v>
      </c>
      <c r="F55" s="2">
        <v>1961.42</v>
      </c>
      <c r="G55" s="2">
        <v>2211.69</v>
      </c>
      <c r="H55" s="2">
        <v>2381.91</v>
      </c>
      <c r="I55" s="2">
        <v>2767.88</v>
      </c>
      <c r="J55" s="2">
        <v>2581.69</v>
      </c>
      <c r="K55" s="2">
        <v>2686.58</v>
      </c>
      <c r="L55" s="2">
        <v>2921.41</v>
      </c>
      <c r="M55" s="2">
        <v>3294.53</v>
      </c>
      <c r="N55" s="2">
        <v>3786.02</v>
      </c>
      <c r="O55" s="2">
        <v>3366.51</v>
      </c>
      <c r="P55" s="2">
        <v>4301.25</v>
      </c>
      <c r="Q55" s="2">
        <v>4771.3599999999997</v>
      </c>
    </row>
    <row r="56" spans="1:21" x14ac:dyDescent="0.25">
      <c r="A56" t="s">
        <v>69</v>
      </c>
      <c r="B56">
        <v>49.9</v>
      </c>
      <c r="C56">
        <v>49.2</v>
      </c>
      <c r="D56">
        <v>49.2</v>
      </c>
      <c r="E56">
        <v>49.6</v>
      </c>
      <c r="F56">
        <v>42</v>
      </c>
      <c r="G56">
        <v>42.5</v>
      </c>
      <c r="H56">
        <v>42.3</v>
      </c>
      <c r="I56">
        <v>42.8</v>
      </c>
      <c r="J56">
        <v>42.3</v>
      </c>
      <c r="K56">
        <v>42</v>
      </c>
      <c r="L56">
        <v>42.7</v>
      </c>
      <c r="M56">
        <v>42.7</v>
      </c>
      <c r="N56">
        <v>43</v>
      </c>
      <c r="O56">
        <v>42.56</v>
      </c>
      <c r="P56">
        <v>42.2</v>
      </c>
      <c r="Q56">
        <v>43.17</v>
      </c>
    </row>
    <row r="57" spans="1:21" x14ac:dyDescent="0.25">
      <c r="A57" t="s">
        <v>17</v>
      </c>
    </row>
    <row r="58" spans="1:21" x14ac:dyDescent="0.25">
      <c r="A58" t="s">
        <v>79</v>
      </c>
    </row>
    <row r="59" spans="1:21" x14ac:dyDescent="0.25">
      <c r="A59" t="s">
        <v>80</v>
      </c>
      <c r="B59" s="2">
        <v>2437.91</v>
      </c>
      <c r="C59" s="2">
        <v>2967.42</v>
      </c>
      <c r="D59" s="2">
        <v>3593.03</v>
      </c>
      <c r="E59" s="2">
        <v>4046.39</v>
      </c>
      <c r="F59" s="2">
        <v>4664.6099999999997</v>
      </c>
      <c r="G59" s="2">
        <v>5207.34</v>
      </c>
      <c r="H59" s="2">
        <v>5634.84</v>
      </c>
      <c r="I59" s="2">
        <v>6468.76</v>
      </c>
      <c r="J59" s="2">
        <v>6099.87</v>
      </c>
      <c r="K59" s="2">
        <v>6404.22</v>
      </c>
      <c r="L59" s="2">
        <v>6837.38</v>
      </c>
      <c r="M59" s="2">
        <v>7719.29</v>
      </c>
      <c r="N59" s="2">
        <v>8806.16</v>
      </c>
      <c r="O59" s="2">
        <v>9488.89</v>
      </c>
      <c r="P59" s="2">
        <v>10211.24</v>
      </c>
      <c r="Q59" s="2">
        <v>11148.23</v>
      </c>
      <c r="R59" s="2">
        <v>12199.2</v>
      </c>
      <c r="S59" s="2">
        <v>13350.5</v>
      </c>
      <c r="T59" s="2">
        <v>14808</v>
      </c>
      <c r="U59" s="2">
        <v>15693</v>
      </c>
    </row>
    <row r="60" spans="1:21" x14ac:dyDescent="0.25">
      <c r="A60" t="s">
        <v>17</v>
      </c>
    </row>
    <row r="61" spans="1:21" x14ac:dyDescent="0.25">
      <c r="A61" t="s">
        <v>82</v>
      </c>
      <c r="B61" s="2">
        <v>1712.64</v>
      </c>
      <c r="C61" s="2">
        <v>2082.2199999999998</v>
      </c>
      <c r="D61" s="2">
        <v>2541.4</v>
      </c>
      <c r="E61" s="2">
        <v>2682.94</v>
      </c>
      <c r="F61" s="2">
        <v>3097.58</v>
      </c>
      <c r="G61" s="2">
        <v>3459.86</v>
      </c>
      <c r="H61" s="2">
        <v>3740.02</v>
      </c>
      <c r="I61" s="2">
        <v>4089.47</v>
      </c>
      <c r="J61" s="2">
        <v>3890.66</v>
      </c>
      <c r="K61" s="2">
        <v>4055.66</v>
      </c>
      <c r="L61" s="2">
        <v>4315.54</v>
      </c>
      <c r="M61" s="2">
        <v>4777.8</v>
      </c>
      <c r="N61" s="2">
        <v>5389.77</v>
      </c>
      <c r="O61" s="2">
        <v>5810.3</v>
      </c>
      <c r="P61" s="2">
        <v>6246.74</v>
      </c>
      <c r="Q61" s="2">
        <v>6820.34</v>
      </c>
      <c r="R61" s="2">
        <v>7476.29</v>
      </c>
      <c r="S61" s="2">
        <v>8197.9500000000007</v>
      </c>
      <c r="T61" s="2">
        <v>9118.89</v>
      </c>
      <c r="U61" s="2">
        <v>9652.25</v>
      </c>
    </row>
    <row r="62" spans="1:21" x14ac:dyDescent="0.25">
      <c r="A62" t="s">
        <v>84</v>
      </c>
      <c r="B62">
        <v>725.27</v>
      </c>
      <c r="D62" s="2">
        <v>1051.6300000000001</v>
      </c>
      <c r="E62" s="2">
        <v>1363.45</v>
      </c>
      <c r="F62" s="2">
        <v>1567.03</v>
      </c>
      <c r="G62" s="2">
        <v>1747.48</v>
      </c>
      <c r="H62" s="2">
        <v>1894.82</v>
      </c>
      <c r="I62" s="2">
        <v>2379.29</v>
      </c>
      <c r="J62" s="2">
        <v>2209.21</v>
      </c>
      <c r="K62" s="2">
        <v>2348.56</v>
      </c>
      <c r="L62" s="2">
        <v>2521.84</v>
      </c>
      <c r="M62" s="2">
        <v>2941.49</v>
      </c>
      <c r="N62" s="2">
        <v>3416.39</v>
      </c>
      <c r="O62" s="2">
        <v>3671.28</v>
      </c>
      <c r="P62" s="2">
        <v>3941.84</v>
      </c>
      <c r="Q62" s="2">
        <v>4296.8900000000003</v>
      </c>
      <c r="R62" s="2">
        <v>4649</v>
      </c>
      <c r="S62" s="2">
        <v>4956.12</v>
      </c>
    </row>
    <row r="63" spans="1:21" x14ac:dyDescent="0.25">
      <c r="A63" t="s">
        <v>85</v>
      </c>
      <c r="B63">
        <v>29.75</v>
      </c>
      <c r="C63">
        <v>29.83</v>
      </c>
      <c r="D63">
        <v>29.27</v>
      </c>
      <c r="E63">
        <v>29.21</v>
      </c>
      <c r="F63">
        <v>28.94</v>
      </c>
      <c r="G63">
        <v>33.56</v>
      </c>
      <c r="H63">
        <v>33.630000000000003</v>
      </c>
      <c r="I63">
        <v>36.78</v>
      </c>
      <c r="J63">
        <v>36.22</v>
      </c>
      <c r="K63">
        <v>36.67</v>
      </c>
      <c r="L63">
        <v>36.9</v>
      </c>
      <c r="M63">
        <v>38.1</v>
      </c>
      <c r="N63">
        <v>38.799999999999997</v>
      </c>
      <c r="O63">
        <v>38.71</v>
      </c>
      <c r="P63">
        <v>38.700000000000003</v>
      </c>
      <c r="Q63">
        <v>38.659999999999997</v>
      </c>
      <c r="R63">
        <v>38.75</v>
      </c>
      <c r="S63">
        <v>38.590000000000003</v>
      </c>
      <c r="T63">
        <v>38.28</v>
      </c>
      <c r="U63">
        <v>38.26</v>
      </c>
    </row>
    <row r="64" spans="1:21" x14ac:dyDescent="0.25">
      <c r="A64" t="s">
        <v>17</v>
      </c>
    </row>
    <row r="65" spans="1:21" x14ac:dyDescent="0.25">
      <c r="A65" t="s">
        <v>275</v>
      </c>
      <c r="B65">
        <v>585.76</v>
      </c>
      <c r="C65">
        <v>685.49</v>
      </c>
      <c r="D65">
        <v>822.87</v>
      </c>
      <c r="E65" s="2">
        <v>1150.52</v>
      </c>
      <c r="F65" s="2">
        <v>1340.96</v>
      </c>
      <c r="G65" s="2">
        <v>1524.56</v>
      </c>
      <c r="H65" s="2">
        <v>1677.46</v>
      </c>
      <c r="I65" s="2">
        <v>1987.62</v>
      </c>
      <c r="J65" s="2">
        <v>1875.14</v>
      </c>
      <c r="K65" s="2">
        <v>1990.2</v>
      </c>
      <c r="L65" s="2">
        <v>2171.61</v>
      </c>
      <c r="M65" s="2">
        <v>2436.9899999999998</v>
      </c>
      <c r="N65" s="2">
        <v>2730.23</v>
      </c>
      <c r="O65" s="2">
        <v>2973.05</v>
      </c>
      <c r="P65" s="2">
        <v>3216.16</v>
      </c>
      <c r="Q65" s="2">
        <v>3507.02</v>
      </c>
      <c r="R65" s="2">
        <v>3802.45</v>
      </c>
      <c r="S65" s="2">
        <v>4113.3500000000004</v>
      </c>
      <c r="T65" s="2">
        <v>4511.1000000000004</v>
      </c>
      <c r="U65" s="2">
        <v>4874.29</v>
      </c>
    </row>
    <row r="66" spans="1:21" x14ac:dyDescent="0.25">
      <c r="A66" t="s">
        <v>1119</v>
      </c>
      <c r="B66">
        <v>81.8</v>
      </c>
      <c r="D66">
        <v>106.41</v>
      </c>
      <c r="E66" s="2">
        <v>1072</v>
      </c>
      <c r="F66" s="2">
        <v>1245.6400000000001</v>
      </c>
      <c r="G66" s="2">
        <v>1404.44</v>
      </c>
      <c r="H66" s="2">
        <v>1549.71</v>
      </c>
      <c r="I66" s="2">
        <v>1863.87</v>
      </c>
      <c r="J66" s="2">
        <v>1748.21</v>
      </c>
      <c r="K66" s="2">
        <v>1855.65</v>
      </c>
      <c r="L66" s="2">
        <v>2000.44</v>
      </c>
      <c r="M66" s="2">
        <v>2291.35</v>
      </c>
      <c r="N66" s="2">
        <v>2574.69</v>
      </c>
      <c r="O66" s="2">
        <v>2790.46</v>
      </c>
      <c r="P66" s="2">
        <v>3024.15</v>
      </c>
      <c r="Q66" s="2">
        <v>3320.63</v>
      </c>
      <c r="R66" s="2">
        <v>3630.25</v>
      </c>
      <c r="S66" s="2">
        <v>3973.66</v>
      </c>
      <c r="T66" s="2">
        <v>4399.26</v>
      </c>
      <c r="U66" s="2">
        <v>4614.2700000000004</v>
      </c>
    </row>
    <row r="67" spans="1:21" x14ac:dyDescent="0.25">
      <c r="A67" t="s">
        <v>61</v>
      </c>
      <c r="B67">
        <v>3.36</v>
      </c>
      <c r="C67">
        <v>3.21</v>
      </c>
      <c r="D67">
        <v>2.96</v>
      </c>
      <c r="E67">
        <v>26.49</v>
      </c>
      <c r="F67">
        <v>26.7</v>
      </c>
      <c r="G67">
        <v>26.97</v>
      </c>
      <c r="H67">
        <v>27.5</v>
      </c>
      <c r="I67">
        <v>28.81</v>
      </c>
      <c r="J67">
        <v>28.66</v>
      </c>
      <c r="K67">
        <v>28.98</v>
      </c>
      <c r="L67">
        <v>29.26</v>
      </c>
      <c r="M67">
        <v>29.68</v>
      </c>
      <c r="N67">
        <v>29.24</v>
      </c>
      <c r="O67">
        <v>29.46</v>
      </c>
      <c r="P67">
        <v>29.69</v>
      </c>
      <c r="Q67">
        <v>29.85</v>
      </c>
      <c r="R67">
        <v>29.76</v>
      </c>
      <c r="S67">
        <v>29.76</v>
      </c>
      <c r="T67">
        <v>29.7</v>
      </c>
      <c r="U67">
        <v>29.4</v>
      </c>
    </row>
    <row r="68" spans="1:21" x14ac:dyDescent="0.25">
      <c r="A68" t="s">
        <v>1999</v>
      </c>
      <c r="B68">
        <v>503.97</v>
      </c>
      <c r="C68">
        <v>590.1</v>
      </c>
      <c r="D68">
        <v>716.46</v>
      </c>
      <c r="E68">
        <v>0.23</v>
      </c>
      <c r="F68">
        <v>1.1299999999999999</v>
      </c>
      <c r="G68">
        <v>12.08</v>
      </c>
      <c r="H68">
        <v>7.26</v>
      </c>
      <c r="I68">
        <v>-0.37</v>
      </c>
      <c r="J68">
        <v>4.67</v>
      </c>
      <c r="K68">
        <v>11.03</v>
      </c>
      <c r="L68">
        <v>39.28</v>
      </c>
      <c r="M68">
        <v>12.9</v>
      </c>
      <c r="N68">
        <v>5.58</v>
      </c>
      <c r="O68">
        <v>3.53</v>
      </c>
      <c r="P68">
        <v>6.44</v>
      </c>
      <c r="Q68">
        <v>7.17</v>
      </c>
      <c r="R68">
        <v>13.39</v>
      </c>
      <c r="S68">
        <v>14.04</v>
      </c>
      <c r="T68">
        <v>17.43</v>
      </c>
      <c r="U68">
        <v>18.809999999999999</v>
      </c>
    </row>
    <row r="69" spans="1:21" x14ac:dyDescent="0.25">
      <c r="A69" t="s">
        <v>2000</v>
      </c>
      <c r="E69">
        <v>78.290000000000006</v>
      </c>
      <c r="F69">
        <v>94.19</v>
      </c>
      <c r="G69">
        <v>108.05</v>
      </c>
      <c r="H69">
        <v>120.49</v>
      </c>
      <c r="I69">
        <v>124.12</v>
      </c>
      <c r="J69">
        <v>122.26</v>
      </c>
      <c r="K69">
        <v>123.53</v>
      </c>
      <c r="L69">
        <v>131.88999999999999</v>
      </c>
      <c r="M69">
        <v>132.75</v>
      </c>
      <c r="N69">
        <v>149.97</v>
      </c>
      <c r="O69">
        <v>174.36</v>
      </c>
      <c r="P69">
        <v>192.41</v>
      </c>
      <c r="Q69">
        <v>212.08</v>
      </c>
      <c r="R69">
        <v>232.47</v>
      </c>
      <c r="S69">
        <v>255.29</v>
      </c>
      <c r="T69">
        <v>287.44</v>
      </c>
      <c r="U69">
        <v>298.76</v>
      </c>
    </row>
    <row r="70" spans="1:21" x14ac:dyDescent="0.25">
      <c r="A70" t="s">
        <v>61</v>
      </c>
      <c r="D70">
        <v>1.92</v>
      </c>
      <c r="E70">
        <v>1.98</v>
      </c>
      <c r="F70">
        <v>2.0699999999999998</v>
      </c>
      <c r="G70">
        <v>2.12</v>
      </c>
      <c r="H70">
        <v>2.15</v>
      </c>
      <c r="I70">
        <v>1.94</v>
      </c>
      <c r="J70">
        <v>2.0299999999999998</v>
      </c>
      <c r="K70">
        <v>1.93</v>
      </c>
      <c r="L70">
        <v>1.93</v>
      </c>
      <c r="M70">
        <v>1.72</v>
      </c>
      <c r="N70">
        <v>1.7</v>
      </c>
      <c r="O70">
        <v>1.85</v>
      </c>
      <c r="P70">
        <v>1.91</v>
      </c>
      <c r="Q70">
        <v>1.95</v>
      </c>
      <c r="R70">
        <v>2</v>
      </c>
      <c r="S70">
        <v>2</v>
      </c>
    </row>
    <row r="71" spans="1:21" x14ac:dyDescent="0.25">
      <c r="A71" t="s">
        <v>17</v>
      </c>
    </row>
    <row r="72" spans="1:21" x14ac:dyDescent="0.25">
      <c r="A72" t="s">
        <v>91</v>
      </c>
      <c r="B72">
        <v>139.5</v>
      </c>
      <c r="C72">
        <v>199.71</v>
      </c>
      <c r="D72">
        <v>228.75</v>
      </c>
      <c r="E72">
        <v>212.93</v>
      </c>
      <c r="F72">
        <v>226.07</v>
      </c>
      <c r="G72">
        <v>222.91</v>
      </c>
      <c r="H72">
        <v>217.36</v>
      </c>
      <c r="I72">
        <v>391.67</v>
      </c>
      <c r="J72">
        <v>334.08</v>
      </c>
      <c r="K72">
        <v>358.36</v>
      </c>
      <c r="L72">
        <v>350.23</v>
      </c>
      <c r="M72">
        <v>504.5</v>
      </c>
      <c r="N72">
        <v>686.16</v>
      </c>
      <c r="O72">
        <v>698.32</v>
      </c>
      <c r="P72">
        <v>730.32</v>
      </c>
      <c r="Q72">
        <v>776.16</v>
      </c>
      <c r="R72">
        <v>869.3</v>
      </c>
      <c r="S72">
        <v>930.07</v>
      </c>
      <c r="T72" s="2">
        <v>1050.6600000000001</v>
      </c>
      <c r="U72" s="2">
        <v>1137.08</v>
      </c>
    </row>
    <row r="73" spans="1:21" x14ac:dyDescent="0.25">
      <c r="A73" t="s">
        <v>92</v>
      </c>
      <c r="B73">
        <v>5.72</v>
      </c>
      <c r="C73">
        <v>6.73</v>
      </c>
      <c r="D73">
        <v>6.37</v>
      </c>
      <c r="E73">
        <v>5.26</v>
      </c>
      <c r="F73">
        <v>4.8499999999999996</v>
      </c>
      <c r="G73">
        <v>4.28</v>
      </c>
      <c r="H73">
        <v>3.86</v>
      </c>
      <c r="I73">
        <v>6.05</v>
      </c>
      <c r="J73">
        <v>5.48</v>
      </c>
      <c r="K73">
        <v>5.6</v>
      </c>
      <c r="L73">
        <v>5.12</v>
      </c>
      <c r="M73">
        <v>6.54</v>
      </c>
      <c r="N73">
        <v>7.79</v>
      </c>
      <c r="O73">
        <v>7.39</v>
      </c>
      <c r="P73">
        <v>7.02</v>
      </c>
      <c r="Q73">
        <v>6.76</v>
      </c>
      <c r="R73">
        <v>7.22</v>
      </c>
      <c r="S73">
        <v>7.02</v>
      </c>
    </row>
    <row r="74" spans="1:21" x14ac:dyDescent="0.25">
      <c r="A74" t="s">
        <v>17</v>
      </c>
    </row>
    <row r="75" spans="1:21" x14ac:dyDescent="0.25">
      <c r="A75" t="s">
        <v>93</v>
      </c>
      <c r="B75">
        <v>47.22</v>
      </c>
      <c r="C75">
        <v>60.36</v>
      </c>
      <c r="D75">
        <v>69.17</v>
      </c>
      <c r="E75">
        <v>80.72</v>
      </c>
      <c r="F75">
        <v>96.99</v>
      </c>
      <c r="G75">
        <v>110.75</v>
      </c>
      <c r="H75">
        <v>122.8</v>
      </c>
      <c r="I75">
        <v>126.51</v>
      </c>
      <c r="J75">
        <v>125.54</v>
      </c>
      <c r="K75">
        <v>127.07</v>
      </c>
      <c r="L75">
        <v>137.81</v>
      </c>
      <c r="M75">
        <v>140.16</v>
      </c>
      <c r="N75">
        <v>157.72</v>
      </c>
      <c r="O75">
        <v>175.06</v>
      </c>
      <c r="P75">
        <v>197.45</v>
      </c>
      <c r="Q75">
        <v>218.24</v>
      </c>
      <c r="R75">
        <v>240.46</v>
      </c>
      <c r="S75">
        <v>265.42</v>
      </c>
      <c r="T75">
        <v>299.11</v>
      </c>
      <c r="U75">
        <v>319.57</v>
      </c>
    </row>
    <row r="76" spans="1:21" x14ac:dyDescent="0.25">
      <c r="A76" t="s">
        <v>277</v>
      </c>
      <c r="E76">
        <v>294.11</v>
      </c>
      <c r="F76">
        <v>323.68</v>
      </c>
      <c r="G76">
        <v>333.98</v>
      </c>
      <c r="H76">
        <v>340.16</v>
      </c>
      <c r="I76">
        <v>527.01</v>
      </c>
      <c r="J76">
        <v>459.62</v>
      </c>
      <c r="K76">
        <v>485.43</v>
      </c>
      <c r="L76">
        <v>528.20000000000005</v>
      </c>
      <c r="M76">
        <v>644.66</v>
      </c>
      <c r="N76">
        <v>843.88</v>
      </c>
      <c r="O76">
        <v>875.7</v>
      </c>
      <c r="P76">
        <v>929.88</v>
      </c>
      <c r="Q76">
        <v>996.82</v>
      </c>
      <c r="R76" s="2">
        <v>1084.6500000000001</v>
      </c>
      <c r="S76" s="2">
        <v>1160.74</v>
      </c>
      <c r="T76" s="2">
        <v>1298.81</v>
      </c>
      <c r="U76" s="2">
        <v>1404.33</v>
      </c>
    </row>
    <row r="77" spans="1:21" x14ac:dyDescent="0.25">
      <c r="A77" t="s">
        <v>17</v>
      </c>
    </row>
    <row r="78" spans="1:21" x14ac:dyDescent="0.25">
      <c r="A78" t="s">
        <v>483</v>
      </c>
      <c r="B78">
        <v>37.200000000000003</v>
      </c>
      <c r="C78">
        <v>25.06</v>
      </c>
      <c r="D78">
        <v>17.72</v>
      </c>
      <c r="E78">
        <v>14.79</v>
      </c>
      <c r="F78">
        <v>21.18</v>
      </c>
      <c r="G78">
        <v>27.44</v>
      </c>
      <c r="H78">
        <v>21.19</v>
      </c>
      <c r="I78">
        <v>14.79</v>
      </c>
      <c r="J78">
        <v>11.68</v>
      </c>
      <c r="K78">
        <v>9.0500000000000007</v>
      </c>
      <c r="L78">
        <v>6.49</v>
      </c>
      <c r="M78">
        <v>-2.2000000000000002</v>
      </c>
      <c r="N78">
        <v>-2.63</v>
      </c>
      <c r="O78">
        <v>-0.64</v>
      </c>
      <c r="P78">
        <v>-0.87</v>
      </c>
      <c r="Q78">
        <v>-0.98</v>
      </c>
      <c r="R78">
        <v>-0.99</v>
      </c>
      <c r="S78">
        <v>-1.45</v>
      </c>
      <c r="T78">
        <v>-1.79</v>
      </c>
      <c r="U78">
        <v>-1.88</v>
      </c>
    </row>
    <row r="79" spans="1:21" x14ac:dyDescent="0.25">
      <c r="A79" t="s">
        <v>83</v>
      </c>
      <c r="B79">
        <v>1.53</v>
      </c>
      <c r="C79">
        <v>0.84</v>
      </c>
      <c r="D79">
        <v>0.49</v>
      </c>
      <c r="E79">
        <v>0.37</v>
      </c>
      <c r="F79">
        <v>0.45</v>
      </c>
      <c r="G79">
        <v>0.53</v>
      </c>
      <c r="H79">
        <v>0.38</v>
      </c>
      <c r="I79">
        <v>0.23</v>
      </c>
      <c r="J79">
        <v>0.19</v>
      </c>
      <c r="K79">
        <v>0.14000000000000001</v>
      </c>
      <c r="L79">
        <v>0.09</v>
      </c>
      <c r="M79">
        <v>0</v>
      </c>
      <c r="N79">
        <v>0.03</v>
      </c>
      <c r="O79">
        <v>-0.01</v>
      </c>
      <c r="P79">
        <v>-0.02</v>
      </c>
      <c r="Q79">
        <v>-0.01</v>
      </c>
      <c r="R79">
        <v>-0.03</v>
      </c>
      <c r="S79">
        <v>-0.03</v>
      </c>
      <c r="T79">
        <v>-0.03</v>
      </c>
      <c r="U79">
        <v>-0.02</v>
      </c>
    </row>
    <row r="80" spans="1:21" x14ac:dyDescent="0.25">
      <c r="A80" t="s">
        <v>2001</v>
      </c>
      <c r="B80">
        <v>17.57</v>
      </c>
      <c r="C80">
        <v>13.95</v>
      </c>
      <c r="D80">
        <v>9.1999999999999993</v>
      </c>
      <c r="E80">
        <v>11.67</v>
      </c>
      <c r="F80">
        <v>20.7</v>
      </c>
      <c r="G80">
        <v>19.39</v>
      </c>
      <c r="H80">
        <v>14.56</v>
      </c>
      <c r="I80">
        <v>9.31</v>
      </c>
      <c r="J80">
        <v>8.64</v>
      </c>
      <c r="K80">
        <v>5.81</v>
      </c>
      <c r="L80">
        <v>3.76</v>
      </c>
      <c r="M80">
        <v>1.32</v>
      </c>
      <c r="N80">
        <v>1.99</v>
      </c>
      <c r="O80">
        <v>-0.32</v>
      </c>
      <c r="P80">
        <v>-0.6</v>
      </c>
      <c r="Q80">
        <v>-0.61</v>
      </c>
      <c r="R80">
        <v>-0.16</v>
      </c>
      <c r="S80">
        <v>0.06</v>
      </c>
      <c r="T80">
        <v>0.06</v>
      </c>
      <c r="U80">
        <v>0.06</v>
      </c>
    </row>
    <row r="81" spans="1:21" x14ac:dyDescent="0.25">
      <c r="A81" t="s">
        <v>100</v>
      </c>
      <c r="B81">
        <v>84.07</v>
      </c>
      <c r="C81">
        <v>174.11</v>
      </c>
      <c r="D81">
        <v>205.99</v>
      </c>
      <c r="E81">
        <v>198.59</v>
      </c>
      <c r="F81">
        <v>205.52</v>
      </c>
      <c r="G81">
        <v>195.8</v>
      </c>
      <c r="H81">
        <v>196.17</v>
      </c>
      <c r="I81">
        <v>376.88</v>
      </c>
      <c r="J81">
        <v>322.39</v>
      </c>
      <c r="K81">
        <v>349.31</v>
      </c>
      <c r="L81">
        <v>343.74</v>
      </c>
      <c r="M81">
        <v>506.7</v>
      </c>
      <c r="N81">
        <v>688.78</v>
      </c>
      <c r="O81">
        <v>698.56</v>
      </c>
      <c r="P81">
        <v>731.29</v>
      </c>
      <c r="Q81">
        <v>777.02</v>
      </c>
      <c r="R81">
        <v>869.85</v>
      </c>
      <c r="S81">
        <v>931.24</v>
      </c>
      <c r="T81" s="2">
        <v>1050.5899999999999</v>
      </c>
      <c r="U81" s="2">
        <v>1137.01</v>
      </c>
    </row>
    <row r="82" spans="1:21" x14ac:dyDescent="0.25">
      <c r="A82" t="s">
        <v>588</v>
      </c>
      <c r="B82">
        <v>3.45</v>
      </c>
      <c r="C82">
        <v>5.87</v>
      </c>
      <c r="D82">
        <v>5.73</v>
      </c>
      <c r="E82">
        <v>4.91</v>
      </c>
      <c r="F82">
        <v>4.41</v>
      </c>
      <c r="G82">
        <v>3.76</v>
      </c>
      <c r="H82">
        <v>3.48</v>
      </c>
      <c r="I82">
        <v>5.83</v>
      </c>
      <c r="J82">
        <v>5.29</v>
      </c>
      <c r="K82">
        <v>5.45</v>
      </c>
      <c r="L82">
        <v>5.03</v>
      </c>
      <c r="M82">
        <v>6.56</v>
      </c>
      <c r="N82">
        <v>7.82</v>
      </c>
      <c r="O82">
        <v>7.38</v>
      </c>
      <c r="P82">
        <v>7.16</v>
      </c>
      <c r="Q82">
        <v>7.03</v>
      </c>
      <c r="R82">
        <v>7.23</v>
      </c>
      <c r="S82">
        <v>7.06</v>
      </c>
      <c r="T82">
        <v>7.05</v>
      </c>
      <c r="U82">
        <v>7.04</v>
      </c>
    </row>
    <row r="83" spans="1:21" x14ac:dyDescent="0.25">
      <c r="A83" t="s">
        <v>17</v>
      </c>
    </row>
    <row r="84" spans="1:21" x14ac:dyDescent="0.25">
      <c r="A84" t="s">
        <v>101</v>
      </c>
      <c r="B84">
        <v>32.74</v>
      </c>
      <c r="C84">
        <v>66.41</v>
      </c>
      <c r="D84">
        <v>77</v>
      </c>
      <c r="E84">
        <v>74.290000000000006</v>
      </c>
      <c r="F84">
        <v>47.08</v>
      </c>
      <c r="G84">
        <v>37.26</v>
      </c>
      <c r="H84">
        <v>46.54</v>
      </c>
      <c r="I84">
        <v>89.43</v>
      </c>
      <c r="J84">
        <v>78.239999999999995</v>
      </c>
      <c r="K84">
        <v>88.15</v>
      </c>
      <c r="L84">
        <v>84.88</v>
      </c>
      <c r="M84">
        <v>126.1</v>
      </c>
      <c r="N84">
        <v>165.11</v>
      </c>
      <c r="O84">
        <v>176.31</v>
      </c>
      <c r="P84">
        <v>183.62</v>
      </c>
      <c r="Q84">
        <v>192.68</v>
      </c>
      <c r="R84">
        <v>213.6</v>
      </c>
      <c r="S84">
        <v>228.69</v>
      </c>
      <c r="T84">
        <v>247.49</v>
      </c>
      <c r="U84">
        <v>276.87</v>
      </c>
    </row>
    <row r="85" spans="1:21" x14ac:dyDescent="0.25">
      <c r="A85" t="s">
        <v>102</v>
      </c>
      <c r="B85">
        <v>38.950000000000003</v>
      </c>
      <c r="C85">
        <v>38.15</v>
      </c>
      <c r="D85">
        <v>37.380000000000003</v>
      </c>
      <c r="E85">
        <v>37.409999999999997</v>
      </c>
      <c r="F85">
        <v>22.91</v>
      </c>
      <c r="G85">
        <v>19.03</v>
      </c>
      <c r="H85">
        <v>23.72</v>
      </c>
      <c r="I85">
        <v>23.73</v>
      </c>
      <c r="J85">
        <v>24.27</v>
      </c>
      <c r="K85">
        <v>25.23</v>
      </c>
      <c r="L85">
        <v>24.69</v>
      </c>
      <c r="M85">
        <v>24.89</v>
      </c>
      <c r="N85">
        <v>23.97</v>
      </c>
      <c r="O85">
        <v>25.17</v>
      </c>
      <c r="P85">
        <v>25.28</v>
      </c>
      <c r="Q85">
        <v>25.16</v>
      </c>
      <c r="R85">
        <v>24.96</v>
      </c>
      <c r="S85">
        <v>24.93</v>
      </c>
      <c r="T85">
        <v>24.82</v>
      </c>
      <c r="U85">
        <v>24.73</v>
      </c>
    </row>
    <row r="86" spans="1:21" x14ac:dyDescent="0.25">
      <c r="A86" t="s">
        <v>17</v>
      </c>
    </row>
    <row r="87" spans="1:21" x14ac:dyDescent="0.25">
      <c r="A87" t="s">
        <v>106</v>
      </c>
      <c r="B87">
        <v>51.33</v>
      </c>
      <c r="C87">
        <v>107.69</v>
      </c>
      <c r="D87">
        <v>128.99</v>
      </c>
      <c r="E87">
        <v>124.31</v>
      </c>
      <c r="F87">
        <v>158.44</v>
      </c>
      <c r="G87">
        <v>158.54</v>
      </c>
      <c r="H87">
        <v>149.63</v>
      </c>
      <c r="I87">
        <v>287.45</v>
      </c>
      <c r="J87">
        <v>244.16</v>
      </c>
      <c r="K87">
        <v>261.16000000000003</v>
      </c>
      <c r="L87">
        <v>258.86</v>
      </c>
      <c r="M87">
        <v>380.6</v>
      </c>
      <c r="N87">
        <v>523.66999999999996</v>
      </c>
      <c r="O87">
        <v>523.75</v>
      </c>
      <c r="P87">
        <v>543.13</v>
      </c>
      <c r="Q87">
        <v>574</v>
      </c>
      <c r="R87">
        <v>642.6</v>
      </c>
      <c r="S87">
        <v>689.75</v>
      </c>
      <c r="T87">
        <v>781</v>
      </c>
      <c r="U87">
        <v>843.5</v>
      </c>
    </row>
    <row r="88" spans="1:21" x14ac:dyDescent="0.25">
      <c r="A88" t="s">
        <v>280</v>
      </c>
      <c r="B88">
        <v>2.11</v>
      </c>
      <c r="C88">
        <v>3.63</v>
      </c>
      <c r="D88">
        <v>3.59</v>
      </c>
      <c r="E88">
        <v>3.07</v>
      </c>
      <c r="F88">
        <v>3.4</v>
      </c>
      <c r="G88">
        <v>3.04</v>
      </c>
      <c r="H88">
        <v>2.66</v>
      </c>
      <c r="I88">
        <v>4.4400000000000004</v>
      </c>
      <c r="J88">
        <v>4</v>
      </c>
      <c r="K88">
        <v>4.08</v>
      </c>
      <c r="L88">
        <v>3.79</v>
      </c>
      <c r="M88">
        <v>4.93</v>
      </c>
      <c r="N88">
        <v>5.95</v>
      </c>
      <c r="O88">
        <v>5.54</v>
      </c>
      <c r="P88">
        <v>5.33</v>
      </c>
      <c r="Q88">
        <v>5.19</v>
      </c>
      <c r="R88">
        <v>5.42</v>
      </c>
      <c r="S88">
        <v>5.28</v>
      </c>
      <c r="T88">
        <v>5.27</v>
      </c>
      <c r="U88">
        <v>5.38</v>
      </c>
    </row>
    <row r="89" spans="1:21" x14ac:dyDescent="0.25">
      <c r="A89" t="s">
        <v>17</v>
      </c>
    </row>
    <row r="90" spans="1:21" x14ac:dyDescent="0.25">
      <c r="A90" t="s">
        <v>2002</v>
      </c>
      <c r="B90">
        <v>147.62</v>
      </c>
      <c r="C90">
        <v>151.83000000000001</v>
      </c>
      <c r="D90">
        <v>152.58000000000001</v>
      </c>
      <c r="E90">
        <v>140.26</v>
      </c>
      <c r="F90">
        <v>132.82</v>
      </c>
      <c r="G90">
        <v>124.98</v>
      </c>
      <c r="H90">
        <v>117.54</v>
      </c>
      <c r="I90">
        <v>117.95</v>
      </c>
      <c r="J90">
        <v>111.11</v>
      </c>
      <c r="K90">
        <v>105.07</v>
      </c>
      <c r="L90">
        <v>101.21</v>
      </c>
      <c r="M90">
        <v>99.26</v>
      </c>
      <c r="N90">
        <v>95.93</v>
      </c>
      <c r="O90">
        <v>92.43</v>
      </c>
      <c r="P90">
        <v>89.74</v>
      </c>
      <c r="Q90">
        <v>87.18</v>
      </c>
      <c r="R90">
        <v>83.72</v>
      </c>
      <c r="S90">
        <v>81.03</v>
      </c>
      <c r="T90">
        <v>75.680000000000007</v>
      </c>
      <c r="U90">
        <v>73.319999999999993</v>
      </c>
    </row>
    <row r="91" spans="1:21" x14ac:dyDescent="0.25">
      <c r="A91" t="s">
        <v>108</v>
      </c>
      <c r="B91">
        <v>134.62</v>
      </c>
      <c r="C91">
        <v>149.75</v>
      </c>
      <c r="D91">
        <v>153.1</v>
      </c>
      <c r="E91">
        <v>147.31</v>
      </c>
      <c r="F91">
        <v>135.16999999999999</v>
      </c>
      <c r="G91">
        <v>128.83000000000001</v>
      </c>
      <c r="H91">
        <v>119.37</v>
      </c>
      <c r="I91">
        <v>117.82</v>
      </c>
      <c r="J91">
        <v>115.38</v>
      </c>
      <c r="K91">
        <v>108.23</v>
      </c>
      <c r="L91">
        <v>102.48</v>
      </c>
      <c r="M91">
        <v>100.36</v>
      </c>
      <c r="N91">
        <v>97.69</v>
      </c>
      <c r="O91">
        <v>93.92</v>
      </c>
      <c r="P91">
        <v>91.44</v>
      </c>
      <c r="Q91">
        <v>88.47</v>
      </c>
      <c r="R91">
        <v>84.98</v>
      </c>
      <c r="S91">
        <v>82.46</v>
      </c>
      <c r="T91">
        <v>76.959999999999994</v>
      </c>
      <c r="U91">
        <v>74.5</v>
      </c>
    </row>
    <row r="92" spans="1:21" x14ac:dyDescent="0.25">
      <c r="A92" t="s">
        <v>17</v>
      </c>
    </row>
    <row r="93" spans="1:21" x14ac:dyDescent="0.25">
      <c r="A93" t="s">
        <v>109</v>
      </c>
      <c r="B93">
        <v>139.77000000000001</v>
      </c>
      <c r="C93">
        <v>154.33000000000001</v>
      </c>
      <c r="D93">
        <v>155.88</v>
      </c>
      <c r="E93">
        <v>149.65</v>
      </c>
      <c r="F93">
        <v>137.88</v>
      </c>
      <c r="G93">
        <v>129.78</v>
      </c>
      <c r="H93">
        <v>119.74</v>
      </c>
      <c r="I93">
        <v>118.22</v>
      </c>
      <c r="J93">
        <v>116.08</v>
      </c>
      <c r="K93">
        <v>109.14</v>
      </c>
      <c r="L93">
        <v>103.39</v>
      </c>
      <c r="M93">
        <v>101.38</v>
      </c>
      <c r="N93">
        <v>98.7</v>
      </c>
      <c r="O93">
        <v>94.36</v>
      </c>
      <c r="P93">
        <v>91.47</v>
      </c>
      <c r="Q93">
        <v>88.34</v>
      </c>
      <c r="R93">
        <v>86.97</v>
      </c>
      <c r="S93">
        <v>85.56</v>
      </c>
      <c r="T93">
        <v>83.91</v>
      </c>
      <c r="U93">
        <v>81.12</v>
      </c>
    </row>
    <row r="94" spans="1:21" x14ac:dyDescent="0.25">
      <c r="A94" t="s">
        <v>110</v>
      </c>
      <c r="B94">
        <v>0.37</v>
      </c>
      <c r="C94">
        <v>0.7</v>
      </c>
      <c r="D94">
        <v>0.83</v>
      </c>
      <c r="E94">
        <v>0.83</v>
      </c>
      <c r="F94">
        <v>1.1499999999999999</v>
      </c>
      <c r="G94">
        <v>1.22</v>
      </c>
      <c r="H94">
        <v>1.25</v>
      </c>
      <c r="I94">
        <v>2.4300000000000002</v>
      </c>
      <c r="J94">
        <v>2.1</v>
      </c>
      <c r="K94">
        <v>2.39</v>
      </c>
      <c r="L94">
        <v>2.5</v>
      </c>
      <c r="M94">
        <v>3.75</v>
      </c>
      <c r="N94">
        <v>5.31</v>
      </c>
      <c r="O94">
        <v>5.56</v>
      </c>
      <c r="P94">
        <v>5.92</v>
      </c>
      <c r="Q94">
        <v>6.51</v>
      </c>
      <c r="R94">
        <v>7.45</v>
      </c>
      <c r="S94">
        <v>8.02</v>
      </c>
      <c r="T94">
        <v>9.0299999999999994</v>
      </c>
      <c r="U94">
        <v>9.9</v>
      </c>
    </row>
    <row r="95" spans="1:21" x14ac:dyDescent="0.25">
      <c r="A95" t="s">
        <v>17</v>
      </c>
    </row>
    <row r="96" spans="1:21" x14ac:dyDescent="0.25">
      <c r="A96" t="s">
        <v>111</v>
      </c>
    </row>
    <row r="97" spans="1:21" x14ac:dyDescent="0.25">
      <c r="A97" t="s">
        <v>63</v>
      </c>
      <c r="K97" s="2">
        <v>2348.56</v>
      </c>
      <c r="L97" s="2">
        <v>2524.8000000000002</v>
      </c>
      <c r="M97" s="2">
        <v>2941.49</v>
      </c>
      <c r="N97" s="2">
        <v>3416.39</v>
      </c>
      <c r="O97" s="2">
        <v>3667.96</v>
      </c>
      <c r="P97" s="2">
        <v>3952.15</v>
      </c>
      <c r="Q97" s="2">
        <v>3827.27</v>
      </c>
      <c r="R97" s="2">
        <v>4695.25</v>
      </c>
      <c r="S97" s="2">
        <v>5091.41</v>
      </c>
      <c r="T97" s="2">
        <v>5592.8</v>
      </c>
      <c r="U97" s="2">
        <v>6040.83</v>
      </c>
    </row>
    <row r="98" spans="1:21" x14ac:dyDescent="0.25">
      <c r="A98" t="s">
        <v>64</v>
      </c>
      <c r="K98">
        <v>36.700000000000003</v>
      </c>
      <c r="L98">
        <v>36.9</v>
      </c>
      <c r="M98">
        <v>38.1</v>
      </c>
      <c r="N98">
        <v>38.799999999999997</v>
      </c>
      <c r="O98">
        <v>38.71</v>
      </c>
      <c r="P98">
        <v>38.76</v>
      </c>
      <c r="Q98">
        <v>38.76</v>
      </c>
      <c r="R98">
        <v>38.92</v>
      </c>
      <c r="S98">
        <v>38.85</v>
      </c>
      <c r="T98">
        <v>38.71</v>
      </c>
      <c r="U98">
        <v>38.729999999999997</v>
      </c>
    </row>
    <row r="99" spans="1:21" x14ac:dyDescent="0.25">
      <c r="A99" t="s">
        <v>116</v>
      </c>
      <c r="B99">
        <v>147.62</v>
      </c>
      <c r="C99">
        <v>204.76</v>
      </c>
      <c r="D99">
        <v>232.84</v>
      </c>
      <c r="E99">
        <v>213.38</v>
      </c>
      <c r="F99">
        <v>226.69</v>
      </c>
      <c r="G99">
        <v>223.23</v>
      </c>
      <c r="H99">
        <v>217.87</v>
      </c>
      <c r="I99">
        <v>400.5</v>
      </c>
      <c r="J99">
        <v>334.08</v>
      </c>
      <c r="K99">
        <v>358.36</v>
      </c>
      <c r="L99">
        <v>396.27</v>
      </c>
      <c r="M99">
        <v>504.5</v>
      </c>
      <c r="N99">
        <v>686.16</v>
      </c>
      <c r="O99">
        <v>700</v>
      </c>
      <c r="P99">
        <v>727.41</v>
      </c>
      <c r="Q99">
        <v>768.07</v>
      </c>
      <c r="R99">
        <v>855</v>
      </c>
      <c r="S99">
        <v>916.25</v>
      </c>
      <c r="T99">
        <v>997</v>
      </c>
      <c r="U99" s="2">
        <v>1118.5</v>
      </c>
    </row>
    <row r="100" spans="1:21" x14ac:dyDescent="0.25">
      <c r="A100" t="s">
        <v>269</v>
      </c>
      <c r="B100">
        <v>5.72</v>
      </c>
      <c r="C100">
        <v>6.73</v>
      </c>
      <c r="D100">
        <v>6.37</v>
      </c>
      <c r="E100">
        <v>5.26</v>
      </c>
      <c r="F100">
        <v>4.8499999999999996</v>
      </c>
      <c r="G100">
        <v>4.28</v>
      </c>
      <c r="H100">
        <v>3.86</v>
      </c>
      <c r="I100">
        <v>6.05</v>
      </c>
      <c r="J100">
        <v>5.48</v>
      </c>
      <c r="K100">
        <v>5.6</v>
      </c>
      <c r="L100">
        <v>5.12</v>
      </c>
      <c r="M100">
        <v>6.54</v>
      </c>
      <c r="N100">
        <v>7.79</v>
      </c>
      <c r="O100">
        <v>7.37</v>
      </c>
      <c r="P100">
        <v>7.09</v>
      </c>
      <c r="Q100">
        <v>6.88</v>
      </c>
      <c r="R100">
        <v>7.01</v>
      </c>
      <c r="S100">
        <v>6.82</v>
      </c>
      <c r="T100">
        <v>6.75</v>
      </c>
      <c r="U100">
        <v>7.13</v>
      </c>
    </row>
    <row r="101" spans="1:21" x14ac:dyDescent="0.25">
      <c r="A101" t="s">
        <v>117</v>
      </c>
      <c r="B101">
        <v>195.16</v>
      </c>
      <c r="C101">
        <v>265.38</v>
      </c>
      <c r="D101">
        <v>302.10000000000002</v>
      </c>
      <c r="E101">
        <v>294.11</v>
      </c>
      <c r="F101">
        <v>323.68</v>
      </c>
      <c r="G101">
        <v>333.98</v>
      </c>
      <c r="H101">
        <v>340.67</v>
      </c>
      <c r="I101">
        <v>527.01</v>
      </c>
      <c r="J101">
        <v>459.62</v>
      </c>
      <c r="K101">
        <v>485.43</v>
      </c>
      <c r="L101">
        <v>528.20000000000005</v>
      </c>
      <c r="M101">
        <v>644.66</v>
      </c>
      <c r="N101">
        <v>843.88</v>
      </c>
      <c r="O101">
        <v>878.17</v>
      </c>
      <c r="P101">
        <v>917.59</v>
      </c>
      <c r="Q101">
        <v>968.46</v>
      </c>
      <c r="R101" s="2">
        <v>1095.5999999999999</v>
      </c>
      <c r="S101" s="2">
        <v>1181.75</v>
      </c>
      <c r="T101" s="2">
        <v>1295.67</v>
      </c>
      <c r="U101" s="2">
        <v>1438</v>
      </c>
    </row>
    <row r="102" spans="1:21" x14ac:dyDescent="0.25">
      <c r="A102" t="s">
        <v>286</v>
      </c>
      <c r="E102">
        <v>7.27</v>
      </c>
      <c r="F102">
        <v>6.94</v>
      </c>
      <c r="G102">
        <v>6.41</v>
      </c>
      <c r="H102">
        <v>6.04</v>
      </c>
      <c r="I102">
        <v>8.15</v>
      </c>
      <c r="J102">
        <v>7.53</v>
      </c>
      <c r="K102">
        <v>7.58</v>
      </c>
      <c r="L102">
        <v>7.73</v>
      </c>
      <c r="M102">
        <v>8.35</v>
      </c>
      <c r="N102">
        <v>9.58</v>
      </c>
      <c r="O102">
        <v>9.2100000000000009</v>
      </c>
      <c r="P102">
        <v>8.91</v>
      </c>
      <c r="Q102">
        <v>8.66</v>
      </c>
      <c r="R102">
        <v>8.98</v>
      </c>
      <c r="S102">
        <v>8.86</v>
      </c>
      <c r="T102">
        <v>8.76</v>
      </c>
      <c r="U102">
        <v>9.16</v>
      </c>
    </row>
    <row r="103" spans="1:21" x14ac:dyDescent="0.25">
      <c r="A103" t="s">
        <v>119</v>
      </c>
      <c r="B103">
        <v>110.9</v>
      </c>
      <c r="C103">
        <v>175.24</v>
      </c>
      <c r="D103">
        <v>205.99</v>
      </c>
      <c r="E103">
        <v>198.59</v>
      </c>
      <c r="F103">
        <v>205.52</v>
      </c>
      <c r="G103">
        <v>195.8</v>
      </c>
      <c r="H103">
        <v>196.68</v>
      </c>
      <c r="I103">
        <v>376.88</v>
      </c>
      <c r="J103">
        <v>578.23</v>
      </c>
      <c r="K103">
        <v>349.31</v>
      </c>
      <c r="L103">
        <v>389.77</v>
      </c>
      <c r="M103">
        <v>506.7</v>
      </c>
      <c r="N103">
        <v>688.78</v>
      </c>
      <c r="O103">
        <v>700.67</v>
      </c>
      <c r="P103">
        <v>728.12</v>
      </c>
      <c r="Q103">
        <v>767.38</v>
      </c>
      <c r="R103">
        <v>856</v>
      </c>
      <c r="S103">
        <v>917.75</v>
      </c>
      <c r="T103">
        <v>998</v>
      </c>
      <c r="U103" s="2">
        <v>1120.5</v>
      </c>
    </row>
    <row r="104" spans="1:21" x14ac:dyDescent="0.25">
      <c r="A104" t="s">
        <v>292</v>
      </c>
      <c r="B104">
        <v>3.45</v>
      </c>
      <c r="C104">
        <v>5.87</v>
      </c>
      <c r="D104">
        <v>5.73</v>
      </c>
      <c r="E104">
        <v>4.91</v>
      </c>
      <c r="F104">
        <v>4.41</v>
      </c>
      <c r="G104">
        <v>3.76</v>
      </c>
      <c r="H104">
        <v>3.48</v>
      </c>
      <c r="I104">
        <v>5.83</v>
      </c>
      <c r="J104">
        <v>5.29</v>
      </c>
      <c r="K104">
        <v>5.45</v>
      </c>
      <c r="L104">
        <v>5.03</v>
      </c>
      <c r="M104">
        <v>6.56</v>
      </c>
      <c r="N104">
        <v>7.82</v>
      </c>
      <c r="O104">
        <v>7.36</v>
      </c>
      <c r="P104">
        <v>7.05</v>
      </c>
      <c r="Q104">
        <v>6.81</v>
      </c>
      <c r="R104">
        <v>6.91</v>
      </c>
      <c r="S104">
        <v>6.2</v>
      </c>
      <c r="T104">
        <v>5.97</v>
      </c>
    </row>
    <row r="105" spans="1:21" x14ac:dyDescent="0.25">
      <c r="A105" t="s">
        <v>121</v>
      </c>
      <c r="B105">
        <v>67.13</v>
      </c>
      <c r="C105">
        <v>111.16</v>
      </c>
      <c r="D105">
        <v>134.71</v>
      </c>
      <c r="E105">
        <v>124.31</v>
      </c>
      <c r="F105">
        <v>158.44</v>
      </c>
      <c r="G105">
        <v>158.54</v>
      </c>
      <c r="H105">
        <v>150.01</v>
      </c>
      <c r="I105">
        <v>294.02</v>
      </c>
      <c r="J105">
        <v>244.16</v>
      </c>
      <c r="K105">
        <v>261.16000000000003</v>
      </c>
      <c r="L105">
        <v>293.13</v>
      </c>
      <c r="M105">
        <v>380.6</v>
      </c>
      <c r="N105">
        <v>523.66999999999996</v>
      </c>
      <c r="O105">
        <v>524</v>
      </c>
      <c r="P105">
        <v>544.47</v>
      </c>
      <c r="Q105">
        <v>574.62</v>
      </c>
      <c r="R105">
        <v>642.20000000000005</v>
      </c>
      <c r="S105">
        <v>689.25</v>
      </c>
      <c r="T105">
        <v>750.33</v>
      </c>
      <c r="U105">
        <v>843.5</v>
      </c>
    </row>
    <row r="106" spans="1:21" x14ac:dyDescent="0.25">
      <c r="A106" t="s">
        <v>122</v>
      </c>
      <c r="B106">
        <v>2.77</v>
      </c>
      <c r="C106">
        <v>3.75</v>
      </c>
      <c r="D106">
        <v>3.75</v>
      </c>
      <c r="E106">
        <v>3.07</v>
      </c>
      <c r="F106">
        <v>3</v>
      </c>
      <c r="G106">
        <v>3.22</v>
      </c>
      <c r="H106">
        <v>2.66</v>
      </c>
      <c r="I106">
        <v>4.55</v>
      </c>
      <c r="J106">
        <v>4.1500000000000004</v>
      </c>
      <c r="K106">
        <v>4.08</v>
      </c>
      <c r="L106">
        <v>4.29</v>
      </c>
      <c r="M106">
        <v>4.93</v>
      </c>
      <c r="N106">
        <v>5.92</v>
      </c>
      <c r="O106">
        <v>5.52</v>
      </c>
      <c r="P106">
        <v>5.28</v>
      </c>
      <c r="Q106">
        <v>5.0999999999999996</v>
      </c>
      <c r="R106">
        <v>5.21</v>
      </c>
      <c r="S106">
        <v>5.0599999999999996</v>
      </c>
      <c r="T106">
        <v>4.87</v>
      </c>
      <c r="U106">
        <v>5.25</v>
      </c>
    </row>
    <row r="107" spans="1:21" x14ac:dyDescent="0.25">
      <c r="A107" t="s">
        <v>124</v>
      </c>
      <c r="B107">
        <v>0.48</v>
      </c>
      <c r="C107">
        <v>0.72</v>
      </c>
      <c r="D107">
        <v>0.86</v>
      </c>
      <c r="E107">
        <v>0.83</v>
      </c>
      <c r="F107">
        <v>1.01</v>
      </c>
      <c r="G107">
        <v>1.29</v>
      </c>
      <c r="H107">
        <v>1.25</v>
      </c>
      <c r="I107">
        <v>2.4900000000000002</v>
      </c>
      <c r="J107">
        <v>2.1</v>
      </c>
      <c r="K107">
        <v>2.39</v>
      </c>
      <c r="L107">
        <v>2.84</v>
      </c>
      <c r="M107">
        <v>3.75</v>
      </c>
      <c r="N107">
        <v>5.31</v>
      </c>
      <c r="O107">
        <v>5.56</v>
      </c>
      <c r="P107">
        <v>5.96</v>
      </c>
      <c r="Q107">
        <v>6.53</v>
      </c>
      <c r="R107">
        <v>7.39</v>
      </c>
      <c r="S107">
        <v>8.07</v>
      </c>
      <c r="T107">
        <v>8.9700000000000006</v>
      </c>
      <c r="U107">
        <v>10.44</v>
      </c>
    </row>
    <row r="108" spans="1:21" x14ac:dyDescent="0.25">
      <c r="A108" t="s">
        <v>17</v>
      </c>
    </row>
    <row r="109" spans="1:21" x14ac:dyDescent="0.25">
      <c r="A109" t="s">
        <v>125</v>
      </c>
    </row>
    <row r="110" spans="1:21" x14ac:dyDescent="0.25">
      <c r="A110" t="s">
        <v>2003</v>
      </c>
      <c r="B110">
        <v>24.03</v>
      </c>
      <c r="C110">
        <v>23.1</v>
      </c>
      <c r="D110">
        <v>22.9</v>
      </c>
      <c r="E110">
        <v>28.43</v>
      </c>
      <c r="F110">
        <v>28.75</v>
      </c>
      <c r="G110">
        <v>29.28</v>
      </c>
      <c r="H110">
        <v>29.77</v>
      </c>
      <c r="I110">
        <v>30.73</v>
      </c>
      <c r="J110">
        <v>30.74</v>
      </c>
      <c r="K110">
        <v>31.08</v>
      </c>
      <c r="L110">
        <v>31.76</v>
      </c>
      <c r="M110">
        <v>31.57</v>
      </c>
      <c r="N110">
        <v>31</v>
      </c>
      <c r="O110">
        <v>31.29</v>
      </c>
      <c r="P110">
        <v>31.52</v>
      </c>
      <c r="Q110">
        <v>31.61</v>
      </c>
      <c r="R110">
        <v>31.44</v>
      </c>
      <c r="S110">
        <v>31.12</v>
      </c>
      <c r="T110">
        <v>31.07</v>
      </c>
      <c r="U110">
        <v>31.02</v>
      </c>
    </row>
    <row r="111" spans="1:21" x14ac:dyDescent="0.25">
      <c r="A111" t="s">
        <v>17</v>
      </c>
    </row>
    <row r="112" spans="1:21" x14ac:dyDescent="0.25">
      <c r="A112" t="s">
        <v>134</v>
      </c>
    </row>
    <row r="113" spans="1:21" x14ac:dyDescent="0.25">
      <c r="A113" t="s">
        <v>135</v>
      </c>
    </row>
    <row r="114" spans="1:21" x14ac:dyDescent="0.25">
      <c r="A114" t="s">
        <v>136</v>
      </c>
      <c r="B114">
        <v>231.63</v>
      </c>
      <c r="C114">
        <v>334.13</v>
      </c>
      <c r="D114">
        <v>345.22</v>
      </c>
      <c r="E114">
        <v>264.02999999999997</v>
      </c>
      <c r="F114">
        <v>299.51</v>
      </c>
      <c r="G114">
        <v>333.84</v>
      </c>
      <c r="H114">
        <v>387.84</v>
      </c>
      <c r="I114">
        <v>465.96</v>
      </c>
      <c r="J114">
        <v>567.72</v>
      </c>
      <c r="K114">
        <v>673.8</v>
      </c>
      <c r="L114">
        <v>603.77</v>
      </c>
      <c r="M114">
        <v>675.52</v>
      </c>
      <c r="N114">
        <v>809.9</v>
      </c>
      <c r="O114">
        <v>916.59</v>
      </c>
      <c r="P114" s="2">
        <v>1043.6300000000001</v>
      </c>
      <c r="Q114" s="2">
        <v>1304.3399999999999</v>
      </c>
      <c r="R114" s="2">
        <v>2068.4</v>
      </c>
      <c r="S114" s="2">
        <v>2503.52</v>
      </c>
      <c r="T114" s="2">
        <v>3155.85</v>
      </c>
      <c r="U114" s="2">
        <v>2836.89</v>
      </c>
    </row>
    <row r="115" spans="1:21" x14ac:dyDescent="0.25">
      <c r="A115" t="s">
        <v>536</v>
      </c>
      <c r="B115">
        <v>77.650000000000006</v>
      </c>
      <c r="C115">
        <v>130.51</v>
      </c>
      <c r="D115">
        <v>136.07</v>
      </c>
      <c r="E115">
        <v>12.47</v>
      </c>
      <c r="F115">
        <v>19.48</v>
      </c>
      <c r="G115">
        <v>1.59</v>
      </c>
      <c r="H115">
        <v>85.31</v>
      </c>
      <c r="I115">
        <v>169.7</v>
      </c>
      <c r="J115">
        <v>245.29</v>
      </c>
      <c r="K115">
        <v>293.23</v>
      </c>
      <c r="L115">
        <v>201.79</v>
      </c>
      <c r="M115">
        <v>265.16000000000003</v>
      </c>
      <c r="N115">
        <v>257.27999999999997</v>
      </c>
      <c r="O115">
        <v>309.49</v>
      </c>
      <c r="P115">
        <v>398.6</v>
      </c>
      <c r="Q115">
        <v>589.73</v>
      </c>
      <c r="R115" s="2">
        <v>1114.49</v>
      </c>
      <c r="S115" s="2">
        <v>1670.41</v>
      </c>
      <c r="T115" s="2">
        <v>2243.6799999999998</v>
      </c>
      <c r="U115" s="2">
        <v>1879.6</v>
      </c>
    </row>
    <row r="116" spans="1:21" x14ac:dyDescent="0.25">
      <c r="A116" t="s">
        <v>141</v>
      </c>
      <c r="B116">
        <v>9.52</v>
      </c>
      <c r="C116">
        <v>14.09</v>
      </c>
      <c r="D116">
        <v>20.420000000000002</v>
      </c>
      <c r="E116">
        <v>25.23</v>
      </c>
      <c r="F116">
        <v>25.89</v>
      </c>
      <c r="G116">
        <v>40.56</v>
      </c>
      <c r="H116">
        <v>15.71</v>
      </c>
      <c r="I116">
        <v>14.82</v>
      </c>
      <c r="J116">
        <v>21.57</v>
      </c>
      <c r="K116">
        <v>16.11</v>
      </c>
      <c r="L116">
        <v>30.31</v>
      </c>
      <c r="M116">
        <v>30.9</v>
      </c>
      <c r="N116">
        <v>65.22</v>
      </c>
      <c r="O116">
        <v>68.73</v>
      </c>
      <c r="P116">
        <v>71.89</v>
      </c>
      <c r="Q116">
        <v>77.23</v>
      </c>
      <c r="R116">
        <v>85.23</v>
      </c>
      <c r="S116">
        <v>93.89</v>
      </c>
      <c r="T116">
        <v>95.69</v>
      </c>
      <c r="U116">
        <v>93.59</v>
      </c>
    </row>
    <row r="117" spans="1:21" x14ac:dyDescent="0.25">
      <c r="A117" t="s">
        <v>340</v>
      </c>
      <c r="B117">
        <v>118.26</v>
      </c>
      <c r="C117">
        <v>142.79</v>
      </c>
      <c r="D117">
        <v>165.43</v>
      </c>
      <c r="E117">
        <v>204.46</v>
      </c>
      <c r="F117">
        <v>229.54</v>
      </c>
      <c r="G117">
        <v>264.37</v>
      </c>
      <c r="H117">
        <v>275.98</v>
      </c>
      <c r="I117">
        <v>254.22</v>
      </c>
      <c r="J117">
        <v>265.39</v>
      </c>
      <c r="K117">
        <v>310.55</v>
      </c>
      <c r="L117">
        <v>323.2</v>
      </c>
      <c r="M117">
        <v>343.33</v>
      </c>
      <c r="N117">
        <v>427.1</v>
      </c>
      <c r="O117">
        <v>471.64</v>
      </c>
      <c r="P117">
        <v>497.06</v>
      </c>
      <c r="Q117">
        <v>532.51</v>
      </c>
      <c r="R117">
        <v>584.78</v>
      </c>
      <c r="S117">
        <v>647.91999999999996</v>
      </c>
      <c r="T117">
        <v>715.67</v>
      </c>
      <c r="U117">
        <v>757.23</v>
      </c>
    </row>
    <row r="118" spans="1:21" x14ac:dyDescent="0.25">
      <c r="A118" t="s">
        <v>428</v>
      </c>
      <c r="B118">
        <v>26.2</v>
      </c>
      <c r="C118">
        <v>46.73</v>
      </c>
      <c r="D118">
        <v>23.29</v>
      </c>
      <c r="E118">
        <v>21.87</v>
      </c>
      <c r="F118">
        <v>24.59</v>
      </c>
      <c r="G118">
        <v>27.32</v>
      </c>
      <c r="H118">
        <v>10.83</v>
      </c>
      <c r="I118">
        <v>27.22</v>
      </c>
      <c r="J118">
        <v>35.47</v>
      </c>
      <c r="K118">
        <v>53.92</v>
      </c>
      <c r="L118">
        <v>48.47</v>
      </c>
      <c r="M118">
        <v>36.130000000000003</v>
      </c>
      <c r="N118">
        <v>60.31</v>
      </c>
      <c r="O118">
        <v>63.39</v>
      </c>
      <c r="P118">
        <v>66.33</v>
      </c>
      <c r="Q118">
        <v>70.09</v>
      </c>
      <c r="R118">
        <v>84.18</v>
      </c>
      <c r="S118">
        <v>91.79</v>
      </c>
      <c r="T118">
        <v>101.41</v>
      </c>
      <c r="U118">
        <v>107.47</v>
      </c>
    </row>
    <row r="119" spans="1:21" x14ac:dyDescent="0.25">
      <c r="A119" t="s">
        <v>146</v>
      </c>
      <c r="B119">
        <v>940.78</v>
      </c>
      <c r="C119" s="2">
        <v>1034.94</v>
      </c>
      <c r="D119" s="2">
        <v>1081.1500000000001</v>
      </c>
      <c r="E119" s="2">
        <v>1175.8699999999999</v>
      </c>
      <c r="F119" s="2">
        <v>1282.0999999999999</v>
      </c>
      <c r="G119" s="2">
        <v>1341.77</v>
      </c>
      <c r="H119" s="2">
        <v>2335.14</v>
      </c>
      <c r="I119" s="2">
        <v>2340.44</v>
      </c>
      <c r="J119" s="2">
        <v>2355.4</v>
      </c>
      <c r="K119" s="2">
        <v>2396.58</v>
      </c>
      <c r="L119" s="2">
        <v>2723.66</v>
      </c>
      <c r="M119" s="2">
        <v>2965.18</v>
      </c>
      <c r="N119" s="2">
        <v>3348.75</v>
      </c>
      <c r="O119" s="2">
        <v>3616.17</v>
      </c>
      <c r="P119" s="2">
        <v>3885.27</v>
      </c>
      <c r="Q119" s="2">
        <v>4166.49</v>
      </c>
      <c r="R119" s="2">
        <v>4461.6000000000004</v>
      </c>
      <c r="S119" s="2">
        <v>4771.95</v>
      </c>
      <c r="T119" s="2">
        <v>5065.96</v>
      </c>
      <c r="U119" s="2">
        <v>5387.82</v>
      </c>
    </row>
    <row r="120" spans="1:21" x14ac:dyDescent="0.25">
      <c r="A120" t="s">
        <v>148</v>
      </c>
      <c r="B120">
        <v>348.83</v>
      </c>
      <c r="D120">
        <v>494.07</v>
      </c>
      <c r="E120">
        <v>604.66</v>
      </c>
      <c r="F120">
        <v>713.03</v>
      </c>
      <c r="G120">
        <v>766.43</v>
      </c>
      <c r="H120">
        <v>741.51</v>
      </c>
      <c r="I120">
        <v>726.5</v>
      </c>
      <c r="J120">
        <v>716.03</v>
      </c>
      <c r="K120">
        <v>722.24</v>
      </c>
      <c r="L120">
        <v>798.71</v>
      </c>
      <c r="M120">
        <v>895.19</v>
      </c>
      <c r="N120" s="2">
        <v>1085.3599999999999</v>
      </c>
      <c r="O120" s="2">
        <v>1219.77</v>
      </c>
      <c r="P120" s="2">
        <v>1363.1</v>
      </c>
      <c r="Q120" s="2">
        <v>1447.23</v>
      </c>
      <c r="R120" s="2">
        <v>1538.05</v>
      </c>
      <c r="S120" s="2">
        <v>1644.41</v>
      </c>
      <c r="T120" s="2">
        <v>1696.61</v>
      </c>
      <c r="U120" s="2">
        <v>1978.86</v>
      </c>
    </row>
    <row r="121" spans="1:21" x14ac:dyDescent="0.25">
      <c r="A121" t="s">
        <v>2004</v>
      </c>
      <c r="H121" s="2">
        <v>1028.44</v>
      </c>
      <c r="I121" s="2">
        <v>1045.4100000000001</v>
      </c>
      <c r="J121" s="2">
        <v>1072.02</v>
      </c>
      <c r="K121" s="2">
        <v>1106.52</v>
      </c>
      <c r="L121" s="2">
        <v>1322.85</v>
      </c>
      <c r="M121" s="2">
        <v>1466.9</v>
      </c>
      <c r="N121" s="2">
        <v>1652.73</v>
      </c>
      <c r="O121" s="2">
        <v>1768.1</v>
      </c>
      <c r="P121" s="2">
        <v>1858.32</v>
      </c>
      <c r="Q121" s="2">
        <v>1989.07</v>
      </c>
      <c r="R121" s="2">
        <v>2291.9299999999998</v>
      </c>
      <c r="S121" s="2">
        <v>2477.44</v>
      </c>
      <c r="T121" s="2">
        <v>2683.47</v>
      </c>
      <c r="U121" s="2">
        <v>2782.12</v>
      </c>
    </row>
    <row r="122" spans="1:21" x14ac:dyDescent="0.25">
      <c r="A122" t="s">
        <v>312</v>
      </c>
      <c r="B122">
        <v>563.54999999999995</v>
      </c>
      <c r="C122">
        <v>562.25</v>
      </c>
      <c r="D122">
        <v>566.67999999999995</v>
      </c>
      <c r="E122">
        <v>565.69000000000005</v>
      </c>
      <c r="F122">
        <v>564.28</v>
      </c>
      <c r="G122">
        <v>562.88</v>
      </c>
      <c r="H122">
        <v>553.47</v>
      </c>
      <c r="I122">
        <v>553.84</v>
      </c>
      <c r="J122">
        <v>553.84</v>
      </c>
      <c r="K122">
        <v>553.84</v>
      </c>
      <c r="L122">
        <v>589.79999999999995</v>
      </c>
      <c r="M122">
        <v>589.84</v>
      </c>
      <c r="N122">
        <v>589.97</v>
      </c>
      <c r="O122">
        <v>589.97</v>
      </c>
      <c r="P122">
        <v>589.97</v>
      </c>
      <c r="Q122">
        <v>589.97</v>
      </c>
    </row>
    <row r="123" spans="1:21" x14ac:dyDescent="0.25">
      <c r="A123" t="s">
        <v>152</v>
      </c>
      <c r="B123">
        <v>368.08</v>
      </c>
      <c r="C123">
        <v>368.08</v>
      </c>
      <c r="D123">
        <v>368.08</v>
      </c>
      <c r="E123">
        <v>368.08</v>
      </c>
      <c r="F123">
        <v>368.08</v>
      </c>
      <c r="G123">
        <v>368.08</v>
      </c>
      <c r="H123">
        <v>368.08</v>
      </c>
      <c r="I123">
        <v>368.88</v>
      </c>
      <c r="J123">
        <v>368.88</v>
      </c>
      <c r="K123">
        <v>368.88</v>
      </c>
      <c r="L123">
        <v>381.74</v>
      </c>
      <c r="M123">
        <v>381.75</v>
      </c>
      <c r="N123">
        <v>381.75</v>
      </c>
      <c r="O123">
        <v>381.75</v>
      </c>
      <c r="P123">
        <v>381.75</v>
      </c>
      <c r="Q123">
        <v>381.75</v>
      </c>
      <c r="R123">
        <v>381.75</v>
      </c>
      <c r="S123">
        <v>381.75</v>
      </c>
      <c r="T123">
        <v>381.75</v>
      </c>
      <c r="U123">
        <v>381.75</v>
      </c>
    </row>
    <row r="124" spans="1:21" x14ac:dyDescent="0.25">
      <c r="A124" t="s">
        <v>151</v>
      </c>
      <c r="B124">
        <v>195.47</v>
      </c>
      <c r="C124">
        <v>194.18</v>
      </c>
      <c r="D124">
        <v>198.6</v>
      </c>
      <c r="E124">
        <v>197.61</v>
      </c>
      <c r="F124">
        <v>196.21</v>
      </c>
      <c r="G124">
        <v>194.8</v>
      </c>
      <c r="H124">
        <v>185.4</v>
      </c>
      <c r="I124">
        <v>184.96</v>
      </c>
      <c r="J124">
        <v>184.96</v>
      </c>
      <c r="K124">
        <v>184.96</v>
      </c>
      <c r="L124">
        <v>208.06</v>
      </c>
      <c r="M124">
        <v>208.09</v>
      </c>
      <c r="N124">
        <v>208.22</v>
      </c>
      <c r="O124">
        <v>208.22</v>
      </c>
      <c r="P124">
        <v>208.22</v>
      </c>
      <c r="Q124">
        <v>208.22</v>
      </c>
      <c r="R124">
        <v>208.22</v>
      </c>
      <c r="S124">
        <v>208.22</v>
      </c>
      <c r="T124">
        <v>208.22</v>
      </c>
      <c r="U124">
        <v>208.22</v>
      </c>
    </row>
    <row r="125" spans="1:21" x14ac:dyDescent="0.25">
      <c r="A125" t="s">
        <v>514</v>
      </c>
      <c r="B125">
        <v>13.14</v>
      </c>
      <c r="C125">
        <v>17.8</v>
      </c>
      <c r="D125">
        <v>19</v>
      </c>
      <c r="E125">
        <v>5.52</v>
      </c>
      <c r="F125">
        <v>4.78</v>
      </c>
      <c r="G125">
        <v>12.46</v>
      </c>
      <c r="H125">
        <v>11.73</v>
      </c>
      <c r="I125">
        <v>14.7</v>
      </c>
      <c r="J125">
        <v>13.51</v>
      </c>
      <c r="K125">
        <v>13.97</v>
      </c>
      <c r="L125">
        <v>12.29</v>
      </c>
      <c r="M125">
        <v>13.24</v>
      </c>
      <c r="N125">
        <v>20.69</v>
      </c>
      <c r="O125">
        <v>23.27</v>
      </c>
      <c r="P125">
        <v>24.13</v>
      </c>
      <c r="Q125">
        <v>25.47</v>
      </c>
      <c r="R125">
        <v>26.99</v>
      </c>
      <c r="S125">
        <v>28.7</v>
      </c>
      <c r="T125">
        <v>34.130000000000003</v>
      </c>
      <c r="U125">
        <v>36.869999999999997</v>
      </c>
    </row>
    <row r="126" spans="1:21" x14ac:dyDescent="0.25">
      <c r="A126" t="s">
        <v>155</v>
      </c>
      <c r="B126" s="2">
        <v>1172.4000000000001</v>
      </c>
      <c r="C126" s="2">
        <v>1369.07</v>
      </c>
      <c r="D126" s="2">
        <v>1426.36</v>
      </c>
      <c r="E126" s="2">
        <v>1439.89</v>
      </c>
      <c r="F126" s="2">
        <v>1581.6</v>
      </c>
      <c r="G126" s="2">
        <v>1675.61</v>
      </c>
      <c r="H126" s="2">
        <v>2722.98</v>
      </c>
      <c r="I126" s="2">
        <v>2806.4</v>
      </c>
      <c r="J126" s="2">
        <v>2923.12</v>
      </c>
      <c r="K126" s="2">
        <v>3070.38</v>
      </c>
      <c r="L126" s="2">
        <v>3327.43</v>
      </c>
      <c r="M126" s="2">
        <v>3640.7</v>
      </c>
      <c r="N126" s="2">
        <v>4158.6499999999996</v>
      </c>
      <c r="O126" s="2">
        <v>4527.43</v>
      </c>
      <c r="P126" s="2">
        <v>4874.95</v>
      </c>
      <c r="Q126" s="2">
        <v>5350.04</v>
      </c>
      <c r="R126" s="2">
        <v>6512.86</v>
      </c>
      <c r="S126" s="2">
        <v>7241.62</v>
      </c>
      <c r="T126" s="2">
        <v>8154.93</v>
      </c>
      <c r="U126" s="2">
        <v>8223.9</v>
      </c>
    </row>
    <row r="127" spans="1:21" x14ac:dyDescent="0.25">
      <c r="A127" t="s">
        <v>17</v>
      </c>
    </row>
    <row r="128" spans="1:21" x14ac:dyDescent="0.25">
      <c r="A128" t="s">
        <v>156</v>
      </c>
    </row>
    <row r="129" spans="1:21" x14ac:dyDescent="0.25">
      <c r="A129" t="s">
        <v>157</v>
      </c>
      <c r="B129">
        <v>175.62</v>
      </c>
      <c r="C129">
        <v>220.84</v>
      </c>
      <c r="D129">
        <v>230.42</v>
      </c>
      <c r="E129">
        <v>259.16000000000003</v>
      </c>
      <c r="F129">
        <v>299.70999999999998</v>
      </c>
      <c r="G129">
        <v>310</v>
      </c>
      <c r="H129">
        <v>416.81</v>
      </c>
      <c r="I129">
        <v>496.13</v>
      </c>
      <c r="J129">
        <v>513.47</v>
      </c>
      <c r="K129">
        <v>522.38</v>
      </c>
      <c r="L129">
        <v>546.87</v>
      </c>
      <c r="M129">
        <v>679.97</v>
      </c>
      <c r="N129">
        <v>870.8</v>
      </c>
      <c r="O129">
        <v>844.16</v>
      </c>
      <c r="P129">
        <v>871.19</v>
      </c>
      <c r="Q129">
        <v>934.94</v>
      </c>
      <c r="R129" s="2">
        <v>1086.01</v>
      </c>
      <c r="S129" s="2">
        <v>1168.44</v>
      </c>
      <c r="T129" s="2">
        <v>1371.14</v>
      </c>
      <c r="U129" s="2">
        <v>1472.37</v>
      </c>
    </row>
    <row r="130" spans="1:21" x14ac:dyDescent="0.25">
      <c r="A130" t="s">
        <v>158</v>
      </c>
      <c r="B130">
        <v>111.16</v>
      </c>
      <c r="C130">
        <v>112.88</v>
      </c>
      <c r="D130">
        <v>134.47999999999999</v>
      </c>
      <c r="E130">
        <v>157.55000000000001</v>
      </c>
      <c r="F130">
        <v>244.85</v>
      </c>
      <c r="G130">
        <v>253.97</v>
      </c>
      <c r="H130">
        <v>122.84</v>
      </c>
      <c r="I130">
        <v>139.34</v>
      </c>
      <c r="J130">
        <v>145.9</v>
      </c>
      <c r="K130">
        <v>172.9</v>
      </c>
      <c r="L130">
        <v>179.93</v>
      </c>
      <c r="M130">
        <v>213.41</v>
      </c>
      <c r="N130">
        <v>291.02999999999997</v>
      </c>
      <c r="O130">
        <v>295.39999999999998</v>
      </c>
      <c r="P130">
        <v>305.98</v>
      </c>
      <c r="Q130">
        <v>345.23</v>
      </c>
      <c r="R130">
        <v>372.14</v>
      </c>
      <c r="S130">
        <v>406.24</v>
      </c>
      <c r="T130">
        <v>490.44</v>
      </c>
      <c r="U130">
        <v>520.48</v>
      </c>
    </row>
    <row r="131" spans="1:21" x14ac:dyDescent="0.25">
      <c r="A131" t="s">
        <v>414</v>
      </c>
      <c r="B131">
        <v>32.96</v>
      </c>
      <c r="D131">
        <v>50.25</v>
      </c>
      <c r="E131">
        <v>56.38</v>
      </c>
      <c r="I131">
        <v>143.4</v>
      </c>
      <c r="J131">
        <v>156</v>
      </c>
      <c r="K131">
        <v>151.31</v>
      </c>
      <c r="L131">
        <v>164.89</v>
      </c>
      <c r="M131">
        <v>216.84</v>
      </c>
      <c r="N131">
        <v>304.42</v>
      </c>
      <c r="O131">
        <v>277.88</v>
      </c>
      <c r="P131">
        <v>290.85000000000002</v>
      </c>
      <c r="Q131">
        <v>323.83999999999997</v>
      </c>
      <c r="R131">
        <v>384.12</v>
      </c>
      <c r="S131">
        <v>416.98</v>
      </c>
      <c r="T131">
        <v>502.41</v>
      </c>
      <c r="U131">
        <v>542.78</v>
      </c>
    </row>
    <row r="132" spans="1:21" x14ac:dyDescent="0.25">
      <c r="A132" t="s">
        <v>2005</v>
      </c>
      <c r="B132">
        <v>22.29</v>
      </c>
      <c r="D132">
        <v>30.72</v>
      </c>
      <c r="E132">
        <v>32.86</v>
      </c>
      <c r="F132">
        <v>45.62</v>
      </c>
      <c r="G132">
        <v>48.6</v>
      </c>
      <c r="H132">
        <v>48.58</v>
      </c>
      <c r="I132">
        <v>76.7</v>
      </c>
      <c r="J132">
        <v>58.74</v>
      </c>
      <c r="K132">
        <v>61.57</v>
      </c>
      <c r="L132">
        <v>74.75</v>
      </c>
      <c r="M132">
        <v>97.99</v>
      </c>
      <c r="N132">
        <v>96.02</v>
      </c>
      <c r="O132">
        <v>105.82</v>
      </c>
      <c r="P132">
        <v>108.57</v>
      </c>
      <c r="Q132">
        <v>114.79</v>
      </c>
      <c r="R132">
        <v>123.6</v>
      </c>
      <c r="S132">
        <v>132.30000000000001</v>
      </c>
      <c r="T132">
        <v>139.9</v>
      </c>
      <c r="U132">
        <v>148.84</v>
      </c>
    </row>
    <row r="133" spans="1:21" x14ac:dyDescent="0.25">
      <c r="A133" t="s">
        <v>2006</v>
      </c>
      <c r="H133">
        <v>106.15</v>
      </c>
      <c r="I133">
        <v>135.74</v>
      </c>
      <c r="J133">
        <v>151.76</v>
      </c>
      <c r="K133">
        <v>135.58000000000001</v>
      </c>
      <c r="L133">
        <v>126.27</v>
      </c>
      <c r="M133">
        <v>150.4</v>
      </c>
      <c r="N133">
        <v>177.26</v>
      </c>
      <c r="O133">
        <v>181.01</v>
      </c>
      <c r="P133">
        <v>184.83</v>
      </c>
      <c r="Q133">
        <v>190.29</v>
      </c>
      <c r="R133">
        <v>211.36</v>
      </c>
      <c r="S133">
        <v>220.87</v>
      </c>
      <c r="T133">
        <v>245.19</v>
      </c>
      <c r="U133">
        <v>258.2</v>
      </c>
    </row>
    <row r="134" spans="1:21" x14ac:dyDescent="0.25">
      <c r="A134" t="s">
        <v>2007</v>
      </c>
      <c r="B134">
        <v>3.4</v>
      </c>
      <c r="C134">
        <v>29.14</v>
      </c>
      <c r="D134">
        <v>14.97</v>
      </c>
      <c r="E134">
        <v>12.37</v>
      </c>
      <c r="F134">
        <v>9.24</v>
      </c>
      <c r="G134">
        <v>7.43</v>
      </c>
      <c r="H134">
        <v>0.75</v>
      </c>
      <c r="I134">
        <v>0.96</v>
      </c>
      <c r="J134">
        <v>1.08</v>
      </c>
      <c r="K134">
        <v>1.01</v>
      </c>
      <c r="L134">
        <v>1.03</v>
      </c>
      <c r="M134">
        <v>1.32</v>
      </c>
      <c r="N134">
        <v>2.0699999999999998</v>
      </c>
      <c r="O134">
        <v>2.62</v>
      </c>
      <c r="P134">
        <v>2.62</v>
      </c>
      <c r="Q134">
        <v>2.5499999999999998</v>
      </c>
      <c r="R134">
        <v>2.0699999999999998</v>
      </c>
      <c r="S134">
        <v>2.0699999999999998</v>
      </c>
      <c r="T134">
        <v>2.0699999999999998</v>
      </c>
      <c r="U134">
        <v>2.0699999999999998</v>
      </c>
    </row>
    <row r="135" spans="1:21" x14ac:dyDescent="0.25">
      <c r="A135" t="s">
        <v>164</v>
      </c>
      <c r="B135">
        <v>483.01</v>
      </c>
      <c r="C135">
        <v>462.84</v>
      </c>
      <c r="D135">
        <v>372.95</v>
      </c>
      <c r="E135">
        <v>507.83</v>
      </c>
      <c r="F135">
        <v>631.20000000000005</v>
      </c>
      <c r="G135">
        <v>776.42</v>
      </c>
      <c r="H135" s="2">
        <v>1724.22</v>
      </c>
      <c r="I135" s="2">
        <v>1428.98</v>
      </c>
      <c r="J135" s="2">
        <v>1449.77</v>
      </c>
      <c r="K135" s="2">
        <v>1501.54</v>
      </c>
      <c r="L135" s="2">
        <v>1632.01</v>
      </c>
      <c r="M135" s="2">
        <v>1638.84</v>
      </c>
      <c r="N135" s="2">
        <v>1884.77</v>
      </c>
      <c r="O135" s="2">
        <v>2009.79</v>
      </c>
      <c r="P135" s="2">
        <v>2098.59</v>
      </c>
      <c r="Q135" s="2">
        <v>2196.38</v>
      </c>
      <c r="R135" s="2">
        <v>2456.65</v>
      </c>
      <c r="S135" s="2">
        <v>2631.17</v>
      </c>
      <c r="T135" s="2">
        <v>2763.82</v>
      </c>
      <c r="U135" s="2">
        <v>2945.46</v>
      </c>
    </row>
    <row r="136" spans="1:21" x14ac:dyDescent="0.25">
      <c r="A136" t="s">
        <v>315</v>
      </c>
      <c r="B136">
        <v>305.42</v>
      </c>
      <c r="D136">
        <v>160</v>
      </c>
      <c r="E136">
        <v>255</v>
      </c>
      <c r="F136">
        <v>348</v>
      </c>
      <c r="G136">
        <v>453</v>
      </c>
      <c r="H136">
        <v>549.41999999999996</v>
      </c>
      <c r="I136">
        <v>260.45999999999998</v>
      </c>
      <c r="J136">
        <v>259.66000000000003</v>
      </c>
      <c r="K136">
        <v>258.89999999999998</v>
      </c>
      <c r="L136">
        <v>133.69</v>
      </c>
      <c r="M136">
        <v>7.25</v>
      </c>
      <c r="N136">
        <v>81.59</v>
      </c>
      <c r="O136">
        <v>93.54</v>
      </c>
      <c r="P136">
        <v>91.78</v>
      </c>
      <c r="Q136">
        <v>89.62</v>
      </c>
      <c r="R136">
        <v>91.11</v>
      </c>
      <c r="S136">
        <v>91.33</v>
      </c>
      <c r="T136">
        <v>84.12</v>
      </c>
      <c r="U136">
        <v>85.84</v>
      </c>
    </row>
    <row r="137" spans="1:21" x14ac:dyDescent="0.25">
      <c r="A137" t="s">
        <v>2008</v>
      </c>
      <c r="B137">
        <v>15.75</v>
      </c>
      <c r="C137">
        <v>14</v>
      </c>
      <c r="D137">
        <v>0</v>
      </c>
      <c r="E137">
        <v>0</v>
      </c>
      <c r="F137">
        <v>348</v>
      </c>
      <c r="G137">
        <v>0</v>
      </c>
      <c r="H137">
        <v>0</v>
      </c>
      <c r="I137">
        <v>250</v>
      </c>
      <c r="J137">
        <v>250</v>
      </c>
      <c r="K137">
        <v>250</v>
      </c>
      <c r="L137">
        <v>125</v>
      </c>
      <c r="M137">
        <v>0</v>
      </c>
      <c r="N137">
        <v>0</v>
      </c>
    </row>
    <row r="138" spans="1:21" x14ac:dyDescent="0.25">
      <c r="A138" t="s">
        <v>2009</v>
      </c>
      <c r="B138">
        <v>116.18</v>
      </c>
      <c r="C138">
        <v>121.56</v>
      </c>
      <c r="D138">
        <v>115.5</v>
      </c>
      <c r="E138">
        <v>117.37</v>
      </c>
      <c r="F138">
        <v>125.49</v>
      </c>
      <c r="G138">
        <v>119.64</v>
      </c>
      <c r="H138">
        <v>11.42</v>
      </c>
      <c r="I138">
        <v>10.46</v>
      </c>
      <c r="J138">
        <v>9.66</v>
      </c>
      <c r="K138">
        <v>8.9</v>
      </c>
      <c r="L138">
        <v>8.69</v>
      </c>
      <c r="M138">
        <v>7.25</v>
      </c>
      <c r="N138">
        <v>12.17</v>
      </c>
    </row>
    <row r="139" spans="1:21" x14ac:dyDescent="0.25">
      <c r="A139" t="s">
        <v>419</v>
      </c>
      <c r="H139" s="2">
        <v>1078.93</v>
      </c>
      <c r="I139" s="2">
        <v>1069.54</v>
      </c>
      <c r="J139" s="2">
        <v>1095.9100000000001</v>
      </c>
      <c r="K139" s="2">
        <v>1145.17</v>
      </c>
      <c r="L139" s="2">
        <v>1399.68</v>
      </c>
      <c r="M139" s="2">
        <v>1520.27</v>
      </c>
      <c r="N139" s="2">
        <v>1682.43</v>
      </c>
      <c r="O139" s="2">
        <v>1770.85</v>
      </c>
      <c r="P139" s="2">
        <v>1831.15</v>
      </c>
      <c r="Q139" s="2">
        <v>1911.25</v>
      </c>
      <c r="R139" s="2">
        <v>2214.04</v>
      </c>
      <c r="S139" s="2">
        <v>2380.71</v>
      </c>
      <c r="T139" s="2">
        <v>2497.5500000000002</v>
      </c>
      <c r="U139" s="2">
        <v>2666.51</v>
      </c>
    </row>
    <row r="140" spans="1:21" x14ac:dyDescent="0.25">
      <c r="A140" t="s">
        <v>2010</v>
      </c>
      <c r="C140">
        <v>18.600000000000001</v>
      </c>
      <c r="D140">
        <v>0</v>
      </c>
      <c r="E140">
        <v>19.260000000000002</v>
      </c>
      <c r="F140">
        <v>27.07</v>
      </c>
      <c r="G140">
        <v>50.4</v>
      </c>
      <c r="H140">
        <v>54.36</v>
      </c>
      <c r="I140">
        <v>58.07</v>
      </c>
      <c r="J140">
        <v>57.9</v>
      </c>
      <c r="K140">
        <v>61.12</v>
      </c>
      <c r="L140">
        <v>62.38</v>
      </c>
      <c r="M140">
        <v>73.06</v>
      </c>
      <c r="N140">
        <v>80.48</v>
      </c>
      <c r="O140">
        <v>85.6</v>
      </c>
      <c r="P140">
        <v>90.76</v>
      </c>
      <c r="Q140">
        <v>97.63</v>
      </c>
      <c r="R140">
        <v>85.58</v>
      </c>
      <c r="S140">
        <v>86.49</v>
      </c>
      <c r="T140">
        <v>88.29</v>
      </c>
      <c r="U140">
        <v>98.98</v>
      </c>
    </row>
    <row r="141" spans="1:21" x14ac:dyDescent="0.25">
      <c r="A141" t="s">
        <v>502</v>
      </c>
      <c r="B141">
        <v>61.42</v>
      </c>
      <c r="C141">
        <v>92.67</v>
      </c>
      <c r="D141">
        <v>97.45</v>
      </c>
      <c r="E141">
        <v>135.46</v>
      </c>
      <c r="F141">
        <v>157.71</v>
      </c>
      <c r="G141">
        <v>203.78</v>
      </c>
      <c r="H141">
        <v>95.87</v>
      </c>
      <c r="I141">
        <v>98.99</v>
      </c>
      <c r="J141">
        <v>94.2</v>
      </c>
      <c r="K141">
        <v>97.46</v>
      </c>
      <c r="L141">
        <v>98.65</v>
      </c>
      <c r="M141">
        <v>111.32</v>
      </c>
      <c r="N141">
        <v>120.76</v>
      </c>
      <c r="O141">
        <v>129.82</v>
      </c>
      <c r="P141">
        <v>134.83000000000001</v>
      </c>
      <c r="Q141">
        <v>141.53</v>
      </c>
      <c r="R141">
        <v>168.43</v>
      </c>
      <c r="S141">
        <v>183.43</v>
      </c>
      <c r="T141">
        <v>199.1</v>
      </c>
      <c r="U141">
        <v>215.48</v>
      </c>
    </row>
    <row r="142" spans="1:21" x14ac:dyDescent="0.25">
      <c r="A142" t="s">
        <v>2011</v>
      </c>
      <c r="B142">
        <v>61.42</v>
      </c>
      <c r="D142">
        <v>97.45</v>
      </c>
      <c r="E142">
        <v>116.2</v>
      </c>
      <c r="F142">
        <v>130.63999999999999</v>
      </c>
      <c r="G142">
        <v>153.38</v>
      </c>
      <c r="H142">
        <v>41.52</v>
      </c>
      <c r="I142">
        <v>40.909999999999997</v>
      </c>
      <c r="J142">
        <v>36.31</v>
      </c>
      <c r="K142">
        <v>36.340000000000003</v>
      </c>
      <c r="L142">
        <v>36.270000000000003</v>
      </c>
      <c r="M142">
        <v>38.26</v>
      </c>
      <c r="N142">
        <v>40.28</v>
      </c>
      <c r="O142">
        <v>43.1</v>
      </c>
      <c r="P142">
        <v>44.4</v>
      </c>
      <c r="Q142">
        <v>46.24</v>
      </c>
      <c r="R142">
        <v>46.86</v>
      </c>
      <c r="S142">
        <v>48.51</v>
      </c>
      <c r="T142">
        <v>53.42</v>
      </c>
      <c r="U142">
        <v>71.77</v>
      </c>
    </row>
    <row r="143" spans="1:21" x14ac:dyDescent="0.25">
      <c r="A143" t="s">
        <v>167</v>
      </c>
      <c r="B143">
        <v>658.63</v>
      </c>
      <c r="C143">
        <v>683.68</v>
      </c>
      <c r="D143">
        <v>603.37</v>
      </c>
      <c r="E143">
        <v>766.98</v>
      </c>
      <c r="F143">
        <v>930.91</v>
      </c>
      <c r="G143" s="2">
        <v>1086.42</v>
      </c>
      <c r="H143" s="2">
        <v>2141.0300000000002</v>
      </c>
      <c r="I143" s="2">
        <v>1925.11</v>
      </c>
      <c r="J143" s="2">
        <v>1963.24</v>
      </c>
      <c r="K143" s="2">
        <v>2023.92</v>
      </c>
      <c r="L143" s="2">
        <v>2178.88</v>
      </c>
      <c r="M143" s="2">
        <v>2318.81</v>
      </c>
      <c r="N143" s="2">
        <v>2755.58</v>
      </c>
      <c r="O143" s="2">
        <v>2876.02</v>
      </c>
      <c r="P143" s="2">
        <v>2960.57</v>
      </c>
      <c r="Q143" s="2">
        <v>3052.63</v>
      </c>
      <c r="R143" s="2">
        <v>3438.53</v>
      </c>
      <c r="S143" s="2">
        <v>3679.72</v>
      </c>
      <c r="T143" s="2">
        <v>3938.87</v>
      </c>
      <c r="U143" s="2">
        <v>4210.6000000000004</v>
      </c>
    </row>
    <row r="144" spans="1:21" x14ac:dyDescent="0.25">
      <c r="A144" t="s">
        <v>911</v>
      </c>
      <c r="B144">
        <v>513.77</v>
      </c>
      <c r="C144">
        <v>685.39</v>
      </c>
      <c r="D144">
        <v>822.99</v>
      </c>
      <c r="E144">
        <v>672.91</v>
      </c>
      <c r="F144">
        <v>650.69000000000005</v>
      </c>
      <c r="G144">
        <v>589.20000000000005</v>
      </c>
      <c r="H144">
        <v>581.95000000000005</v>
      </c>
      <c r="I144">
        <v>881.29</v>
      </c>
      <c r="J144">
        <v>959.88</v>
      </c>
      <c r="K144" s="2">
        <v>1046.46</v>
      </c>
      <c r="L144" s="2">
        <v>1148.55</v>
      </c>
      <c r="M144" s="2">
        <v>1321.89</v>
      </c>
      <c r="N144" s="2">
        <v>1403.07</v>
      </c>
      <c r="O144" s="2">
        <v>1717.15</v>
      </c>
      <c r="P144" s="2">
        <v>1952.25</v>
      </c>
      <c r="Q144" s="2">
        <v>2254.6999999999998</v>
      </c>
      <c r="R144" s="2">
        <v>2890.6</v>
      </c>
      <c r="S144" s="2">
        <v>3338.25</v>
      </c>
      <c r="T144" s="2">
        <v>3864</v>
      </c>
      <c r="U144" s="2">
        <v>3806</v>
      </c>
    </row>
    <row r="145" spans="1:21" x14ac:dyDescent="0.25">
      <c r="A145" t="s">
        <v>171</v>
      </c>
      <c r="B145">
        <v>0.15</v>
      </c>
      <c r="C145">
        <v>0.15</v>
      </c>
      <c r="D145">
        <v>0.15</v>
      </c>
      <c r="E145">
        <v>0.14000000000000001</v>
      </c>
      <c r="F145">
        <v>0.13</v>
      </c>
      <c r="G145">
        <v>0.12</v>
      </c>
      <c r="H145">
        <v>0.12</v>
      </c>
      <c r="I145">
        <v>0.12</v>
      </c>
      <c r="J145">
        <v>0.11</v>
      </c>
      <c r="K145">
        <v>0.11</v>
      </c>
      <c r="L145">
        <v>0.1</v>
      </c>
      <c r="M145">
        <v>0.1</v>
      </c>
      <c r="N145">
        <v>0.1</v>
      </c>
      <c r="O145">
        <v>0.1</v>
      </c>
      <c r="P145">
        <v>0.1</v>
      </c>
      <c r="Q145">
        <v>0.1</v>
      </c>
      <c r="R145">
        <v>0.1</v>
      </c>
      <c r="S145">
        <v>0.1</v>
      </c>
      <c r="T145">
        <v>0.1</v>
      </c>
      <c r="U145">
        <v>0.1</v>
      </c>
    </row>
    <row r="146" spans="1:21" x14ac:dyDescent="0.25">
      <c r="A146" t="s">
        <v>1234</v>
      </c>
      <c r="B146">
        <v>479.13</v>
      </c>
      <c r="C146">
        <v>543.04999999999995</v>
      </c>
      <c r="D146">
        <v>577.39</v>
      </c>
      <c r="E146">
        <v>597.27</v>
      </c>
      <c r="F146">
        <v>620.79</v>
      </c>
      <c r="G146">
        <v>657.14</v>
      </c>
      <c r="H146">
        <v>670.97</v>
      </c>
      <c r="I146">
        <v>686.65</v>
      </c>
      <c r="J146">
        <v>704.7</v>
      </c>
      <c r="K146">
        <v>726.35</v>
      </c>
      <c r="L146">
        <v>774.83</v>
      </c>
      <c r="M146">
        <v>808.14</v>
      </c>
      <c r="N146">
        <v>841.85</v>
      </c>
      <c r="O146">
        <v>644.52</v>
      </c>
      <c r="P146">
        <v>415.79</v>
      </c>
      <c r="Q146">
        <v>184.44</v>
      </c>
      <c r="R146">
        <v>-593.79</v>
      </c>
      <c r="S146">
        <v>-998.64</v>
      </c>
      <c r="T146" s="2">
        <v>-1416.24</v>
      </c>
      <c r="U146" s="2">
        <v>-1846.97</v>
      </c>
    </row>
    <row r="147" spans="1:21" x14ac:dyDescent="0.25">
      <c r="A147" t="s">
        <v>173</v>
      </c>
      <c r="B147">
        <v>34.5</v>
      </c>
      <c r="C147">
        <v>142.19</v>
      </c>
      <c r="D147">
        <v>245.45</v>
      </c>
      <c r="E147">
        <v>75.5</v>
      </c>
      <c r="F147">
        <v>30.56</v>
      </c>
      <c r="G147">
        <v>-69.2</v>
      </c>
      <c r="H147">
        <v>-84.45</v>
      </c>
      <c r="I147">
        <v>203</v>
      </c>
      <c r="J147">
        <v>258.82</v>
      </c>
      <c r="K147">
        <v>320.01</v>
      </c>
      <c r="L147">
        <v>373.61</v>
      </c>
      <c r="M147">
        <v>513.65</v>
      </c>
      <c r="N147">
        <v>561.13</v>
      </c>
      <c r="O147">
        <v>955.07</v>
      </c>
      <c r="P147" s="2">
        <v>1365.86</v>
      </c>
      <c r="Q147" s="2">
        <v>1794.73</v>
      </c>
      <c r="R147" s="2">
        <v>2835.06</v>
      </c>
      <c r="S147" s="2">
        <v>3538.18</v>
      </c>
      <c r="T147" s="2">
        <v>4301.83</v>
      </c>
      <c r="U147" s="2">
        <v>5124.5200000000004</v>
      </c>
    </row>
    <row r="148" spans="1:21" x14ac:dyDescent="0.25">
      <c r="A148" t="s">
        <v>809</v>
      </c>
      <c r="F148">
        <v>-0.78</v>
      </c>
      <c r="G148">
        <v>1.1299999999999999</v>
      </c>
      <c r="H148">
        <v>-4.68</v>
      </c>
      <c r="I148">
        <v>-8.4700000000000006</v>
      </c>
      <c r="J148">
        <v>-3.76</v>
      </c>
      <c r="K148">
        <v>0</v>
      </c>
      <c r="L148">
        <v>0</v>
      </c>
      <c r="M148">
        <v>0</v>
      </c>
      <c r="N148">
        <v>0</v>
      </c>
    </row>
    <row r="149" spans="1:21" x14ac:dyDescent="0.25">
      <c r="A149" t="s">
        <v>1668</v>
      </c>
      <c r="B149" s="2">
        <v>1172.4000000000001</v>
      </c>
      <c r="C149" s="2">
        <v>1369.07</v>
      </c>
      <c r="D149" s="2">
        <v>1426.36</v>
      </c>
      <c r="E149" s="2">
        <v>1439.89</v>
      </c>
      <c r="F149" s="2">
        <v>1581.6</v>
      </c>
      <c r="G149" s="2">
        <v>1675.61</v>
      </c>
      <c r="H149" s="2">
        <v>2722.98</v>
      </c>
      <c r="I149" s="2">
        <v>2806.4</v>
      </c>
      <c r="J149" s="2">
        <v>2923.12</v>
      </c>
      <c r="K149" s="2">
        <v>3070.38</v>
      </c>
      <c r="L149" s="2">
        <v>3327.43</v>
      </c>
      <c r="M149" s="2">
        <v>3640.7</v>
      </c>
      <c r="N149" s="2">
        <v>4158.6499999999996</v>
      </c>
      <c r="O149" s="2">
        <v>4527.43</v>
      </c>
      <c r="P149" s="2">
        <v>4874.95</v>
      </c>
      <c r="Q149" s="2">
        <v>5350.04</v>
      </c>
      <c r="R149" s="2">
        <v>6512.86</v>
      </c>
      <c r="S149" s="2">
        <v>7241.62</v>
      </c>
      <c r="T149" s="2">
        <v>8154.93</v>
      </c>
      <c r="U149" s="2">
        <v>8223.9</v>
      </c>
    </row>
    <row r="150" spans="1:21" x14ac:dyDescent="0.25">
      <c r="A150" t="s">
        <v>17</v>
      </c>
    </row>
    <row r="151" spans="1:21" x14ac:dyDescent="0.25">
      <c r="A151" t="s">
        <v>176</v>
      </c>
    </row>
    <row r="152" spans="1:21" x14ac:dyDescent="0.25">
      <c r="A152" t="s">
        <v>186</v>
      </c>
      <c r="B152">
        <v>1.32</v>
      </c>
      <c r="C152">
        <v>1.51</v>
      </c>
      <c r="D152">
        <v>1.5</v>
      </c>
      <c r="E152">
        <v>1.02</v>
      </c>
      <c r="F152">
        <v>1</v>
      </c>
      <c r="G152">
        <v>1.08</v>
      </c>
      <c r="H152">
        <v>0.93</v>
      </c>
      <c r="I152">
        <v>0.94</v>
      </c>
      <c r="J152">
        <v>1.1100000000000001</v>
      </c>
      <c r="K152">
        <v>1.29</v>
      </c>
      <c r="L152">
        <v>1.1000000000000001</v>
      </c>
      <c r="M152">
        <v>0.99</v>
      </c>
      <c r="N152">
        <v>0.93</v>
      </c>
      <c r="O152">
        <v>0.93</v>
      </c>
      <c r="P152">
        <v>1.06</v>
      </c>
      <c r="Q152">
        <v>1.21</v>
      </c>
      <c r="R152">
        <v>1.37</v>
      </c>
      <c r="S152">
        <v>1.54</v>
      </c>
      <c r="T152">
        <v>1.73</v>
      </c>
      <c r="U152">
        <v>1.91</v>
      </c>
    </row>
    <row r="153" spans="1:21" x14ac:dyDescent="0.25">
      <c r="A153" t="s">
        <v>621</v>
      </c>
      <c r="B153">
        <v>15.81</v>
      </c>
      <c r="C153">
        <v>15.95</v>
      </c>
      <c r="D153">
        <v>16.489999999999998</v>
      </c>
      <c r="E153">
        <v>14.51</v>
      </c>
      <c r="F153">
        <v>14.27</v>
      </c>
      <c r="G153">
        <v>14.01</v>
      </c>
      <c r="H153">
        <v>13.84</v>
      </c>
      <c r="I153">
        <v>15.43</v>
      </c>
      <c r="J153">
        <v>14.98</v>
      </c>
      <c r="K153">
        <v>14.08</v>
      </c>
      <c r="L153">
        <v>13.62</v>
      </c>
      <c r="M153">
        <v>14.34</v>
      </c>
      <c r="N153">
        <v>13.99</v>
      </c>
      <c r="O153">
        <v>13.2</v>
      </c>
      <c r="P153">
        <v>13.3</v>
      </c>
      <c r="Q153">
        <v>13.49</v>
      </c>
      <c r="R153">
        <v>13.11</v>
      </c>
      <c r="S153">
        <v>13.13</v>
      </c>
      <c r="T153">
        <v>13</v>
      </c>
      <c r="U153">
        <v>13</v>
      </c>
    </row>
    <row r="154" spans="1:21" x14ac:dyDescent="0.25">
      <c r="A154" t="s">
        <v>180</v>
      </c>
      <c r="B154">
        <v>11.4</v>
      </c>
      <c r="C154">
        <v>17.96</v>
      </c>
      <c r="D154">
        <v>17.100000000000001</v>
      </c>
      <c r="E154">
        <v>16.62</v>
      </c>
      <c r="F154">
        <v>23.94</v>
      </c>
      <c r="G154">
        <v>25.57</v>
      </c>
      <c r="H154">
        <v>25.55</v>
      </c>
      <c r="I154">
        <v>39.29</v>
      </c>
      <c r="J154">
        <v>26.52</v>
      </c>
      <c r="K154">
        <v>26.03</v>
      </c>
      <c r="L154">
        <v>23.59</v>
      </c>
      <c r="M154">
        <v>30.81</v>
      </c>
      <c r="N154">
        <v>38.43</v>
      </c>
      <c r="O154">
        <v>33.58</v>
      </c>
      <c r="P154">
        <v>30.14</v>
      </c>
      <c r="Q154">
        <v>27.38</v>
      </c>
      <c r="R154">
        <v>24.49</v>
      </c>
      <c r="S154">
        <v>22.99</v>
      </c>
      <c r="T154">
        <v>22.03</v>
      </c>
      <c r="U154">
        <v>24.06</v>
      </c>
    </row>
    <row r="155" spans="1:21" x14ac:dyDescent="0.25">
      <c r="A155" t="s">
        <v>179</v>
      </c>
      <c r="B155">
        <v>4.51</v>
      </c>
      <c r="C155">
        <v>8.4700000000000006</v>
      </c>
      <c r="D155">
        <v>9.23</v>
      </c>
      <c r="E155">
        <v>8.67</v>
      </c>
      <c r="F155">
        <v>10.49</v>
      </c>
      <c r="G155">
        <v>9.73</v>
      </c>
      <c r="H155">
        <v>6.8</v>
      </c>
      <c r="I155">
        <v>10.4</v>
      </c>
      <c r="J155">
        <v>8.52</v>
      </c>
      <c r="K155">
        <v>8.7100000000000009</v>
      </c>
      <c r="L155">
        <v>8.09</v>
      </c>
      <c r="M155">
        <v>10.92</v>
      </c>
      <c r="N155">
        <v>13.43</v>
      </c>
      <c r="O155">
        <v>11.96</v>
      </c>
      <c r="P155">
        <v>11.39</v>
      </c>
      <c r="Q155">
        <v>11.13</v>
      </c>
      <c r="R155">
        <v>10.49</v>
      </c>
      <c r="S155">
        <v>10.19</v>
      </c>
      <c r="T155">
        <v>9.89</v>
      </c>
      <c r="U155">
        <v>10.77</v>
      </c>
    </row>
    <row r="156" spans="1:21" x14ac:dyDescent="0.25">
      <c r="A156" t="s">
        <v>611</v>
      </c>
      <c r="B156">
        <v>1.42</v>
      </c>
      <c r="C156">
        <v>1.73</v>
      </c>
      <c r="D156">
        <v>2.11</v>
      </c>
      <c r="E156">
        <v>2.27</v>
      </c>
      <c r="F156">
        <v>2.02</v>
      </c>
      <c r="G156">
        <v>2.84</v>
      </c>
      <c r="H156">
        <v>1.02</v>
      </c>
      <c r="I156">
        <v>0.85</v>
      </c>
      <c r="J156">
        <v>1.29</v>
      </c>
      <c r="K156">
        <v>0.92</v>
      </c>
      <c r="L156">
        <v>1.61</v>
      </c>
      <c r="M156">
        <v>1.46</v>
      </c>
      <c r="N156">
        <v>2.7</v>
      </c>
      <c r="O156">
        <v>2.68</v>
      </c>
      <c r="P156">
        <v>2.66</v>
      </c>
      <c r="Q156">
        <v>2.64</v>
      </c>
      <c r="R156">
        <v>2.7</v>
      </c>
      <c r="S156">
        <v>2.7</v>
      </c>
      <c r="T156">
        <v>2.7</v>
      </c>
      <c r="U156">
        <v>2.7</v>
      </c>
    </row>
    <row r="157" spans="1:21" x14ac:dyDescent="0.25">
      <c r="A157" t="s">
        <v>327</v>
      </c>
      <c r="B157">
        <v>2.14</v>
      </c>
      <c r="C157">
        <v>2.34</v>
      </c>
      <c r="D157">
        <v>2.57</v>
      </c>
      <c r="E157">
        <v>2.82</v>
      </c>
      <c r="F157">
        <v>3.09</v>
      </c>
      <c r="G157">
        <v>3.2</v>
      </c>
      <c r="H157">
        <v>2.56</v>
      </c>
      <c r="I157">
        <v>2.34</v>
      </c>
      <c r="J157">
        <v>2.13</v>
      </c>
      <c r="K157">
        <v>2.14</v>
      </c>
      <c r="L157">
        <v>2.14</v>
      </c>
      <c r="M157">
        <v>2.2200000000000002</v>
      </c>
      <c r="N157">
        <v>2.2599999999999998</v>
      </c>
      <c r="O157">
        <v>2.19</v>
      </c>
      <c r="P157">
        <v>2.14</v>
      </c>
      <c r="Q157">
        <v>2.12</v>
      </c>
      <c r="R157">
        <v>2.02</v>
      </c>
      <c r="S157">
        <v>1.98</v>
      </c>
      <c r="T157">
        <v>1.93</v>
      </c>
      <c r="U157">
        <v>2.0099999999999998</v>
      </c>
    </row>
    <row r="158" spans="1:21" x14ac:dyDescent="0.25">
      <c r="A158" t="s">
        <v>424</v>
      </c>
      <c r="B158">
        <v>3.68</v>
      </c>
      <c r="C158">
        <v>4.4400000000000004</v>
      </c>
      <c r="D158">
        <v>5.28</v>
      </c>
      <c r="E158">
        <v>4.5</v>
      </c>
      <c r="F158">
        <v>4.72</v>
      </c>
      <c r="G158">
        <v>4.54</v>
      </c>
      <c r="H158">
        <v>4.8600000000000003</v>
      </c>
      <c r="I158">
        <v>7.45</v>
      </c>
      <c r="J158">
        <v>8.27</v>
      </c>
      <c r="K158">
        <v>9.59</v>
      </c>
      <c r="L158">
        <v>11.11</v>
      </c>
      <c r="M158">
        <v>13.04</v>
      </c>
      <c r="N158">
        <v>14.21</v>
      </c>
      <c r="O158">
        <v>17.399999999999999</v>
      </c>
      <c r="P158">
        <v>20.81</v>
      </c>
      <c r="Q158">
        <v>24.97</v>
      </c>
      <c r="R158">
        <v>31.57</v>
      </c>
      <c r="S158">
        <v>36.840000000000003</v>
      </c>
      <c r="T158">
        <v>41.31</v>
      </c>
      <c r="U158">
        <v>42.2</v>
      </c>
    </row>
    <row r="159" spans="1:21" x14ac:dyDescent="0.25">
      <c r="A159" t="s">
        <v>185</v>
      </c>
      <c r="D159">
        <v>1.07</v>
      </c>
      <c r="E159">
        <v>13.24</v>
      </c>
      <c r="F159">
        <v>9.6999999999999993</v>
      </c>
      <c r="G159">
        <v>11.1</v>
      </c>
      <c r="H159">
        <v>7.95</v>
      </c>
      <c r="I159">
        <v>0</v>
      </c>
      <c r="J159">
        <v>7.42</v>
      </c>
      <c r="K159">
        <v>6.9</v>
      </c>
      <c r="L159">
        <v>5.86</v>
      </c>
      <c r="M159">
        <v>2.66</v>
      </c>
      <c r="N159">
        <v>3.96</v>
      </c>
      <c r="O159">
        <v>4.38</v>
      </c>
      <c r="P159">
        <v>4.93</v>
      </c>
      <c r="Q159">
        <v>4.74</v>
      </c>
    </row>
    <row r="160" spans="1:21" x14ac:dyDescent="0.25">
      <c r="A160" t="s">
        <v>2012</v>
      </c>
      <c r="D160">
        <v>24.31</v>
      </c>
      <c r="E160">
        <v>22.22</v>
      </c>
      <c r="F160">
        <v>21.6</v>
      </c>
      <c r="G160">
        <v>23.28</v>
      </c>
      <c r="H160">
        <v>22.18</v>
      </c>
      <c r="J160">
        <v>25.4</v>
      </c>
      <c r="K160">
        <v>28.99</v>
      </c>
      <c r="L160">
        <v>35</v>
      </c>
      <c r="M160">
        <v>90.57</v>
      </c>
      <c r="N160">
        <v>120.39</v>
      </c>
      <c r="O160">
        <v>79.33</v>
      </c>
      <c r="P160">
        <v>94.88</v>
      </c>
      <c r="Q160">
        <v>107.15</v>
      </c>
      <c r="R160">
        <v>126.53</v>
      </c>
      <c r="S160">
        <v>131.25</v>
      </c>
      <c r="T160">
        <v>134.53</v>
      </c>
      <c r="U160">
        <v>137.9</v>
      </c>
    </row>
    <row r="161" spans="1:21" x14ac:dyDescent="0.25">
      <c r="A161" t="s">
        <v>2013</v>
      </c>
      <c r="B161">
        <v>430.81</v>
      </c>
      <c r="C161">
        <v>407.06</v>
      </c>
      <c r="D161">
        <v>290.47000000000003</v>
      </c>
      <c r="E161">
        <v>384.74</v>
      </c>
      <c r="F161">
        <v>482.73</v>
      </c>
      <c r="G161">
        <v>580.07000000000005</v>
      </c>
      <c r="H161" s="2">
        <v>1735.25</v>
      </c>
      <c r="I161" s="2">
        <v>1466.69</v>
      </c>
      <c r="J161" s="2">
        <v>1508.4</v>
      </c>
      <c r="K161" s="2">
        <v>1540.67</v>
      </c>
      <c r="L161" s="2">
        <v>1660.66</v>
      </c>
      <c r="M161" s="2">
        <v>1679.24</v>
      </c>
      <c r="N161" s="2">
        <v>1943.34</v>
      </c>
    </row>
    <row r="162" spans="1:21" x14ac:dyDescent="0.25">
      <c r="A162" t="s">
        <v>184</v>
      </c>
      <c r="D162">
        <v>25.97</v>
      </c>
      <c r="E162">
        <v>294.27</v>
      </c>
      <c r="F162">
        <v>209.45</v>
      </c>
      <c r="G162">
        <v>258.31</v>
      </c>
      <c r="H162">
        <v>176.31</v>
      </c>
      <c r="I162">
        <v>0</v>
      </c>
      <c r="J162">
        <v>188.34</v>
      </c>
      <c r="K162">
        <v>199.98</v>
      </c>
      <c r="L162">
        <v>205.26</v>
      </c>
      <c r="M162">
        <v>240.56</v>
      </c>
      <c r="N162">
        <v>476.2</v>
      </c>
    </row>
    <row r="163" spans="1:21" x14ac:dyDescent="0.25">
      <c r="A163" t="s">
        <v>188</v>
      </c>
    </row>
    <row r="164" spans="1:21" x14ac:dyDescent="0.25">
      <c r="A164" t="s">
        <v>189</v>
      </c>
    </row>
    <row r="165" spans="1:21" x14ac:dyDescent="0.25">
      <c r="A165" t="s">
        <v>121</v>
      </c>
      <c r="B165">
        <v>51.33</v>
      </c>
      <c r="C165">
        <v>107.69</v>
      </c>
      <c r="D165">
        <v>128.99</v>
      </c>
      <c r="E165">
        <v>124.31</v>
      </c>
      <c r="F165">
        <v>158.44</v>
      </c>
      <c r="G165">
        <v>158.54</v>
      </c>
      <c r="H165">
        <v>149.63</v>
      </c>
      <c r="I165">
        <v>287.45</v>
      </c>
      <c r="J165">
        <v>244.16</v>
      </c>
      <c r="K165">
        <v>261.16000000000003</v>
      </c>
      <c r="L165">
        <v>258.86</v>
      </c>
      <c r="M165">
        <v>380.6</v>
      </c>
      <c r="N165">
        <v>523.66999999999996</v>
      </c>
      <c r="O165">
        <v>523.75</v>
      </c>
      <c r="P165">
        <v>543.13</v>
      </c>
      <c r="Q165">
        <v>574</v>
      </c>
      <c r="R165">
        <v>642.6</v>
      </c>
      <c r="S165">
        <v>689.75</v>
      </c>
      <c r="T165">
        <v>781</v>
      </c>
      <c r="U165">
        <v>843.5</v>
      </c>
    </row>
    <row r="166" spans="1:21" x14ac:dyDescent="0.25">
      <c r="A166" t="s">
        <v>190</v>
      </c>
      <c r="B166">
        <v>47.22</v>
      </c>
      <c r="C166">
        <v>60.36</v>
      </c>
      <c r="D166">
        <v>69.17</v>
      </c>
      <c r="E166">
        <v>80.72</v>
      </c>
      <c r="F166">
        <v>96.99</v>
      </c>
      <c r="G166">
        <v>110.75</v>
      </c>
      <c r="H166">
        <v>122.8</v>
      </c>
      <c r="I166">
        <v>126.51</v>
      </c>
      <c r="J166">
        <v>125.54</v>
      </c>
      <c r="K166">
        <v>127.07</v>
      </c>
      <c r="L166">
        <v>137.81</v>
      </c>
      <c r="M166">
        <v>140.16</v>
      </c>
      <c r="N166">
        <v>157.72</v>
      </c>
      <c r="O166">
        <v>175.06</v>
      </c>
      <c r="P166">
        <v>197.45</v>
      </c>
      <c r="Q166">
        <v>218.24</v>
      </c>
      <c r="R166">
        <v>240.46</v>
      </c>
      <c r="S166">
        <v>265.42</v>
      </c>
      <c r="T166">
        <v>299.11</v>
      </c>
      <c r="U166">
        <v>319.57</v>
      </c>
    </row>
    <row r="167" spans="1:21" x14ac:dyDescent="0.25">
      <c r="A167" t="s">
        <v>2014</v>
      </c>
      <c r="H167">
        <v>81.84</v>
      </c>
      <c r="I167">
        <v>99.28</v>
      </c>
      <c r="J167">
        <v>108.52</v>
      </c>
      <c r="K167">
        <v>117.32</v>
      </c>
      <c r="L167">
        <v>127.21</v>
      </c>
      <c r="M167">
        <v>133.91999999999999</v>
      </c>
      <c r="N167">
        <v>146.6</v>
      </c>
      <c r="O167">
        <v>131.79</v>
      </c>
      <c r="P167">
        <v>166.2</v>
      </c>
      <c r="Q167">
        <v>173.63</v>
      </c>
      <c r="R167">
        <v>196.73</v>
      </c>
      <c r="S167">
        <v>198.49</v>
      </c>
      <c r="T167">
        <v>202.62</v>
      </c>
      <c r="U167">
        <v>202.96</v>
      </c>
    </row>
    <row r="168" spans="1:21" x14ac:dyDescent="0.25">
      <c r="A168" t="s">
        <v>67</v>
      </c>
      <c r="B168">
        <v>-12.05</v>
      </c>
      <c r="C168">
        <v>5.36</v>
      </c>
      <c r="D168">
        <v>8.02</v>
      </c>
      <c r="E168">
        <v>13.4</v>
      </c>
      <c r="F168">
        <v>14.22</v>
      </c>
      <c r="G168">
        <v>14.51</v>
      </c>
      <c r="H168">
        <v>8.9499999999999993</v>
      </c>
      <c r="I168">
        <v>14.34</v>
      </c>
      <c r="J168">
        <v>15.88</v>
      </c>
      <c r="K168">
        <v>16.600000000000001</v>
      </c>
      <c r="L168">
        <v>18.899999999999999</v>
      </c>
      <c r="M168">
        <v>28.42</v>
      </c>
      <c r="N168">
        <v>31.1</v>
      </c>
      <c r="O168">
        <v>32.369999999999997</v>
      </c>
      <c r="P168">
        <v>33.770000000000003</v>
      </c>
      <c r="Q168">
        <v>35.39</v>
      </c>
      <c r="R168">
        <v>35.75</v>
      </c>
      <c r="S168">
        <v>34.69</v>
      </c>
      <c r="T168">
        <v>28.57</v>
      </c>
      <c r="U168">
        <v>29.13</v>
      </c>
    </row>
    <row r="169" spans="1:21" x14ac:dyDescent="0.25">
      <c r="A169" t="s">
        <v>546</v>
      </c>
      <c r="B169">
        <v>25.18</v>
      </c>
      <c r="C169">
        <v>16.43</v>
      </c>
      <c r="D169">
        <v>15.58</v>
      </c>
      <c r="E169">
        <v>20.66</v>
      </c>
      <c r="F169">
        <v>7.8</v>
      </c>
      <c r="G169">
        <v>23.33</v>
      </c>
      <c r="H169">
        <v>-0.22</v>
      </c>
      <c r="I169">
        <v>3.72</v>
      </c>
      <c r="J169">
        <v>-0.18</v>
      </c>
      <c r="K169">
        <v>3.23</v>
      </c>
      <c r="L169">
        <v>-4.92</v>
      </c>
      <c r="M169">
        <v>10.69</v>
      </c>
      <c r="N169">
        <v>7.42</v>
      </c>
      <c r="O169">
        <v>7.9</v>
      </c>
      <c r="P169">
        <v>10.47</v>
      </c>
      <c r="Q169">
        <v>11.52</v>
      </c>
      <c r="R169">
        <v>6.32</v>
      </c>
      <c r="S169">
        <v>2.72</v>
      </c>
      <c r="T169">
        <v>2.8</v>
      </c>
      <c r="U169">
        <v>2.88</v>
      </c>
    </row>
    <row r="170" spans="1:21" x14ac:dyDescent="0.25">
      <c r="A170" t="s">
        <v>338</v>
      </c>
    </row>
    <row r="171" spans="1:21" x14ac:dyDescent="0.25">
      <c r="A171" t="s">
        <v>141</v>
      </c>
      <c r="B171">
        <v>-1.52</v>
      </c>
      <c r="C171">
        <v>-4.42</v>
      </c>
      <c r="D171">
        <v>-5.62</v>
      </c>
      <c r="E171">
        <v>-4.8</v>
      </c>
      <c r="F171">
        <v>-4.92</v>
      </c>
      <c r="G171">
        <v>-7.67</v>
      </c>
      <c r="H171">
        <v>36.06</v>
      </c>
      <c r="I171">
        <v>25.98</v>
      </c>
      <c r="J171">
        <v>16.93</v>
      </c>
      <c r="K171">
        <v>13.38</v>
      </c>
      <c r="L171">
        <v>3.17</v>
      </c>
      <c r="M171">
        <v>30.01</v>
      </c>
      <c r="N171">
        <v>27.22</v>
      </c>
      <c r="O171">
        <v>3.37</v>
      </c>
      <c r="P171">
        <v>-0.42</v>
      </c>
      <c r="Q171">
        <v>-2.94</v>
      </c>
      <c r="R171">
        <v>-0.71</v>
      </c>
      <c r="S171">
        <v>-8.24</v>
      </c>
      <c r="T171">
        <v>-6.62</v>
      </c>
      <c r="U171">
        <v>-7</v>
      </c>
    </row>
    <row r="172" spans="1:21" x14ac:dyDescent="0.25">
      <c r="A172" t="s">
        <v>2015</v>
      </c>
      <c r="B172">
        <v>2.64</v>
      </c>
      <c r="D172">
        <v>-12.04</v>
      </c>
      <c r="E172">
        <v>1.42</v>
      </c>
      <c r="F172">
        <v>-2.73</v>
      </c>
      <c r="G172">
        <v>-2.91</v>
      </c>
      <c r="H172">
        <v>19.21</v>
      </c>
      <c r="I172">
        <v>-14.97</v>
      </c>
      <c r="J172">
        <v>-5.88</v>
      </c>
      <c r="K172">
        <v>-18.47</v>
      </c>
      <c r="L172">
        <v>2.21</v>
      </c>
      <c r="M172">
        <v>11.9</v>
      </c>
      <c r="N172">
        <v>36.67</v>
      </c>
      <c r="O172">
        <v>-0.63</v>
      </c>
      <c r="P172">
        <v>0.3</v>
      </c>
      <c r="Q172">
        <v>-1.8</v>
      </c>
      <c r="R172">
        <v>-0.06</v>
      </c>
      <c r="S172">
        <v>-7.1</v>
      </c>
      <c r="T172">
        <v>-7.75</v>
      </c>
      <c r="U172">
        <v>-8.01</v>
      </c>
    </row>
    <row r="173" spans="1:21" x14ac:dyDescent="0.25">
      <c r="A173" t="s">
        <v>158</v>
      </c>
      <c r="B173">
        <v>32</v>
      </c>
      <c r="C173">
        <v>-4.72</v>
      </c>
      <c r="D173">
        <v>19.39</v>
      </c>
      <c r="E173">
        <v>16.02</v>
      </c>
      <c r="I173">
        <v>20.18</v>
      </c>
      <c r="J173">
        <v>4.5199999999999996</v>
      </c>
      <c r="K173">
        <v>13.36</v>
      </c>
      <c r="L173">
        <v>12.22</v>
      </c>
      <c r="M173">
        <v>27.99</v>
      </c>
      <c r="N173">
        <v>11.2</v>
      </c>
      <c r="O173">
        <v>15.68</v>
      </c>
      <c r="P173">
        <v>12.3</v>
      </c>
      <c r="Q173">
        <v>31.65</v>
      </c>
      <c r="R173">
        <v>29.29</v>
      </c>
      <c r="S173">
        <v>30.73</v>
      </c>
      <c r="T173">
        <v>37.020000000000003</v>
      </c>
      <c r="U173">
        <v>38.909999999999997</v>
      </c>
    </row>
    <row r="174" spans="1:21" x14ac:dyDescent="0.25">
      <c r="A174" t="s">
        <v>201</v>
      </c>
      <c r="B174">
        <v>5.4</v>
      </c>
      <c r="D174">
        <v>7.4</v>
      </c>
      <c r="E174">
        <v>22.12</v>
      </c>
      <c r="F174">
        <v>39.24</v>
      </c>
      <c r="G174">
        <v>4.37</v>
      </c>
      <c r="H174">
        <v>28.7</v>
      </c>
      <c r="I174">
        <v>2.29</v>
      </c>
      <c r="J174">
        <v>0.61</v>
      </c>
      <c r="K174">
        <v>5.42</v>
      </c>
      <c r="L174">
        <v>11.75</v>
      </c>
      <c r="M174">
        <v>39.31</v>
      </c>
      <c r="N174">
        <v>25.25</v>
      </c>
      <c r="O174">
        <v>3.9</v>
      </c>
      <c r="P174">
        <v>21.89</v>
      </c>
      <c r="Q174">
        <v>27.95</v>
      </c>
      <c r="R174">
        <v>31.3</v>
      </c>
      <c r="S174">
        <v>32.85</v>
      </c>
      <c r="T174">
        <v>39.07</v>
      </c>
      <c r="U174">
        <v>40.369999999999997</v>
      </c>
    </row>
    <row r="175" spans="1:21" x14ac:dyDescent="0.25">
      <c r="A175" t="s">
        <v>340</v>
      </c>
      <c r="B175">
        <v>-19.88</v>
      </c>
      <c r="C175">
        <v>-24.54</v>
      </c>
      <c r="D175">
        <v>-22.64</v>
      </c>
      <c r="E175">
        <v>-39.03</v>
      </c>
      <c r="F175">
        <v>-25.08</v>
      </c>
      <c r="G175">
        <v>-34.82</v>
      </c>
      <c r="H175">
        <v>-11.61</v>
      </c>
      <c r="I175">
        <v>21.75</v>
      </c>
      <c r="J175">
        <v>-11.42</v>
      </c>
      <c r="K175">
        <v>-45.16</v>
      </c>
      <c r="L175">
        <v>-10.86</v>
      </c>
      <c r="M175">
        <v>-20.13</v>
      </c>
      <c r="N175">
        <v>-83.77</v>
      </c>
      <c r="O175">
        <v>-42.78</v>
      </c>
      <c r="P175">
        <v>-26.96</v>
      </c>
      <c r="Q175">
        <v>-38.94</v>
      </c>
      <c r="R175">
        <v>-48.12</v>
      </c>
      <c r="S175">
        <v>-49.98</v>
      </c>
      <c r="T175">
        <v>-53.86</v>
      </c>
      <c r="U175">
        <v>-56.63</v>
      </c>
    </row>
    <row r="176" spans="1:21" x14ac:dyDescent="0.25">
      <c r="A176" t="s">
        <v>2005</v>
      </c>
      <c r="B176">
        <v>0.89</v>
      </c>
      <c r="D176">
        <v>1.03</v>
      </c>
      <c r="E176">
        <v>2.14</v>
      </c>
      <c r="F176">
        <v>12.76</v>
      </c>
      <c r="G176">
        <v>3.04</v>
      </c>
      <c r="H176">
        <v>0.3</v>
      </c>
      <c r="I176">
        <v>28.12</v>
      </c>
      <c r="J176">
        <v>-17.95</v>
      </c>
      <c r="K176">
        <v>2.83</v>
      </c>
      <c r="L176">
        <v>12.88</v>
      </c>
      <c r="M176">
        <v>23.24</v>
      </c>
      <c r="N176">
        <v>-1.98</v>
      </c>
      <c r="O176">
        <v>3.57</v>
      </c>
      <c r="P176">
        <v>2.58</v>
      </c>
      <c r="Q176">
        <v>8.43</v>
      </c>
      <c r="R176">
        <v>8.2200000000000006</v>
      </c>
      <c r="S176">
        <v>8.6999999999999993</v>
      </c>
      <c r="T176">
        <v>8.57</v>
      </c>
      <c r="U176">
        <v>8.94</v>
      </c>
    </row>
    <row r="177" spans="1:21" x14ac:dyDescent="0.25">
      <c r="A177" t="s">
        <v>202</v>
      </c>
      <c r="H177">
        <v>-88</v>
      </c>
      <c r="I177">
        <v>-120.09</v>
      </c>
      <c r="J177">
        <v>-120.48</v>
      </c>
      <c r="K177">
        <v>-132.88999999999999</v>
      </c>
      <c r="L177">
        <v>-138.80000000000001</v>
      </c>
      <c r="M177">
        <v>-168.54</v>
      </c>
      <c r="N177">
        <v>-166.21</v>
      </c>
      <c r="O177">
        <v>-80.64</v>
      </c>
      <c r="P177">
        <v>-79.569999999999993</v>
      </c>
      <c r="Q177">
        <v>-81.38</v>
      </c>
      <c r="R177">
        <v>-61.99</v>
      </c>
      <c r="S177">
        <v>-56.39</v>
      </c>
      <c r="T177">
        <v>-167.24</v>
      </c>
      <c r="U177">
        <v>-167.24</v>
      </c>
    </row>
    <row r="178" spans="1:21" x14ac:dyDescent="0.25">
      <c r="A178" t="s">
        <v>514</v>
      </c>
      <c r="B178">
        <v>-4.1100000000000003</v>
      </c>
      <c r="D178">
        <v>-0.48</v>
      </c>
      <c r="E178">
        <v>13.02</v>
      </c>
      <c r="F178">
        <v>-0.11</v>
      </c>
      <c r="G178">
        <v>-5.09</v>
      </c>
      <c r="H178">
        <v>-1.28</v>
      </c>
      <c r="I178">
        <v>-5.46</v>
      </c>
      <c r="J178">
        <v>-1.78</v>
      </c>
      <c r="K178">
        <v>2.04</v>
      </c>
      <c r="L178">
        <v>3.48</v>
      </c>
      <c r="M178">
        <v>-0.05</v>
      </c>
      <c r="N178">
        <v>-5.43</v>
      </c>
      <c r="O178">
        <v>-1.91</v>
      </c>
      <c r="P178">
        <v>-2.02</v>
      </c>
      <c r="Q178">
        <v>-2.25</v>
      </c>
      <c r="R178">
        <v>-2.46</v>
      </c>
      <c r="S178">
        <v>-2.56</v>
      </c>
      <c r="T178">
        <v>-2.66</v>
      </c>
      <c r="U178">
        <v>-2.75</v>
      </c>
    </row>
    <row r="179" spans="1:21" x14ac:dyDescent="0.25">
      <c r="A179" t="s">
        <v>709</v>
      </c>
      <c r="B179">
        <v>11.75</v>
      </c>
      <c r="D179">
        <v>23.03</v>
      </c>
      <c r="E179">
        <v>19.489999999999998</v>
      </c>
      <c r="F179">
        <v>10.87</v>
      </c>
      <c r="G179">
        <v>24.73</v>
      </c>
      <c r="H179">
        <v>0.57999999999999996</v>
      </c>
      <c r="I179">
        <v>1.58</v>
      </c>
      <c r="J179">
        <v>0.4</v>
      </c>
      <c r="K179">
        <v>-3.3</v>
      </c>
      <c r="L179">
        <v>-0.48</v>
      </c>
      <c r="M179">
        <v>1.68</v>
      </c>
      <c r="N179">
        <v>1.81</v>
      </c>
      <c r="O179">
        <v>6.54</v>
      </c>
      <c r="P179">
        <v>8.1199999999999992</v>
      </c>
      <c r="Q179">
        <v>9.7100000000000009</v>
      </c>
      <c r="R179">
        <v>10.01</v>
      </c>
      <c r="S179">
        <v>10.41</v>
      </c>
      <c r="T179">
        <v>10.83</v>
      </c>
      <c r="U179">
        <v>11.25</v>
      </c>
    </row>
    <row r="180" spans="1:21" x14ac:dyDescent="0.25">
      <c r="A180" t="s">
        <v>204</v>
      </c>
      <c r="B180">
        <v>160.59</v>
      </c>
      <c r="D180">
        <v>239.9</v>
      </c>
      <c r="E180">
        <v>254.35</v>
      </c>
      <c r="F180">
        <v>309.57</v>
      </c>
      <c r="G180">
        <v>294.38</v>
      </c>
      <c r="H180">
        <v>355.21</v>
      </c>
      <c r="I180">
        <v>494.04</v>
      </c>
      <c r="J180">
        <v>364.8</v>
      </c>
      <c r="K180">
        <v>371.33</v>
      </c>
      <c r="L180">
        <v>465.07</v>
      </c>
      <c r="M180">
        <v>645.21</v>
      </c>
      <c r="N180">
        <v>716</v>
      </c>
      <c r="O180">
        <v>706.05</v>
      </c>
      <c r="P180">
        <v>781.54</v>
      </c>
      <c r="Q180">
        <v>859.74</v>
      </c>
      <c r="R180">
        <v>991.39</v>
      </c>
      <c r="S180" s="2">
        <v>1086.9000000000001</v>
      </c>
      <c r="T180" s="2">
        <v>1061.57</v>
      </c>
      <c r="U180" s="2">
        <v>1152.8800000000001</v>
      </c>
    </row>
    <row r="181" spans="1:21" x14ac:dyDescent="0.25">
      <c r="A181" t="s">
        <v>17</v>
      </c>
    </row>
    <row r="182" spans="1:21" x14ac:dyDescent="0.25">
      <c r="A182" t="s">
        <v>205</v>
      </c>
    </row>
    <row r="183" spans="1:21" x14ac:dyDescent="0.25">
      <c r="A183" t="s">
        <v>206</v>
      </c>
      <c r="B183">
        <v>-87.46</v>
      </c>
      <c r="C183">
        <v>-127.07</v>
      </c>
      <c r="D183">
        <v>-125.31</v>
      </c>
      <c r="E183">
        <v>-181.02</v>
      </c>
      <c r="F183">
        <v>-198.62</v>
      </c>
      <c r="G183">
        <v>-177.08</v>
      </c>
      <c r="H183">
        <v>-183.23</v>
      </c>
      <c r="I183">
        <v>-121.97</v>
      </c>
      <c r="J183">
        <v>-102.38</v>
      </c>
      <c r="K183">
        <v>-124.01</v>
      </c>
      <c r="L183">
        <v>-225.31</v>
      </c>
      <c r="M183">
        <v>-230.38</v>
      </c>
      <c r="N183">
        <v>-248.27</v>
      </c>
      <c r="O183">
        <v>-315.8</v>
      </c>
      <c r="P183">
        <v>-328.57</v>
      </c>
      <c r="Q183">
        <v>-341.92</v>
      </c>
      <c r="R183">
        <v>-351.6</v>
      </c>
      <c r="S183">
        <v>-372</v>
      </c>
      <c r="T183">
        <v>-385.67</v>
      </c>
      <c r="U183">
        <v>-463</v>
      </c>
    </row>
    <row r="184" spans="1:21" x14ac:dyDescent="0.25">
      <c r="A184" t="s">
        <v>61</v>
      </c>
      <c r="B184">
        <v>3.59</v>
      </c>
      <c r="C184">
        <v>4.28</v>
      </c>
      <c r="D184">
        <v>3.49</v>
      </c>
      <c r="E184">
        <v>4.47</v>
      </c>
      <c r="F184">
        <v>4.26</v>
      </c>
      <c r="G184">
        <v>3.4</v>
      </c>
      <c r="H184">
        <v>3.25</v>
      </c>
      <c r="I184">
        <v>1.89</v>
      </c>
      <c r="J184">
        <v>1.68</v>
      </c>
      <c r="K184">
        <v>1.94</v>
      </c>
      <c r="L184">
        <v>3.3</v>
      </c>
      <c r="M184">
        <v>2.98</v>
      </c>
      <c r="N184">
        <v>2.82</v>
      </c>
      <c r="O184">
        <v>3.31</v>
      </c>
      <c r="P184">
        <v>3.19</v>
      </c>
      <c r="Q184">
        <v>3.01</v>
      </c>
      <c r="R184">
        <v>2.86</v>
      </c>
      <c r="S184">
        <v>2.81</v>
      </c>
      <c r="T184">
        <v>2.62</v>
      </c>
      <c r="U184">
        <v>2.95</v>
      </c>
    </row>
    <row r="185" spans="1:21" x14ac:dyDescent="0.25">
      <c r="A185" t="s">
        <v>213</v>
      </c>
      <c r="B185">
        <v>-86.29</v>
      </c>
      <c r="D185">
        <v>-128.31</v>
      </c>
      <c r="E185">
        <v>-180.8</v>
      </c>
      <c r="F185">
        <v>-198.59</v>
      </c>
      <c r="G185">
        <v>-177.08</v>
      </c>
      <c r="H185">
        <v>-183.23</v>
      </c>
      <c r="I185">
        <v>-121.97</v>
      </c>
      <c r="J185">
        <v>-102.38</v>
      </c>
      <c r="K185">
        <v>-124.01</v>
      </c>
      <c r="L185">
        <v>-238.34</v>
      </c>
      <c r="M185">
        <v>-230.38</v>
      </c>
      <c r="N185">
        <v>-248.27</v>
      </c>
      <c r="O185">
        <v>-314.58</v>
      </c>
      <c r="P185">
        <v>-328.03</v>
      </c>
      <c r="Q185">
        <v>-340.66</v>
      </c>
      <c r="R185">
        <v>-356.13</v>
      </c>
      <c r="S185">
        <v>-385.74</v>
      </c>
      <c r="T185">
        <v>-406.52</v>
      </c>
      <c r="U185">
        <v>-439.96</v>
      </c>
    </row>
    <row r="186" spans="1:21" x14ac:dyDescent="0.25">
      <c r="A186" t="s">
        <v>17</v>
      </c>
    </row>
    <row r="187" spans="1:21" x14ac:dyDescent="0.25">
      <c r="A187" t="s">
        <v>214</v>
      </c>
    </row>
    <row r="188" spans="1:21" x14ac:dyDescent="0.25">
      <c r="A188" t="s">
        <v>2016</v>
      </c>
      <c r="D188">
        <v>260</v>
      </c>
      <c r="E188">
        <v>105</v>
      </c>
      <c r="F188">
        <v>153</v>
      </c>
      <c r="G188">
        <v>233</v>
      </c>
      <c r="H188">
        <v>265.41000000000003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21" x14ac:dyDescent="0.25">
      <c r="A189" t="s">
        <v>2017</v>
      </c>
      <c r="D189">
        <v>-100</v>
      </c>
      <c r="E189">
        <v>-10</v>
      </c>
      <c r="F189">
        <v>-60</v>
      </c>
      <c r="G189">
        <v>-128</v>
      </c>
      <c r="H189">
        <v>-180.41</v>
      </c>
      <c r="I189">
        <v>-288</v>
      </c>
      <c r="J189">
        <v>0</v>
      </c>
      <c r="K189">
        <v>-3.37</v>
      </c>
      <c r="L189">
        <v>0</v>
      </c>
      <c r="M189">
        <v>0</v>
      </c>
      <c r="N189">
        <v>0</v>
      </c>
      <c r="O189">
        <v>-0.38</v>
      </c>
      <c r="P189">
        <v>-0.4</v>
      </c>
      <c r="Q189">
        <v>0</v>
      </c>
      <c r="R189">
        <v>0</v>
      </c>
    </row>
    <row r="190" spans="1:21" x14ac:dyDescent="0.25">
      <c r="A190" t="s">
        <v>2018</v>
      </c>
      <c r="H190">
        <v>0.69</v>
      </c>
      <c r="I190">
        <v>0.75</v>
      </c>
      <c r="J190">
        <v>0.69</v>
      </c>
      <c r="K190">
        <v>0.82</v>
      </c>
      <c r="L190">
        <v>1.01</v>
      </c>
      <c r="M190">
        <v>1.1499999999999999</v>
      </c>
      <c r="N190">
        <v>0</v>
      </c>
      <c r="O190">
        <v>0.25</v>
      </c>
      <c r="P190">
        <v>-65.83</v>
      </c>
      <c r="Q190">
        <v>-68.900000000000006</v>
      </c>
      <c r="R190">
        <v>-71.959999999999994</v>
      </c>
      <c r="S190">
        <v>-143.91999999999999</v>
      </c>
      <c r="T190">
        <v>-143.91999999999999</v>
      </c>
      <c r="U190">
        <v>-143.91999999999999</v>
      </c>
    </row>
    <row r="191" spans="1:21" x14ac:dyDescent="0.25">
      <c r="A191" t="s">
        <v>1155</v>
      </c>
      <c r="B191">
        <v>370.07</v>
      </c>
      <c r="C191">
        <v>58.33</v>
      </c>
      <c r="D191">
        <v>0.84</v>
      </c>
      <c r="E191">
        <v>-287.79000000000002</v>
      </c>
      <c r="F191">
        <v>-194.09</v>
      </c>
      <c r="G191">
        <v>-236.46</v>
      </c>
      <c r="H191">
        <v>-171.43</v>
      </c>
      <c r="I191">
        <v>1.34</v>
      </c>
      <c r="J191">
        <v>-186.17</v>
      </c>
      <c r="K191">
        <v>-194.94</v>
      </c>
      <c r="L191">
        <v>-192.04</v>
      </c>
      <c r="M191">
        <v>-223.58</v>
      </c>
      <c r="N191">
        <v>-469.32</v>
      </c>
      <c r="O191">
        <v>-342.72</v>
      </c>
      <c r="P191">
        <v>-377.89</v>
      </c>
      <c r="Q191">
        <v>-380.39</v>
      </c>
      <c r="R191">
        <v>-300</v>
      </c>
      <c r="S191">
        <v>-400</v>
      </c>
    </row>
    <row r="192" spans="1:21" x14ac:dyDescent="0.25">
      <c r="A192" t="s">
        <v>1346</v>
      </c>
      <c r="B192">
        <v>370.18</v>
      </c>
      <c r="C192">
        <v>58.33</v>
      </c>
      <c r="D192">
        <v>26.57</v>
      </c>
      <c r="E192">
        <v>6.48</v>
      </c>
      <c r="F192">
        <v>9.3000000000000007</v>
      </c>
      <c r="G192">
        <v>21.84</v>
      </c>
      <c r="H192">
        <v>4.88</v>
      </c>
      <c r="I192">
        <v>1.34</v>
      </c>
      <c r="J192">
        <v>2.17</v>
      </c>
      <c r="K192">
        <v>5.04</v>
      </c>
      <c r="L192">
        <v>11.45</v>
      </c>
      <c r="M192">
        <v>4.8899999999999997</v>
      </c>
      <c r="N192">
        <v>2.61</v>
      </c>
      <c r="O192">
        <v>0.65</v>
      </c>
      <c r="P192">
        <v>1.4</v>
      </c>
      <c r="Q192">
        <v>1.4</v>
      </c>
      <c r="R192">
        <v>5</v>
      </c>
    </row>
    <row r="193" spans="1:21" x14ac:dyDescent="0.25">
      <c r="A193" t="s">
        <v>2019</v>
      </c>
      <c r="B193">
        <v>-0.11</v>
      </c>
      <c r="C193">
        <v>0</v>
      </c>
      <c r="D193">
        <v>-25.74</v>
      </c>
      <c r="E193">
        <v>-294.27</v>
      </c>
      <c r="F193">
        <v>-203.39</v>
      </c>
      <c r="G193">
        <v>-258.31</v>
      </c>
      <c r="H193">
        <v>-176.31</v>
      </c>
      <c r="I193">
        <v>0</v>
      </c>
      <c r="J193">
        <v>-188.34</v>
      </c>
      <c r="K193">
        <v>-199.98</v>
      </c>
      <c r="L193">
        <v>-203.5</v>
      </c>
      <c r="M193">
        <v>-228.47</v>
      </c>
      <c r="N193">
        <v>-471.93</v>
      </c>
      <c r="O193">
        <v>-336.21</v>
      </c>
      <c r="P193">
        <v>-379.25</v>
      </c>
      <c r="Q193">
        <v>-384.76</v>
      </c>
      <c r="R193">
        <v>-378.62</v>
      </c>
      <c r="S193">
        <v>-358.95</v>
      </c>
      <c r="T193">
        <v>-368.8</v>
      </c>
      <c r="U193">
        <v>-375.36</v>
      </c>
    </row>
    <row r="194" spans="1:21" x14ac:dyDescent="0.25">
      <c r="A194" t="s">
        <v>766</v>
      </c>
      <c r="B194">
        <v>370.07</v>
      </c>
      <c r="C194">
        <v>58.33</v>
      </c>
      <c r="D194">
        <v>0.84</v>
      </c>
      <c r="E194">
        <v>-287.79000000000002</v>
      </c>
      <c r="F194">
        <v>-194.09</v>
      </c>
      <c r="G194">
        <v>-236.46</v>
      </c>
      <c r="H194">
        <v>-171.43</v>
      </c>
      <c r="I194">
        <v>1.34</v>
      </c>
      <c r="J194">
        <v>-186.17</v>
      </c>
      <c r="K194">
        <v>-194.94</v>
      </c>
      <c r="L194">
        <v>-192.04</v>
      </c>
      <c r="M194">
        <v>-223.58</v>
      </c>
      <c r="N194">
        <v>-469.32</v>
      </c>
      <c r="O194">
        <v>-320</v>
      </c>
      <c r="P194">
        <v>-300</v>
      </c>
      <c r="Q194">
        <v>-300</v>
      </c>
      <c r="R194">
        <v>-300</v>
      </c>
      <c r="S194">
        <v>-300</v>
      </c>
      <c r="T194">
        <v>-300</v>
      </c>
      <c r="U194">
        <v>-300</v>
      </c>
    </row>
    <row r="195" spans="1:21" x14ac:dyDescent="0.25">
      <c r="A195" t="s">
        <v>218</v>
      </c>
      <c r="B195">
        <v>-63.86</v>
      </c>
      <c r="D195">
        <v>-106.03</v>
      </c>
      <c r="E195">
        <v>-197.15</v>
      </c>
      <c r="F195">
        <v>-103.96</v>
      </c>
      <c r="G195">
        <v>-134.53</v>
      </c>
      <c r="H195">
        <v>-87.44</v>
      </c>
      <c r="I195">
        <v>-287.41000000000003</v>
      </c>
      <c r="J195">
        <v>-186.86</v>
      </c>
      <c r="K195">
        <v>-199.13</v>
      </c>
      <c r="L195">
        <v>-318.05</v>
      </c>
      <c r="M195">
        <v>-351.5</v>
      </c>
      <c r="N195">
        <v>-474.05</v>
      </c>
      <c r="O195">
        <v>-353.32</v>
      </c>
      <c r="P195">
        <v>-358.64</v>
      </c>
      <c r="Q195">
        <v>-367.01</v>
      </c>
      <c r="R195">
        <v>-341.39</v>
      </c>
      <c r="S195">
        <v>-310.98</v>
      </c>
      <c r="T195">
        <v>-296.83999999999997</v>
      </c>
      <c r="U195">
        <v>-303.41000000000003</v>
      </c>
    </row>
    <row r="196" spans="1:21" x14ac:dyDescent="0.25">
      <c r="A196" t="s">
        <v>17</v>
      </c>
    </row>
    <row r="197" spans="1:21" x14ac:dyDescent="0.25">
      <c r="A197" t="s">
        <v>176</v>
      </c>
    </row>
    <row r="198" spans="1:21" x14ac:dyDescent="0.25">
      <c r="A198" t="s">
        <v>220</v>
      </c>
      <c r="B198">
        <v>10.44</v>
      </c>
      <c r="C198">
        <v>52.86</v>
      </c>
      <c r="D198">
        <v>5.56</v>
      </c>
      <c r="E198">
        <v>-123.6</v>
      </c>
      <c r="F198">
        <v>7.01</v>
      </c>
      <c r="G198">
        <v>-17.23</v>
      </c>
      <c r="H198">
        <v>84.54</v>
      </c>
      <c r="I198">
        <v>84.66</v>
      </c>
      <c r="J198">
        <v>75.56</v>
      </c>
      <c r="K198">
        <v>48.19</v>
      </c>
      <c r="L198">
        <v>-91.32</v>
      </c>
      <c r="M198">
        <v>63.34</v>
      </c>
      <c r="N198">
        <v>-6.32</v>
      </c>
      <c r="O198">
        <v>57.44</v>
      </c>
      <c r="P198">
        <v>103.2</v>
      </c>
      <c r="Q198">
        <v>168.37</v>
      </c>
      <c r="R198">
        <v>281.60000000000002</v>
      </c>
      <c r="S198">
        <v>365.62</v>
      </c>
      <c r="T198">
        <v>476.84</v>
      </c>
      <c r="U198">
        <v>386.56</v>
      </c>
    </row>
    <row r="199" spans="1:21" x14ac:dyDescent="0.25">
      <c r="A199" t="s">
        <v>221</v>
      </c>
      <c r="B199">
        <v>67.209999999999994</v>
      </c>
      <c r="D199">
        <v>130.51</v>
      </c>
      <c r="E199">
        <v>136.07</v>
      </c>
      <c r="F199">
        <v>12.47</v>
      </c>
      <c r="G199">
        <v>19.48</v>
      </c>
      <c r="H199">
        <v>2.25</v>
      </c>
      <c r="I199">
        <v>86.79</v>
      </c>
      <c r="J199">
        <v>171.44</v>
      </c>
      <c r="K199">
        <v>247</v>
      </c>
      <c r="L199">
        <v>295.19</v>
      </c>
      <c r="M199">
        <v>203.87</v>
      </c>
      <c r="N199">
        <v>267.20999999999998</v>
      </c>
      <c r="O199">
        <v>259.25</v>
      </c>
      <c r="P199">
        <v>311.93</v>
      </c>
      <c r="Q199">
        <v>445.21</v>
      </c>
      <c r="R199">
        <v>816.36</v>
      </c>
      <c r="S199" s="2">
        <v>1349.36</v>
      </c>
      <c r="T199" s="2">
        <v>1766.84</v>
      </c>
      <c r="U199" s="2">
        <v>1493.04</v>
      </c>
    </row>
    <row r="200" spans="1:21" x14ac:dyDescent="0.25">
      <c r="A200" t="s">
        <v>222</v>
      </c>
      <c r="B200">
        <v>77.650000000000006</v>
      </c>
      <c r="C200">
        <v>130.51</v>
      </c>
      <c r="D200">
        <v>136.07</v>
      </c>
      <c r="E200">
        <v>12.47</v>
      </c>
      <c r="F200">
        <v>19.48</v>
      </c>
      <c r="G200">
        <v>1.59</v>
      </c>
      <c r="H200">
        <v>85.31</v>
      </c>
      <c r="I200">
        <v>169.7</v>
      </c>
      <c r="J200">
        <v>245.29</v>
      </c>
      <c r="K200">
        <v>293.23</v>
      </c>
      <c r="L200">
        <v>201.79</v>
      </c>
      <c r="M200">
        <v>265.16000000000003</v>
      </c>
      <c r="N200">
        <v>257.27999999999997</v>
      </c>
      <c r="O200">
        <v>309.49</v>
      </c>
      <c r="P200">
        <v>398.6</v>
      </c>
      <c r="Q200">
        <v>589.73</v>
      </c>
      <c r="R200" s="2">
        <v>1114.49</v>
      </c>
      <c r="S200" s="2">
        <v>1670.41</v>
      </c>
      <c r="T200" s="2">
        <v>2243.6799999999998</v>
      </c>
      <c r="U200" s="2">
        <v>1879.6</v>
      </c>
    </row>
    <row r="201" spans="1:21" x14ac:dyDescent="0.25">
      <c r="A201" t="s">
        <v>178</v>
      </c>
    </row>
    <row r="202" spans="1:21" x14ac:dyDescent="0.25">
      <c r="A202" t="s">
        <v>225</v>
      </c>
      <c r="B202">
        <v>73.13</v>
      </c>
      <c r="C202">
        <v>54.15</v>
      </c>
      <c r="D202">
        <v>114.59</v>
      </c>
      <c r="E202">
        <v>73.33</v>
      </c>
      <c r="F202">
        <v>110.94</v>
      </c>
      <c r="G202">
        <v>117.3</v>
      </c>
      <c r="H202">
        <v>171.98</v>
      </c>
      <c r="I202">
        <v>372.07</v>
      </c>
      <c r="J202">
        <v>262.42</v>
      </c>
      <c r="K202">
        <v>247.32</v>
      </c>
      <c r="L202">
        <v>239.76</v>
      </c>
      <c r="M202">
        <v>414.84</v>
      </c>
      <c r="N202">
        <v>467.73</v>
      </c>
      <c r="O202">
        <v>417.46</v>
      </c>
      <c r="P202">
        <v>474.72</v>
      </c>
      <c r="Q202">
        <v>526.12</v>
      </c>
      <c r="R202">
        <v>626.71</v>
      </c>
      <c r="S202">
        <v>691.19</v>
      </c>
      <c r="T202">
        <v>633.12</v>
      </c>
      <c r="U202">
        <v>689.96</v>
      </c>
    </row>
    <row r="203" spans="1:21" x14ac:dyDescent="0.25">
      <c r="A203" t="s">
        <v>2020</v>
      </c>
      <c r="B203">
        <v>0.52</v>
      </c>
      <c r="C203">
        <v>0.35</v>
      </c>
      <c r="D203">
        <v>0.74</v>
      </c>
      <c r="E203">
        <v>0.49</v>
      </c>
      <c r="F203">
        <v>0.8</v>
      </c>
      <c r="G203">
        <v>0.9</v>
      </c>
      <c r="H203">
        <v>1.44</v>
      </c>
      <c r="I203">
        <v>3.15</v>
      </c>
      <c r="J203">
        <v>2.2599999999999998</v>
      </c>
      <c r="K203">
        <v>2.27</v>
      </c>
      <c r="L203">
        <v>2.3199999999999998</v>
      </c>
      <c r="M203">
        <v>4.09</v>
      </c>
      <c r="N203">
        <v>4.74</v>
      </c>
      <c r="O203">
        <v>4.3600000000000003</v>
      </c>
      <c r="P203">
        <v>4.58</v>
      </c>
      <c r="Q203">
        <v>5.37</v>
      </c>
      <c r="R203">
        <v>5.52</v>
      </c>
      <c r="S203">
        <v>6.25</v>
      </c>
      <c r="T203">
        <v>7.04</v>
      </c>
      <c r="U203">
        <v>7.85</v>
      </c>
    </row>
    <row r="204" spans="1:21" x14ac:dyDescent="0.25">
      <c r="A204" t="s">
        <v>17</v>
      </c>
    </row>
    <row r="205" spans="1:21" x14ac:dyDescent="0.25">
      <c r="A205" t="s">
        <v>231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7699-59CD-4A24-B523-B781560B1029}">
  <dimension ref="A1:U288"/>
  <sheetViews>
    <sheetView workbookViewId="0">
      <selection sqref="A1:U288"/>
    </sheetView>
  </sheetViews>
  <sheetFormatPr defaultRowHeight="15" x14ac:dyDescent="0.25"/>
  <sheetData>
    <row r="1" spans="1:21" x14ac:dyDescent="0.25">
      <c r="A1" t="s">
        <v>2021</v>
      </c>
    </row>
    <row r="2" spans="1:21" x14ac:dyDescent="0.25">
      <c r="A2" t="s">
        <v>2022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41790</v>
      </c>
      <c r="C4" s="1">
        <v>42155</v>
      </c>
      <c r="D4" s="1">
        <v>42521</v>
      </c>
      <c r="E4" s="1">
        <v>42886</v>
      </c>
      <c r="F4" s="1">
        <v>43251</v>
      </c>
      <c r="G4" s="1">
        <v>43616</v>
      </c>
      <c r="H4" s="1">
        <v>43982</v>
      </c>
      <c r="I4" s="1">
        <v>44347</v>
      </c>
      <c r="J4" s="1">
        <v>44712</v>
      </c>
      <c r="K4" s="1">
        <v>45077</v>
      </c>
      <c r="L4" s="1">
        <v>45443</v>
      </c>
      <c r="M4" s="1">
        <v>45808</v>
      </c>
      <c r="N4" s="1">
        <v>46173</v>
      </c>
      <c r="O4" s="1">
        <v>46538</v>
      </c>
      <c r="P4" s="1">
        <v>46904</v>
      </c>
      <c r="Q4" s="1">
        <v>47269</v>
      </c>
      <c r="R4" s="1">
        <v>47634</v>
      </c>
      <c r="S4" s="1">
        <v>47999</v>
      </c>
      <c r="T4" s="1">
        <v>48365</v>
      </c>
      <c r="U4" s="1">
        <v>48730</v>
      </c>
    </row>
    <row r="5" spans="1:21" x14ac:dyDescent="0.25">
      <c r="A5" t="s">
        <v>14</v>
      </c>
    </row>
    <row r="6" spans="1:21" x14ac:dyDescent="0.25">
      <c r="A6" t="s">
        <v>15</v>
      </c>
      <c r="B6">
        <v>2.87</v>
      </c>
      <c r="C6">
        <v>2.77</v>
      </c>
      <c r="D6">
        <v>2.61</v>
      </c>
      <c r="E6">
        <v>2.74</v>
      </c>
      <c r="F6">
        <v>3.12</v>
      </c>
      <c r="G6">
        <v>3.52</v>
      </c>
      <c r="H6">
        <v>4.33</v>
      </c>
      <c r="I6">
        <v>5.28</v>
      </c>
      <c r="J6">
        <v>4.9000000000000004</v>
      </c>
      <c r="K6">
        <v>5.12</v>
      </c>
      <c r="L6">
        <v>5.56</v>
      </c>
      <c r="M6">
        <v>6.03</v>
      </c>
      <c r="N6">
        <v>7.63</v>
      </c>
      <c r="O6">
        <v>8.16</v>
      </c>
      <c r="P6">
        <v>11.07</v>
      </c>
      <c r="Q6">
        <v>15.73</v>
      </c>
      <c r="R6">
        <v>20.45</v>
      </c>
      <c r="S6">
        <v>23.89</v>
      </c>
      <c r="T6">
        <v>22</v>
      </c>
      <c r="U6">
        <v>24.34</v>
      </c>
    </row>
    <row r="7" spans="1:21" x14ac:dyDescent="0.25">
      <c r="A7" t="s">
        <v>2023</v>
      </c>
      <c r="B7" s="2">
        <v>38306</v>
      </c>
      <c r="C7" s="2">
        <v>38253</v>
      </c>
      <c r="D7" s="2">
        <v>37057</v>
      </c>
      <c r="E7" s="2">
        <v>37899</v>
      </c>
      <c r="F7" s="2">
        <v>39878</v>
      </c>
      <c r="G7" s="2">
        <v>39526</v>
      </c>
      <c r="H7" s="2">
        <v>39068</v>
      </c>
      <c r="I7" s="2">
        <v>40481</v>
      </c>
      <c r="J7" s="2">
        <v>42440</v>
      </c>
      <c r="K7" s="2">
        <v>49954</v>
      </c>
      <c r="L7" s="2">
        <v>52961</v>
      </c>
      <c r="M7" s="2">
        <v>57399</v>
      </c>
      <c r="N7" s="2">
        <v>67357</v>
      </c>
      <c r="O7" s="2">
        <v>90420.19</v>
      </c>
      <c r="P7" s="2">
        <v>131235.97</v>
      </c>
      <c r="Q7" s="2">
        <v>183064.5</v>
      </c>
      <c r="R7" s="2">
        <v>224289.24</v>
      </c>
      <c r="S7" s="2">
        <v>252824.5</v>
      </c>
      <c r="T7" s="2">
        <v>279541</v>
      </c>
      <c r="U7" s="2">
        <v>76988553</v>
      </c>
    </row>
    <row r="8" spans="1:21" x14ac:dyDescent="0.25">
      <c r="A8" t="s">
        <v>2024</v>
      </c>
      <c r="B8">
        <v>4</v>
      </c>
      <c r="C8">
        <v>4</v>
      </c>
      <c r="D8">
        <v>2</v>
      </c>
      <c r="E8">
        <v>3</v>
      </c>
      <c r="F8">
        <v>3</v>
      </c>
      <c r="G8">
        <v>3</v>
      </c>
      <c r="H8">
        <v>0</v>
      </c>
      <c r="I8">
        <v>2</v>
      </c>
      <c r="J8">
        <v>7</v>
      </c>
      <c r="K8">
        <v>22</v>
      </c>
      <c r="L8">
        <v>6</v>
      </c>
      <c r="M8">
        <v>9</v>
      </c>
      <c r="N8">
        <v>16</v>
      </c>
      <c r="O8">
        <v>34.1</v>
      </c>
      <c r="P8">
        <v>46.13</v>
      </c>
      <c r="Q8">
        <v>40.57</v>
      </c>
      <c r="R8">
        <v>22.13</v>
      </c>
      <c r="S8">
        <v>10.88</v>
      </c>
      <c r="T8">
        <v>6.99</v>
      </c>
      <c r="U8">
        <v>7.64</v>
      </c>
    </row>
    <row r="9" spans="1:21" x14ac:dyDescent="0.25">
      <c r="A9" t="s">
        <v>17</v>
      </c>
    </row>
    <row r="10" spans="1:21" x14ac:dyDescent="0.25">
      <c r="A10" t="s">
        <v>32</v>
      </c>
    </row>
    <row r="11" spans="1:21" x14ac:dyDescent="0.25">
      <c r="A11" t="s">
        <v>2025</v>
      </c>
      <c r="B11" s="2">
        <v>29199</v>
      </c>
      <c r="C11" s="2">
        <v>29475</v>
      </c>
      <c r="D11" s="2">
        <v>28990</v>
      </c>
      <c r="E11" s="2">
        <v>30218</v>
      </c>
      <c r="F11" s="2">
        <v>31994</v>
      </c>
      <c r="G11" s="2">
        <v>32562</v>
      </c>
      <c r="H11" s="2">
        <v>32519</v>
      </c>
      <c r="I11" s="2">
        <v>34099</v>
      </c>
      <c r="J11" s="2">
        <v>36052</v>
      </c>
      <c r="K11" s="2">
        <v>41086</v>
      </c>
      <c r="L11" s="2">
        <v>44464</v>
      </c>
      <c r="M11" s="2">
        <v>49230</v>
      </c>
      <c r="N11" s="2">
        <v>58530</v>
      </c>
      <c r="O11" s="2">
        <v>81262.820000000007</v>
      </c>
      <c r="P11" s="2">
        <v>123600.07</v>
      </c>
      <c r="Q11" s="2">
        <v>178622.5</v>
      </c>
      <c r="R11" s="2">
        <v>216866.09</v>
      </c>
      <c r="S11" s="2">
        <v>262954.86</v>
      </c>
    </row>
    <row r="12" spans="1:21" x14ac:dyDescent="0.25">
      <c r="A12" t="s">
        <v>2026</v>
      </c>
      <c r="M12" s="2">
        <v>24506</v>
      </c>
      <c r="N12" s="2">
        <v>33989</v>
      </c>
      <c r="O12" s="2">
        <v>57605.81</v>
      </c>
      <c r="P12" s="2">
        <v>98925.3</v>
      </c>
      <c r="Q12" s="2">
        <v>151228.09</v>
      </c>
      <c r="R12" s="2">
        <v>190253.89</v>
      </c>
      <c r="S12" s="2">
        <v>214607.58</v>
      </c>
      <c r="T12" s="2">
        <v>206020.71</v>
      </c>
      <c r="U12" s="2">
        <v>217486.55</v>
      </c>
    </row>
    <row r="13" spans="1:21" x14ac:dyDescent="0.25">
      <c r="A13" t="s">
        <v>2027</v>
      </c>
      <c r="M13" s="2">
        <v>14272</v>
      </c>
      <c r="N13" s="2">
        <v>15888</v>
      </c>
      <c r="O13" s="2">
        <v>17497.689999999999</v>
      </c>
      <c r="P13" s="2">
        <v>19256.490000000002</v>
      </c>
      <c r="Q13" s="2">
        <v>21363.71</v>
      </c>
      <c r="R13" s="2">
        <v>23444.28</v>
      </c>
      <c r="S13" s="2">
        <v>26245.8</v>
      </c>
      <c r="T13" s="2">
        <v>24159.5</v>
      </c>
      <c r="U13" s="2">
        <v>25125.88</v>
      </c>
    </row>
    <row r="14" spans="1:21" x14ac:dyDescent="0.25">
      <c r="A14" t="s">
        <v>2028</v>
      </c>
      <c r="M14" s="2">
        <v>10234</v>
      </c>
      <c r="N14" s="2">
        <v>18101</v>
      </c>
      <c r="O14" s="2">
        <v>39943.050000000003</v>
      </c>
      <c r="P14" s="2">
        <v>79533.36</v>
      </c>
      <c r="Q14" s="2">
        <v>131160.93</v>
      </c>
      <c r="R14" s="2">
        <v>169754.88</v>
      </c>
      <c r="S14" s="2">
        <v>190724.83</v>
      </c>
      <c r="T14" s="2">
        <v>183362.87</v>
      </c>
      <c r="U14" s="2">
        <v>194105.84</v>
      </c>
    </row>
    <row r="15" spans="1:21" x14ac:dyDescent="0.25">
      <c r="A15" t="s">
        <v>2029</v>
      </c>
      <c r="M15" s="2">
        <v>24724</v>
      </c>
      <c r="N15" s="2">
        <v>24541</v>
      </c>
      <c r="O15" s="2">
        <v>23737.9</v>
      </c>
      <c r="P15" s="2">
        <v>23202.09</v>
      </c>
      <c r="Q15" s="2">
        <v>22732.93</v>
      </c>
      <c r="R15" s="2">
        <v>22371.919999999998</v>
      </c>
      <c r="S15" s="2">
        <v>23383.52</v>
      </c>
      <c r="T15" s="2">
        <v>26688.57</v>
      </c>
      <c r="U15" s="2">
        <v>26955.45</v>
      </c>
    </row>
    <row r="16" spans="1:21" x14ac:dyDescent="0.25">
      <c r="A16" t="s">
        <v>2030</v>
      </c>
      <c r="K16" s="2">
        <v>19426</v>
      </c>
      <c r="L16" s="2">
        <v>19609</v>
      </c>
      <c r="M16" s="2">
        <v>19523</v>
      </c>
      <c r="N16" s="2">
        <v>19804</v>
      </c>
      <c r="O16" s="2">
        <v>19662.009999999998</v>
      </c>
      <c r="P16" s="2">
        <v>19365.38</v>
      </c>
      <c r="Q16" s="2">
        <v>18698.740000000002</v>
      </c>
      <c r="R16" s="2">
        <v>18183.78</v>
      </c>
      <c r="S16" s="2">
        <v>18072.59</v>
      </c>
    </row>
    <row r="17" spans="1:21" x14ac:dyDescent="0.25">
      <c r="A17" t="s">
        <v>2031</v>
      </c>
      <c r="M17" s="2">
        <v>5201</v>
      </c>
      <c r="N17" s="2">
        <v>4737</v>
      </c>
      <c r="O17" s="2">
        <v>4326.08</v>
      </c>
      <c r="P17" s="2">
        <v>4110.24</v>
      </c>
      <c r="Q17" s="2">
        <v>3890.33</v>
      </c>
      <c r="R17" s="2">
        <v>3885.48</v>
      </c>
      <c r="S17" s="2">
        <v>3975.26</v>
      </c>
    </row>
    <row r="18" spans="1:21" x14ac:dyDescent="0.25">
      <c r="A18" t="s">
        <v>1956</v>
      </c>
      <c r="B18" s="2">
        <v>5372</v>
      </c>
      <c r="C18" s="2">
        <v>5205</v>
      </c>
      <c r="D18" s="2">
        <v>4668</v>
      </c>
      <c r="E18" s="2">
        <v>4152</v>
      </c>
      <c r="F18" s="2">
        <v>3994</v>
      </c>
      <c r="G18" s="2">
        <v>3704</v>
      </c>
      <c r="H18" s="2">
        <v>3443</v>
      </c>
      <c r="I18" s="2">
        <v>3359</v>
      </c>
      <c r="J18" s="2">
        <v>3183</v>
      </c>
      <c r="K18" s="2">
        <v>3274</v>
      </c>
      <c r="L18" s="2">
        <v>3066</v>
      </c>
      <c r="M18" s="2">
        <v>2936</v>
      </c>
      <c r="N18" s="2">
        <v>3084</v>
      </c>
      <c r="O18" s="2">
        <v>3112.1</v>
      </c>
      <c r="P18" s="2">
        <v>3204.19</v>
      </c>
      <c r="Q18" s="2">
        <v>3148.79</v>
      </c>
      <c r="R18" s="2">
        <v>3146.86</v>
      </c>
      <c r="S18" s="2">
        <v>2981.27</v>
      </c>
      <c r="T18" s="2">
        <v>3226.45</v>
      </c>
      <c r="U18" s="2">
        <v>3226.45</v>
      </c>
    </row>
    <row r="19" spans="1:21" x14ac:dyDescent="0.25">
      <c r="A19" t="s">
        <v>444</v>
      </c>
      <c r="B19" s="2">
        <v>3704</v>
      </c>
      <c r="C19" s="2">
        <v>3546</v>
      </c>
      <c r="D19" s="2">
        <v>3389</v>
      </c>
      <c r="E19" s="2">
        <v>3358</v>
      </c>
      <c r="F19" s="2">
        <v>3395</v>
      </c>
      <c r="G19" s="2">
        <v>3240</v>
      </c>
      <c r="H19" s="2">
        <v>3106</v>
      </c>
      <c r="I19" s="2">
        <v>3021</v>
      </c>
      <c r="J19" s="2">
        <v>3205</v>
      </c>
      <c r="K19" s="2">
        <v>5594</v>
      </c>
      <c r="L19" s="2">
        <v>5431</v>
      </c>
      <c r="M19" s="2">
        <v>5233</v>
      </c>
      <c r="N19" s="2">
        <v>5743</v>
      </c>
      <c r="O19" s="2">
        <v>5915.4</v>
      </c>
      <c r="P19" s="2">
        <v>6038.23</v>
      </c>
      <c r="Q19" s="2">
        <v>5908.54</v>
      </c>
      <c r="R19" s="2">
        <v>6152.07</v>
      </c>
      <c r="S19" s="2">
        <v>6026.51</v>
      </c>
      <c r="T19" s="2">
        <v>5859.77</v>
      </c>
      <c r="U19" s="2">
        <v>5859.77</v>
      </c>
    </row>
    <row r="20" spans="1:21" x14ac:dyDescent="0.25">
      <c r="A20" t="s">
        <v>17</v>
      </c>
    </row>
    <row r="21" spans="1:21" x14ac:dyDescent="0.25">
      <c r="A21" t="s">
        <v>2032</v>
      </c>
    </row>
    <row r="22" spans="1:21" x14ac:dyDescent="0.25">
      <c r="A22" t="s">
        <v>2033</v>
      </c>
      <c r="M22">
        <v>24</v>
      </c>
      <c r="N22">
        <v>37</v>
      </c>
      <c r="O22">
        <v>69.13</v>
      </c>
      <c r="P22">
        <v>72.760000000000005</v>
      </c>
      <c r="Q22">
        <v>54.79</v>
      </c>
      <c r="R22">
        <v>27.03</v>
      </c>
      <c r="S22">
        <v>11.78</v>
      </c>
      <c r="T22">
        <v>0.59</v>
      </c>
      <c r="U22">
        <v>0.49</v>
      </c>
    </row>
    <row r="23" spans="1:21" x14ac:dyDescent="0.25">
      <c r="A23" t="s">
        <v>2034</v>
      </c>
      <c r="M23">
        <v>10</v>
      </c>
      <c r="N23">
        <v>10</v>
      </c>
      <c r="O23">
        <v>10.23</v>
      </c>
      <c r="P23">
        <v>10.48</v>
      </c>
      <c r="Q23">
        <v>10.46</v>
      </c>
      <c r="R23">
        <v>10.31</v>
      </c>
      <c r="S23">
        <v>14</v>
      </c>
    </row>
    <row r="24" spans="1:21" x14ac:dyDescent="0.25">
      <c r="A24" t="s">
        <v>2035</v>
      </c>
      <c r="M24">
        <v>51</v>
      </c>
      <c r="N24">
        <v>75</v>
      </c>
      <c r="O24">
        <v>120.69</v>
      </c>
      <c r="P24">
        <v>99.91</v>
      </c>
      <c r="Q24">
        <v>65.39</v>
      </c>
      <c r="R24">
        <v>29.16</v>
      </c>
      <c r="S24">
        <v>15.97</v>
      </c>
    </row>
    <row r="25" spans="1:21" x14ac:dyDescent="0.25">
      <c r="A25" t="s">
        <v>2036</v>
      </c>
      <c r="M25">
        <v>1</v>
      </c>
      <c r="N25">
        <v>-3</v>
      </c>
      <c r="O25">
        <v>-3.11</v>
      </c>
      <c r="P25">
        <v>-3.12</v>
      </c>
      <c r="Q25">
        <v>-5.18</v>
      </c>
      <c r="R25">
        <v>-10.24</v>
      </c>
    </row>
    <row r="26" spans="1:21" x14ac:dyDescent="0.25">
      <c r="A26" t="s">
        <v>2037</v>
      </c>
      <c r="K26">
        <v>4</v>
      </c>
      <c r="L26">
        <v>0</v>
      </c>
      <c r="M26">
        <v>0</v>
      </c>
      <c r="N26">
        <v>-1</v>
      </c>
      <c r="O26">
        <v>-1.93</v>
      </c>
      <c r="P26">
        <v>-2.13</v>
      </c>
      <c r="Q26">
        <v>-1.75</v>
      </c>
      <c r="R26">
        <v>-2.15</v>
      </c>
      <c r="S26">
        <v>-3.33</v>
      </c>
    </row>
    <row r="27" spans="1:21" x14ac:dyDescent="0.25">
      <c r="A27" t="s">
        <v>2038</v>
      </c>
      <c r="M27">
        <v>3</v>
      </c>
      <c r="N27">
        <v>-10</v>
      </c>
      <c r="O27">
        <v>-9.2899999999999991</v>
      </c>
      <c r="P27">
        <v>-6.25</v>
      </c>
      <c r="Q27">
        <v>-5.88</v>
      </c>
      <c r="R27">
        <v>-5.5</v>
      </c>
      <c r="S27">
        <v>-6</v>
      </c>
    </row>
    <row r="28" spans="1:21" x14ac:dyDescent="0.25">
      <c r="A28" t="s">
        <v>1956</v>
      </c>
      <c r="B28">
        <v>2</v>
      </c>
      <c r="C28">
        <v>2</v>
      </c>
      <c r="D28">
        <v>-5</v>
      </c>
      <c r="E28">
        <v>-10</v>
      </c>
      <c r="F28">
        <v>-6</v>
      </c>
      <c r="G28">
        <v>-5</v>
      </c>
      <c r="H28">
        <v>-6</v>
      </c>
      <c r="I28">
        <v>-4</v>
      </c>
      <c r="J28">
        <v>-3</v>
      </c>
      <c r="K28">
        <v>6</v>
      </c>
      <c r="L28">
        <v>-7</v>
      </c>
      <c r="M28">
        <v>-4</v>
      </c>
      <c r="N28">
        <v>3</v>
      </c>
      <c r="O28">
        <v>6.66</v>
      </c>
      <c r="P28">
        <v>0.64</v>
      </c>
      <c r="Q28">
        <v>-0.67</v>
      </c>
      <c r="R28">
        <v>0</v>
      </c>
      <c r="S28">
        <v>-2</v>
      </c>
      <c r="T28">
        <v>-2</v>
      </c>
      <c r="U28">
        <v>-2</v>
      </c>
    </row>
    <row r="29" spans="1:21" x14ac:dyDescent="0.25">
      <c r="A29" t="s">
        <v>444</v>
      </c>
      <c r="B29">
        <v>-4</v>
      </c>
      <c r="C29">
        <v>0</v>
      </c>
      <c r="D29">
        <v>2</v>
      </c>
      <c r="E29">
        <v>0</v>
      </c>
      <c r="F29">
        <v>-1</v>
      </c>
      <c r="G29">
        <v>-2</v>
      </c>
      <c r="H29">
        <v>-3</v>
      </c>
      <c r="I29">
        <v>-5</v>
      </c>
      <c r="J29">
        <v>8</v>
      </c>
      <c r="K29">
        <v>81</v>
      </c>
      <c r="L29">
        <v>-3</v>
      </c>
      <c r="M29">
        <v>-3</v>
      </c>
      <c r="N29">
        <v>8</v>
      </c>
      <c r="O29">
        <v>2.93</v>
      </c>
      <c r="P29">
        <v>2.15</v>
      </c>
      <c r="Q29">
        <v>2.15</v>
      </c>
      <c r="R29">
        <v>2.15</v>
      </c>
      <c r="S29">
        <v>2</v>
      </c>
    </row>
    <row r="30" spans="1:21" x14ac:dyDescent="0.25">
      <c r="A30" t="s">
        <v>17</v>
      </c>
    </row>
    <row r="31" spans="1:21" x14ac:dyDescent="0.25">
      <c r="A31" t="s">
        <v>25</v>
      </c>
      <c r="G31" s="2">
        <v>36200</v>
      </c>
      <c r="H31" s="2">
        <v>37000</v>
      </c>
      <c r="I31" s="2">
        <v>41300</v>
      </c>
      <c r="J31" s="2">
        <v>46600</v>
      </c>
      <c r="K31" s="2">
        <v>67900</v>
      </c>
      <c r="L31" s="2">
        <v>97900</v>
      </c>
      <c r="M31" s="2">
        <v>137800</v>
      </c>
      <c r="N31" s="2">
        <v>638000</v>
      </c>
      <c r="O31" s="2">
        <v>608676.11</v>
      </c>
      <c r="P31" s="2">
        <v>656573.57999999996</v>
      </c>
      <c r="Q31" s="2">
        <v>697175.45</v>
      </c>
      <c r="R31" s="2">
        <v>733473.7</v>
      </c>
      <c r="S31" s="2">
        <v>750341.4</v>
      </c>
    </row>
    <row r="32" spans="1:21" x14ac:dyDescent="0.25">
      <c r="A32" t="s">
        <v>2039</v>
      </c>
      <c r="G32" s="2">
        <v>22444</v>
      </c>
      <c r="H32" s="2">
        <v>22940</v>
      </c>
      <c r="I32" s="2">
        <v>24780</v>
      </c>
      <c r="J32" s="2">
        <v>26562</v>
      </c>
      <c r="K32" s="2">
        <v>33271</v>
      </c>
      <c r="L32" s="2">
        <v>38181</v>
      </c>
      <c r="M32" s="2">
        <v>45474</v>
      </c>
      <c r="N32" s="2">
        <v>76560</v>
      </c>
      <c r="O32" s="2">
        <v>97364.84</v>
      </c>
      <c r="P32" s="2">
        <v>166647.01999999999</v>
      </c>
      <c r="Q32" s="2">
        <v>262147.17</v>
      </c>
      <c r="R32" s="2">
        <v>415048.17</v>
      </c>
      <c r="S32" s="2">
        <v>123300.65</v>
      </c>
    </row>
    <row r="33" spans="1:21" x14ac:dyDescent="0.25">
      <c r="A33" t="s">
        <v>2040</v>
      </c>
      <c r="G33">
        <v>62</v>
      </c>
      <c r="H33">
        <v>62</v>
      </c>
      <c r="I33">
        <v>60</v>
      </c>
      <c r="J33">
        <v>57</v>
      </c>
      <c r="K33">
        <v>49</v>
      </c>
      <c r="L33">
        <v>39</v>
      </c>
      <c r="M33">
        <v>33</v>
      </c>
      <c r="N33">
        <v>12</v>
      </c>
      <c r="O33">
        <v>17.86</v>
      </c>
      <c r="P33">
        <v>26.38</v>
      </c>
      <c r="Q33">
        <v>38.22</v>
      </c>
      <c r="R33">
        <v>56.96</v>
      </c>
      <c r="S33">
        <v>20</v>
      </c>
    </row>
    <row r="34" spans="1:21" x14ac:dyDescent="0.25">
      <c r="A34" t="s">
        <v>17</v>
      </c>
    </row>
    <row r="35" spans="1:21" x14ac:dyDescent="0.25">
      <c r="A35" t="s">
        <v>378</v>
      </c>
      <c r="C35" s="2">
        <v>30773</v>
      </c>
      <c r="D35" s="2">
        <v>29653</v>
      </c>
      <c r="E35" s="2">
        <v>30539</v>
      </c>
      <c r="F35" s="2">
        <v>31514</v>
      </c>
      <c r="G35" s="2">
        <v>31689</v>
      </c>
      <c r="H35" s="2">
        <v>31309</v>
      </c>
      <c r="I35" s="2">
        <v>32826</v>
      </c>
      <c r="J35" s="2">
        <v>33850</v>
      </c>
      <c r="K35" s="2">
        <v>36980</v>
      </c>
      <c r="L35" s="2">
        <v>37818</v>
      </c>
      <c r="M35" s="2">
        <v>41312</v>
      </c>
      <c r="N35" s="2">
        <v>45195</v>
      </c>
      <c r="O35" s="2">
        <v>53693.38</v>
      </c>
      <c r="P35" s="2">
        <v>70074.570000000007</v>
      </c>
      <c r="Q35" s="2">
        <v>90621.56</v>
      </c>
      <c r="R35" s="2">
        <v>111883.27</v>
      </c>
      <c r="S35" s="2">
        <v>123016.33</v>
      </c>
      <c r="T35" s="2">
        <v>116892.3</v>
      </c>
      <c r="U35" s="2">
        <v>126156.8</v>
      </c>
    </row>
    <row r="36" spans="1:21" x14ac:dyDescent="0.25">
      <c r="A36" t="s">
        <v>445</v>
      </c>
      <c r="B36">
        <v>81.11</v>
      </c>
      <c r="C36">
        <v>80.31</v>
      </c>
      <c r="D36">
        <v>79.819999999999993</v>
      </c>
      <c r="E36">
        <v>80.510000000000005</v>
      </c>
      <c r="F36">
        <v>79.849999999999994</v>
      </c>
      <c r="G36">
        <v>80.17</v>
      </c>
      <c r="H36">
        <v>80.13</v>
      </c>
      <c r="I36">
        <v>81.09</v>
      </c>
      <c r="J36">
        <v>79.55</v>
      </c>
      <c r="K36">
        <v>74.03</v>
      </c>
      <c r="L36">
        <v>72.760000000000005</v>
      </c>
      <c r="M36">
        <v>71.97</v>
      </c>
      <c r="N36">
        <v>69.599999999999994</v>
      </c>
      <c r="O36">
        <v>58.77</v>
      </c>
      <c r="P36">
        <v>53.38</v>
      </c>
      <c r="Q36">
        <v>49.06</v>
      </c>
      <c r="R36">
        <v>48.34</v>
      </c>
      <c r="S36">
        <v>47.87</v>
      </c>
      <c r="T36">
        <v>45.55</v>
      </c>
      <c r="U36">
        <v>45.29</v>
      </c>
    </row>
    <row r="37" spans="1:21" x14ac:dyDescent="0.25">
      <c r="A37" t="s">
        <v>17</v>
      </c>
    </row>
    <row r="38" spans="1:21" x14ac:dyDescent="0.25">
      <c r="A38" t="s">
        <v>29</v>
      </c>
      <c r="B38" s="2">
        <v>18109</v>
      </c>
      <c r="C38" s="2">
        <v>17393</v>
      </c>
      <c r="D38" s="2">
        <v>15786</v>
      </c>
      <c r="E38" s="2">
        <v>16167</v>
      </c>
      <c r="F38" s="2">
        <v>13679</v>
      </c>
      <c r="G38" s="2">
        <v>17384</v>
      </c>
      <c r="H38" s="2">
        <v>17382</v>
      </c>
      <c r="I38" s="2">
        <v>19000</v>
      </c>
      <c r="J38" s="2">
        <v>19593</v>
      </c>
      <c r="K38" s="2">
        <v>20902</v>
      </c>
      <c r="L38" s="2">
        <v>23055</v>
      </c>
      <c r="M38" s="2">
        <v>25033</v>
      </c>
      <c r="N38" s="2">
        <v>28926</v>
      </c>
      <c r="O38" s="2">
        <v>36429.49</v>
      </c>
      <c r="P38" s="2">
        <v>49012.54</v>
      </c>
      <c r="Q38" s="2">
        <v>68597.89</v>
      </c>
      <c r="R38" s="2">
        <v>87558.94</v>
      </c>
      <c r="S38" s="2">
        <v>99751.4</v>
      </c>
      <c r="T38" s="2">
        <v>90775.5</v>
      </c>
      <c r="U38" s="2">
        <v>94789.5</v>
      </c>
    </row>
    <row r="39" spans="1:21" x14ac:dyDescent="0.25">
      <c r="A39" t="s">
        <v>240</v>
      </c>
      <c r="B39">
        <v>47.31</v>
      </c>
      <c r="C39">
        <v>45.5</v>
      </c>
      <c r="D39">
        <v>42.61</v>
      </c>
      <c r="E39">
        <v>42.85</v>
      </c>
      <c r="F39">
        <v>43.56</v>
      </c>
      <c r="G39">
        <v>44</v>
      </c>
      <c r="H39">
        <v>44.49</v>
      </c>
      <c r="I39">
        <v>46.94</v>
      </c>
      <c r="J39">
        <v>46.17</v>
      </c>
      <c r="K39">
        <v>41.84</v>
      </c>
      <c r="L39">
        <v>43.53</v>
      </c>
      <c r="M39">
        <v>43.61</v>
      </c>
      <c r="N39">
        <v>42.94</v>
      </c>
      <c r="O39">
        <v>40.08</v>
      </c>
      <c r="P39">
        <v>37.56</v>
      </c>
      <c r="Q39">
        <v>37.44</v>
      </c>
      <c r="R39">
        <v>39.119999999999997</v>
      </c>
      <c r="S39">
        <v>40.32</v>
      </c>
      <c r="T39">
        <v>37.86</v>
      </c>
      <c r="U39">
        <v>37.770000000000003</v>
      </c>
    </row>
    <row r="40" spans="1:21" x14ac:dyDescent="0.25">
      <c r="A40" t="s">
        <v>17</v>
      </c>
    </row>
    <row r="41" spans="1:21" x14ac:dyDescent="0.25">
      <c r="A41" t="s">
        <v>242</v>
      </c>
      <c r="B41">
        <v>-580</v>
      </c>
      <c r="C41" s="2">
        <v>-1391</v>
      </c>
      <c r="D41" s="2">
        <v>-1189</v>
      </c>
      <c r="E41" s="2">
        <v>-2021</v>
      </c>
      <c r="F41" s="2">
        <v>-1736</v>
      </c>
      <c r="G41" s="2">
        <v>-1660</v>
      </c>
      <c r="H41" s="2">
        <v>-1564</v>
      </c>
      <c r="I41" s="2">
        <v>-2135</v>
      </c>
      <c r="J41" s="2">
        <v>-4511</v>
      </c>
      <c r="K41" s="2">
        <v>-8695</v>
      </c>
      <c r="L41" s="2">
        <v>-6866</v>
      </c>
      <c r="M41" s="2">
        <v>-21215</v>
      </c>
      <c r="N41" s="2">
        <v>-55663</v>
      </c>
      <c r="O41" s="2">
        <v>-92132.800000000003</v>
      </c>
      <c r="P41" s="2">
        <v>-103932.07</v>
      </c>
      <c r="Q41" s="2">
        <v>-97300.62</v>
      </c>
      <c r="R41" s="2">
        <v>-93024.53</v>
      </c>
      <c r="S41" s="2">
        <v>-82025.83</v>
      </c>
      <c r="T41" s="2">
        <v>-54478.5</v>
      </c>
      <c r="U41" s="2">
        <v>-69303.5</v>
      </c>
    </row>
    <row r="42" spans="1:21" x14ac:dyDescent="0.25">
      <c r="A42" t="s">
        <v>36</v>
      </c>
      <c r="B42" s="2">
        <v>14341</v>
      </c>
      <c r="C42" s="2">
        <v>13189</v>
      </c>
      <c r="D42" s="2">
        <v>12496</v>
      </c>
      <c r="E42" s="2">
        <v>12105</v>
      </c>
      <c r="F42" s="2">
        <v>13650</v>
      </c>
      <c r="G42" s="2">
        <v>12891</v>
      </c>
      <c r="H42" s="2">
        <v>11575</v>
      </c>
      <c r="I42" s="2">
        <v>13752</v>
      </c>
      <c r="J42" s="2">
        <v>5028</v>
      </c>
      <c r="K42" s="2">
        <v>8470</v>
      </c>
      <c r="L42" s="2">
        <v>11807</v>
      </c>
      <c r="M42">
        <v>-394</v>
      </c>
      <c r="N42" s="2">
        <v>-23686</v>
      </c>
      <c r="O42" s="2">
        <v>-35569.31</v>
      </c>
      <c r="P42" s="2">
        <v>-29275.75</v>
      </c>
      <c r="Q42">
        <v>44</v>
      </c>
      <c r="R42" s="2">
        <v>23931.75</v>
      </c>
      <c r="S42" s="2">
        <v>54994.09</v>
      </c>
      <c r="T42" s="2">
        <v>48113</v>
      </c>
      <c r="U42" s="2">
        <v>53419.19</v>
      </c>
    </row>
    <row r="43" spans="1:21" x14ac:dyDescent="0.25">
      <c r="A43" t="s">
        <v>1061</v>
      </c>
      <c r="B43">
        <v>37.47</v>
      </c>
      <c r="C43">
        <v>34.5</v>
      </c>
      <c r="D43">
        <v>33.729999999999997</v>
      </c>
      <c r="E43">
        <v>32.08</v>
      </c>
      <c r="F43">
        <v>34.659999999999997</v>
      </c>
      <c r="G43">
        <v>32.630000000000003</v>
      </c>
      <c r="H43">
        <v>29.63</v>
      </c>
      <c r="I43">
        <v>33.97</v>
      </c>
      <c r="J43">
        <v>11.85</v>
      </c>
      <c r="K43">
        <v>16.96</v>
      </c>
      <c r="L43">
        <v>22.29</v>
      </c>
      <c r="M43">
        <v>-0.69</v>
      </c>
      <c r="N43">
        <v>-35.159999999999997</v>
      </c>
      <c r="O43">
        <v>-38.44</v>
      </c>
      <c r="P43">
        <v>-21.04</v>
      </c>
      <c r="Q43">
        <v>3.12</v>
      </c>
      <c r="R43">
        <v>11.49</v>
      </c>
      <c r="S43">
        <v>20.62</v>
      </c>
      <c r="T43">
        <v>20.96</v>
      </c>
      <c r="U43">
        <v>23.19</v>
      </c>
    </row>
    <row r="44" spans="1:21" x14ac:dyDescent="0.25">
      <c r="A44" t="s">
        <v>17</v>
      </c>
    </row>
    <row r="45" spans="1:21" x14ac:dyDescent="0.25">
      <c r="A45" t="s">
        <v>37</v>
      </c>
    </row>
    <row r="46" spans="1:21" x14ac:dyDescent="0.25">
      <c r="A46" t="s">
        <v>17</v>
      </c>
    </row>
    <row r="47" spans="1:21" x14ac:dyDescent="0.25">
      <c r="A47" t="s">
        <v>38</v>
      </c>
    </row>
    <row r="48" spans="1:21" x14ac:dyDescent="0.25">
      <c r="A48" t="s">
        <v>24</v>
      </c>
      <c r="B48" s="2">
        <v>38426</v>
      </c>
      <c r="C48" s="2">
        <v>38595</v>
      </c>
      <c r="D48" s="2">
        <v>37600</v>
      </c>
      <c r="E48" s="2">
        <v>38372</v>
      </c>
      <c r="F48" s="2">
        <v>39514</v>
      </c>
      <c r="G48" s="2">
        <v>39583</v>
      </c>
      <c r="H48" s="2">
        <v>38624</v>
      </c>
      <c r="I48" s="2">
        <v>41334</v>
      </c>
      <c r="J48" s="2">
        <v>41343</v>
      </c>
      <c r="K48" s="2">
        <v>51535</v>
      </c>
      <c r="L48" s="2">
        <v>53569</v>
      </c>
      <c r="M48" s="2">
        <v>57586</v>
      </c>
      <c r="N48" s="2">
        <v>72019</v>
      </c>
      <c r="O48" s="2">
        <v>100477.28</v>
      </c>
      <c r="P48" s="2">
        <v>141199.92000000001</v>
      </c>
      <c r="Q48" s="2">
        <v>188623.57</v>
      </c>
      <c r="R48" s="2">
        <v>223897.74</v>
      </c>
      <c r="S48" s="2">
        <v>241237.1</v>
      </c>
      <c r="T48" s="2">
        <v>229659465.02000001</v>
      </c>
      <c r="U48" s="2">
        <v>230441377.40000001</v>
      </c>
    </row>
    <row r="49" spans="1:21" x14ac:dyDescent="0.25">
      <c r="A49" t="s">
        <v>2041</v>
      </c>
      <c r="E49" s="2">
        <v>38306</v>
      </c>
      <c r="F49" s="2">
        <v>39491</v>
      </c>
      <c r="G49" s="2">
        <v>39539</v>
      </c>
      <c r="H49" s="2">
        <v>38696</v>
      </c>
      <c r="I49" s="2">
        <v>41252</v>
      </c>
      <c r="J49" s="2">
        <v>42022</v>
      </c>
      <c r="K49" s="2">
        <v>50567</v>
      </c>
      <c r="L49" s="2">
        <v>53304</v>
      </c>
      <c r="M49" s="2">
        <v>57473</v>
      </c>
      <c r="N49" s="2">
        <v>67886</v>
      </c>
      <c r="O49" s="2">
        <v>94241.66</v>
      </c>
      <c r="P49" s="2">
        <v>130581.33</v>
      </c>
      <c r="Q49" s="2">
        <v>174159.73</v>
      </c>
      <c r="R49" s="2">
        <v>205091.26</v>
      </c>
      <c r="S49" s="2">
        <v>205698.92</v>
      </c>
      <c r="T49" s="2">
        <v>229659.47</v>
      </c>
      <c r="U49" s="2">
        <v>230441.38</v>
      </c>
    </row>
    <row r="50" spans="1:21" x14ac:dyDescent="0.25">
      <c r="A50" t="s">
        <v>17</v>
      </c>
    </row>
    <row r="51" spans="1:21" x14ac:dyDescent="0.25">
      <c r="A51" t="s">
        <v>25</v>
      </c>
      <c r="G51" s="2">
        <v>36200</v>
      </c>
      <c r="H51" s="2">
        <v>37000</v>
      </c>
      <c r="I51" s="2">
        <v>41300</v>
      </c>
      <c r="J51" s="2">
        <v>46600</v>
      </c>
      <c r="K51" s="2">
        <v>67900</v>
      </c>
      <c r="L51" s="2">
        <v>97900</v>
      </c>
      <c r="M51" s="2">
        <v>137800</v>
      </c>
      <c r="N51" s="2">
        <v>638000</v>
      </c>
      <c r="O51" s="2">
        <v>608676.11</v>
      </c>
      <c r="P51" s="2">
        <v>656573.57999999996</v>
      </c>
      <c r="Q51" s="2">
        <v>697175.45</v>
      </c>
      <c r="R51" s="2">
        <v>733473.7</v>
      </c>
      <c r="S51" s="2">
        <v>750341.4</v>
      </c>
    </row>
    <row r="52" spans="1:21" x14ac:dyDescent="0.25">
      <c r="A52" t="s">
        <v>2042</v>
      </c>
      <c r="G52" s="2">
        <v>22444</v>
      </c>
      <c r="H52" s="2">
        <v>22940</v>
      </c>
      <c r="I52" s="2">
        <v>24780</v>
      </c>
      <c r="J52" s="2">
        <v>26562</v>
      </c>
      <c r="K52" s="2">
        <v>33271</v>
      </c>
      <c r="L52" s="2">
        <v>38181</v>
      </c>
      <c r="M52" s="2">
        <v>45474</v>
      </c>
      <c r="N52" s="2">
        <v>76560</v>
      </c>
      <c r="O52" s="2">
        <v>97364.84</v>
      </c>
      <c r="P52" s="2">
        <v>166647.01999999999</v>
      </c>
      <c r="Q52" s="2">
        <v>262147.17</v>
      </c>
      <c r="R52" s="2">
        <v>415048.17</v>
      </c>
      <c r="S52" s="2">
        <v>123300.65</v>
      </c>
    </row>
    <row r="53" spans="1:21" x14ac:dyDescent="0.25">
      <c r="A53" t="s">
        <v>2040</v>
      </c>
      <c r="G53">
        <v>62</v>
      </c>
      <c r="H53">
        <v>62</v>
      </c>
      <c r="I53">
        <v>60</v>
      </c>
      <c r="J53">
        <v>57</v>
      </c>
      <c r="K53">
        <v>49</v>
      </c>
      <c r="L53">
        <v>39</v>
      </c>
      <c r="M53">
        <v>33</v>
      </c>
      <c r="N53">
        <v>12</v>
      </c>
      <c r="O53">
        <v>17.86</v>
      </c>
      <c r="P53">
        <v>26.38</v>
      </c>
      <c r="Q53">
        <v>38.22</v>
      </c>
      <c r="R53">
        <v>56.96</v>
      </c>
      <c r="S53">
        <v>20</v>
      </c>
    </row>
    <row r="54" spans="1:21" x14ac:dyDescent="0.25">
      <c r="A54" t="s">
        <v>17</v>
      </c>
    </row>
    <row r="55" spans="1:21" x14ac:dyDescent="0.25">
      <c r="A55" t="s">
        <v>58</v>
      </c>
    </row>
    <row r="56" spans="1:21" x14ac:dyDescent="0.25">
      <c r="A56" t="s">
        <v>2043</v>
      </c>
    </row>
    <row r="57" spans="1:21" x14ac:dyDescent="0.25">
      <c r="A57" t="s">
        <v>60</v>
      </c>
      <c r="B57" s="2">
        <v>29199</v>
      </c>
      <c r="C57" s="2">
        <v>29475</v>
      </c>
      <c r="D57" s="2">
        <v>28990</v>
      </c>
      <c r="E57" s="2">
        <v>30218</v>
      </c>
      <c r="F57" s="2">
        <v>31994</v>
      </c>
      <c r="G57" s="2">
        <v>32562</v>
      </c>
      <c r="H57" s="2">
        <v>32519</v>
      </c>
      <c r="I57" s="2">
        <v>34099</v>
      </c>
      <c r="J57" s="2">
        <v>36052</v>
      </c>
      <c r="K57" s="2">
        <v>41086</v>
      </c>
      <c r="L57" s="2">
        <v>44464</v>
      </c>
      <c r="M57" s="2">
        <v>49230</v>
      </c>
      <c r="N57" s="2">
        <v>58530</v>
      </c>
      <c r="O57" s="2">
        <v>81262.820000000007</v>
      </c>
      <c r="P57" s="2">
        <v>123600.07</v>
      </c>
      <c r="Q57" s="2">
        <v>178622.5</v>
      </c>
      <c r="R57" s="2">
        <v>216866.09</v>
      </c>
      <c r="S57" s="2">
        <v>262954.86</v>
      </c>
    </row>
    <row r="58" spans="1:21" x14ac:dyDescent="0.25">
      <c r="A58" t="s">
        <v>61</v>
      </c>
      <c r="B58">
        <v>76</v>
      </c>
      <c r="C58">
        <v>77</v>
      </c>
      <c r="D58">
        <v>78</v>
      </c>
      <c r="E58">
        <v>80</v>
      </c>
      <c r="F58">
        <v>81</v>
      </c>
      <c r="G58">
        <v>83</v>
      </c>
      <c r="H58">
        <v>83</v>
      </c>
      <c r="I58">
        <v>84</v>
      </c>
      <c r="J58">
        <v>85</v>
      </c>
      <c r="K58">
        <v>85</v>
      </c>
      <c r="L58">
        <v>84</v>
      </c>
      <c r="M58">
        <v>86</v>
      </c>
      <c r="N58">
        <v>87</v>
      </c>
      <c r="O58">
        <v>90.27</v>
      </c>
      <c r="P58">
        <v>92.16</v>
      </c>
      <c r="Q58">
        <v>93.61</v>
      </c>
      <c r="R58">
        <v>93.78</v>
      </c>
    </row>
    <row r="59" spans="1:21" x14ac:dyDescent="0.25">
      <c r="A59" t="s">
        <v>2044</v>
      </c>
      <c r="B59">
        <v>5</v>
      </c>
      <c r="C59">
        <v>5</v>
      </c>
      <c r="D59">
        <v>3</v>
      </c>
      <c r="E59">
        <v>6</v>
      </c>
      <c r="F59">
        <v>4</v>
      </c>
      <c r="G59">
        <v>4</v>
      </c>
      <c r="H59">
        <v>1</v>
      </c>
      <c r="I59">
        <v>3</v>
      </c>
      <c r="J59">
        <v>7</v>
      </c>
      <c r="K59">
        <v>21</v>
      </c>
      <c r="L59">
        <v>11</v>
      </c>
      <c r="M59">
        <v>12</v>
      </c>
      <c r="N59">
        <v>17</v>
      </c>
    </row>
    <row r="60" spans="1:21" x14ac:dyDescent="0.25">
      <c r="A60" t="s">
        <v>2026</v>
      </c>
      <c r="M60" s="2">
        <v>24506</v>
      </c>
      <c r="N60" s="2">
        <v>33989</v>
      </c>
      <c r="O60" s="2">
        <v>57605.81</v>
      </c>
      <c r="P60" s="2">
        <v>98925.3</v>
      </c>
      <c r="Q60" s="2">
        <v>151228.09</v>
      </c>
      <c r="R60" s="2">
        <v>190253.89</v>
      </c>
      <c r="S60" s="2">
        <v>214607.58</v>
      </c>
      <c r="T60" s="2">
        <v>206020.71</v>
      </c>
      <c r="U60" s="2">
        <v>217486.55</v>
      </c>
    </row>
    <row r="61" spans="1:21" x14ac:dyDescent="0.25">
      <c r="A61" t="s">
        <v>2045</v>
      </c>
      <c r="M61">
        <v>24</v>
      </c>
      <c r="N61">
        <v>37</v>
      </c>
      <c r="O61">
        <v>69.13</v>
      </c>
      <c r="P61">
        <v>72.760000000000005</v>
      </c>
      <c r="Q61">
        <v>54.79</v>
      </c>
      <c r="R61">
        <v>27.03</v>
      </c>
      <c r="S61">
        <v>11.78</v>
      </c>
      <c r="T61">
        <v>0.59</v>
      </c>
      <c r="U61">
        <v>0.49</v>
      </c>
    </row>
    <row r="62" spans="1:21" x14ac:dyDescent="0.25">
      <c r="A62" t="s">
        <v>2046</v>
      </c>
      <c r="M62" s="2">
        <v>14272</v>
      </c>
      <c r="N62" s="2">
        <v>15888</v>
      </c>
      <c r="O62" s="2">
        <v>17497.689999999999</v>
      </c>
      <c r="P62" s="2">
        <v>19256.490000000002</v>
      </c>
      <c r="Q62" s="2">
        <v>21363.71</v>
      </c>
      <c r="R62" s="2">
        <v>23444.28</v>
      </c>
      <c r="S62" s="2">
        <v>26245.8</v>
      </c>
      <c r="T62" s="2">
        <v>24159.5</v>
      </c>
      <c r="U62" s="2">
        <v>25125.88</v>
      </c>
    </row>
    <row r="63" spans="1:21" x14ac:dyDescent="0.25">
      <c r="A63" t="s">
        <v>2047</v>
      </c>
      <c r="M63">
        <v>10</v>
      </c>
      <c r="N63">
        <v>10</v>
      </c>
      <c r="O63">
        <v>10.23</v>
      </c>
      <c r="P63">
        <v>10.48</v>
      </c>
      <c r="Q63">
        <v>10.46</v>
      </c>
      <c r="R63">
        <v>10.31</v>
      </c>
      <c r="S63">
        <v>14</v>
      </c>
    </row>
    <row r="64" spans="1:21" x14ac:dyDescent="0.25">
      <c r="A64" t="s">
        <v>2048</v>
      </c>
      <c r="M64" s="2">
        <v>10234</v>
      </c>
      <c r="N64" s="2">
        <v>18101</v>
      </c>
      <c r="O64" s="2">
        <v>39943.050000000003</v>
      </c>
      <c r="P64" s="2">
        <v>79533.36</v>
      </c>
      <c r="Q64" s="2">
        <v>131160.93</v>
      </c>
      <c r="R64" s="2">
        <v>169754.88</v>
      </c>
      <c r="S64" s="2">
        <v>190724.83</v>
      </c>
      <c r="T64" s="2">
        <v>183362.87</v>
      </c>
      <c r="U64" s="2">
        <v>194105.84</v>
      </c>
    </row>
    <row r="65" spans="1:21" x14ac:dyDescent="0.25">
      <c r="A65" t="s">
        <v>2047</v>
      </c>
      <c r="M65">
        <v>51</v>
      </c>
      <c r="N65">
        <v>75</v>
      </c>
      <c r="O65">
        <v>120.69</v>
      </c>
      <c r="P65">
        <v>99.91</v>
      </c>
      <c r="Q65">
        <v>65.39</v>
      </c>
      <c r="R65">
        <v>29.16</v>
      </c>
      <c r="S65">
        <v>15.97</v>
      </c>
    </row>
    <row r="66" spans="1:21" x14ac:dyDescent="0.25">
      <c r="A66" t="s">
        <v>2029</v>
      </c>
      <c r="M66" s="2">
        <v>24724</v>
      </c>
      <c r="N66" s="2">
        <v>24541</v>
      </c>
      <c r="O66" s="2">
        <v>23737.9</v>
      </c>
      <c r="P66" s="2">
        <v>23202.09</v>
      </c>
      <c r="Q66" s="2">
        <v>22732.93</v>
      </c>
      <c r="R66" s="2">
        <v>22371.919999999998</v>
      </c>
      <c r="S66" s="2">
        <v>23383.52</v>
      </c>
      <c r="T66" s="2">
        <v>26688.57</v>
      </c>
      <c r="U66" s="2">
        <v>26955.45</v>
      </c>
    </row>
    <row r="67" spans="1:21" x14ac:dyDescent="0.25">
      <c r="A67" t="s">
        <v>2045</v>
      </c>
      <c r="M67">
        <v>1</v>
      </c>
      <c r="N67">
        <v>-3</v>
      </c>
      <c r="O67">
        <v>-3.11</v>
      </c>
      <c r="P67">
        <v>-3.12</v>
      </c>
      <c r="Q67">
        <v>-5.18</v>
      </c>
      <c r="R67">
        <v>-10.24</v>
      </c>
    </row>
    <row r="68" spans="1:21" x14ac:dyDescent="0.25">
      <c r="A68" t="s">
        <v>2030</v>
      </c>
      <c r="K68" s="2">
        <v>19426</v>
      </c>
      <c r="L68" s="2">
        <v>19609</v>
      </c>
      <c r="M68" s="2">
        <v>19523</v>
      </c>
      <c r="N68" s="2">
        <v>19804</v>
      </c>
      <c r="O68" s="2">
        <v>19662.009999999998</v>
      </c>
      <c r="P68" s="2">
        <v>19365.38</v>
      </c>
      <c r="Q68" s="2">
        <v>18698.740000000002</v>
      </c>
      <c r="R68" s="2">
        <v>18183.78</v>
      </c>
      <c r="S68" s="2">
        <v>18072.59</v>
      </c>
    </row>
    <row r="69" spans="1:21" x14ac:dyDescent="0.25">
      <c r="A69" t="s">
        <v>2047</v>
      </c>
      <c r="K69">
        <v>4</v>
      </c>
      <c r="L69">
        <v>0</v>
      </c>
      <c r="M69">
        <v>0</v>
      </c>
      <c r="N69">
        <v>-1</v>
      </c>
      <c r="O69">
        <v>-1.93</v>
      </c>
      <c r="P69">
        <v>-2.13</v>
      </c>
      <c r="Q69">
        <v>-1.75</v>
      </c>
      <c r="R69">
        <v>-2.15</v>
      </c>
      <c r="S69">
        <v>-3.33</v>
      </c>
    </row>
    <row r="70" spans="1:21" x14ac:dyDescent="0.25">
      <c r="A70" t="s">
        <v>2031</v>
      </c>
      <c r="M70" s="2">
        <v>5201</v>
      </c>
      <c r="N70" s="2">
        <v>4737</v>
      </c>
      <c r="O70" s="2">
        <v>4326.08</v>
      </c>
      <c r="P70" s="2">
        <v>4110.24</v>
      </c>
      <c r="Q70" s="2">
        <v>3890.33</v>
      </c>
      <c r="R70" s="2">
        <v>3885.48</v>
      </c>
      <c r="S70" s="2">
        <v>3975.26</v>
      </c>
    </row>
    <row r="71" spans="1:21" x14ac:dyDescent="0.25">
      <c r="A71" t="s">
        <v>2047</v>
      </c>
      <c r="M71">
        <v>3</v>
      </c>
      <c r="N71">
        <v>-10</v>
      </c>
      <c r="O71">
        <v>-9.2899999999999991</v>
      </c>
      <c r="P71">
        <v>-6.25</v>
      </c>
      <c r="Q71">
        <v>-5.88</v>
      </c>
      <c r="R71">
        <v>-5.5</v>
      </c>
      <c r="S71">
        <v>-6</v>
      </c>
    </row>
    <row r="72" spans="1:21" x14ac:dyDescent="0.25">
      <c r="A72" t="s">
        <v>2049</v>
      </c>
      <c r="B72" s="2">
        <v>32923</v>
      </c>
      <c r="C72" s="2">
        <v>29498</v>
      </c>
      <c r="D72" s="2">
        <v>28997</v>
      </c>
      <c r="E72" s="2">
        <v>30389</v>
      </c>
      <c r="F72" s="2">
        <v>32041</v>
      </c>
      <c r="G72" s="2">
        <v>32582</v>
      </c>
      <c r="H72" s="2">
        <v>32523</v>
      </c>
      <c r="I72" s="2">
        <v>34101</v>
      </c>
      <c r="J72" s="2">
        <v>36052</v>
      </c>
      <c r="K72" s="2">
        <v>41086</v>
      </c>
      <c r="L72" s="2">
        <v>44464</v>
      </c>
      <c r="M72" s="2">
        <v>49230</v>
      </c>
      <c r="N72" s="2">
        <v>58530</v>
      </c>
      <c r="O72" s="2">
        <v>74484.929999999993</v>
      </c>
      <c r="P72" s="2">
        <v>106896.37</v>
      </c>
      <c r="Q72" s="2">
        <v>178236.09</v>
      </c>
      <c r="R72" s="2">
        <v>208149.53</v>
      </c>
    </row>
    <row r="73" spans="1:21" x14ac:dyDescent="0.25">
      <c r="A73" t="s">
        <v>62</v>
      </c>
      <c r="B73" s="2">
        <v>1925</v>
      </c>
      <c r="C73" s="2">
        <v>2316</v>
      </c>
      <c r="D73" s="2">
        <v>2664</v>
      </c>
      <c r="E73" s="2">
        <v>3015</v>
      </c>
      <c r="F73" s="2">
        <v>3606</v>
      </c>
      <c r="G73" s="2">
        <v>3782</v>
      </c>
      <c r="H73" s="2">
        <v>4006</v>
      </c>
      <c r="I73" s="2">
        <v>4353</v>
      </c>
      <c r="J73" s="2">
        <v>5213</v>
      </c>
      <c r="K73" s="2">
        <v>7763</v>
      </c>
      <c r="L73" s="2">
        <v>9427</v>
      </c>
      <c r="M73" s="2">
        <v>11569</v>
      </c>
      <c r="N73" s="2">
        <v>17597</v>
      </c>
      <c r="O73" s="2">
        <v>30617.97</v>
      </c>
      <c r="P73" s="2">
        <v>56083.58</v>
      </c>
      <c r="Q73" s="2">
        <v>85529.81</v>
      </c>
      <c r="R73" s="2">
        <v>102937.04</v>
      </c>
      <c r="S73" s="2">
        <v>98880.54</v>
      </c>
      <c r="T73" s="2">
        <v>25520.26</v>
      </c>
      <c r="U73" s="2">
        <v>26829.97</v>
      </c>
    </row>
    <row r="74" spans="1:21" x14ac:dyDescent="0.25">
      <c r="A74" t="s">
        <v>67</v>
      </c>
      <c r="B74">
        <v>192</v>
      </c>
      <c r="C74">
        <v>21</v>
      </c>
      <c r="D74">
        <v>44</v>
      </c>
      <c r="E74">
        <v>54</v>
      </c>
      <c r="F74">
        <v>82</v>
      </c>
      <c r="G74">
        <v>99</v>
      </c>
      <c r="H74">
        <v>110</v>
      </c>
      <c r="I74">
        <v>134</v>
      </c>
      <c r="J74">
        <v>205</v>
      </c>
      <c r="K74">
        <v>435</v>
      </c>
      <c r="L74">
        <v>525</v>
      </c>
      <c r="M74">
        <v>609</v>
      </c>
      <c r="N74">
        <v>622</v>
      </c>
      <c r="O74">
        <v>609.61</v>
      </c>
      <c r="P74">
        <v>792.57</v>
      </c>
      <c r="Q74" s="2">
        <v>1068.03</v>
      </c>
      <c r="R74" s="2">
        <v>1251.6199999999999</v>
      </c>
      <c r="S74" s="2">
        <v>1657.87</v>
      </c>
      <c r="T74" s="2">
        <v>3171.62</v>
      </c>
      <c r="U74" s="2">
        <v>3516.22</v>
      </c>
    </row>
    <row r="75" spans="1:21" x14ac:dyDescent="0.25">
      <c r="A75" t="s">
        <v>422</v>
      </c>
      <c r="B75" s="2">
        <v>6241</v>
      </c>
      <c r="C75" s="2">
        <v>6163</v>
      </c>
      <c r="D75" s="2">
        <v>7346</v>
      </c>
      <c r="E75" s="2">
        <v>7211</v>
      </c>
      <c r="F75" s="2">
        <v>7292</v>
      </c>
      <c r="G75" s="2">
        <v>7379</v>
      </c>
      <c r="H75" s="2">
        <v>7024</v>
      </c>
      <c r="I75" s="2">
        <v>7758</v>
      </c>
      <c r="J75" s="2">
        <v>7442</v>
      </c>
      <c r="K75" s="2">
        <v>8035</v>
      </c>
      <c r="L75" s="2">
        <v>8255</v>
      </c>
      <c r="M75" s="2">
        <v>8309</v>
      </c>
      <c r="N75" s="2">
        <v>8890</v>
      </c>
    </row>
    <row r="76" spans="1:21" x14ac:dyDescent="0.25">
      <c r="A76" t="s">
        <v>2050</v>
      </c>
    </row>
    <row r="77" spans="1:21" x14ac:dyDescent="0.25">
      <c r="A77" t="s">
        <v>60</v>
      </c>
      <c r="B77" s="2">
        <v>5372</v>
      </c>
      <c r="C77" s="2">
        <v>5205</v>
      </c>
      <c r="D77" s="2">
        <v>4668</v>
      </c>
      <c r="E77" s="2">
        <v>4152</v>
      </c>
      <c r="F77" s="2">
        <v>3994</v>
      </c>
      <c r="G77" s="2">
        <v>3704</v>
      </c>
      <c r="H77" s="2">
        <v>3443</v>
      </c>
      <c r="I77" s="2">
        <v>3359</v>
      </c>
      <c r="J77" s="2">
        <v>3183</v>
      </c>
      <c r="K77" s="2">
        <v>3274</v>
      </c>
      <c r="L77" s="2">
        <v>3066</v>
      </c>
      <c r="M77" s="2">
        <v>2936</v>
      </c>
      <c r="N77" s="2">
        <v>3084</v>
      </c>
      <c r="O77" s="2">
        <v>3112.1</v>
      </c>
      <c r="P77" s="2">
        <v>3204.19</v>
      </c>
      <c r="Q77" s="2">
        <v>3148.79</v>
      </c>
      <c r="R77" s="2">
        <v>3146.86</v>
      </c>
      <c r="S77" s="2">
        <v>2981.27</v>
      </c>
      <c r="T77" s="2">
        <v>3226.45</v>
      </c>
      <c r="U77" s="2">
        <v>3226.45</v>
      </c>
    </row>
    <row r="78" spans="1:21" x14ac:dyDescent="0.25">
      <c r="A78" t="s">
        <v>61</v>
      </c>
      <c r="B78">
        <v>14</v>
      </c>
      <c r="C78">
        <v>14</v>
      </c>
      <c r="D78">
        <v>13</v>
      </c>
      <c r="E78">
        <v>11</v>
      </c>
      <c r="F78">
        <v>10</v>
      </c>
      <c r="G78">
        <v>9</v>
      </c>
      <c r="H78">
        <v>9</v>
      </c>
      <c r="I78">
        <v>8</v>
      </c>
      <c r="J78">
        <v>7</v>
      </c>
      <c r="K78">
        <v>7</v>
      </c>
      <c r="L78">
        <v>6</v>
      </c>
      <c r="M78">
        <v>5</v>
      </c>
      <c r="N78">
        <v>5</v>
      </c>
      <c r="O78">
        <v>3.56</v>
      </c>
      <c r="P78">
        <v>2.41</v>
      </c>
      <c r="Q78">
        <v>1.66</v>
      </c>
      <c r="R78">
        <v>1.35</v>
      </c>
      <c r="S78">
        <v>1.08</v>
      </c>
    </row>
    <row r="79" spans="1:21" x14ac:dyDescent="0.25">
      <c r="A79" t="s">
        <v>2044</v>
      </c>
      <c r="B79">
        <v>2</v>
      </c>
      <c r="C79">
        <v>2</v>
      </c>
      <c r="D79">
        <v>-5</v>
      </c>
      <c r="E79">
        <v>-10</v>
      </c>
      <c r="F79">
        <v>-6</v>
      </c>
      <c r="G79">
        <v>-5</v>
      </c>
      <c r="H79">
        <v>-6</v>
      </c>
      <c r="I79">
        <v>-4</v>
      </c>
      <c r="J79">
        <v>-3</v>
      </c>
      <c r="K79">
        <v>6</v>
      </c>
      <c r="L79">
        <v>-7</v>
      </c>
      <c r="M79">
        <v>-4</v>
      </c>
      <c r="N79">
        <v>3</v>
      </c>
      <c r="O79">
        <v>6.66</v>
      </c>
      <c r="P79">
        <v>0.64</v>
      </c>
      <c r="Q79">
        <v>-0.67</v>
      </c>
      <c r="R79">
        <v>0</v>
      </c>
      <c r="S79">
        <v>-2</v>
      </c>
      <c r="T79">
        <v>-2</v>
      </c>
      <c r="U79">
        <v>-2</v>
      </c>
    </row>
    <row r="80" spans="1:21" x14ac:dyDescent="0.25">
      <c r="A80" t="s">
        <v>2051</v>
      </c>
      <c r="B80" s="2">
        <v>5383</v>
      </c>
      <c r="C80" s="2">
        <v>2825</v>
      </c>
      <c r="D80" s="2">
        <v>4669</v>
      </c>
      <c r="E80" s="2">
        <v>4152</v>
      </c>
      <c r="F80" s="2">
        <v>3994</v>
      </c>
      <c r="G80" s="2">
        <v>3704</v>
      </c>
      <c r="H80" s="2">
        <v>3443</v>
      </c>
      <c r="I80" s="2">
        <v>3359</v>
      </c>
      <c r="J80" s="2">
        <v>3183</v>
      </c>
      <c r="K80" s="2">
        <v>3274</v>
      </c>
      <c r="L80" s="2">
        <v>3066</v>
      </c>
      <c r="M80" s="2">
        <v>2936</v>
      </c>
      <c r="N80" s="2">
        <v>3084</v>
      </c>
      <c r="O80" s="2">
        <v>3219.95</v>
      </c>
      <c r="P80" s="2">
        <v>3217.72</v>
      </c>
      <c r="Q80" s="2">
        <v>3187.86</v>
      </c>
      <c r="R80" s="2">
        <v>3203.33</v>
      </c>
      <c r="S80" s="2">
        <v>2937.85</v>
      </c>
      <c r="T80" s="2">
        <v>3226.45</v>
      </c>
      <c r="U80" s="2">
        <v>3226.45</v>
      </c>
    </row>
    <row r="81" spans="1:21" x14ac:dyDescent="0.25">
      <c r="A81" t="s">
        <v>62</v>
      </c>
      <c r="B81" s="2">
        <v>2357</v>
      </c>
      <c r="C81" s="2">
        <v>2287</v>
      </c>
      <c r="D81" s="2">
        <v>2064</v>
      </c>
      <c r="E81" s="2">
        <v>1653</v>
      </c>
      <c r="F81" s="2">
        <v>1576</v>
      </c>
      <c r="G81" s="2">
        <v>1360</v>
      </c>
      <c r="H81" s="2">
        <v>1116</v>
      </c>
      <c r="I81">
        <v>972</v>
      </c>
      <c r="J81">
        <v>972</v>
      </c>
      <c r="K81" s="2">
        <v>1040</v>
      </c>
      <c r="L81">
        <v>891</v>
      </c>
      <c r="M81">
        <v>782</v>
      </c>
      <c r="N81">
        <v>868</v>
      </c>
      <c r="O81">
        <v>916.31</v>
      </c>
      <c r="P81" s="2">
        <v>1040.81</v>
      </c>
      <c r="Q81" s="2">
        <v>1024.02</v>
      </c>
      <c r="R81" s="2">
        <v>1016.95</v>
      </c>
      <c r="S81">
        <v>992.97</v>
      </c>
      <c r="T81">
        <v>863.89</v>
      </c>
      <c r="U81">
        <v>863.89</v>
      </c>
    </row>
    <row r="82" spans="1:21" x14ac:dyDescent="0.25">
      <c r="A82" t="s">
        <v>67</v>
      </c>
      <c r="B82">
        <v>18</v>
      </c>
      <c r="C82">
        <v>12</v>
      </c>
      <c r="D82">
        <v>12</v>
      </c>
      <c r="E82">
        <v>11</v>
      </c>
      <c r="F82">
        <v>10</v>
      </c>
      <c r="G82">
        <v>10</v>
      </c>
      <c r="H82">
        <v>11</v>
      </c>
      <c r="I82">
        <v>11</v>
      </c>
      <c r="J82">
        <v>15</v>
      </c>
      <c r="K82">
        <v>18</v>
      </c>
      <c r="L82">
        <v>23</v>
      </c>
      <c r="M82">
        <v>29</v>
      </c>
      <c r="N82">
        <v>27</v>
      </c>
      <c r="O82">
        <v>23.69</v>
      </c>
      <c r="P82">
        <v>29.21</v>
      </c>
      <c r="Q82">
        <v>33.03</v>
      </c>
      <c r="R82">
        <v>35.11</v>
      </c>
      <c r="S82">
        <v>38.159999999999997</v>
      </c>
      <c r="T82">
        <v>25.01</v>
      </c>
      <c r="U82">
        <v>25.01</v>
      </c>
    </row>
    <row r="83" spans="1:21" x14ac:dyDescent="0.25">
      <c r="A83" t="s">
        <v>422</v>
      </c>
      <c r="B83">
        <v>664</v>
      </c>
      <c r="C83">
        <v>703</v>
      </c>
      <c r="D83">
        <v>675</v>
      </c>
      <c r="E83">
        <v>640</v>
      </c>
      <c r="F83">
        <v>645</v>
      </c>
      <c r="G83">
        <v>635</v>
      </c>
      <c r="H83">
        <v>613</v>
      </c>
      <c r="I83">
        <v>618</v>
      </c>
      <c r="J83">
        <v>555</v>
      </c>
      <c r="K83">
        <v>535</v>
      </c>
      <c r="L83">
        <v>546</v>
      </c>
      <c r="M83">
        <v>614</v>
      </c>
      <c r="N83">
        <v>521</v>
      </c>
    </row>
    <row r="84" spans="1:21" x14ac:dyDescent="0.25">
      <c r="A84" t="s">
        <v>468</v>
      </c>
    </row>
    <row r="85" spans="1:21" x14ac:dyDescent="0.25">
      <c r="A85" t="s">
        <v>60</v>
      </c>
      <c r="B85" s="2">
        <v>3704</v>
      </c>
      <c r="C85" s="2">
        <v>3546</v>
      </c>
      <c r="D85" s="2">
        <v>3389</v>
      </c>
      <c r="E85" s="2">
        <v>3358</v>
      </c>
      <c r="F85" s="2">
        <v>3395</v>
      </c>
      <c r="G85" s="2">
        <v>3240</v>
      </c>
      <c r="H85" s="2">
        <v>3106</v>
      </c>
      <c r="I85" s="2">
        <v>3021</v>
      </c>
      <c r="J85" s="2">
        <v>3205</v>
      </c>
      <c r="K85" s="2">
        <v>5594</v>
      </c>
      <c r="L85" s="2">
        <v>5431</v>
      </c>
      <c r="M85" s="2">
        <v>5233</v>
      </c>
      <c r="N85" s="2">
        <v>5743</v>
      </c>
      <c r="O85" s="2">
        <v>5915.4</v>
      </c>
      <c r="P85" s="2">
        <v>6038.23</v>
      </c>
      <c r="Q85" s="2">
        <v>5908.54</v>
      </c>
      <c r="R85" s="2">
        <v>6152.07</v>
      </c>
      <c r="S85" s="2">
        <v>6026.51</v>
      </c>
      <c r="T85" s="2">
        <v>5859.77</v>
      </c>
      <c r="U85" s="2">
        <v>5859.77</v>
      </c>
    </row>
    <row r="86" spans="1:21" x14ac:dyDescent="0.25">
      <c r="A86" t="s">
        <v>61</v>
      </c>
      <c r="B86">
        <v>10</v>
      </c>
      <c r="C86">
        <v>9</v>
      </c>
      <c r="D86">
        <v>9</v>
      </c>
      <c r="E86">
        <v>9</v>
      </c>
      <c r="F86">
        <v>9</v>
      </c>
      <c r="G86">
        <v>8</v>
      </c>
      <c r="H86">
        <v>8</v>
      </c>
      <c r="I86">
        <v>8</v>
      </c>
      <c r="J86">
        <v>8</v>
      </c>
      <c r="K86">
        <v>8</v>
      </c>
      <c r="L86">
        <v>10</v>
      </c>
      <c r="M86">
        <v>9</v>
      </c>
      <c r="N86">
        <v>8</v>
      </c>
      <c r="O86">
        <v>6.47</v>
      </c>
      <c r="P86">
        <v>4.5</v>
      </c>
      <c r="Q86">
        <v>3.27</v>
      </c>
      <c r="R86">
        <v>2.68</v>
      </c>
      <c r="S86">
        <v>2.37</v>
      </c>
    </row>
    <row r="87" spans="1:21" x14ac:dyDescent="0.25">
      <c r="A87" t="s">
        <v>2044</v>
      </c>
      <c r="B87">
        <v>-4</v>
      </c>
      <c r="C87">
        <v>0</v>
      </c>
      <c r="D87">
        <v>2</v>
      </c>
      <c r="E87">
        <v>0</v>
      </c>
      <c r="F87">
        <v>-1</v>
      </c>
      <c r="G87">
        <v>-2</v>
      </c>
      <c r="H87">
        <v>-3</v>
      </c>
      <c r="I87">
        <v>-5</v>
      </c>
      <c r="J87">
        <v>8</v>
      </c>
      <c r="K87">
        <v>81</v>
      </c>
      <c r="L87">
        <v>-3</v>
      </c>
      <c r="M87">
        <v>-3</v>
      </c>
      <c r="N87">
        <v>8</v>
      </c>
      <c r="O87">
        <v>2.93</v>
      </c>
      <c r="P87">
        <v>2.15</v>
      </c>
      <c r="Q87">
        <v>2.15</v>
      </c>
      <c r="R87">
        <v>2.15</v>
      </c>
      <c r="S87">
        <v>2</v>
      </c>
    </row>
    <row r="88" spans="1:21" x14ac:dyDescent="0.25">
      <c r="A88" t="s">
        <v>2049</v>
      </c>
      <c r="D88" s="2">
        <v>3391</v>
      </c>
      <c r="E88" s="2">
        <v>3358</v>
      </c>
      <c r="F88" s="2">
        <v>3395</v>
      </c>
      <c r="G88" s="2">
        <v>3240</v>
      </c>
      <c r="H88" s="2">
        <v>3106</v>
      </c>
      <c r="I88" s="2">
        <v>3021</v>
      </c>
      <c r="J88" s="2">
        <v>3205</v>
      </c>
      <c r="K88" s="2">
        <v>5594</v>
      </c>
      <c r="L88" s="2">
        <v>5431</v>
      </c>
      <c r="M88" s="2">
        <v>5233</v>
      </c>
      <c r="N88" s="2">
        <v>5743</v>
      </c>
      <c r="O88" s="2">
        <v>5900.72</v>
      </c>
      <c r="P88" s="2">
        <v>5936.31</v>
      </c>
      <c r="Q88" s="2">
        <v>5859.45</v>
      </c>
      <c r="R88" s="2">
        <v>6043.62</v>
      </c>
      <c r="S88" s="2">
        <v>6174</v>
      </c>
    </row>
    <row r="89" spans="1:21" x14ac:dyDescent="0.25">
      <c r="A89" t="s">
        <v>62</v>
      </c>
      <c r="B89" s="2">
        <v>2954</v>
      </c>
      <c r="C89" s="2">
        <v>2929</v>
      </c>
      <c r="D89" s="2">
        <v>2751</v>
      </c>
      <c r="E89" s="2">
        <v>2801</v>
      </c>
      <c r="F89" s="2">
        <v>2878</v>
      </c>
      <c r="G89" s="2">
        <v>2853</v>
      </c>
      <c r="H89" s="2">
        <v>2816</v>
      </c>
      <c r="I89" s="2">
        <v>2530</v>
      </c>
      <c r="J89" s="2">
        <v>2692</v>
      </c>
      <c r="K89" s="2">
        <v>4761</v>
      </c>
      <c r="L89" s="2">
        <v>4825</v>
      </c>
      <c r="M89" s="2">
        <v>4576</v>
      </c>
      <c r="N89" s="2">
        <v>4556</v>
      </c>
      <c r="O89" s="2">
        <v>4515.3900000000003</v>
      </c>
      <c r="P89" s="2">
        <v>4689.13</v>
      </c>
      <c r="Q89" s="2">
        <v>4623.71</v>
      </c>
      <c r="R89" s="2">
        <v>4809.03</v>
      </c>
      <c r="S89" s="2">
        <v>4891.0600000000004</v>
      </c>
      <c r="T89" s="2">
        <v>5016.3599999999997</v>
      </c>
      <c r="U89" s="2">
        <v>5016.3599999999997</v>
      </c>
    </row>
    <row r="90" spans="1:21" x14ac:dyDescent="0.25">
      <c r="A90" t="s">
        <v>67</v>
      </c>
      <c r="B90">
        <v>29</v>
      </c>
      <c r="C90">
        <v>30</v>
      </c>
      <c r="D90">
        <v>29</v>
      </c>
      <c r="E90">
        <v>44</v>
      </c>
      <c r="F90">
        <v>52</v>
      </c>
      <c r="G90">
        <v>49</v>
      </c>
      <c r="H90">
        <v>54</v>
      </c>
      <c r="I90">
        <v>55</v>
      </c>
      <c r="J90">
        <v>67</v>
      </c>
      <c r="K90">
        <v>137</v>
      </c>
      <c r="L90">
        <v>167</v>
      </c>
      <c r="M90">
        <v>202</v>
      </c>
      <c r="N90">
        <v>210</v>
      </c>
      <c r="O90">
        <v>192.09</v>
      </c>
      <c r="P90">
        <v>250.08</v>
      </c>
      <c r="Q90">
        <v>275.7</v>
      </c>
      <c r="R90">
        <v>292.83</v>
      </c>
      <c r="S90">
        <v>313.85000000000002</v>
      </c>
      <c r="T90">
        <v>211.35</v>
      </c>
      <c r="U90">
        <v>211.35</v>
      </c>
    </row>
    <row r="91" spans="1:21" x14ac:dyDescent="0.25">
      <c r="A91" t="s">
        <v>422</v>
      </c>
      <c r="B91">
        <v>364</v>
      </c>
      <c r="C91">
        <v>379</v>
      </c>
      <c r="D91">
        <v>339</v>
      </c>
      <c r="E91">
        <v>382</v>
      </c>
      <c r="F91">
        <v>404</v>
      </c>
      <c r="G91">
        <v>360</v>
      </c>
      <c r="H91">
        <v>365</v>
      </c>
      <c r="I91">
        <v>399</v>
      </c>
      <c r="J91">
        <v>360</v>
      </c>
      <c r="K91">
        <v>400</v>
      </c>
      <c r="L91">
        <v>512</v>
      </c>
      <c r="M91">
        <v>464</v>
      </c>
      <c r="N91">
        <v>505</v>
      </c>
    </row>
    <row r="92" spans="1:21" x14ac:dyDescent="0.25">
      <c r="A92" t="s">
        <v>17</v>
      </c>
    </row>
    <row r="93" spans="1:21" x14ac:dyDescent="0.25">
      <c r="A93" t="s">
        <v>72</v>
      </c>
    </row>
    <row r="94" spans="1:21" x14ac:dyDescent="0.25">
      <c r="A94" t="s">
        <v>80</v>
      </c>
      <c r="B94" s="2">
        <v>38275</v>
      </c>
      <c r="C94" s="2">
        <v>38226</v>
      </c>
      <c r="D94" s="2">
        <v>37047</v>
      </c>
      <c r="E94" s="2">
        <v>37728</v>
      </c>
      <c r="F94" s="2">
        <v>39383</v>
      </c>
      <c r="G94" s="2">
        <v>39506</v>
      </c>
      <c r="H94" s="2">
        <v>39068</v>
      </c>
      <c r="I94" s="2">
        <v>40479</v>
      </c>
      <c r="J94" s="2">
        <v>42440</v>
      </c>
      <c r="K94" s="2">
        <v>49954</v>
      </c>
      <c r="L94" s="2">
        <v>52961</v>
      </c>
      <c r="M94" s="2">
        <v>57399</v>
      </c>
      <c r="N94" s="2">
        <v>67357</v>
      </c>
      <c r="O94" s="2">
        <v>90133.16</v>
      </c>
      <c r="P94" s="2">
        <v>131950.13</v>
      </c>
      <c r="Q94" s="2">
        <v>184629.85</v>
      </c>
      <c r="R94" s="2">
        <v>223603.03</v>
      </c>
      <c r="S94" s="2">
        <v>246376.46</v>
      </c>
      <c r="T94" s="2">
        <v>229537.69</v>
      </c>
      <c r="U94" s="2">
        <v>230342.19</v>
      </c>
    </row>
    <row r="95" spans="1:21" x14ac:dyDescent="0.25">
      <c r="A95" t="s">
        <v>472</v>
      </c>
      <c r="B95" s="2">
        <v>20323</v>
      </c>
      <c r="C95" s="2">
        <v>21107</v>
      </c>
      <c r="D95" s="2">
        <v>20477</v>
      </c>
      <c r="E95" s="2">
        <v>21209</v>
      </c>
      <c r="F95" s="2">
        <v>21687</v>
      </c>
      <c r="G95" s="2">
        <v>21875</v>
      </c>
      <c r="H95" s="2">
        <v>21563</v>
      </c>
      <c r="I95" s="2">
        <v>21828</v>
      </c>
      <c r="J95" s="2">
        <v>23679</v>
      </c>
      <c r="K95" s="2">
        <v>31226</v>
      </c>
      <c r="L95" s="2">
        <v>33122</v>
      </c>
      <c r="M95" s="2">
        <v>36339</v>
      </c>
      <c r="N95" s="2">
        <v>44478</v>
      </c>
      <c r="O95" s="2">
        <v>30696.720000000001</v>
      </c>
      <c r="P95" s="2">
        <v>95697.54</v>
      </c>
      <c r="Q95" s="2">
        <v>136743.71</v>
      </c>
    </row>
    <row r="96" spans="1:21" x14ac:dyDescent="0.25">
      <c r="A96" t="s">
        <v>1774</v>
      </c>
      <c r="B96" s="2">
        <v>6006</v>
      </c>
      <c r="C96" s="2">
        <v>5739</v>
      </c>
      <c r="D96" s="2">
        <v>5700</v>
      </c>
      <c r="E96" s="2">
        <v>6060</v>
      </c>
      <c r="F96" s="2">
        <v>6333</v>
      </c>
      <c r="G96" s="2">
        <v>6380</v>
      </c>
      <c r="H96" s="2">
        <v>6470</v>
      </c>
      <c r="I96" s="2">
        <v>6757</v>
      </c>
      <c r="J96" s="2">
        <v>6750</v>
      </c>
      <c r="K96" s="2">
        <v>6619</v>
      </c>
      <c r="L96" s="2">
        <v>6809</v>
      </c>
      <c r="M96" s="2">
        <v>7035</v>
      </c>
      <c r="N96" s="2">
        <v>7582</v>
      </c>
      <c r="O96" s="2">
        <v>4103.28</v>
      </c>
      <c r="P96" s="2">
        <v>10775.78</v>
      </c>
      <c r="Q96" s="2">
        <v>12952.44</v>
      </c>
    </row>
    <row r="97" spans="1:21" x14ac:dyDescent="0.25">
      <c r="A97" t="s">
        <v>644</v>
      </c>
      <c r="B97" s="2">
        <v>11946</v>
      </c>
      <c r="C97" s="2">
        <v>11380</v>
      </c>
      <c r="D97" s="2">
        <v>10881</v>
      </c>
      <c r="E97" s="2">
        <v>10630</v>
      </c>
      <c r="F97" s="2">
        <v>11410</v>
      </c>
      <c r="G97" s="2">
        <v>11251</v>
      </c>
      <c r="H97" s="2">
        <v>11035</v>
      </c>
      <c r="I97" s="2">
        <v>11894</v>
      </c>
      <c r="J97" s="2">
        <v>12011</v>
      </c>
      <c r="K97" s="2">
        <v>12109</v>
      </c>
      <c r="L97" s="2">
        <v>13030</v>
      </c>
      <c r="M97" s="2">
        <v>14025</v>
      </c>
      <c r="N97" s="2">
        <v>15297</v>
      </c>
      <c r="O97" s="2">
        <v>8301.73</v>
      </c>
      <c r="P97" s="2">
        <v>25399.81</v>
      </c>
      <c r="Q97" s="2">
        <v>35710.85</v>
      </c>
    </row>
    <row r="98" spans="1:21" x14ac:dyDescent="0.25">
      <c r="A98" t="s">
        <v>17</v>
      </c>
    </row>
    <row r="99" spans="1:21" x14ac:dyDescent="0.25">
      <c r="A99" t="s">
        <v>274</v>
      </c>
    </row>
    <row r="100" spans="1:21" x14ac:dyDescent="0.25">
      <c r="A100" t="s">
        <v>80</v>
      </c>
      <c r="B100" s="2">
        <v>38306</v>
      </c>
      <c r="C100" s="2">
        <v>38253</v>
      </c>
      <c r="D100" s="2">
        <v>37057</v>
      </c>
      <c r="E100" s="2">
        <v>37899</v>
      </c>
      <c r="F100" s="2">
        <v>39878</v>
      </c>
      <c r="G100" s="2">
        <v>39526</v>
      </c>
      <c r="H100" s="2">
        <v>39068</v>
      </c>
      <c r="I100" s="2">
        <v>40481</v>
      </c>
      <c r="J100" s="2">
        <v>42440</v>
      </c>
      <c r="K100" s="2">
        <v>49954</v>
      </c>
      <c r="L100" s="2">
        <v>52961</v>
      </c>
      <c r="M100" s="2">
        <v>57399</v>
      </c>
      <c r="N100" s="2">
        <v>67357</v>
      </c>
      <c r="O100" s="2">
        <v>90420.19</v>
      </c>
      <c r="P100" s="2">
        <v>131235.97</v>
      </c>
      <c r="Q100" s="2">
        <v>183064.5</v>
      </c>
      <c r="R100" s="2">
        <v>224289.24</v>
      </c>
      <c r="S100" s="2">
        <v>252824.5</v>
      </c>
      <c r="T100" s="2">
        <v>279541</v>
      </c>
      <c r="U100" s="2">
        <v>76988553</v>
      </c>
    </row>
    <row r="101" spans="1:21" x14ac:dyDescent="0.25">
      <c r="A101" t="s">
        <v>17</v>
      </c>
    </row>
    <row r="102" spans="1:21" x14ac:dyDescent="0.25">
      <c r="A102" t="s">
        <v>82</v>
      </c>
      <c r="E102" s="2">
        <v>7360</v>
      </c>
      <c r="F102" s="2">
        <v>7916</v>
      </c>
      <c r="G102" s="2">
        <v>7837</v>
      </c>
      <c r="H102" s="2">
        <v>7763</v>
      </c>
      <c r="I102" s="2">
        <v>7655</v>
      </c>
      <c r="J102" s="2">
        <v>8590</v>
      </c>
      <c r="K102" s="2">
        <v>12974</v>
      </c>
      <c r="L102" s="2">
        <v>14428</v>
      </c>
      <c r="M102" s="2">
        <v>16087</v>
      </c>
      <c r="N102" s="2">
        <v>22162</v>
      </c>
      <c r="O102" s="2">
        <v>37686.39</v>
      </c>
      <c r="P102" s="2">
        <v>62945.919999999998</v>
      </c>
      <c r="Q102" s="2">
        <v>95830.36</v>
      </c>
      <c r="R102" s="2">
        <v>117254.06</v>
      </c>
      <c r="S102" s="2">
        <v>127515.1</v>
      </c>
      <c r="T102" s="2">
        <v>129059.09</v>
      </c>
      <c r="U102" s="2">
        <v>135875.43</v>
      </c>
    </row>
    <row r="103" spans="1:21" x14ac:dyDescent="0.25">
      <c r="A103" t="s">
        <v>84</v>
      </c>
      <c r="C103" s="2">
        <v>30773</v>
      </c>
      <c r="D103" s="2">
        <v>29653</v>
      </c>
      <c r="E103" s="2">
        <v>30539</v>
      </c>
      <c r="F103" s="2">
        <v>31514</v>
      </c>
      <c r="G103" s="2">
        <v>31689</v>
      </c>
      <c r="H103" s="2">
        <v>31309</v>
      </c>
      <c r="I103" s="2">
        <v>32826</v>
      </c>
      <c r="J103" s="2">
        <v>33850</v>
      </c>
      <c r="K103" s="2">
        <v>36980</v>
      </c>
      <c r="L103" s="2">
        <v>37818</v>
      </c>
      <c r="M103" s="2">
        <v>41312</v>
      </c>
      <c r="N103" s="2">
        <v>45195</v>
      </c>
      <c r="O103" s="2">
        <v>53693.38</v>
      </c>
      <c r="P103" s="2">
        <v>70074.570000000007</v>
      </c>
      <c r="Q103" s="2">
        <v>90621.56</v>
      </c>
      <c r="R103" s="2">
        <v>111883.27</v>
      </c>
      <c r="S103" s="2">
        <v>123016.33</v>
      </c>
      <c r="T103" s="2">
        <v>116892.3</v>
      </c>
      <c r="U103" s="2">
        <v>126156.8</v>
      </c>
    </row>
    <row r="104" spans="1:21" x14ac:dyDescent="0.25">
      <c r="A104" t="s">
        <v>85</v>
      </c>
      <c r="B104">
        <v>81.11</v>
      </c>
      <c r="C104">
        <v>80.31</v>
      </c>
      <c r="D104">
        <v>79.819999999999993</v>
      </c>
      <c r="E104">
        <v>80.510000000000005</v>
      </c>
      <c r="F104">
        <v>79.849999999999994</v>
      </c>
      <c r="G104">
        <v>80.17</v>
      </c>
      <c r="H104">
        <v>80.13</v>
      </c>
      <c r="I104">
        <v>81.09</v>
      </c>
      <c r="J104">
        <v>79.55</v>
      </c>
      <c r="K104">
        <v>74.03</v>
      </c>
      <c r="L104">
        <v>72.760000000000005</v>
      </c>
      <c r="M104">
        <v>71.97</v>
      </c>
      <c r="N104">
        <v>69.599999999999994</v>
      </c>
      <c r="O104">
        <v>58.77</v>
      </c>
      <c r="P104">
        <v>53.38</v>
      </c>
      <c r="Q104">
        <v>49.06</v>
      </c>
      <c r="R104">
        <v>48.34</v>
      </c>
      <c r="S104">
        <v>47.87</v>
      </c>
      <c r="T104">
        <v>45.55</v>
      </c>
      <c r="U104">
        <v>45.29</v>
      </c>
    </row>
    <row r="105" spans="1:21" x14ac:dyDescent="0.25">
      <c r="A105" t="s">
        <v>17</v>
      </c>
    </row>
    <row r="106" spans="1:21" x14ac:dyDescent="0.25">
      <c r="A106" t="s">
        <v>2052</v>
      </c>
      <c r="B106" s="2">
        <v>20197</v>
      </c>
      <c r="C106" s="2">
        <v>20860</v>
      </c>
      <c r="D106" s="2">
        <v>21271</v>
      </c>
      <c r="E106" s="2">
        <v>21732</v>
      </c>
      <c r="F106" s="2">
        <v>22275</v>
      </c>
      <c r="G106" s="2">
        <v>22142</v>
      </c>
      <c r="H106" s="2">
        <v>21690</v>
      </c>
      <c r="I106" s="2">
        <v>21481</v>
      </c>
      <c r="J106" s="2">
        <v>22847</v>
      </c>
      <c r="K106" s="2">
        <v>29052</v>
      </c>
      <c r="L106" s="2">
        <v>29906</v>
      </c>
      <c r="M106" s="2">
        <v>32366</v>
      </c>
      <c r="N106" s="2">
        <v>38431</v>
      </c>
      <c r="O106" s="2">
        <v>54291.73</v>
      </c>
      <c r="P106" s="2">
        <v>81277.100000000006</v>
      </c>
      <c r="Q106" s="2">
        <v>114747.66</v>
      </c>
      <c r="R106" s="2">
        <v>133117.72</v>
      </c>
      <c r="S106" s="2">
        <v>150170.01999999999</v>
      </c>
    </row>
    <row r="107" spans="1:21" x14ac:dyDescent="0.25">
      <c r="A107" t="s">
        <v>88</v>
      </c>
      <c r="E107" s="2">
        <v>1046</v>
      </c>
      <c r="F107" s="2">
        <v>1109</v>
      </c>
      <c r="G107" s="2">
        <v>1093</v>
      </c>
      <c r="H107" s="2">
        <v>1062</v>
      </c>
      <c r="I107" s="2">
        <v>1118</v>
      </c>
      <c r="J107" s="2">
        <v>1072</v>
      </c>
      <c r="K107" s="2">
        <v>1216</v>
      </c>
      <c r="L107" s="2">
        <v>1181</v>
      </c>
      <c r="M107" s="2">
        <v>1163</v>
      </c>
      <c r="N107" s="2">
        <v>1230</v>
      </c>
      <c r="O107" s="2">
        <v>1281.04</v>
      </c>
      <c r="P107" s="2">
        <v>1531.25</v>
      </c>
      <c r="Q107" s="2">
        <v>1702.65</v>
      </c>
      <c r="R107" s="2">
        <v>1624.9</v>
      </c>
      <c r="S107" s="2">
        <v>1762.24</v>
      </c>
      <c r="T107" s="2">
        <v>1662.87</v>
      </c>
      <c r="U107" s="2">
        <v>1688.78</v>
      </c>
    </row>
    <row r="108" spans="1:21" x14ac:dyDescent="0.25">
      <c r="A108" t="s">
        <v>89</v>
      </c>
      <c r="C108" s="2">
        <v>5002</v>
      </c>
      <c r="D108" s="2">
        <v>5178</v>
      </c>
      <c r="E108" s="2">
        <v>5389</v>
      </c>
      <c r="F108" s="2">
        <v>5163</v>
      </c>
      <c r="G108" s="2">
        <v>5063</v>
      </c>
      <c r="H108" s="2">
        <v>5032</v>
      </c>
      <c r="I108" s="2">
        <v>5339</v>
      </c>
      <c r="J108" s="2">
        <v>5586</v>
      </c>
      <c r="K108" s="2">
        <v>6640</v>
      </c>
      <c r="L108" s="2">
        <v>6690</v>
      </c>
      <c r="M108" s="2">
        <v>7222</v>
      </c>
      <c r="N108" s="2">
        <v>7467</v>
      </c>
      <c r="O108" s="2">
        <v>7827.86</v>
      </c>
      <c r="P108" s="2">
        <v>9278.5499999999993</v>
      </c>
      <c r="Q108" s="2">
        <v>9219.9699999999993</v>
      </c>
      <c r="R108" s="2">
        <v>9133.4599999999991</v>
      </c>
      <c r="S108" s="2">
        <v>8410.2900000000009</v>
      </c>
      <c r="T108" s="2">
        <v>7686.02</v>
      </c>
      <c r="U108" s="2">
        <v>7832.95</v>
      </c>
    </row>
    <row r="109" spans="1:21" x14ac:dyDescent="0.25">
      <c r="A109" t="s">
        <v>90</v>
      </c>
      <c r="B109" s="2">
        <v>7567</v>
      </c>
      <c r="D109" s="2">
        <v>7664</v>
      </c>
      <c r="E109" s="2">
        <v>7937</v>
      </c>
      <c r="F109" s="2">
        <v>8094</v>
      </c>
      <c r="G109" s="2">
        <v>8149</v>
      </c>
      <c r="H109" s="2">
        <v>7833</v>
      </c>
      <c r="I109" s="2">
        <v>7369</v>
      </c>
      <c r="J109" s="2">
        <v>7599</v>
      </c>
      <c r="K109" s="2">
        <v>8222</v>
      </c>
      <c r="L109" s="2">
        <v>7607</v>
      </c>
      <c r="M109" s="2">
        <v>7894</v>
      </c>
      <c r="N109" s="2">
        <v>7572</v>
      </c>
      <c r="O109" s="2">
        <v>7566.81</v>
      </c>
      <c r="P109" s="2">
        <v>8928.23</v>
      </c>
      <c r="Q109" s="2">
        <v>8818</v>
      </c>
      <c r="R109" s="2">
        <v>8706.1299999999992</v>
      </c>
      <c r="S109" s="2">
        <v>8295.7999999999993</v>
      </c>
      <c r="T109" s="2">
        <v>7755.52</v>
      </c>
      <c r="U109" s="2">
        <v>7911.6</v>
      </c>
    </row>
    <row r="110" spans="1:21" x14ac:dyDescent="0.25">
      <c r="A110" t="s">
        <v>2053</v>
      </c>
      <c r="B110" s="2">
        <v>2524</v>
      </c>
      <c r="C110" s="2">
        <v>2567</v>
      </c>
      <c r="D110" s="2">
        <v>2138</v>
      </c>
      <c r="E110" s="2">
        <v>2017</v>
      </c>
      <c r="F110" s="2">
        <v>2260</v>
      </c>
      <c r="G110" s="2">
        <v>2176</v>
      </c>
      <c r="H110" s="2">
        <v>1892</v>
      </c>
      <c r="I110" s="2">
        <v>1948</v>
      </c>
      <c r="J110" s="2">
        <v>6054</v>
      </c>
      <c r="K110" s="2">
        <v>4262</v>
      </c>
      <c r="L110" s="2">
        <v>3728</v>
      </c>
      <c r="M110" s="2">
        <v>2681</v>
      </c>
      <c r="N110" s="2">
        <v>3509</v>
      </c>
    </row>
    <row r="111" spans="1:21" x14ac:dyDescent="0.25">
      <c r="A111" t="s">
        <v>17</v>
      </c>
    </row>
    <row r="112" spans="1:21" x14ac:dyDescent="0.25">
      <c r="A112" t="s">
        <v>91</v>
      </c>
      <c r="B112" s="2">
        <v>18109</v>
      </c>
      <c r="C112" s="2">
        <v>17393</v>
      </c>
      <c r="D112" s="2">
        <v>15786</v>
      </c>
      <c r="E112" s="2">
        <v>16167</v>
      </c>
      <c r="F112" s="2">
        <v>13679</v>
      </c>
      <c r="G112" s="2">
        <v>17384</v>
      </c>
      <c r="H112" s="2">
        <v>17382</v>
      </c>
      <c r="I112" s="2">
        <v>19000</v>
      </c>
      <c r="J112" s="2">
        <v>19593</v>
      </c>
      <c r="K112" s="2">
        <v>20902</v>
      </c>
      <c r="L112" s="2">
        <v>23055</v>
      </c>
      <c r="M112" s="2">
        <v>25033</v>
      </c>
      <c r="N112" s="2">
        <v>28926</v>
      </c>
      <c r="O112" s="2">
        <v>36429.49</v>
      </c>
      <c r="P112" s="2">
        <v>49012.54</v>
      </c>
      <c r="Q112" s="2">
        <v>68597.89</v>
      </c>
      <c r="R112" s="2">
        <v>87558.94</v>
      </c>
      <c r="S112" s="2">
        <v>99751.4</v>
      </c>
      <c r="T112" s="2">
        <v>90775.5</v>
      </c>
      <c r="U112" s="2">
        <v>94789.5</v>
      </c>
    </row>
    <row r="113" spans="1:21" x14ac:dyDescent="0.25">
      <c r="A113" t="s">
        <v>92</v>
      </c>
      <c r="B113">
        <v>47.31</v>
      </c>
      <c r="C113">
        <v>45.5</v>
      </c>
      <c r="D113">
        <v>42.61</v>
      </c>
      <c r="E113">
        <v>42.85</v>
      </c>
      <c r="F113">
        <v>43.56</v>
      </c>
      <c r="G113">
        <v>44</v>
      </c>
      <c r="H113">
        <v>44.49</v>
      </c>
      <c r="I113">
        <v>46.94</v>
      </c>
      <c r="J113">
        <v>46.17</v>
      </c>
      <c r="K113">
        <v>41.84</v>
      </c>
      <c r="L113">
        <v>43.53</v>
      </c>
      <c r="M113">
        <v>43.61</v>
      </c>
      <c r="N113">
        <v>42.94</v>
      </c>
      <c r="O113">
        <v>40.08</v>
      </c>
      <c r="P113">
        <v>37.56</v>
      </c>
      <c r="Q113">
        <v>37.44</v>
      </c>
      <c r="R113">
        <v>39.119999999999997</v>
      </c>
      <c r="S113">
        <v>40.32</v>
      </c>
      <c r="T113">
        <v>37.86</v>
      </c>
      <c r="U113">
        <v>37.770000000000003</v>
      </c>
    </row>
    <row r="114" spans="1:21" x14ac:dyDescent="0.25">
      <c r="A114" t="s">
        <v>17</v>
      </c>
    </row>
    <row r="115" spans="1:21" x14ac:dyDescent="0.25">
      <c r="A115" t="s">
        <v>93</v>
      </c>
      <c r="B115" s="2">
        <v>2908</v>
      </c>
      <c r="C115" s="2">
        <v>2861</v>
      </c>
      <c r="D115" s="2">
        <v>2509</v>
      </c>
      <c r="E115" s="2">
        <v>2451</v>
      </c>
      <c r="F115" s="2">
        <v>2785</v>
      </c>
      <c r="G115" s="2">
        <v>2919</v>
      </c>
      <c r="H115" s="2">
        <v>2968</v>
      </c>
      <c r="I115" s="2">
        <v>2916</v>
      </c>
      <c r="J115" s="2">
        <v>3122</v>
      </c>
      <c r="K115" s="2">
        <v>6108</v>
      </c>
      <c r="L115" s="2">
        <v>6139</v>
      </c>
      <c r="M115" s="2">
        <v>6174</v>
      </c>
      <c r="N115" s="2">
        <v>9294</v>
      </c>
      <c r="O115" s="2">
        <v>16048.74</v>
      </c>
      <c r="P115" s="2">
        <v>24610.37</v>
      </c>
      <c r="Q115" s="2">
        <v>38039.910000000003</v>
      </c>
      <c r="R115" s="2">
        <v>46267.88</v>
      </c>
      <c r="S115" s="2">
        <v>46394.55</v>
      </c>
      <c r="T115" s="2">
        <v>45907.54</v>
      </c>
      <c r="U115" s="2">
        <v>46068.44</v>
      </c>
    </row>
    <row r="116" spans="1:21" x14ac:dyDescent="0.25">
      <c r="A116" t="s">
        <v>83</v>
      </c>
      <c r="B116">
        <v>7.6</v>
      </c>
      <c r="C116">
        <v>7.48</v>
      </c>
      <c r="D116">
        <v>6.77</v>
      </c>
      <c r="E116">
        <v>6.5</v>
      </c>
      <c r="F116">
        <v>7.07</v>
      </c>
      <c r="G116">
        <v>7.39</v>
      </c>
      <c r="H116">
        <v>7.6</v>
      </c>
      <c r="I116">
        <v>7.2</v>
      </c>
      <c r="J116">
        <v>7.36</v>
      </c>
      <c r="K116">
        <v>12.23</v>
      </c>
      <c r="L116">
        <v>11.59</v>
      </c>
      <c r="M116">
        <v>10.76</v>
      </c>
      <c r="N116">
        <v>13.8</v>
      </c>
      <c r="O116">
        <v>16.7</v>
      </c>
      <c r="P116">
        <v>18.09</v>
      </c>
      <c r="Q116">
        <v>20.89</v>
      </c>
      <c r="R116">
        <v>20.6</v>
      </c>
      <c r="S116">
        <v>20</v>
      </c>
      <c r="T116">
        <v>20</v>
      </c>
      <c r="U116">
        <v>20</v>
      </c>
    </row>
    <row r="117" spans="1:21" x14ac:dyDescent="0.25">
      <c r="A117" t="s">
        <v>94</v>
      </c>
      <c r="B117">
        <v>608</v>
      </c>
      <c r="C117">
        <v>712</v>
      </c>
      <c r="D117">
        <v>871</v>
      </c>
      <c r="E117" s="2">
        <v>1000</v>
      </c>
      <c r="F117" s="2">
        <v>1165</v>
      </c>
      <c r="G117" s="2">
        <v>1230</v>
      </c>
      <c r="H117" s="2">
        <v>1382</v>
      </c>
      <c r="I117" s="2">
        <v>1537</v>
      </c>
      <c r="J117" s="2">
        <v>1972</v>
      </c>
      <c r="K117" s="2">
        <v>2526</v>
      </c>
      <c r="L117" s="2">
        <v>3129</v>
      </c>
      <c r="M117" s="2">
        <v>3867</v>
      </c>
      <c r="N117" s="2">
        <v>7623</v>
      </c>
      <c r="O117" s="2">
        <v>15747.56</v>
      </c>
      <c r="P117" s="2">
        <v>24467.73</v>
      </c>
      <c r="Q117" s="2">
        <v>35336.68</v>
      </c>
      <c r="R117" s="2">
        <v>48286.239999999998</v>
      </c>
      <c r="S117" s="2">
        <v>54797.07</v>
      </c>
      <c r="T117" s="2">
        <v>68353.64</v>
      </c>
      <c r="U117" s="2">
        <v>70695.600000000006</v>
      </c>
    </row>
    <row r="118" spans="1:21" x14ac:dyDescent="0.25">
      <c r="A118" t="s">
        <v>815</v>
      </c>
      <c r="B118">
        <v>1.59</v>
      </c>
      <c r="C118">
        <v>1.86</v>
      </c>
      <c r="D118">
        <v>2.35</v>
      </c>
      <c r="E118">
        <v>2.65</v>
      </c>
      <c r="F118">
        <v>2.96</v>
      </c>
      <c r="G118">
        <v>3.11</v>
      </c>
      <c r="H118">
        <v>3.54</v>
      </c>
      <c r="I118">
        <v>3.8</v>
      </c>
      <c r="J118">
        <v>4.6500000000000004</v>
      </c>
      <c r="K118">
        <v>5.0599999999999996</v>
      </c>
      <c r="L118">
        <v>5.91</v>
      </c>
      <c r="M118">
        <v>6.74</v>
      </c>
      <c r="N118">
        <v>11.32</v>
      </c>
      <c r="O118">
        <v>14.4</v>
      </c>
      <c r="P118">
        <v>16.32</v>
      </c>
      <c r="Q118">
        <v>18.489999999999998</v>
      </c>
      <c r="R118">
        <v>19.3</v>
      </c>
      <c r="S118">
        <v>22.24</v>
      </c>
      <c r="T118">
        <v>29.78</v>
      </c>
      <c r="U118">
        <v>30.69</v>
      </c>
    </row>
    <row r="119" spans="1:21" x14ac:dyDescent="0.25">
      <c r="A119" t="s">
        <v>127</v>
      </c>
      <c r="B119" s="2">
        <v>2300</v>
      </c>
      <c r="C119" s="2">
        <v>2149</v>
      </c>
      <c r="D119" s="2">
        <v>1638</v>
      </c>
      <c r="E119" s="2">
        <v>1451</v>
      </c>
      <c r="F119" s="2">
        <v>1620</v>
      </c>
      <c r="G119" s="2">
        <v>1689</v>
      </c>
      <c r="H119" s="2">
        <v>1586</v>
      </c>
      <c r="I119" s="2">
        <v>1379</v>
      </c>
      <c r="J119" s="2">
        <v>1150</v>
      </c>
      <c r="K119" s="2">
        <v>3582</v>
      </c>
      <c r="L119" s="2">
        <v>3010</v>
      </c>
      <c r="M119" s="2">
        <v>2307</v>
      </c>
      <c r="N119" s="2">
        <v>1671</v>
      </c>
      <c r="O119" s="2">
        <v>1366.2</v>
      </c>
      <c r="P119" s="2">
        <v>1512.11</v>
      </c>
      <c r="Q119" s="2">
        <v>1062.8499999999999</v>
      </c>
      <c r="R119">
        <v>988.79</v>
      </c>
      <c r="S119" s="2">
        <v>1651.75</v>
      </c>
      <c r="T119">
        <v>808</v>
      </c>
      <c r="U119">
        <v>808</v>
      </c>
    </row>
    <row r="120" spans="1:21" x14ac:dyDescent="0.25">
      <c r="A120" t="s">
        <v>277</v>
      </c>
      <c r="B120" s="2">
        <v>18717</v>
      </c>
      <c r="C120" s="2">
        <v>18105</v>
      </c>
      <c r="D120" s="2">
        <v>16657</v>
      </c>
      <c r="E120" s="2">
        <v>17167</v>
      </c>
      <c r="F120" s="2">
        <v>14844</v>
      </c>
      <c r="G120" s="2">
        <v>18614</v>
      </c>
      <c r="H120" s="2">
        <v>18968</v>
      </c>
      <c r="I120" s="2">
        <v>20537</v>
      </c>
      <c r="J120" s="2">
        <v>21565</v>
      </c>
      <c r="K120" s="2">
        <v>23428</v>
      </c>
      <c r="L120" s="2">
        <v>26184</v>
      </c>
      <c r="M120" s="2">
        <v>28900</v>
      </c>
      <c r="N120" s="2">
        <v>36548</v>
      </c>
      <c r="O120" s="2">
        <v>52516.77</v>
      </c>
      <c r="P120" s="2">
        <v>76183.23</v>
      </c>
      <c r="Q120" s="2">
        <v>107150.1</v>
      </c>
      <c r="R120" s="2">
        <v>132735</v>
      </c>
      <c r="S120" s="2">
        <v>147495</v>
      </c>
      <c r="T120" s="2">
        <v>135330</v>
      </c>
      <c r="U120" s="2">
        <v>135827</v>
      </c>
    </row>
    <row r="121" spans="1:21" x14ac:dyDescent="0.25">
      <c r="A121" t="s">
        <v>17</v>
      </c>
    </row>
    <row r="122" spans="1:21" x14ac:dyDescent="0.25">
      <c r="A122" t="s">
        <v>96</v>
      </c>
      <c r="B122">
        <v>914</v>
      </c>
      <c r="C122" s="2">
        <v>1143</v>
      </c>
      <c r="D122" s="2">
        <v>1467</v>
      </c>
      <c r="E122" s="2">
        <v>1798</v>
      </c>
      <c r="F122" s="2">
        <v>2025</v>
      </c>
      <c r="G122" s="2">
        <v>2082</v>
      </c>
      <c r="H122" s="2">
        <v>1995</v>
      </c>
      <c r="I122" s="2">
        <v>2496</v>
      </c>
      <c r="J122" s="2">
        <v>2755</v>
      </c>
      <c r="K122" s="2">
        <v>3505</v>
      </c>
      <c r="L122" s="2">
        <v>3514</v>
      </c>
      <c r="M122" s="2">
        <v>3578</v>
      </c>
      <c r="N122" s="2">
        <v>4599</v>
      </c>
      <c r="O122" s="2">
        <v>6277.81</v>
      </c>
      <c r="P122" s="2">
        <v>7787.4</v>
      </c>
      <c r="Q122" s="2">
        <v>8469.1299999999992</v>
      </c>
      <c r="R122" s="2">
        <v>8892.7900000000009</v>
      </c>
      <c r="S122" s="2">
        <v>9114.4</v>
      </c>
      <c r="T122" s="2">
        <v>9390.7900000000009</v>
      </c>
      <c r="U122" s="2">
        <v>8096.75</v>
      </c>
    </row>
    <row r="123" spans="1:21" x14ac:dyDescent="0.25">
      <c r="A123" t="s">
        <v>97</v>
      </c>
      <c r="B123">
        <v>141</v>
      </c>
      <c r="C123">
        <v>-106</v>
      </c>
      <c r="D123">
        <v>-305</v>
      </c>
      <c r="E123">
        <v>-605</v>
      </c>
      <c r="F123" s="2">
        <v>-1185</v>
      </c>
      <c r="G123">
        <v>-815</v>
      </c>
      <c r="H123">
        <v>-162</v>
      </c>
      <c r="I123">
        <v>-282</v>
      </c>
      <c r="J123">
        <v>522</v>
      </c>
      <c r="K123">
        <v>462</v>
      </c>
      <c r="L123">
        <v>98</v>
      </c>
      <c r="M123">
        <v>-60</v>
      </c>
      <c r="N123" s="2">
        <v>-3547</v>
      </c>
      <c r="O123">
        <v>-827.14</v>
      </c>
      <c r="P123">
        <v>-670.38</v>
      </c>
      <c r="Q123">
        <v>-458.41</v>
      </c>
      <c r="R123">
        <v>-486.58</v>
      </c>
      <c r="S123">
        <v>-680.87</v>
      </c>
      <c r="T123" s="2">
        <v>-1685.96</v>
      </c>
      <c r="U123" s="2">
        <v>-2339.19</v>
      </c>
    </row>
    <row r="124" spans="1:21" x14ac:dyDescent="0.25">
      <c r="A124" t="s">
        <v>2054</v>
      </c>
      <c r="B124" s="2">
        <v>1055</v>
      </c>
      <c r="C124" s="2">
        <v>1037</v>
      </c>
      <c r="D124" s="2">
        <v>1162</v>
      </c>
      <c r="E124" s="2">
        <v>1193</v>
      </c>
      <c r="F124">
        <v>840</v>
      </c>
      <c r="G124" s="2">
        <v>1267</v>
      </c>
      <c r="H124" s="2">
        <v>1833</v>
      </c>
      <c r="I124" s="2">
        <v>2214</v>
      </c>
      <c r="J124" s="2">
        <v>3277</v>
      </c>
      <c r="K124" s="2">
        <v>3967</v>
      </c>
      <c r="L124" s="2">
        <v>3612</v>
      </c>
      <c r="M124" s="2">
        <v>3518</v>
      </c>
      <c r="N124" s="2">
        <v>1052</v>
      </c>
      <c r="O124" s="2">
        <v>5417.97</v>
      </c>
      <c r="P124" s="2">
        <v>7142.05</v>
      </c>
      <c r="Q124" s="2">
        <v>7966.5</v>
      </c>
      <c r="R124" s="2">
        <v>8239.74</v>
      </c>
      <c r="S124" s="2">
        <v>7988.45</v>
      </c>
      <c r="T124" s="2">
        <v>9390.7900000000009</v>
      </c>
      <c r="U124" s="2">
        <v>8096.75</v>
      </c>
    </row>
    <row r="125" spans="1:21" x14ac:dyDescent="0.25">
      <c r="A125" t="s">
        <v>100</v>
      </c>
      <c r="B125" s="2">
        <v>17054</v>
      </c>
      <c r="C125" s="2">
        <v>16356</v>
      </c>
      <c r="D125" s="2">
        <v>14614</v>
      </c>
      <c r="E125" s="2">
        <v>14974</v>
      </c>
      <c r="F125" s="2">
        <v>16782</v>
      </c>
      <c r="G125" s="2">
        <v>16117</v>
      </c>
      <c r="H125" s="2">
        <v>15549</v>
      </c>
      <c r="I125" s="2">
        <v>16786</v>
      </c>
      <c r="J125" s="2">
        <v>10568</v>
      </c>
      <c r="K125" s="2">
        <v>16935</v>
      </c>
      <c r="L125" s="2">
        <v>19443</v>
      </c>
      <c r="M125" s="2">
        <v>21515</v>
      </c>
      <c r="N125" s="2">
        <v>27874</v>
      </c>
      <c r="O125" s="2">
        <v>30740.45</v>
      </c>
      <c r="P125" s="2">
        <v>42186.09</v>
      </c>
      <c r="Q125" s="2">
        <v>61462.38</v>
      </c>
      <c r="R125" s="2">
        <v>80623.23</v>
      </c>
      <c r="S125" s="2">
        <v>91839.2</v>
      </c>
      <c r="T125" s="2">
        <v>83070.5</v>
      </c>
      <c r="U125" s="2">
        <v>89032</v>
      </c>
    </row>
    <row r="126" spans="1:21" x14ac:dyDescent="0.25">
      <c r="A126" t="s">
        <v>83</v>
      </c>
      <c r="B126">
        <v>35.799999999999997</v>
      </c>
      <c r="C126">
        <v>33.57</v>
      </c>
      <c r="D126">
        <v>30.89</v>
      </c>
      <c r="E126">
        <v>30.53</v>
      </c>
      <c r="F126">
        <v>31.55</v>
      </c>
      <c r="G126">
        <v>31.05</v>
      </c>
      <c r="H126">
        <v>30.88</v>
      </c>
      <c r="I126">
        <v>32.11</v>
      </c>
      <c r="J126">
        <v>18.02</v>
      </c>
      <c r="K126">
        <v>18.27</v>
      </c>
      <c r="L126">
        <v>22.17</v>
      </c>
      <c r="M126">
        <v>24.67</v>
      </c>
      <c r="N126">
        <v>29.03</v>
      </c>
      <c r="O126">
        <v>26.21</v>
      </c>
      <c r="P126">
        <v>24.02</v>
      </c>
      <c r="Q126">
        <v>24.36</v>
      </c>
      <c r="R126">
        <v>26.75</v>
      </c>
      <c r="S126">
        <v>27.93</v>
      </c>
      <c r="T126">
        <v>28.45</v>
      </c>
      <c r="U126">
        <v>30.79</v>
      </c>
    </row>
    <row r="127" spans="1:21" x14ac:dyDescent="0.25">
      <c r="A127" t="s">
        <v>17</v>
      </c>
    </row>
    <row r="128" spans="1:21" x14ac:dyDescent="0.25">
      <c r="A128" t="s">
        <v>101</v>
      </c>
      <c r="C128" s="2">
        <v>3867</v>
      </c>
      <c r="D128" s="2">
        <v>3387</v>
      </c>
      <c r="E128" s="2">
        <v>3415</v>
      </c>
      <c r="F128" s="2">
        <v>3398</v>
      </c>
      <c r="G128" s="2">
        <v>2980</v>
      </c>
      <c r="H128" s="2">
        <v>2867</v>
      </c>
      <c r="I128" s="2">
        <v>2661</v>
      </c>
      <c r="J128" s="2">
        <v>2655</v>
      </c>
      <c r="K128" s="2">
        <v>2759</v>
      </c>
      <c r="L128" s="2">
        <v>3733</v>
      </c>
      <c r="M128" s="2">
        <v>4231</v>
      </c>
      <c r="N128" s="2">
        <v>5537</v>
      </c>
      <c r="O128" s="2">
        <v>5870.71</v>
      </c>
      <c r="P128" s="2">
        <v>8355.4599999999991</v>
      </c>
      <c r="Q128" s="2">
        <v>11983.06</v>
      </c>
      <c r="R128" s="2">
        <v>15657.48</v>
      </c>
      <c r="S128" s="2">
        <v>18275.77</v>
      </c>
      <c r="T128" s="2">
        <v>16150.86</v>
      </c>
      <c r="U128" s="2">
        <v>17248.59</v>
      </c>
    </row>
    <row r="129" spans="1:21" x14ac:dyDescent="0.25">
      <c r="A129" t="s">
        <v>102</v>
      </c>
      <c r="B129">
        <v>22.5</v>
      </c>
      <c r="C129">
        <v>23.6</v>
      </c>
      <c r="D129">
        <v>23.2</v>
      </c>
      <c r="E129">
        <v>22.8</v>
      </c>
      <c r="F129">
        <v>20.8</v>
      </c>
      <c r="G129">
        <v>18.5</v>
      </c>
      <c r="H129">
        <v>18.399999999999999</v>
      </c>
      <c r="I129">
        <v>15.9</v>
      </c>
      <c r="J129">
        <v>16.3</v>
      </c>
      <c r="K129">
        <v>16.3</v>
      </c>
      <c r="L129">
        <v>19.2</v>
      </c>
      <c r="M129">
        <v>19.7</v>
      </c>
      <c r="N129">
        <v>19.899999999999999</v>
      </c>
      <c r="O129">
        <v>19.04</v>
      </c>
      <c r="P129">
        <v>19.63</v>
      </c>
      <c r="Q129">
        <v>19.559999999999999</v>
      </c>
      <c r="R129">
        <v>19.670000000000002</v>
      </c>
      <c r="S129">
        <v>19.88</v>
      </c>
      <c r="T129">
        <v>19.5</v>
      </c>
      <c r="U129">
        <v>19.5</v>
      </c>
    </row>
    <row r="130" spans="1:21" x14ac:dyDescent="0.25">
      <c r="A130" t="s">
        <v>103</v>
      </c>
      <c r="B130">
        <v>-248</v>
      </c>
      <c r="C130">
        <v>-548</v>
      </c>
      <c r="D130">
        <v>-105</v>
      </c>
      <c r="E130">
        <v>-486</v>
      </c>
      <c r="F130">
        <v>-847</v>
      </c>
      <c r="G130" s="2">
        <v>-1191</v>
      </c>
      <c r="H130">
        <v>-851</v>
      </c>
      <c r="I130" s="2">
        <v>-2425</v>
      </c>
      <c r="J130" s="2">
        <v>-1146</v>
      </c>
      <c r="K130" s="2">
        <v>-2167</v>
      </c>
      <c r="L130" s="2">
        <v>-2139</v>
      </c>
      <c r="M130" s="2">
        <v>-1637</v>
      </c>
      <c r="N130">
        <v>-917</v>
      </c>
    </row>
    <row r="131" spans="1:21" x14ac:dyDescent="0.25">
      <c r="A131" t="s">
        <v>17</v>
      </c>
    </row>
    <row r="132" spans="1:21" x14ac:dyDescent="0.25">
      <c r="A132" t="s">
        <v>106</v>
      </c>
      <c r="B132" s="2">
        <v>13214</v>
      </c>
      <c r="C132" s="2">
        <v>12489</v>
      </c>
      <c r="D132" s="2">
        <v>11237</v>
      </c>
      <c r="E132" s="2">
        <v>11559</v>
      </c>
      <c r="F132" s="2">
        <v>13244</v>
      </c>
      <c r="G132" s="2">
        <v>13137</v>
      </c>
      <c r="H132" s="2">
        <v>14272</v>
      </c>
      <c r="I132" s="2">
        <v>15962</v>
      </c>
      <c r="J132" s="2">
        <v>13661</v>
      </c>
      <c r="K132" s="2">
        <v>14176</v>
      </c>
      <c r="L132" s="2">
        <v>15709</v>
      </c>
      <c r="M132" s="2">
        <v>17284</v>
      </c>
      <c r="N132" s="2">
        <v>22235</v>
      </c>
      <c r="O132" s="2">
        <v>24680.59</v>
      </c>
      <c r="P132" s="2">
        <v>33715.54</v>
      </c>
      <c r="Q132" s="2">
        <v>48596.35</v>
      </c>
      <c r="R132" s="2">
        <v>63545.599999999999</v>
      </c>
      <c r="S132" s="2">
        <v>72649.33</v>
      </c>
      <c r="T132" s="2">
        <v>66919.5</v>
      </c>
      <c r="U132" s="2">
        <v>71783</v>
      </c>
    </row>
    <row r="133" spans="1:21" x14ac:dyDescent="0.25">
      <c r="A133" t="s">
        <v>280</v>
      </c>
      <c r="B133">
        <v>34.520000000000003</v>
      </c>
      <c r="C133">
        <v>32.67</v>
      </c>
      <c r="D133">
        <v>30.33</v>
      </c>
      <c r="E133">
        <v>30.64</v>
      </c>
      <c r="F133">
        <v>32.799999999999997</v>
      </c>
      <c r="G133">
        <v>33.25</v>
      </c>
      <c r="H133">
        <v>32.46</v>
      </c>
      <c r="I133">
        <v>34.89</v>
      </c>
      <c r="J133">
        <v>32.19</v>
      </c>
      <c r="K133">
        <v>28.38</v>
      </c>
      <c r="L133">
        <v>29.66</v>
      </c>
      <c r="M133">
        <v>30.11</v>
      </c>
      <c r="N133">
        <v>33.159999999999997</v>
      </c>
      <c r="O133">
        <v>27.46</v>
      </c>
      <c r="P133">
        <v>25.89</v>
      </c>
      <c r="Q133">
        <v>26.42</v>
      </c>
      <c r="R133">
        <v>27.85</v>
      </c>
      <c r="S133">
        <v>28.95</v>
      </c>
    </row>
    <row r="134" spans="1:21" x14ac:dyDescent="0.25">
      <c r="A134" t="s">
        <v>17</v>
      </c>
    </row>
    <row r="135" spans="1:21" x14ac:dyDescent="0.25">
      <c r="A135" t="s">
        <v>108</v>
      </c>
      <c r="B135" s="2">
        <v>4528</v>
      </c>
      <c r="C135" s="2">
        <v>4404</v>
      </c>
      <c r="D135" s="2">
        <v>4221</v>
      </c>
      <c r="E135" s="2">
        <v>4115</v>
      </c>
      <c r="F135" s="2">
        <v>4121</v>
      </c>
      <c r="G135" s="2">
        <v>3634</v>
      </c>
      <c r="H135" s="2">
        <v>3211</v>
      </c>
      <c r="I135" s="2">
        <v>2945</v>
      </c>
      <c r="J135" s="2">
        <v>2700</v>
      </c>
      <c r="K135" s="2">
        <v>2696</v>
      </c>
      <c r="L135" s="2">
        <v>2744</v>
      </c>
      <c r="M135" s="2">
        <v>2789</v>
      </c>
      <c r="N135" s="2">
        <v>2860</v>
      </c>
      <c r="O135" s="2">
        <v>2996.98</v>
      </c>
      <c r="P135" s="2">
        <v>3044.03</v>
      </c>
      <c r="Q135" s="2">
        <v>3078</v>
      </c>
      <c r="R135" s="2">
        <v>3113.71</v>
      </c>
      <c r="S135" s="2">
        <v>3139.92</v>
      </c>
      <c r="T135" s="2">
        <v>3241.47</v>
      </c>
      <c r="U135" s="2">
        <v>3285.26</v>
      </c>
    </row>
    <row r="136" spans="1:21" x14ac:dyDescent="0.25">
      <c r="A136" t="s">
        <v>888</v>
      </c>
      <c r="B136">
        <v>2.84</v>
      </c>
      <c r="C136">
        <v>2.83</v>
      </c>
      <c r="D136">
        <v>2.66</v>
      </c>
      <c r="E136">
        <v>2.82</v>
      </c>
      <c r="F136">
        <v>3.19</v>
      </c>
      <c r="G136">
        <v>3.61</v>
      </c>
      <c r="H136">
        <v>3.95</v>
      </c>
      <c r="I136">
        <v>4.8</v>
      </c>
      <c r="J136">
        <v>6.8</v>
      </c>
      <c r="K136">
        <v>5.26</v>
      </c>
      <c r="L136">
        <v>5.73</v>
      </c>
      <c r="M136">
        <v>6.47</v>
      </c>
      <c r="N136">
        <v>7.23</v>
      </c>
      <c r="O136">
        <v>8.2899999999999991</v>
      </c>
      <c r="P136">
        <v>11.2</v>
      </c>
      <c r="Q136">
        <v>16.2</v>
      </c>
      <c r="R136">
        <v>21.38</v>
      </c>
      <c r="S136">
        <v>25.66</v>
      </c>
    </row>
    <row r="137" spans="1:21" x14ac:dyDescent="0.25">
      <c r="A137" t="s">
        <v>17</v>
      </c>
    </row>
    <row r="138" spans="1:21" x14ac:dyDescent="0.25">
      <c r="A138" t="s">
        <v>109</v>
      </c>
      <c r="B138" s="2">
        <v>4604</v>
      </c>
      <c r="C138" s="2">
        <v>4503</v>
      </c>
      <c r="D138" s="2">
        <v>4305</v>
      </c>
      <c r="E138" s="2">
        <v>4217</v>
      </c>
      <c r="F138" s="2">
        <v>4238</v>
      </c>
      <c r="G138" s="2">
        <v>3732</v>
      </c>
      <c r="H138" s="2">
        <v>3294</v>
      </c>
      <c r="I138" s="2">
        <v>3022</v>
      </c>
      <c r="J138" s="2">
        <v>2786</v>
      </c>
      <c r="K138" s="2">
        <v>2766</v>
      </c>
      <c r="L138" s="2">
        <v>2823</v>
      </c>
      <c r="M138" s="2">
        <v>2866</v>
      </c>
      <c r="N138" s="2">
        <v>2914</v>
      </c>
      <c r="O138" s="2">
        <v>3030.86</v>
      </c>
      <c r="P138" s="2">
        <v>3072.96</v>
      </c>
      <c r="Q138" s="2">
        <v>3110.6</v>
      </c>
      <c r="R138" s="2">
        <v>3139.59</v>
      </c>
      <c r="S138" s="2">
        <v>3151.7</v>
      </c>
      <c r="T138" s="2">
        <v>3258.47</v>
      </c>
      <c r="U138" s="2">
        <v>3302.26</v>
      </c>
    </row>
    <row r="139" spans="1:21" x14ac:dyDescent="0.25">
      <c r="A139" t="s">
        <v>110</v>
      </c>
      <c r="B139">
        <v>2.87</v>
      </c>
      <c r="C139">
        <v>2.77</v>
      </c>
      <c r="D139">
        <v>2.61</v>
      </c>
      <c r="E139">
        <v>2.74</v>
      </c>
      <c r="F139">
        <v>3.12</v>
      </c>
      <c r="G139">
        <v>3.52</v>
      </c>
      <c r="H139">
        <v>4.33</v>
      </c>
      <c r="I139">
        <v>5.28</v>
      </c>
      <c r="J139">
        <v>4.9000000000000004</v>
      </c>
      <c r="K139">
        <v>5.12</v>
      </c>
      <c r="L139">
        <v>5.56</v>
      </c>
      <c r="M139">
        <v>6.03</v>
      </c>
      <c r="N139">
        <v>7.63</v>
      </c>
      <c r="O139">
        <v>8.16</v>
      </c>
      <c r="P139">
        <v>11.07</v>
      </c>
      <c r="Q139">
        <v>15.73</v>
      </c>
      <c r="R139">
        <v>20.45</v>
      </c>
      <c r="S139">
        <v>23.89</v>
      </c>
      <c r="T139">
        <v>22</v>
      </c>
      <c r="U139">
        <v>24.34</v>
      </c>
    </row>
    <row r="140" spans="1:21" x14ac:dyDescent="0.25">
      <c r="A140" t="s">
        <v>17</v>
      </c>
    </row>
    <row r="141" spans="1:21" x14ac:dyDescent="0.25">
      <c r="A141" t="s">
        <v>487</v>
      </c>
      <c r="B141">
        <v>0.48</v>
      </c>
      <c r="C141">
        <v>0.51</v>
      </c>
      <c r="D141">
        <v>0.6</v>
      </c>
      <c r="E141">
        <v>0.64</v>
      </c>
      <c r="F141">
        <v>0.76</v>
      </c>
      <c r="G141">
        <v>0.81</v>
      </c>
      <c r="H141">
        <v>0.96</v>
      </c>
      <c r="I141">
        <v>1.04</v>
      </c>
      <c r="J141">
        <v>1.28</v>
      </c>
      <c r="K141">
        <v>1.36</v>
      </c>
      <c r="L141">
        <v>1.6</v>
      </c>
      <c r="M141">
        <v>1.7</v>
      </c>
      <c r="N141">
        <v>2</v>
      </c>
      <c r="O141">
        <v>2.0299999999999998</v>
      </c>
      <c r="P141">
        <v>2.0499999999999998</v>
      </c>
      <c r="Q141">
        <v>2.08</v>
      </c>
      <c r="R141">
        <v>2.2400000000000002</v>
      </c>
      <c r="S141">
        <v>2.34</v>
      </c>
      <c r="T141">
        <v>2.12</v>
      </c>
      <c r="U141">
        <v>2.12</v>
      </c>
    </row>
    <row r="142" spans="1:21" x14ac:dyDescent="0.25">
      <c r="A142" t="s">
        <v>17</v>
      </c>
    </row>
    <row r="143" spans="1:21" x14ac:dyDescent="0.25">
      <c r="A143" t="s">
        <v>282</v>
      </c>
    </row>
    <row r="144" spans="1:21" x14ac:dyDescent="0.25">
      <c r="A144" t="s">
        <v>60</v>
      </c>
      <c r="B144" s="2">
        <v>38275</v>
      </c>
      <c r="C144" s="2">
        <v>38226</v>
      </c>
      <c r="D144" s="2">
        <v>37047</v>
      </c>
      <c r="E144" s="2">
        <v>37728</v>
      </c>
      <c r="F144" s="2">
        <v>39383</v>
      </c>
      <c r="G144" s="2">
        <v>39506</v>
      </c>
      <c r="H144" s="2">
        <v>39068</v>
      </c>
      <c r="I144" s="2">
        <v>40479</v>
      </c>
      <c r="J144" s="2">
        <v>42440</v>
      </c>
      <c r="K144" s="2">
        <v>49954</v>
      </c>
      <c r="L144" s="2">
        <v>52961</v>
      </c>
      <c r="M144" s="2">
        <v>57399</v>
      </c>
      <c r="N144" s="2">
        <v>67357</v>
      </c>
      <c r="O144" s="2">
        <v>90133.16</v>
      </c>
      <c r="P144" s="2">
        <v>131950.13</v>
      </c>
      <c r="Q144" s="2">
        <v>184629.85</v>
      </c>
      <c r="R144" s="2">
        <v>223603.03</v>
      </c>
      <c r="S144" s="2">
        <v>246376.46</v>
      </c>
      <c r="T144" s="2">
        <v>229537.69</v>
      </c>
      <c r="U144" s="2">
        <v>230342.19</v>
      </c>
    </row>
    <row r="145" spans="1:21" x14ac:dyDescent="0.25">
      <c r="A145" t="s">
        <v>62</v>
      </c>
      <c r="B145" s="2">
        <v>7236</v>
      </c>
      <c r="C145" s="2">
        <v>7532</v>
      </c>
      <c r="D145" s="2">
        <v>7479</v>
      </c>
      <c r="E145" s="2">
        <v>7469</v>
      </c>
      <c r="F145" s="2">
        <v>8060</v>
      </c>
      <c r="G145" s="2">
        <v>7995</v>
      </c>
      <c r="H145" s="2">
        <v>7938</v>
      </c>
      <c r="I145" s="2">
        <v>7855</v>
      </c>
      <c r="J145" s="2">
        <v>8877</v>
      </c>
      <c r="K145" s="2">
        <v>13564</v>
      </c>
      <c r="L145" s="2">
        <v>15143</v>
      </c>
      <c r="M145" s="2">
        <v>16927</v>
      </c>
      <c r="N145" s="2">
        <v>23021</v>
      </c>
      <c r="O145" s="2">
        <v>38212.46</v>
      </c>
      <c r="P145" s="2">
        <v>64515.74</v>
      </c>
      <c r="Q145" s="2">
        <v>96824.6</v>
      </c>
      <c r="R145" s="2">
        <v>117633.21</v>
      </c>
      <c r="S145" s="2">
        <v>131329.13</v>
      </c>
      <c r="T145" s="2">
        <v>137169.03</v>
      </c>
      <c r="U145" s="2">
        <v>150481.29999999999</v>
      </c>
    </row>
    <row r="146" spans="1:21" x14ac:dyDescent="0.25">
      <c r="A146" t="s">
        <v>63</v>
      </c>
      <c r="B146" s="2">
        <v>31039</v>
      </c>
      <c r="C146" s="2">
        <v>30694</v>
      </c>
      <c r="D146" s="2">
        <v>29568</v>
      </c>
      <c r="E146" s="2">
        <v>30259</v>
      </c>
      <c r="F146" s="2">
        <v>31323</v>
      </c>
      <c r="G146" s="2">
        <v>31511</v>
      </c>
      <c r="H146" s="2">
        <v>31130</v>
      </c>
      <c r="I146" s="2">
        <v>32624</v>
      </c>
      <c r="J146" s="2">
        <v>33563</v>
      </c>
      <c r="K146" s="2">
        <v>36390</v>
      </c>
      <c r="L146" s="2">
        <v>37818</v>
      </c>
      <c r="M146" s="2">
        <v>40472</v>
      </c>
      <c r="N146" s="2">
        <v>44336</v>
      </c>
      <c r="O146" s="2">
        <v>52584.42</v>
      </c>
      <c r="P146" s="2">
        <v>68793.600000000006</v>
      </c>
      <c r="Q146" s="2">
        <v>87129.61</v>
      </c>
      <c r="R146" s="2">
        <v>106242.3</v>
      </c>
      <c r="S146" s="2">
        <v>120139.41</v>
      </c>
      <c r="T146" s="2">
        <v>109332.44</v>
      </c>
      <c r="U146" s="2">
        <v>113862.14</v>
      </c>
    </row>
    <row r="147" spans="1:21" x14ac:dyDescent="0.25">
      <c r="A147" t="s">
        <v>64</v>
      </c>
      <c r="K147">
        <v>72.8</v>
      </c>
      <c r="L147">
        <v>71</v>
      </c>
      <c r="M147">
        <v>70.5</v>
      </c>
      <c r="N147">
        <v>65.8</v>
      </c>
      <c r="O147">
        <v>60.56</v>
      </c>
      <c r="P147">
        <v>55.94</v>
      </c>
      <c r="Q147">
        <v>54.01</v>
      </c>
      <c r="R147">
        <v>54.2</v>
      </c>
      <c r="S147">
        <v>47</v>
      </c>
      <c r="T147">
        <v>46.64</v>
      </c>
      <c r="U147">
        <v>46.23</v>
      </c>
    </row>
    <row r="148" spans="1:21" x14ac:dyDescent="0.25">
      <c r="A148" t="s">
        <v>283</v>
      </c>
      <c r="B148" s="2">
        <v>23516</v>
      </c>
      <c r="C148" s="2">
        <v>24355</v>
      </c>
      <c r="D148" s="2">
        <v>24443</v>
      </c>
      <c r="E148" s="2">
        <v>25018</v>
      </c>
      <c r="F148" s="2">
        <v>26119</v>
      </c>
      <c r="G148" s="2">
        <v>25971</v>
      </c>
      <c r="H148" s="2">
        <v>25172</v>
      </c>
      <c r="I148" s="2">
        <v>25266</v>
      </c>
      <c r="J148" s="2">
        <v>31514</v>
      </c>
      <c r="K148" s="2">
        <v>36861</v>
      </c>
      <c r="L148" s="2">
        <v>37608</v>
      </c>
      <c r="M148" s="2">
        <v>39721</v>
      </c>
      <c r="N148" s="2">
        <v>46751</v>
      </c>
      <c r="O148" s="2">
        <v>60028.45</v>
      </c>
      <c r="P148" s="2">
        <v>88466.93</v>
      </c>
      <c r="Q148" s="2">
        <v>121777.68</v>
      </c>
      <c r="R148" s="2">
        <v>139933.76000000001</v>
      </c>
    </row>
    <row r="149" spans="1:21" x14ac:dyDescent="0.25">
      <c r="A149" t="s">
        <v>115</v>
      </c>
      <c r="B149" s="2">
        <v>1038</v>
      </c>
      <c r="C149" s="2">
        <v>1077</v>
      </c>
      <c r="D149" s="2">
        <v>1155</v>
      </c>
      <c r="E149" s="2">
        <v>1176</v>
      </c>
      <c r="F149" s="2">
        <v>1282</v>
      </c>
      <c r="G149" s="2">
        <v>1265</v>
      </c>
      <c r="H149" s="2">
        <v>1181</v>
      </c>
      <c r="I149" s="2">
        <v>1254</v>
      </c>
      <c r="J149" s="2">
        <v>1317</v>
      </c>
      <c r="K149" s="2">
        <v>1579</v>
      </c>
      <c r="L149" s="2">
        <v>1548</v>
      </c>
      <c r="M149" s="2">
        <v>1602</v>
      </c>
      <c r="N149" s="2">
        <v>1618</v>
      </c>
      <c r="O149" s="2">
        <v>1462.77</v>
      </c>
      <c r="P149" s="2">
        <v>1927</v>
      </c>
      <c r="Q149" s="2">
        <v>1939.14</v>
      </c>
      <c r="R149" s="2">
        <v>2048.39</v>
      </c>
      <c r="S149" s="2">
        <v>2484.9</v>
      </c>
      <c r="T149" s="2">
        <v>1945.27</v>
      </c>
      <c r="U149" s="2">
        <v>2035.33</v>
      </c>
    </row>
    <row r="150" spans="1:21" x14ac:dyDescent="0.25">
      <c r="A150" t="s">
        <v>114</v>
      </c>
      <c r="B150" s="2">
        <v>5151</v>
      </c>
      <c r="C150" s="2">
        <v>5524</v>
      </c>
      <c r="D150" s="2">
        <v>5787</v>
      </c>
      <c r="E150" s="2">
        <v>6159</v>
      </c>
      <c r="F150" s="2">
        <v>6084</v>
      </c>
      <c r="G150" s="2">
        <v>6026</v>
      </c>
      <c r="H150" s="2">
        <v>6067</v>
      </c>
      <c r="I150" s="2">
        <v>6527</v>
      </c>
      <c r="J150" s="2">
        <v>7219</v>
      </c>
      <c r="K150" s="2">
        <v>8623</v>
      </c>
      <c r="L150" s="2">
        <v>8915</v>
      </c>
      <c r="M150" s="2">
        <v>9860</v>
      </c>
      <c r="N150" s="2">
        <v>10272</v>
      </c>
      <c r="O150" s="2">
        <v>9348.2199999999993</v>
      </c>
      <c r="P150" s="2">
        <v>12781.44</v>
      </c>
      <c r="Q150" s="2">
        <v>13036.58</v>
      </c>
      <c r="R150" s="2">
        <v>13796.5</v>
      </c>
      <c r="S150" s="2">
        <v>16974.66</v>
      </c>
      <c r="T150" s="2">
        <v>11479.07</v>
      </c>
      <c r="U150" s="2">
        <v>12010.51</v>
      </c>
    </row>
    <row r="151" spans="1:21" x14ac:dyDescent="0.25">
      <c r="A151" t="s">
        <v>2055</v>
      </c>
      <c r="B151">
        <v>13.46</v>
      </c>
      <c r="C151">
        <v>14.45</v>
      </c>
      <c r="D151">
        <v>15.62</v>
      </c>
      <c r="E151">
        <v>16.32</v>
      </c>
      <c r="F151">
        <v>15.45</v>
      </c>
      <c r="G151">
        <v>15.25</v>
      </c>
      <c r="H151">
        <v>15.53</v>
      </c>
      <c r="I151">
        <v>16.12</v>
      </c>
      <c r="J151">
        <v>17.010000000000002</v>
      </c>
      <c r="K151">
        <v>17.260000000000002</v>
      </c>
      <c r="L151">
        <v>16.829999999999998</v>
      </c>
      <c r="M151">
        <v>17.18</v>
      </c>
      <c r="N151">
        <v>15.25</v>
      </c>
      <c r="O151">
        <v>11.94</v>
      </c>
      <c r="P151">
        <v>10.15</v>
      </c>
      <c r="Q151">
        <v>6.6</v>
      </c>
      <c r="R151">
        <v>5.81</v>
      </c>
      <c r="S151">
        <v>4.71</v>
      </c>
    </row>
    <row r="152" spans="1:21" x14ac:dyDescent="0.25">
      <c r="A152" t="s">
        <v>394</v>
      </c>
      <c r="B152" s="2">
        <v>7567</v>
      </c>
      <c r="C152" s="2">
        <v>7655</v>
      </c>
      <c r="D152" s="2">
        <v>7884</v>
      </c>
      <c r="E152" s="2">
        <v>8197</v>
      </c>
      <c r="F152" s="2">
        <v>8433</v>
      </c>
      <c r="G152" s="2">
        <v>8509</v>
      </c>
      <c r="H152" s="2">
        <v>8094</v>
      </c>
      <c r="I152" s="2">
        <v>7682</v>
      </c>
      <c r="J152" s="2">
        <v>8047</v>
      </c>
      <c r="K152" s="2">
        <v>8833</v>
      </c>
      <c r="L152" s="2">
        <v>8274</v>
      </c>
      <c r="M152" s="2">
        <v>8651</v>
      </c>
      <c r="N152" s="2">
        <v>8331</v>
      </c>
      <c r="O152" s="2">
        <v>7237.58</v>
      </c>
      <c r="P152" s="2">
        <v>9863.93</v>
      </c>
      <c r="Q152" s="2">
        <v>9589.19</v>
      </c>
      <c r="R152" s="2">
        <v>10281.35</v>
      </c>
      <c r="S152" s="2">
        <v>11736.15</v>
      </c>
      <c r="T152" s="2">
        <v>9517.41</v>
      </c>
      <c r="U152" s="2">
        <v>9958.0400000000009</v>
      </c>
    </row>
    <row r="153" spans="1:21" x14ac:dyDescent="0.25">
      <c r="A153" t="s">
        <v>116</v>
      </c>
      <c r="B153" s="2">
        <v>14759</v>
      </c>
      <c r="C153" s="2">
        <v>13871</v>
      </c>
      <c r="D153" s="2">
        <v>12604</v>
      </c>
      <c r="E153" s="2">
        <v>12710</v>
      </c>
      <c r="F153" s="2">
        <v>13535</v>
      </c>
      <c r="G153" s="2">
        <v>13535</v>
      </c>
      <c r="H153" s="2">
        <v>13896</v>
      </c>
      <c r="I153" s="2">
        <v>15213</v>
      </c>
      <c r="J153" s="2">
        <v>10926</v>
      </c>
      <c r="K153" s="2">
        <v>13093</v>
      </c>
      <c r="L153" s="2">
        <v>15353</v>
      </c>
      <c r="M153" s="2">
        <v>17678</v>
      </c>
      <c r="N153" s="2">
        <v>20606</v>
      </c>
      <c r="O153" s="2">
        <v>29297.52</v>
      </c>
      <c r="P153" s="2">
        <v>40955.300000000003</v>
      </c>
      <c r="Q153" s="2">
        <v>58545.51</v>
      </c>
      <c r="R153" s="2">
        <v>74555.360000000001</v>
      </c>
      <c r="S153" s="2">
        <v>85767.09</v>
      </c>
      <c r="T153" s="2">
        <v>73016.320000000007</v>
      </c>
      <c r="U153" s="2">
        <v>76678.649999999994</v>
      </c>
    </row>
    <row r="154" spans="1:21" x14ac:dyDescent="0.25">
      <c r="A154" t="s">
        <v>269</v>
      </c>
      <c r="B154">
        <v>38.56</v>
      </c>
      <c r="C154">
        <v>36.29</v>
      </c>
      <c r="D154">
        <v>34.020000000000003</v>
      </c>
      <c r="E154">
        <v>33.69</v>
      </c>
      <c r="F154">
        <v>33.68</v>
      </c>
      <c r="G154">
        <v>34.26</v>
      </c>
      <c r="H154">
        <v>35.57</v>
      </c>
      <c r="I154">
        <v>37.58</v>
      </c>
      <c r="J154">
        <v>25.74</v>
      </c>
      <c r="K154">
        <v>26.21</v>
      </c>
      <c r="L154">
        <v>28.99</v>
      </c>
      <c r="M154">
        <v>30.8</v>
      </c>
      <c r="N154">
        <v>30.59</v>
      </c>
      <c r="O154">
        <v>32.549999999999997</v>
      </c>
      <c r="P154">
        <v>30.94</v>
      </c>
      <c r="Q154">
        <v>31.33</v>
      </c>
      <c r="R154">
        <v>33.14</v>
      </c>
      <c r="S154">
        <v>32.97</v>
      </c>
      <c r="T154">
        <v>33.28</v>
      </c>
      <c r="U154">
        <v>33.19</v>
      </c>
    </row>
    <row r="155" spans="1:21" x14ac:dyDescent="0.25">
      <c r="A155" t="s">
        <v>398</v>
      </c>
      <c r="B155">
        <v>263</v>
      </c>
      <c r="C155">
        <v>349</v>
      </c>
      <c r="D155">
        <v>538</v>
      </c>
      <c r="E155">
        <v>802</v>
      </c>
      <c r="F155" s="2">
        <v>1203</v>
      </c>
      <c r="G155" s="2">
        <v>1092</v>
      </c>
      <c r="H155">
        <v>527</v>
      </c>
      <c r="I155">
        <v>101</v>
      </c>
      <c r="J155">
        <v>94</v>
      </c>
      <c r="K155">
        <v>285</v>
      </c>
      <c r="L155">
        <v>451</v>
      </c>
      <c r="M155">
        <v>578</v>
      </c>
      <c r="N155">
        <v>780</v>
      </c>
      <c r="O155">
        <v>878.48</v>
      </c>
      <c r="P155">
        <v>764.37</v>
      </c>
      <c r="Q155">
        <v>610.78</v>
      </c>
      <c r="R155">
        <v>843.98</v>
      </c>
    </row>
    <row r="156" spans="1:21" x14ac:dyDescent="0.25">
      <c r="A156" t="s">
        <v>119</v>
      </c>
      <c r="B156" s="2">
        <v>13704</v>
      </c>
      <c r="C156" s="2">
        <v>12834</v>
      </c>
      <c r="D156" s="2">
        <v>11442</v>
      </c>
      <c r="E156" s="2">
        <v>11517</v>
      </c>
      <c r="F156" s="2">
        <v>12424</v>
      </c>
      <c r="G156" s="2">
        <v>12268</v>
      </c>
      <c r="H156" s="2">
        <v>12063</v>
      </c>
      <c r="I156" s="2">
        <v>12999</v>
      </c>
      <c r="J156" s="2">
        <v>7649</v>
      </c>
      <c r="K156" s="2">
        <v>9126</v>
      </c>
      <c r="L156" s="2">
        <v>11741</v>
      </c>
      <c r="M156" s="2">
        <v>14160</v>
      </c>
      <c r="N156" s="2">
        <v>19554</v>
      </c>
      <c r="O156" s="2">
        <v>27115.86</v>
      </c>
      <c r="P156" s="2">
        <v>33435.279999999999</v>
      </c>
      <c r="Q156" s="2">
        <v>62211.69</v>
      </c>
      <c r="R156" s="2">
        <v>81187.5</v>
      </c>
      <c r="S156" s="2">
        <v>68818.080000000002</v>
      </c>
      <c r="T156" s="2">
        <v>65311.48</v>
      </c>
      <c r="U156" s="2">
        <v>70921.100000000006</v>
      </c>
    </row>
    <row r="157" spans="1:21" x14ac:dyDescent="0.25">
      <c r="A157" t="s">
        <v>120</v>
      </c>
      <c r="B157" s="2">
        <v>2749</v>
      </c>
      <c r="C157" s="2">
        <v>2896</v>
      </c>
      <c r="D157" s="2">
        <v>2541</v>
      </c>
      <c r="E157" s="2">
        <v>2182</v>
      </c>
      <c r="F157" s="2">
        <v>8837</v>
      </c>
      <c r="G157" s="2">
        <v>1185</v>
      </c>
      <c r="H157" s="2">
        <v>1928</v>
      </c>
      <c r="I157">
        <v>-747</v>
      </c>
      <c r="J157">
        <v>932</v>
      </c>
      <c r="K157">
        <v>623</v>
      </c>
      <c r="L157" s="2">
        <v>1274</v>
      </c>
      <c r="M157" s="2">
        <v>1717</v>
      </c>
      <c r="N157" s="2">
        <v>2467</v>
      </c>
      <c r="O157" s="2">
        <v>3695.02</v>
      </c>
      <c r="P157" s="2">
        <v>5593.75</v>
      </c>
      <c r="Q157" s="2">
        <v>8332.5400000000009</v>
      </c>
      <c r="R157" s="2">
        <v>10949.96</v>
      </c>
      <c r="S157" s="2">
        <v>10343.19</v>
      </c>
      <c r="T157" s="2">
        <v>12552.1</v>
      </c>
      <c r="U157" s="2">
        <v>13584.19</v>
      </c>
    </row>
    <row r="158" spans="1:21" x14ac:dyDescent="0.25">
      <c r="A158" t="s">
        <v>489</v>
      </c>
      <c r="B158">
        <v>20.059999999999999</v>
      </c>
      <c r="C158">
        <v>22.57</v>
      </c>
      <c r="D158">
        <v>22.21</v>
      </c>
      <c r="E158">
        <v>18.95</v>
      </c>
      <c r="F158">
        <v>71.13</v>
      </c>
      <c r="G158">
        <v>9.66</v>
      </c>
      <c r="H158">
        <v>15.98</v>
      </c>
      <c r="J158">
        <v>12.18</v>
      </c>
      <c r="K158">
        <v>6.83</v>
      </c>
      <c r="L158">
        <v>10.85</v>
      </c>
      <c r="M158">
        <v>12.13</v>
      </c>
      <c r="N158">
        <v>12.62</v>
      </c>
      <c r="O158">
        <v>15.42</v>
      </c>
      <c r="P158">
        <v>15.92</v>
      </c>
      <c r="Q158">
        <v>16.43</v>
      </c>
      <c r="R158">
        <v>16.73</v>
      </c>
      <c r="S158">
        <v>14.48</v>
      </c>
      <c r="T158">
        <v>19.5</v>
      </c>
      <c r="U158">
        <v>19.5</v>
      </c>
    </row>
    <row r="159" spans="1:21" x14ac:dyDescent="0.25">
      <c r="A159" t="s">
        <v>121</v>
      </c>
      <c r="B159" s="2">
        <v>10955</v>
      </c>
      <c r="C159" s="2">
        <v>9938</v>
      </c>
      <c r="D159" s="2">
        <v>8901</v>
      </c>
      <c r="E159" s="2">
        <v>9335</v>
      </c>
      <c r="F159" s="2">
        <v>3825</v>
      </c>
      <c r="G159" s="2">
        <v>11083</v>
      </c>
      <c r="H159" s="2">
        <v>10135</v>
      </c>
      <c r="I159" s="2">
        <v>13746</v>
      </c>
      <c r="J159" s="2">
        <v>6717</v>
      </c>
      <c r="K159" s="2">
        <v>8503</v>
      </c>
      <c r="L159" s="2">
        <v>10467</v>
      </c>
      <c r="M159" s="2">
        <v>12443</v>
      </c>
      <c r="N159" s="2">
        <v>16984</v>
      </c>
      <c r="O159" s="2">
        <v>20591.45</v>
      </c>
      <c r="P159" s="2">
        <v>29614.39</v>
      </c>
      <c r="Q159" s="2">
        <v>42905.33</v>
      </c>
      <c r="R159" s="2">
        <v>56244.33</v>
      </c>
      <c r="S159" s="2">
        <v>64848.83</v>
      </c>
      <c r="T159" s="2">
        <v>52759.5</v>
      </c>
      <c r="U159" s="2">
        <v>57337</v>
      </c>
    </row>
    <row r="160" spans="1:21" x14ac:dyDescent="0.25">
      <c r="A160" t="s">
        <v>122</v>
      </c>
      <c r="B160">
        <v>28.62</v>
      </c>
      <c r="C160">
        <v>26</v>
      </c>
      <c r="D160">
        <v>24.03</v>
      </c>
      <c r="E160">
        <v>24.74</v>
      </c>
      <c r="F160">
        <v>9.11</v>
      </c>
      <c r="G160">
        <v>28.05</v>
      </c>
      <c r="H160">
        <v>25.94</v>
      </c>
      <c r="I160">
        <v>33.96</v>
      </c>
      <c r="J160">
        <v>15.83</v>
      </c>
      <c r="K160">
        <v>17.02</v>
      </c>
      <c r="L160">
        <v>19.760000000000002</v>
      </c>
      <c r="M160">
        <v>21.68</v>
      </c>
      <c r="N160">
        <v>25.37</v>
      </c>
      <c r="O160">
        <v>21.32</v>
      </c>
      <c r="P160">
        <v>20.34</v>
      </c>
      <c r="Q160">
        <v>21.16</v>
      </c>
      <c r="R160">
        <v>23.88</v>
      </c>
      <c r="S160">
        <v>19.8</v>
      </c>
      <c r="T160">
        <v>18.87</v>
      </c>
      <c r="U160">
        <v>7.0000000000000007E-2</v>
      </c>
    </row>
    <row r="161" spans="1:21" x14ac:dyDescent="0.25">
      <c r="A161" t="s">
        <v>297</v>
      </c>
      <c r="B161">
        <v>2.38</v>
      </c>
      <c r="C161">
        <v>2.2599999999999998</v>
      </c>
      <c r="D161">
        <v>2.11</v>
      </c>
      <c r="E161">
        <v>2.27</v>
      </c>
      <c r="F161">
        <v>0.87</v>
      </c>
      <c r="G161">
        <v>3.05</v>
      </c>
      <c r="H161">
        <v>3.16</v>
      </c>
      <c r="I161">
        <v>4.67</v>
      </c>
      <c r="J161">
        <v>2.4900000000000002</v>
      </c>
      <c r="K161">
        <v>3.15</v>
      </c>
      <c r="L161">
        <v>3.82</v>
      </c>
      <c r="M161">
        <v>4.46</v>
      </c>
      <c r="N161">
        <v>5.94</v>
      </c>
      <c r="O161">
        <v>6.8</v>
      </c>
      <c r="P161">
        <v>9.5299999999999994</v>
      </c>
      <c r="Q161">
        <v>14.55</v>
      </c>
      <c r="R161">
        <v>19.350000000000001</v>
      </c>
      <c r="S161">
        <v>20.98</v>
      </c>
      <c r="T161">
        <v>19.989999999999998</v>
      </c>
      <c r="U161">
        <v>22.24</v>
      </c>
    </row>
    <row r="162" spans="1:21" x14ac:dyDescent="0.25">
      <c r="A162" t="s">
        <v>124</v>
      </c>
      <c r="B162">
        <v>2.38</v>
      </c>
      <c r="C162">
        <v>2.21</v>
      </c>
      <c r="D162">
        <v>2.0699999999999998</v>
      </c>
      <c r="E162">
        <v>2.21</v>
      </c>
      <c r="F162">
        <v>0.9</v>
      </c>
      <c r="G162">
        <v>2.97</v>
      </c>
      <c r="H162">
        <v>3.08</v>
      </c>
      <c r="I162">
        <v>4.55</v>
      </c>
      <c r="J162">
        <v>2.41</v>
      </c>
      <c r="K162">
        <v>3.07</v>
      </c>
      <c r="L162">
        <v>3.71</v>
      </c>
      <c r="M162">
        <v>4.34</v>
      </c>
      <c r="N162">
        <v>5.83</v>
      </c>
      <c r="O162">
        <v>6.67</v>
      </c>
      <c r="P162">
        <v>9.31</v>
      </c>
      <c r="Q162">
        <v>13.58</v>
      </c>
      <c r="R162">
        <v>17.989999999999998</v>
      </c>
      <c r="S162">
        <v>21.26</v>
      </c>
      <c r="T162">
        <v>16.18</v>
      </c>
      <c r="U162">
        <v>17.38</v>
      </c>
    </row>
    <row r="163" spans="1:21" x14ac:dyDescent="0.25">
      <c r="A163" t="s">
        <v>17</v>
      </c>
    </row>
    <row r="164" spans="1:21" x14ac:dyDescent="0.25">
      <c r="A164" t="s">
        <v>125</v>
      </c>
    </row>
    <row r="165" spans="1:21" x14ac:dyDescent="0.25">
      <c r="A165" t="s">
        <v>67</v>
      </c>
      <c r="B165">
        <v>795</v>
      </c>
      <c r="C165">
        <v>933</v>
      </c>
      <c r="D165" s="2">
        <v>1037</v>
      </c>
      <c r="E165" s="2">
        <v>1350</v>
      </c>
      <c r="F165" s="2">
        <v>1607</v>
      </c>
      <c r="G165" s="2">
        <v>1653</v>
      </c>
      <c r="H165" s="2">
        <v>1590</v>
      </c>
      <c r="I165" s="2">
        <v>1837</v>
      </c>
      <c r="J165" s="2">
        <v>2613</v>
      </c>
      <c r="K165" s="2">
        <v>3547</v>
      </c>
      <c r="L165" s="2">
        <v>3974</v>
      </c>
      <c r="M165" s="2">
        <v>4674</v>
      </c>
      <c r="N165" s="2">
        <v>4811</v>
      </c>
      <c r="O165" s="2">
        <v>5091.2700000000004</v>
      </c>
      <c r="P165" s="2">
        <v>6107.34</v>
      </c>
      <c r="Q165" s="2">
        <v>7922.96</v>
      </c>
      <c r="R165" s="2">
        <v>8938.65</v>
      </c>
      <c r="S165" s="2">
        <v>9345.2000000000007</v>
      </c>
      <c r="T165" s="2">
        <v>12764.13</v>
      </c>
      <c r="U165" s="2">
        <v>13100.07</v>
      </c>
    </row>
    <row r="166" spans="1:21" x14ac:dyDescent="0.25">
      <c r="A166" t="s">
        <v>128</v>
      </c>
      <c r="B166">
        <v>74</v>
      </c>
      <c r="C166">
        <v>78</v>
      </c>
      <c r="D166">
        <v>85</v>
      </c>
      <c r="E166">
        <v>109</v>
      </c>
      <c r="F166">
        <v>144</v>
      </c>
      <c r="G166">
        <v>158</v>
      </c>
      <c r="H166">
        <v>175</v>
      </c>
      <c r="I166">
        <v>200</v>
      </c>
      <c r="J166">
        <v>287</v>
      </c>
      <c r="K166">
        <v>590</v>
      </c>
      <c r="L166">
        <v>715</v>
      </c>
      <c r="M166">
        <v>840</v>
      </c>
      <c r="N166">
        <v>859</v>
      </c>
      <c r="O166">
        <v>751.85</v>
      </c>
      <c r="P166" s="2">
        <v>1828.45</v>
      </c>
      <c r="Q166" s="2">
        <v>2677.65</v>
      </c>
      <c r="R166" s="2">
        <v>3314.79</v>
      </c>
      <c r="S166" s="2">
        <v>3828.11</v>
      </c>
      <c r="T166" s="2">
        <v>3407.98</v>
      </c>
      <c r="U166" s="2">
        <v>3752.58</v>
      </c>
    </row>
    <row r="167" spans="1:21" x14ac:dyDescent="0.25">
      <c r="A167" t="s">
        <v>115</v>
      </c>
      <c r="B167">
        <v>171</v>
      </c>
      <c r="C167">
        <v>148</v>
      </c>
      <c r="D167">
        <v>120</v>
      </c>
      <c r="E167">
        <v>130</v>
      </c>
      <c r="F167">
        <v>180</v>
      </c>
      <c r="G167">
        <v>172</v>
      </c>
      <c r="H167">
        <v>119</v>
      </c>
      <c r="I167">
        <v>136</v>
      </c>
      <c r="J167">
        <v>245</v>
      </c>
      <c r="K167">
        <v>363</v>
      </c>
      <c r="L167">
        <v>367</v>
      </c>
      <c r="M167">
        <v>439</v>
      </c>
      <c r="N167">
        <v>388</v>
      </c>
      <c r="O167">
        <v>358.24</v>
      </c>
      <c r="P167">
        <v>454.7</v>
      </c>
      <c r="Q167">
        <v>513.08000000000004</v>
      </c>
      <c r="R167">
        <v>548.57000000000005</v>
      </c>
      <c r="S167">
        <v>613.95000000000005</v>
      </c>
      <c r="T167">
        <v>470.18</v>
      </c>
      <c r="U167">
        <v>491.94</v>
      </c>
    </row>
    <row r="168" spans="1:21" x14ac:dyDescent="0.25">
      <c r="A168" t="s">
        <v>114</v>
      </c>
      <c r="B168">
        <v>385</v>
      </c>
      <c r="C168">
        <v>522</v>
      </c>
      <c r="D168">
        <v>609</v>
      </c>
      <c r="E168">
        <v>770</v>
      </c>
      <c r="F168">
        <v>921</v>
      </c>
      <c r="G168">
        <v>963</v>
      </c>
      <c r="H168" s="2">
        <v>1035</v>
      </c>
      <c r="I168" s="2">
        <v>1188</v>
      </c>
      <c r="J168" s="2">
        <v>1633</v>
      </c>
      <c r="K168" s="2">
        <v>1983</v>
      </c>
      <c r="L168" s="2">
        <v>2225</v>
      </c>
      <c r="M168" s="2">
        <v>2638</v>
      </c>
      <c r="N168" s="2">
        <v>2805</v>
      </c>
      <c r="O168" s="2">
        <v>2521.88</v>
      </c>
      <c r="P168" s="2">
        <v>3316.14</v>
      </c>
      <c r="Q168" s="2">
        <v>3676.65</v>
      </c>
      <c r="R168" s="2">
        <v>3986.53</v>
      </c>
      <c r="S168" s="2">
        <v>4244.3</v>
      </c>
      <c r="T168" s="2">
        <v>3200.08</v>
      </c>
      <c r="U168" s="2">
        <v>3348.23</v>
      </c>
    </row>
    <row r="169" spans="1:21" x14ac:dyDescent="0.25">
      <c r="A169" t="s">
        <v>394</v>
      </c>
      <c r="B169">
        <v>165</v>
      </c>
      <c r="C169">
        <v>180</v>
      </c>
      <c r="D169">
        <v>220</v>
      </c>
      <c r="E169">
        <v>306</v>
      </c>
      <c r="F169">
        <v>361</v>
      </c>
      <c r="G169">
        <v>360</v>
      </c>
      <c r="H169">
        <v>261</v>
      </c>
      <c r="I169">
        <v>313</v>
      </c>
      <c r="J169">
        <v>448</v>
      </c>
      <c r="K169">
        <v>611</v>
      </c>
      <c r="L169">
        <v>667</v>
      </c>
      <c r="M169">
        <v>757</v>
      </c>
      <c r="N169">
        <v>759</v>
      </c>
      <c r="O169">
        <v>673.22</v>
      </c>
      <c r="P169">
        <v>874.49</v>
      </c>
      <c r="Q169">
        <v>993.04</v>
      </c>
      <c r="R169" s="2">
        <v>1067.5999999999999</v>
      </c>
      <c r="S169" s="2">
        <v>1105.19</v>
      </c>
      <c r="T169">
        <v>820.41</v>
      </c>
      <c r="U169">
        <v>858.39</v>
      </c>
    </row>
    <row r="170" spans="1:21" x14ac:dyDescent="0.25">
      <c r="A170" t="s">
        <v>120</v>
      </c>
      <c r="B170" s="2">
        <v>-1091</v>
      </c>
      <c r="C170">
        <v>-971</v>
      </c>
      <c r="D170">
        <v>-846</v>
      </c>
      <c r="E170" s="2">
        <v>-1233</v>
      </c>
      <c r="F170" s="2">
        <v>-1461</v>
      </c>
      <c r="G170" s="2">
        <v>-1795</v>
      </c>
      <c r="H170">
        <v>-939</v>
      </c>
      <c r="I170" s="2">
        <v>-1108</v>
      </c>
      <c r="J170" s="2">
        <v>-1723</v>
      </c>
      <c r="K170" s="2">
        <v>-2136</v>
      </c>
      <c r="L170" s="2">
        <v>-2459</v>
      </c>
      <c r="M170" s="2">
        <v>-2514</v>
      </c>
      <c r="N170" s="2">
        <v>-3070</v>
      </c>
      <c r="O170" s="2">
        <v>-1769.68</v>
      </c>
      <c r="P170" s="2">
        <v>-2071.75</v>
      </c>
      <c r="Q170" s="2">
        <v>-1993.71</v>
      </c>
      <c r="R170" s="2">
        <v>-1464.17</v>
      </c>
      <c r="S170" s="2">
        <v>-1903.67</v>
      </c>
      <c r="T170" s="2">
        <v>-1567.2</v>
      </c>
      <c r="U170" s="2">
        <v>-1666.65</v>
      </c>
    </row>
    <row r="171" spans="1:21" x14ac:dyDescent="0.25">
      <c r="A171" t="s">
        <v>87</v>
      </c>
    </row>
    <row r="172" spans="1:21" x14ac:dyDescent="0.25">
      <c r="A172" t="s">
        <v>2056</v>
      </c>
      <c r="H172">
        <v>56</v>
      </c>
      <c r="I172">
        <v>138</v>
      </c>
      <c r="J172" s="2">
        <v>4713</v>
      </c>
      <c r="O172">
        <v>617.97</v>
      </c>
      <c r="P172">
        <v>843.8</v>
      </c>
      <c r="Q172" s="2">
        <v>2012.92</v>
      </c>
      <c r="R172" s="2">
        <v>2105.42</v>
      </c>
      <c r="S172" s="2">
        <v>2114</v>
      </c>
    </row>
    <row r="173" spans="1:21" x14ac:dyDescent="0.25">
      <c r="A173" t="s">
        <v>2057</v>
      </c>
      <c r="B173">
        <v>41</v>
      </c>
      <c r="C173">
        <v>211</v>
      </c>
      <c r="D173">
        <v>42</v>
      </c>
      <c r="E173">
        <v>103</v>
      </c>
      <c r="F173">
        <v>52</v>
      </c>
      <c r="G173">
        <v>44</v>
      </c>
      <c r="H173">
        <v>56</v>
      </c>
      <c r="J173" s="2">
        <v>4713</v>
      </c>
      <c r="K173">
        <v>190</v>
      </c>
      <c r="L173">
        <v>314</v>
      </c>
      <c r="M173">
        <v>75</v>
      </c>
      <c r="N173">
        <v>59</v>
      </c>
      <c r="O173">
        <v>79.94</v>
      </c>
      <c r="P173">
        <v>122.1</v>
      </c>
      <c r="Q173">
        <v>250.79</v>
      </c>
      <c r="R173">
        <v>379.5</v>
      </c>
    </row>
    <row r="174" spans="1:21" x14ac:dyDescent="0.25">
      <c r="A174" t="s">
        <v>2058</v>
      </c>
      <c r="B174">
        <v>183</v>
      </c>
      <c r="C174">
        <v>207</v>
      </c>
      <c r="D174">
        <v>458</v>
      </c>
      <c r="E174">
        <v>463</v>
      </c>
      <c r="F174">
        <v>588</v>
      </c>
      <c r="G174">
        <v>443</v>
      </c>
      <c r="H174">
        <v>250</v>
      </c>
      <c r="I174">
        <v>431</v>
      </c>
      <c r="J174">
        <v>191</v>
      </c>
      <c r="K174">
        <v>490</v>
      </c>
      <c r="L174">
        <v>404</v>
      </c>
      <c r="M174">
        <v>299</v>
      </c>
      <c r="N174" s="2">
        <v>1779</v>
      </c>
      <c r="O174">
        <v>302.33999999999997</v>
      </c>
      <c r="P174">
        <v>361.14</v>
      </c>
      <c r="Q174">
        <v>471.64</v>
      </c>
      <c r="R174">
        <v>564.71</v>
      </c>
      <c r="S174">
        <v>100</v>
      </c>
    </row>
    <row r="175" spans="1:21" x14ac:dyDescent="0.25">
      <c r="A175" t="s">
        <v>2059</v>
      </c>
      <c r="B175">
        <v>224</v>
      </c>
      <c r="C175">
        <v>418</v>
      </c>
      <c r="D175">
        <v>500</v>
      </c>
      <c r="E175">
        <v>566</v>
      </c>
      <c r="F175">
        <v>640</v>
      </c>
      <c r="G175">
        <v>487</v>
      </c>
      <c r="H175">
        <v>306</v>
      </c>
      <c r="I175">
        <v>569</v>
      </c>
      <c r="J175" s="2">
        <v>9604</v>
      </c>
      <c r="K175">
        <v>680</v>
      </c>
      <c r="L175">
        <v>718</v>
      </c>
      <c r="M175">
        <v>652</v>
      </c>
      <c r="N175">
        <v>-973</v>
      </c>
    </row>
    <row r="176" spans="1:21" x14ac:dyDescent="0.25">
      <c r="A176" t="s">
        <v>17</v>
      </c>
    </row>
    <row r="177" spans="1:21" x14ac:dyDescent="0.25">
      <c r="A177" t="s">
        <v>134</v>
      </c>
    </row>
    <row r="178" spans="1:21" x14ac:dyDescent="0.25">
      <c r="A178" t="s">
        <v>135</v>
      </c>
    </row>
    <row r="179" spans="1:21" x14ac:dyDescent="0.25">
      <c r="A179" t="s">
        <v>136</v>
      </c>
      <c r="B179" s="2">
        <v>48128</v>
      </c>
      <c r="C179" s="2">
        <v>62520</v>
      </c>
      <c r="D179" s="2">
        <v>64313</v>
      </c>
      <c r="E179" s="2">
        <v>74515</v>
      </c>
      <c r="F179" s="2">
        <v>76159</v>
      </c>
      <c r="G179" s="2">
        <v>46386</v>
      </c>
      <c r="H179" s="2">
        <v>52140</v>
      </c>
      <c r="I179" s="2">
        <v>55567</v>
      </c>
      <c r="J179" s="2">
        <v>31633</v>
      </c>
      <c r="K179" s="2">
        <v>21004</v>
      </c>
      <c r="L179" s="2">
        <v>22554</v>
      </c>
      <c r="M179" s="2">
        <v>24579</v>
      </c>
      <c r="N179" s="2">
        <v>46567</v>
      </c>
      <c r="O179" s="2">
        <v>51095.3</v>
      </c>
      <c r="P179" s="2">
        <v>54709.82</v>
      </c>
      <c r="Q179" s="2">
        <v>71516.61</v>
      </c>
      <c r="R179" s="2">
        <v>102372.51</v>
      </c>
      <c r="S179" s="2">
        <v>162016.29</v>
      </c>
      <c r="T179" s="2">
        <v>187569.87</v>
      </c>
      <c r="U179" s="2">
        <v>234036.97</v>
      </c>
    </row>
    <row r="180" spans="1:21" x14ac:dyDescent="0.25">
      <c r="A180" t="s">
        <v>2060</v>
      </c>
      <c r="B180" s="2">
        <v>38819</v>
      </c>
      <c r="C180" s="2">
        <v>54368</v>
      </c>
      <c r="D180" s="2">
        <v>56125</v>
      </c>
      <c r="E180" s="2">
        <v>66078</v>
      </c>
      <c r="F180" s="2">
        <v>67261</v>
      </c>
      <c r="G180" s="2">
        <v>37827</v>
      </c>
      <c r="H180" s="2">
        <v>43057</v>
      </c>
      <c r="I180" s="2">
        <v>46554</v>
      </c>
      <c r="J180" s="2">
        <v>21902</v>
      </c>
      <c r="K180" s="2">
        <v>10187</v>
      </c>
      <c r="L180" s="2">
        <v>10661</v>
      </c>
      <c r="M180" s="2">
        <v>11203</v>
      </c>
      <c r="N180" s="2">
        <v>31894</v>
      </c>
      <c r="O180" s="2">
        <v>30668.99</v>
      </c>
      <c r="P180" s="2">
        <v>26177.69</v>
      </c>
      <c r="Q180" s="2">
        <v>27741</v>
      </c>
      <c r="R180" s="2">
        <v>48816.77</v>
      </c>
      <c r="S180" s="2">
        <v>70476.759999999995</v>
      </c>
      <c r="T180" s="2">
        <v>127526.28</v>
      </c>
      <c r="U180" s="2">
        <v>171294.41</v>
      </c>
    </row>
    <row r="181" spans="1:21" x14ac:dyDescent="0.25">
      <c r="A181" t="s">
        <v>139</v>
      </c>
      <c r="B181" s="2">
        <v>17769</v>
      </c>
      <c r="C181" s="2">
        <v>21716</v>
      </c>
      <c r="D181" s="2">
        <v>20152</v>
      </c>
      <c r="E181" s="2">
        <v>21784</v>
      </c>
      <c r="F181" s="2">
        <v>21620</v>
      </c>
      <c r="G181" s="2">
        <v>20514</v>
      </c>
      <c r="H181" s="2">
        <v>37239</v>
      </c>
      <c r="I181" s="2">
        <v>30098</v>
      </c>
      <c r="J181" s="2">
        <v>21383</v>
      </c>
      <c r="K181" s="2">
        <v>9765</v>
      </c>
      <c r="L181" s="2">
        <v>10454</v>
      </c>
      <c r="M181" s="2">
        <v>10786</v>
      </c>
      <c r="N181" s="2">
        <v>31289</v>
      </c>
      <c r="O181" s="2">
        <v>29771.55</v>
      </c>
      <c r="P181" s="2">
        <v>21818.86</v>
      </c>
      <c r="Q181" s="2">
        <v>25991.42</v>
      </c>
      <c r="R181" s="2">
        <v>50505.81</v>
      </c>
      <c r="S181" s="2">
        <v>103749.85</v>
      </c>
      <c r="T181" s="2">
        <v>126818.28</v>
      </c>
      <c r="U181" s="2">
        <v>170586.41</v>
      </c>
    </row>
    <row r="182" spans="1:21" x14ac:dyDescent="0.25">
      <c r="A182" t="s">
        <v>805</v>
      </c>
      <c r="B182" s="2">
        <v>21050</v>
      </c>
      <c r="C182" s="2">
        <v>32652</v>
      </c>
      <c r="D182" s="2">
        <v>35973</v>
      </c>
      <c r="E182" s="2">
        <v>44294</v>
      </c>
      <c r="F182" s="2">
        <v>45641</v>
      </c>
      <c r="G182" s="2">
        <v>17313</v>
      </c>
      <c r="H182" s="2">
        <v>5818</v>
      </c>
      <c r="I182" s="2">
        <v>16456</v>
      </c>
      <c r="J182">
        <v>519</v>
      </c>
      <c r="K182">
        <v>422</v>
      </c>
      <c r="L182">
        <v>207</v>
      </c>
      <c r="M182">
        <v>417</v>
      </c>
      <c r="N182">
        <v>605</v>
      </c>
      <c r="O182">
        <v>708</v>
      </c>
      <c r="P182">
        <v>708</v>
      </c>
      <c r="Q182">
        <v>708</v>
      </c>
      <c r="R182">
        <v>708</v>
      </c>
      <c r="S182">
        <v>708</v>
      </c>
      <c r="T182">
        <v>708</v>
      </c>
      <c r="U182">
        <v>708</v>
      </c>
    </row>
    <row r="183" spans="1:21" x14ac:dyDescent="0.25">
      <c r="A183" t="s">
        <v>197</v>
      </c>
      <c r="B183" s="2">
        <v>6087</v>
      </c>
      <c r="C183" s="2">
        <v>5618</v>
      </c>
      <c r="D183" s="2">
        <v>5385</v>
      </c>
      <c r="E183" s="2">
        <v>5300</v>
      </c>
      <c r="F183" s="2">
        <v>5136</v>
      </c>
      <c r="G183" s="2">
        <v>5134</v>
      </c>
      <c r="H183" s="2">
        <v>5551</v>
      </c>
      <c r="I183" s="2">
        <v>5409</v>
      </c>
      <c r="J183" s="2">
        <v>5953</v>
      </c>
      <c r="K183" s="2">
        <v>6915</v>
      </c>
      <c r="L183" s="2">
        <v>7874</v>
      </c>
      <c r="M183" s="2">
        <v>8558</v>
      </c>
      <c r="N183" s="2">
        <v>10385</v>
      </c>
      <c r="O183" s="2">
        <v>15242.34</v>
      </c>
      <c r="P183" s="2">
        <v>22106.880000000001</v>
      </c>
      <c r="Q183" s="2">
        <v>30893.16</v>
      </c>
      <c r="R183" s="2">
        <v>39726.61</v>
      </c>
      <c r="S183" s="2">
        <v>41501.129999999997</v>
      </c>
      <c r="T183" s="2">
        <v>39421.410000000003</v>
      </c>
      <c r="U183" s="2">
        <v>41192.32</v>
      </c>
    </row>
    <row r="184" spans="1:21" x14ac:dyDescent="0.25">
      <c r="A184" t="s">
        <v>340</v>
      </c>
      <c r="B184">
        <v>189</v>
      </c>
      <c r="C184">
        <v>314</v>
      </c>
      <c r="D184">
        <v>212</v>
      </c>
      <c r="E184">
        <v>300</v>
      </c>
      <c r="F184">
        <v>398</v>
      </c>
      <c r="G184">
        <v>320</v>
      </c>
      <c r="H184">
        <v>211</v>
      </c>
      <c r="I184">
        <v>142</v>
      </c>
      <c r="J184">
        <v>0</v>
      </c>
      <c r="K184">
        <v>298</v>
      </c>
      <c r="L184">
        <v>334</v>
      </c>
      <c r="M184">
        <v>303</v>
      </c>
      <c r="N184">
        <v>0</v>
      </c>
    </row>
    <row r="185" spans="1:21" x14ac:dyDescent="0.25">
      <c r="A185" t="s">
        <v>203</v>
      </c>
      <c r="B185" s="2">
        <v>3033</v>
      </c>
      <c r="C185" s="2">
        <v>2220</v>
      </c>
      <c r="D185" s="2">
        <v>2591</v>
      </c>
      <c r="E185" s="2">
        <v>2837</v>
      </c>
      <c r="F185" s="2">
        <v>3364</v>
      </c>
      <c r="G185" s="2">
        <v>3105</v>
      </c>
      <c r="H185" s="2">
        <v>3321</v>
      </c>
      <c r="I185" s="2">
        <v>3462</v>
      </c>
      <c r="J185" s="2">
        <v>3778</v>
      </c>
      <c r="K185" s="2">
        <v>3902</v>
      </c>
      <c r="L185" s="2">
        <v>3685</v>
      </c>
      <c r="M185" s="2">
        <v>4515</v>
      </c>
      <c r="N185" s="2">
        <v>4288</v>
      </c>
      <c r="O185" s="2">
        <v>6976.63</v>
      </c>
      <c r="P185" s="2">
        <v>8730.3799999999992</v>
      </c>
      <c r="Q185" s="2">
        <v>9567.2000000000007</v>
      </c>
      <c r="R185" s="2">
        <v>11235.57</v>
      </c>
      <c r="S185" s="2">
        <v>15801.59</v>
      </c>
      <c r="T185" s="2">
        <v>20622.18</v>
      </c>
      <c r="U185" s="2">
        <v>21550.240000000002</v>
      </c>
    </row>
    <row r="186" spans="1:21" x14ac:dyDescent="0.25">
      <c r="A186" t="s">
        <v>146</v>
      </c>
      <c r="B186" s="2">
        <v>42138</v>
      </c>
      <c r="C186" s="2">
        <v>48383</v>
      </c>
      <c r="D186" s="2">
        <v>47867</v>
      </c>
      <c r="E186" s="2">
        <v>60476</v>
      </c>
      <c r="F186" s="2">
        <v>61692</v>
      </c>
      <c r="G186" s="2">
        <v>62323</v>
      </c>
      <c r="H186" s="2">
        <v>63298</v>
      </c>
      <c r="I186" s="2">
        <v>75540</v>
      </c>
      <c r="J186" s="2">
        <v>77664</v>
      </c>
      <c r="K186" s="2">
        <v>113380</v>
      </c>
      <c r="L186" s="2">
        <v>118422</v>
      </c>
      <c r="M186" s="2">
        <v>143782</v>
      </c>
      <c r="N186" s="2">
        <v>215192</v>
      </c>
      <c r="O186" s="2">
        <v>304909.57</v>
      </c>
      <c r="P186" s="2">
        <v>392236.31</v>
      </c>
      <c r="Q186" s="2">
        <v>453991.3</v>
      </c>
      <c r="R186" s="2">
        <v>503521.24</v>
      </c>
      <c r="S186" s="2">
        <v>471284.53</v>
      </c>
      <c r="T186" s="2">
        <v>475875.28</v>
      </c>
      <c r="U186" s="2">
        <v>477026.99</v>
      </c>
    </row>
    <row r="187" spans="1:21" x14ac:dyDescent="0.25">
      <c r="A187" t="s">
        <v>148</v>
      </c>
      <c r="B187" s="2">
        <v>3061</v>
      </c>
      <c r="C187" s="2">
        <v>3686</v>
      </c>
      <c r="D187" s="2">
        <v>4000</v>
      </c>
      <c r="E187" s="2">
        <v>5315</v>
      </c>
      <c r="F187" s="2">
        <v>5897</v>
      </c>
      <c r="G187" s="2">
        <v>6252</v>
      </c>
      <c r="H187" s="2">
        <v>6244</v>
      </c>
      <c r="I187" s="2">
        <v>7049</v>
      </c>
      <c r="J187" s="2">
        <v>9716</v>
      </c>
      <c r="K187" s="2">
        <v>17069</v>
      </c>
      <c r="L187" s="2">
        <v>21536</v>
      </c>
      <c r="M187" s="2">
        <v>43522</v>
      </c>
      <c r="N187" s="2">
        <v>99957</v>
      </c>
      <c r="O187" s="2">
        <v>177145.67</v>
      </c>
      <c r="P187" s="2">
        <v>257052.24</v>
      </c>
      <c r="Q187" s="2">
        <v>318002.56</v>
      </c>
      <c r="R187" s="2">
        <v>365147.79</v>
      </c>
      <c r="S187" s="2">
        <v>376452.65</v>
      </c>
      <c r="T187" s="2">
        <v>356891.93</v>
      </c>
      <c r="U187" s="2">
        <v>367813.65</v>
      </c>
    </row>
    <row r="188" spans="1:21" x14ac:dyDescent="0.25">
      <c r="A188" t="s">
        <v>1187</v>
      </c>
      <c r="B188" s="2">
        <v>6239</v>
      </c>
      <c r="C188" s="2">
        <v>7295</v>
      </c>
      <c r="D188" s="2">
        <v>8096</v>
      </c>
      <c r="E188" s="2">
        <v>10294</v>
      </c>
      <c r="F188" s="2">
        <v>11808</v>
      </c>
      <c r="G188" s="2">
        <v>13075</v>
      </c>
      <c r="H188" s="2">
        <v>13825</v>
      </c>
      <c r="I188" s="2">
        <v>15800</v>
      </c>
      <c r="J188">
        <v>0</v>
      </c>
      <c r="K188" s="2">
        <v>28674</v>
      </c>
      <c r="L188" s="2">
        <v>34818</v>
      </c>
      <c r="M188" s="2">
        <v>59554</v>
      </c>
      <c r="N188" s="2">
        <v>122651</v>
      </c>
      <c r="O188" s="2">
        <v>219202.33</v>
      </c>
      <c r="P188" s="2">
        <v>357728.97</v>
      </c>
      <c r="Q188" s="2">
        <v>479599.43</v>
      </c>
      <c r="R188" s="2">
        <v>606569.39</v>
      </c>
      <c r="S188" s="2">
        <v>569958.29</v>
      </c>
      <c r="T188" s="2">
        <v>607202.29</v>
      </c>
      <c r="U188" s="2">
        <v>642926.63</v>
      </c>
    </row>
    <row r="189" spans="1:21" x14ac:dyDescent="0.25">
      <c r="A189" t="s">
        <v>900</v>
      </c>
      <c r="B189" s="2">
        <v>3178</v>
      </c>
      <c r="C189" s="2">
        <v>3609</v>
      </c>
      <c r="D189" s="2">
        <v>4096</v>
      </c>
      <c r="E189" s="2">
        <v>4979</v>
      </c>
      <c r="F189" s="2">
        <v>5911</v>
      </c>
      <c r="G189" s="2">
        <v>6823</v>
      </c>
      <c r="H189" s="2">
        <v>7581</v>
      </c>
      <c r="I189" s="2">
        <v>8751</v>
      </c>
      <c r="J189" s="2">
        <v>9958</v>
      </c>
      <c r="K189" s="2">
        <v>11605</v>
      </c>
      <c r="L189" s="2">
        <v>13282</v>
      </c>
      <c r="M189" s="2">
        <v>16032</v>
      </c>
      <c r="N189" s="2">
        <v>22694</v>
      </c>
      <c r="O189" s="2">
        <v>36321.519999999997</v>
      </c>
      <c r="P189" s="2">
        <v>60940.41</v>
      </c>
      <c r="Q189" s="2">
        <v>97904.73</v>
      </c>
      <c r="R189" s="2">
        <v>145425.01999999999</v>
      </c>
      <c r="S189" s="2">
        <v>202371.07</v>
      </c>
      <c r="T189" s="2">
        <v>249509.71</v>
      </c>
      <c r="U189" s="2">
        <v>264542.31</v>
      </c>
    </row>
    <row r="190" spans="1:21" x14ac:dyDescent="0.25">
      <c r="A190" t="s">
        <v>413</v>
      </c>
      <c r="B190" s="2">
        <v>35789</v>
      </c>
      <c r="C190" s="2">
        <v>40493</v>
      </c>
      <c r="D190" s="2">
        <v>39533</v>
      </c>
      <c r="E190" s="2">
        <v>50724</v>
      </c>
      <c r="F190" s="2">
        <v>50425</v>
      </c>
      <c r="G190" s="2">
        <v>49058</v>
      </c>
      <c r="H190" s="2">
        <v>47507</v>
      </c>
      <c r="I190" s="2">
        <v>46365</v>
      </c>
      <c r="J190" s="2">
        <v>45251</v>
      </c>
      <c r="K190" s="2">
        <v>72098</v>
      </c>
      <c r="L190" s="2">
        <v>69120</v>
      </c>
      <c r="M190" s="2">
        <v>66794</v>
      </c>
      <c r="N190" s="2">
        <v>65490</v>
      </c>
      <c r="O190" s="2">
        <v>61661</v>
      </c>
      <c r="P190" s="2">
        <v>60969</v>
      </c>
      <c r="Q190" s="2">
        <v>60351</v>
      </c>
      <c r="R190" s="2">
        <v>59771</v>
      </c>
    </row>
    <row r="191" spans="1:21" x14ac:dyDescent="0.25">
      <c r="A191" t="s">
        <v>1609</v>
      </c>
      <c r="B191" s="2">
        <v>6137</v>
      </c>
      <c r="C191" s="2">
        <v>6406</v>
      </c>
      <c r="D191" s="2">
        <v>4943</v>
      </c>
      <c r="E191" s="2">
        <v>7679</v>
      </c>
      <c r="F191" s="2">
        <v>6670</v>
      </c>
      <c r="G191" s="2">
        <v>5279</v>
      </c>
      <c r="H191" s="2">
        <v>3738</v>
      </c>
      <c r="I191" s="2">
        <v>2430</v>
      </c>
      <c r="J191" s="2">
        <v>1440</v>
      </c>
      <c r="K191" s="2">
        <v>9837</v>
      </c>
      <c r="L191" s="2">
        <v>6890</v>
      </c>
      <c r="M191" s="2">
        <v>4587</v>
      </c>
      <c r="N191" s="2">
        <v>3229</v>
      </c>
      <c r="O191" s="2">
        <v>2215.54</v>
      </c>
      <c r="P191" s="2">
        <v>1636.37</v>
      </c>
      <c r="Q191">
        <v>969.41</v>
      </c>
      <c r="R191">
        <v>276.12</v>
      </c>
      <c r="S191">
        <v>-509.13</v>
      </c>
    </row>
    <row r="192" spans="1:21" x14ac:dyDescent="0.25">
      <c r="A192" t="s">
        <v>152</v>
      </c>
      <c r="B192" s="2">
        <v>29652</v>
      </c>
      <c r="C192" s="2">
        <v>34087</v>
      </c>
      <c r="D192" s="2">
        <v>34590</v>
      </c>
      <c r="E192" s="2">
        <v>43045</v>
      </c>
      <c r="F192" s="2">
        <v>43755</v>
      </c>
      <c r="G192" s="2">
        <v>43779</v>
      </c>
      <c r="H192" s="2">
        <v>43769</v>
      </c>
      <c r="I192" s="2">
        <v>43935</v>
      </c>
      <c r="J192" s="2">
        <v>43811</v>
      </c>
      <c r="K192" s="2">
        <v>62261</v>
      </c>
      <c r="L192" s="2">
        <v>62230</v>
      </c>
      <c r="M192" s="2">
        <v>62207</v>
      </c>
      <c r="N192" s="2">
        <v>62261</v>
      </c>
      <c r="O192" s="2">
        <v>62233</v>
      </c>
      <c r="P192" s="2">
        <v>62188.11</v>
      </c>
      <c r="Q192" s="2">
        <v>62095.62</v>
      </c>
      <c r="R192" s="2">
        <v>62014</v>
      </c>
      <c r="S192" s="2">
        <v>62265.5</v>
      </c>
      <c r="T192" s="2">
        <v>62267</v>
      </c>
      <c r="U192" s="2">
        <v>62267</v>
      </c>
    </row>
    <row r="193" spans="1:21" x14ac:dyDescent="0.25">
      <c r="A193" t="s">
        <v>311</v>
      </c>
      <c r="B193">
        <v>837</v>
      </c>
      <c r="C193" s="2">
        <v>1458</v>
      </c>
      <c r="D193" s="2">
        <v>1291</v>
      </c>
      <c r="E193" s="2">
        <v>1143</v>
      </c>
      <c r="F193" s="2">
        <v>1395</v>
      </c>
      <c r="G193" s="2">
        <v>2696</v>
      </c>
      <c r="H193" s="2">
        <v>3252</v>
      </c>
      <c r="I193" s="2">
        <v>13636</v>
      </c>
      <c r="J193" s="2">
        <v>12782</v>
      </c>
      <c r="K193" s="2">
        <v>12226</v>
      </c>
      <c r="L193" s="2">
        <v>12273</v>
      </c>
      <c r="M193" s="2">
        <v>11877</v>
      </c>
      <c r="N193" s="2">
        <v>11541</v>
      </c>
      <c r="O193" s="2">
        <v>11983.17</v>
      </c>
      <c r="P193" s="2">
        <v>12997.28</v>
      </c>
      <c r="Q193" s="2">
        <v>13082.31</v>
      </c>
      <c r="R193" s="2">
        <v>13647.39</v>
      </c>
      <c r="S193" s="2">
        <v>11625</v>
      </c>
      <c r="T193" s="2">
        <v>11625</v>
      </c>
      <c r="U193" s="2">
        <v>11625</v>
      </c>
    </row>
    <row r="194" spans="1:21" x14ac:dyDescent="0.25">
      <c r="A194" t="s">
        <v>514</v>
      </c>
      <c r="B194" s="2">
        <v>2451</v>
      </c>
      <c r="C194" s="2">
        <v>2746</v>
      </c>
      <c r="D194" s="2">
        <v>3043</v>
      </c>
      <c r="E194" s="2">
        <v>3294</v>
      </c>
      <c r="F194" s="2">
        <v>3975</v>
      </c>
      <c r="G194" s="2">
        <v>4317</v>
      </c>
      <c r="H194" s="2">
        <v>6295</v>
      </c>
      <c r="I194" s="2">
        <v>8490</v>
      </c>
      <c r="J194" s="2">
        <v>9915</v>
      </c>
      <c r="K194" s="2">
        <v>11987</v>
      </c>
      <c r="L194" s="2">
        <v>15493</v>
      </c>
      <c r="M194" s="2">
        <v>13031</v>
      </c>
      <c r="N194" s="2">
        <v>11743</v>
      </c>
      <c r="O194" s="2">
        <v>28983.42</v>
      </c>
      <c r="P194" s="2">
        <v>34811.03</v>
      </c>
      <c r="Q194" s="2">
        <v>49304.66</v>
      </c>
      <c r="R194" s="2">
        <v>55876.21</v>
      </c>
      <c r="S194" s="2">
        <v>44378.5</v>
      </c>
      <c r="T194" s="2">
        <v>45892</v>
      </c>
      <c r="U194" s="2">
        <v>45892</v>
      </c>
    </row>
    <row r="195" spans="1:21" x14ac:dyDescent="0.25">
      <c r="A195" t="s">
        <v>155</v>
      </c>
      <c r="B195" s="2">
        <v>90266</v>
      </c>
      <c r="C195" s="2">
        <v>110903</v>
      </c>
      <c r="D195" s="2">
        <v>112180</v>
      </c>
      <c r="E195" s="2">
        <v>134991</v>
      </c>
      <c r="F195" s="2">
        <v>137851</v>
      </c>
      <c r="G195" s="2">
        <v>108709</v>
      </c>
      <c r="H195" s="2">
        <v>115438</v>
      </c>
      <c r="I195" s="2">
        <v>131107</v>
      </c>
      <c r="J195" s="2">
        <v>109297</v>
      </c>
      <c r="K195" s="2">
        <v>134384</v>
      </c>
      <c r="L195" s="2">
        <v>140976</v>
      </c>
      <c r="M195" s="2">
        <v>168361</v>
      </c>
      <c r="N195" s="2">
        <v>261759</v>
      </c>
      <c r="O195" s="2">
        <v>351932.02</v>
      </c>
      <c r="P195" s="2">
        <v>445293.77</v>
      </c>
      <c r="Q195" s="2">
        <v>536452.06999999995</v>
      </c>
      <c r="R195" s="2">
        <v>622268.25</v>
      </c>
      <c r="S195" s="2">
        <v>665657.24</v>
      </c>
      <c r="T195" s="2">
        <v>717689.15</v>
      </c>
      <c r="U195" s="2">
        <v>780779.3</v>
      </c>
    </row>
    <row r="196" spans="1:21" x14ac:dyDescent="0.25">
      <c r="A196" t="s">
        <v>17</v>
      </c>
    </row>
    <row r="197" spans="1:21" x14ac:dyDescent="0.25">
      <c r="A197" t="s">
        <v>156</v>
      </c>
    </row>
    <row r="198" spans="1:21" x14ac:dyDescent="0.25">
      <c r="A198" t="s">
        <v>157</v>
      </c>
      <c r="B198" s="2">
        <v>14389</v>
      </c>
      <c r="C198" s="2">
        <v>15206</v>
      </c>
      <c r="D198" s="2">
        <v>17208</v>
      </c>
      <c r="E198" s="2">
        <v>24178</v>
      </c>
      <c r="F198" s="2">
        <v>19124</v>
      </c>
      <c r="G198" s="2">
        <v>18630</v>
      </c>
      <c r="H198" s="2">
        <v>17200</v>
      </c>
      <c r="I198" s="2">
        <v>24164</v>
      </c>
      <c r="J198" s="2">
        <v>19511</v>
      </c>
      <c r="K198" s="2">
        <v>23090</v>
      </c>
      <c r="L198" s="2">
        <v>31544</v>
      </c>
      <c r="M198" s="2">
        <v>32643</v>
      </c>
      <c r="N198" s="2">
        <v>41764</v>
      </c>
      <c r="O198" s="2">
        <v>52676.959999999999</v>
      </c>
      <c r="P198" s="2">
        <v>69602.03</v>
      </c>
      <c r="Q198" s="2">
        <v>84629.94</v>
      </c>
      <c r="R198" s="2">
        <v>91357.11</v>
      </c>
      <c r="S198" s="2">
        <v>105857.95</v>
      </c>
      <c r="T198" s="2">
        <v>171523.12</v>
      </c>
      <c r="U198" s="2">
        <v>163755.94</v>
      </c>
    </row>
    <row r="199" spans="1:21" x14ac:dyDescent="0.25">
      <c r="A199" t="s">
        <v>313</v>
      </c>
      <c r="B199" s="2">
        <v>1508</v>
      </c>
      <c r="C199" s="2">
        <v>1999</v>
      </c>
      <c r="D199" s="2">
        <v>3750</v>
      </c>
      <c r="E199" s="2">
        <v>9797</v>
      </c>
      <c r="F199" s="2">
        <v>4491</v>
      </c>
      <c r="G199" s="2">
        <v>4494</v>
      </c>
      <c r="H199" s="2">
        <v>2371</v>
      </c>
      <c r="I199" s="2">
        <v>8250</v>
      </c>
      <c r="J199" s="2">
        <v>3749</v>
      </c>
      <c r="K199" s="2">
        <v>4061</v>
      </c>
      <c r="L199" s="2">
        <v>10605</v>
      </c>
      <c r="M199" s="2">
        <v>7271</v>
      </c>
      <c r="N199" s="2">
        <v>7199</v>
      </c>
      <c r="O199" s="2">
        <v>9148.9500000000007</v>
      </c>
      <c r="P199" s="2">
        <v>13088.58</v>
      </c>
      <c r="Q199" s="2">
        <v>16711.54</v>
      </c>
      <c r="R199" s="2">
        <v>17909.09</v>
      </c>
      <c r="S199" s="2">
        <v>30958.33</v>
      </c>
      <c r="T199" s="2">
        <v>93207.9</v>
      </c>
      <c r="U199" s="2">
        <v>85198.99</v>
      </c>
    </row>
    <row r="200" spans="1:21" x14ac:dyDescent="0.25">
      <c r="A200" t="s">
        <v>158</v>
      </c>
      <c r="B200">
        <v>471</v>
      </c>
      <c r="C200">
        <v>806</v>
      </c>
      <c r="D200">
        <v>504</v>
      </c>
      <c r="E200">
        <v>599</v>
      </c>
      <c r="F200">
        <v>529</v>
      </c>
      <c r="G200">
        <v>580</v>
      </c>
      <c r="H200">
        <v>637</v>
      </c>
      <c r="I200">
        <v>745</v>
      </c>
      <c r="J200" s="2">
        <v>1317</v>
      </c>
      <c r="K200" s="2">
        <v>1204</v>
      </c>
      <c r="L200" s="2">
        <v>2357</v>
      </c>
      <c r="M200" s="2">
        <v>5113</v>
      </c>
      <c r="N200" s="2">
        <v>10977</v>
      </c>
      <c r="O200" s="2">
        <v>13548.71</v>
      </c>
      <c r="P200" s="2">
        <v>18702.310000000001</v>
      </c>
      <c r="Q200" s="2">
        <v>23105.89</v>
      </c>
      <c r="R200" s="2">
        <v>25747.53</v>
      </c>
      <c r="S200" s="2">
        <v>39419.620000000003</v>
      </c>
      <c r="T200" s="2">
        <v>19140.28</v>
      </c>
      <c r="U200" s="2">
        <v>18590.59</v>
      </c>
    </row>
    <row r="201" spans="1:21" x14ac:dyDescent="0.25">
      <c r="A201" t="s">
        <v>160</v>
      </c>
      <c r="B201" s="2">
        <v>1940</v>
      </c>
      <c r="C201" s="2">
        <v>1839</v>
      </c>
      <c r="D201" s="2">
        <v>1966</v>
      </c>
      <c r="E201" s="2">
        <v>1966</v>
      </c>
      <c r="F201" s="2">
        <v>1806</v>
      </c>
      <c r="G201" s="2">
        <v>1628</v>
      </c>
      <c r="H201" s="2">
        <v>1453</v>
      </c>
      <c r="I201" s="2">
        <v>2017</v>
      </c>
      <c r="J201" s="2">
        <v>1944</v>
      </c>
      <c r="K201" s="2">
        <v>2053</v>
      </c>
      <c r="L201" s="2">
        <v>1916</v>
      </c>
      <c r="M201" s="2">
        <v>2243</v>
      </c>
      <c r="N201" s="2">
        <v>2225</v>
      </c>
      <c r="O201" s="2">
        <v>2424.12</v>
      </c>
      <c r="P201" s="2">
        <v>3024.53</v>
      </c>
      <c r="Q201" s="2">
        <v>3476.32</v>
      </c>
      <c r="R201" s="2">
        <v>3902.99</v>
      </c>
      <c r="S201" s="2">
        <v>6036.09</v>
      </c>
      <c r="T201" s="2">
        <v>8399.36</v>
      </c>
      <c r="U201" s="2">
        <v>8822.9</v>
      </c>
    </row>
    <row r="202" spans="1:21" x14ac:dyDescent="0.25">
      <c r="A202" t="s">
        <v>2061</v>
      </c>
      <c r="B202" s="2">
        <v>7269</v>
      </c>
      <c r="C202" s="2">
        <v>7245</v>
      </c>
      <c r="D202" s="2">
        <v>7655</v>
      </c>
      <c r="E202" s="2">
        <v>8233</v>
      </c>
      <c r="F202" s="2">
        <v>8341</v>
      </c>
      <c r="G202" s="2">
        <v>8374</v>
      </c>
      <c r="H202" s="2">
        <v>8002</v>
      </c>
      <c r="I202" s="2">
        <v>8775</v>
      </c>
      <c r="J202" s="2">
        <v>8357</v>
      </c>
      <c r="K202" s="2">
        <v>8970</v>
      </c>
      <c r="L202" s="2">
        <v>9313</v>
      </c>
      <c r="M202" s="2">
        <v>9387</v>
      </c>
      <c r="N202" s="2">
        <v>9916</v>
      </c>
      <c r="O202" s="2">
        <v>14307.46</v>
      </c>
      <c r="P202" s="2">
        <v>18633.75</v>
      </c>
      <c r="Q202" s="2">
        <v>22346.52</v>
      </c>
      <c r="R202" s="2">
        <v>25991.63</v>
      </c>
      <c r="S202" s="2">
        <v>16177.7</v>
      </c>
      <c r="T202" s="2">
        <v>35152.53</v>
      </c>
      <c r="U202" s="2">
        <v>37065.019999999997</v>
      </c>
    </row>
    <row r="203" spans="1:21" x14ac:dyDescent="0.25">
      <c r="A203" t="s">
        <v>314</v>
      </c>
      <c r="B203" s="2">
        <v>2785</v>
      </c>
      <c r="C203" s="2">
        <v>3317</v>
      </c>
      <c r="D203" s="2">
        <v>3333</v>
      </c>
      <c r="E203" s="2">
        <v>3583</v>
      </c>
      <c r="F203" s="2">
        <v>3957</v>
      </c>
      <c r="G203" s="2">
        <v>3554</v>
      </c>
      <c r="H203" s="2">
        <v>4737</v>
      </c>
      <c r="I203" s="2">
        <v>4377</v>
      </c>
      <c r="J203" s="2">
        <v>4144</v>
      </c>
      <c r="K203" s="2">
        <v>6802</v>
      </c>
      <c r="L203" s="2">
        <v>7353</v>
      </c>
      <c r="M203" s="2">
        <v>8629</v>
      </c>
      <c r="N203" s="2">
        <v>11447</v>
      </c>
      <c r="O203" s="2">
        <v>13643.98</v>
      </c>
      <c r="P203" s="2">
        <v>16653.349999999999</v>
      </c>
      <c r="Q203" s="2">
        <v>20144.88</v>
      </c>
      <c r="R203" s="2">
        <v>20385.39</v>
      </c>
      <c r="S203" s="2">
        <v>15558.58</v>
      </c>
      <c r="T203" s="2">
        <v>15623.06</v>
      </c>
      <c r="U203" s="2">
        <v>14078.43</v>
      </c>
    </row>
    <row r="204" spans="1:21" x14ac:dyDescent="0.25">
      <c r="A204" t="s">
        <v>164</v>
      </c>
      <c r="B204" s="2">
        <v>28430</v>
      </c>
      <c r="C204" s="2">
        <v>46599</v>
      </c>
      <c r="D204" s="2">
        <v>47182</v>
      </c>
      <c r="E204" s="2">
        <v>56567</v>
      </c>
      <c r="F204" s="2">
        <v>71854</v>
      </c>
      <c r="G204" s="2">
        <v>67716</v>
      </c>
      <c r="H204" s="2">
        <v>85521</v>
      </c>
      <c r="I204" s="2">
        <v>100991</v>
      </c>
      <c r="J204" s="2">
        <v>95554</v>
      </c>
      <c r="K204" s="2">
        <v>109738</v>
      </c>
      <c r="L204" s="2">
        <v>100193</v>
      </c>
      <c r="M204" s="2">
        <v>114749</v>
      </c>
      <c r="N204" s="2">
        <v>176939</v>
      </c>
      <c r="O204" s="2">
        <v>214464.73</v>
      </c>
      <c r="P204" s="2">
        <v>250424.89</v>
      </c>
      <c r="Q204" s="2">
        <v>271945.46999999997</v>
      </c>
      <c r="R204" s="2">
        <v>284092.15000000002</v>
      </c>
      <c r="S204" s="2">
        <v>286081.07</v>
      </c>
      <c r="T204" s="2">
        <v>235995.82</v>
      </c>
      <c r="U204" s="2">
        <v>243217.25</v>
      </c>
    </row>
    <row r="205" spans="1:21" x14ac:dyDescent="0.25">
      <c r="A205" t="s">
        <v>315</v>
      </c>
      <c r="B205" s="2">
        <v>22589</v>
      </c>
      <c r="C205" s="2">
        <v>39959</v>
      </c>
      <c r="D205" s="2">
        <v>40105</v>
      </c>
      <c r="E205" s="2">
        <v>48112</v>
      </c>
      <c r="F205" s="2">
        <v>56128</v>
      </c>
      <c r="G205" s="2">
        <v>51673</v>
      </c>
      <c r="H205" s="2">
        <v>69226</v>
      </c>
      <c r="I205" s="2">
        <v>75995</v>
      </c>
      <c r="J205" s="2">
        <v>72110</v>
      </c>
      <c r="K205" s="2">
        <v>86420</v>
      </c>
      <c r="L205" s="2">
        <v>76264</v>
      </c>
      <c r="M205" s="2">
        <v>85297</v>
      </c>
      <c r="N205" s="2">
        <v>122342</v>
      </c>
      <c r="O205" s="2">
        <v>134316.21</v>
      </c>
      <c r="P205" s="2">
        <v>152970.48000000001</v>
      </c>
      <c r="Q205" s="2">
        <v>155447.35999999999</v>
      </c>
      <c r="R205" s="2">
        <v>154468.71</v>
      </c>
      <c r="S205" s="2">
        <v>145961.67000000001</v>
      </c>
      <c r="T205" s="2">
        <v>187712</v>
      </c>
      <c r="U205" s="2">
        <v>187712</v>
      </c>
    </row>
    <row r="206" spans="1:21" x14ac:dyDescent="0.25">
      <c r="A206" t="s">
        <v>499</v>
      </c>
      <c r="C206" s="2">
        <v>4386</v>
      </c>
      <c r="D206" s="2">
        <v>4908</v>
      </c>
      <c r="E206" s="2">
        <v>5681</v>
      </c>
      <c r="F206" s="2">
        <v>13429</v>
      </c>
      <c r="G206" s="2">
        <v>13295</v>
      </c>
      <c r="H206" s="2">
        <v>12463</v>
      </c>
      <c r="I206" s="2">
        <v>12345</v>
      </c>
      <c r="J206" s="2">
        <v>12210</v>
      </c>
      <c r="K206" s="2">
        <v>11077</v>
      </c>
      <c r="L206" s="2">
        <v>10817</v>
      </c>
      <c r="M206" s="2">
        <v>10269</v>
      </c>
      <c r="N206" s="2">
        <v>11771</v>
      </c>
      <c r="O206" s="2">
        <v>12557.47</v>
      </c>
      <c r="P206" s="2">
        <v>13700.49</v>
      </c>
      <c r="Q206" s="2">
        <v>13309.71</v>
      </c>
      <c r="R206" s="2">
        <v>13414.33</v>
      </c>
      <c r="S206" s="2">
        <v>12060</v>
      </c>
      <c r="T206" s="2">
        <v>12060</v>
      </c>
      <c r="U206" s="2">
        <v>12060</v>
      </c>
    </row>
    <row r="207" spans="1:21" x14ac:dyDescent="0.25">
      <c r="A207" t="s">
        <v>501</v>
      </c>
      <c r="H207" s="2">
        <v>1500</v>
      </c>
      <c r="I207" s="2">
        <v>2100</v>
      </c>
      <c r="J207" s="2">
        <v>2900</v>
      </c>
      <c r="K207" s="2">
        <v>4000</v>
      </c>
      <c r="L207" s="2">
        <v>6300</v>
      </c>
      <c r="M207" s="2">
        <v>11536</v>
      </c>
      <c r="N207" s="2">
        <v>26648</v>
      </c>
      <c r="O207" s="2">
        <v>34906.769999999997</v>
      </c>
      <c r="P207" s="2">
        <v>42433.84</v>
      </c>
      <c r="Q207" s="2">
        <v>54768.89</v>
      </c>
      <c r="R207" s="2">
        <v>60761.96</v>
      </c>
      <c r="S207" s="2">
        <v>61432.24</v>
      </c>
      <c r="T207" s="2">
        <v>76851.360000000001</v>
      </c>
      <c r="U207" s="2">
        <v>76851.360000000001</v>
      </c>
    </row>
    <row r="208" spans="1:21" x14ac:dyDescent="0.25">
      <c r="A208" t="s">
        <v>2061</v>
      </c>
      <c r="B208">
        <v>0</v>
      </c>
      <c r="C208">
        <v>0</v>
      </c>
      <c r="D208">
        <v>0</v>
      </c>
      <c r="E208">
        <v>602</v>
      </c>
      <c r="F208">
        <v>625</v>
      </c>
      <c r="G208">
        <v>669</v>
      </c>
      <c r="H208">
        <v>597</v>
      </c>
      <c r="I208">
        <v>679</v>
      </c>
      <c r="J208">
        <v>753</v>
      </c>
      <c r="K208">
        <v>968</v>
      </c>
      <c r="L208" s="2">
        <v>1233</v>
      </c>
      <c r="M208" s="2">
        <v>1346</v>
      </c>
      <c r="N208" s="2">
        <v>5479</v>
      </c>
      <c r="O208" s="2">
        <v>6501.85</v>
      </c>
      <c r="P208" s="2">
        <v>10190.99</v>
      </c>
      <c r="Q208" s="2">
        <v>12731.54</v>
      </c>
      <c r="R208" s="2">
        <v>12093.36</v>
      </c>
      <c r="S208" s="2">
        <v>1841.33</v>
      </c>
    </row>
    <row r="209" spans="1:21" x14ac:dyDescent="0.25">
      <c r="A209" t="s">
        <v>502</v>
      </c>
      <c r="B209" s="2">
        <v>5841</v>
      </c>
      <c r="C209" s="2">
        <v>2254</v>
      </c>
      <c r="D209" s="2">
        <v>2169</v>
      </c>
      <c r="E209" s="2">
        <v>2774</v>
      </c>
      <c r="F209" s="2">
        <v>2297</v>
      </c>
      <c r="G209" s="2">
        <v>2748</v>
      </c>
      <c r="H209" s="2">
        <v>3791</v>
      </c>
      <c r="I209" s="2">
        <v>4787</v>
      </c>
      <c r="J209" s="2">
        <v>5203</v>
      </c>
      <c r="K209" s="2">
        <v>6469</v>
      </c>
      <c r="L209" s="2">
        <v>9420</v>
      </c>
      <c r="M209" s="2">
        <v>7647</v>
      </c>
      <c r="N209" s="2">
        <v>16178</v>
      </c>
      <c r="O209" s="2">
        <v>27100.17</v>
      </c>
      <c r="P209" s="2">
        <v>35183.050000000003</v>
      </c>
      <c r="Q209" s="2">
        <v>46185.77</v>
      </c>
      <c r="R209" s="2">
        <v>53764.34</v>
      </c>
      <c r="S209" s="2">
        <v>20205.5</v>
      </c>
      <c r="T209" s="2">
        <v>26599.96</v>
      </c>
      <c r="U209" s="2">
        <v>38002.629999999997</v>
      </c>
    </row>
    <row r="210" spans="1:21" x14ac:dyDescent="0.25">
      <c r="A210" t="s">
        <v>1440</v>
      </c>
      <c r="B210" s="2">
        <v>5841</v>
      </c>
      <c r="C210" s="2">
        <v>6640</v>
      </c>
      <c r="D210" s="2">
        <v>7077</v>
      </c>
      <c r="E210" s="2">
        <v>8455</v>
      </c>
      <c r="F210" s="2">
        <v>15726</v>
      </c>
      <c r="G210" s="2">
        <v>16043</v>
      </c>
      <c r="H210" s="2">
        <v>14795</v>
      </c>
      <c r="I210" s="2">
        <v>22896</v>
      </c>
      <c r="J210" s="2">
        <v>23444</v>
      </c>
      <c r="K210" s="2">
        <v>19318</v>
      </c>
      <c r="L210" s="2">
        <v>17629</v>
      </c>
      <c r="M210" s="2">
        <v>15239</v>
      </c>
      <c r="N210" s="2">
        <v>20868</v>
      </c>
      <c r="O210" s="2">
        <v>75276</v>
      </c>
      <c r="P210" s="2">
        <v>98985.5</v>
      </c>
      <c r="Q210" s="2">
        <v>116686</v>
      </c>
    </row>
    <row r="211" spans="1:21" x14ac:dyDescent="0.25">
      <c r="A211" t="s">
        <v>167</v>
      </c>
      <c r="B211" s="2">
        <v>42819</v>
      </c>
      <c r="C211" s="2">
        <v>61805</v>
      </c>
      <c r="D211" s="2">
        <v>64390</v>
      </c>
      <c r="E211" s="2">
        <v>80745</v>
      </c>
      <c r="F211" s="2">
        <v>90978</v>
      </c>
      <c r="G211" s="2">
        <v>86346</v>
      </c>
      <c r="H211" s="2">
        <v>102721</v>
      </c>
      <c r="I211" s="2">
        <v>125155</v>
      </c>
      <c r="J211" s="2">
        <v>115065</v>
      </c>
      <c r="K211" s="2">
        <v>132828</v>
      </c>
      <c r="L211" s="2">
        <v>131737</v>
      </c>
      <c r="M211" s="2">
        <v>147392</v>
      </c>
      <c r="N211" s="2">
        <v>218703</v>
      </c>
      <c r="O211" s="2">
        <v>261401.17</v>
      </c>
      <c r="P211" s="2">
        <v>310577.31</v>
      </c>
      <c r="Q211" s="2">
        <v>348104.77</v>
      </c>
      <c r="R211" s="2">
        <v>364494.35</v>
      </c>
      <c r="S211" s="2">
        <v>380439.31</v>
      </c>
      <c r="T211" s="2">
        <v>336607.48</v>
      </c>
      <c r="U211" s="2">
        <v>330543.59999999998</v>
      </c>
    </row>
    <row r="212" spans="1:21" x14ac:dyDescent="0.25">
      <c r="A212" t="s">
        <v>170</v>
      </c>
      <c r="B212" s="2">
        <v>47447</v>
      </c>
      <c r="C212" s="2">
        <v>49098</v>
      </c>
      <c r="D212" s="2">
        <v>47790</v>
      </c>
      <c r="E212" s="2">
        <v>54246</v>
      </c>
      <c r="F212" s="2">
        <v>46873</v>
      </c>
      <c r="G212" s="2">
        <v>22363</v>
      </c>
      <c r="H212" s="2">
        <v>12717</v>
      </c>
      <c r="I212" s="2">
        <v>5952</v>
      </c>
      <c r="J212" s="2">
        <v>-5768</v>
      </c>
      <c r="K212" s="2">
        <v>1556</v>
      </c>
      <c r="L212" s="2">
        <v>9239</v>
      </c>
      <c r="M212" s="2">
        <v>20969</v>
      </c>
      <c r="N212" s="2">
        <v>43056</v>
      </c>
      <c r="O212" s="2">
        <v>87781.3</v>
      </c>
      <c r="P212" s="2">
        <v>128292.74</v>
      </c>
      <c r="Q212" s="2">
        <v>182917.49</v>
      </c>
      <c r="R212" s="2">
        <v>249667.86</v>
      </c>
      <c r="S212" s="2">
        <v>258353.24</v>
      </c>
      <c r="T212" s="2">
        <v>310170.21000000002</v>
      </c>
      <c r="U212" s="2">
        <v>373806.11</v>
      </c>
    </row>
    <row r="213" spans="1:21" x14ac:dyDescent="0.25">
      <c r="A213" t="s">
        <v>2062</v>
      </c>
      <c r="B213" s="2">
        <v>46878</v>
      </c>
      <c r="C213" s="2">
        <v>48663</v>
      </c>
      <c r="D213" s="2">
        <v>47289</v>
      </c>
      <c r="E213" s="2">
        <v>53860</v>
      </c>
      <c r="F213" s="2">
        <v>46372</v>
      </c>
      <c r="G213" s="2">
        <v>21785</v>
      </c>
      <c r="H213" s="2">
        <v>12074</v>
      </c>
      <c r="I213" s="2">
        <v>5238</v>
      </c>
      <c r="J213" s="2">
        <v>-6220</v>
      </c>
      <c r="K213" s="2">
        <v>1073</v>
      </c>
      <c r="L213" s="2">
        <v>8704</v>
      </c>
      <c r="M213" s="2">
        <v>20451</v>
      </c>
      <c r="N213" s="2">
        <v>42508</v>
      </c>
      <c r="O213" s="2">
        <v>79439.94</v>
      </c>
      <c r="P213" s="2">
        <v>107041.27</v>
      </c>
      <c r="Q213" s="2">
        <v>147118.87</v>
      </c>
      <c r="R213" s="2">
        <v>200340.87</v>
      </c>
      <c r="S213" s="2">
        <v>208580</v>
      </c>
      <c r="T213" s="2">
        <v>310170.21000000002</v>
      </c>
      <c r="U213" s="2">
        <v>373806.11</v>
      </c>
    </row>
    <row r="214" spans="1:21" x14ac:dyDescent="0.25">
      <c r="A214" t="s">
        <v>2063</v>
      </c>
      <c r="B214" s="2">
        <v>21032.36</v>
      </c>
      <c r="C214" s="2">
        <v>23112.57</v>
      </c>
      <c r="D214" s="2">
        <v>24175.69</v>
      </c>
      <c r="E214" s="2">
        <v>27023.63</v>
      </c>
      <c r="F214" s="2">
        <v>28910.03</v>
      </c>
      <c r="G214" s="2">
        <v>26875.41</v>
      </c>
      <c r="H214" s="2">
        <v>26455.33</v>
      </c>
      <c r="I214" s="2">
        <v>26504.86</v>
      </c>
      <c r="J214" s="2">
        <v>26781.35</v>
      </c>
      <c r="K214" s="2">
        <v>30187.87</v>
      </c>
      <c r="L214" s="2">
        <v>32736.45</v>
      </c>
      <c r="M214" s="2">
        <v>37078.93</v>
      </c>
      <c r="N214" s="2">
        <v>43168.2</v>
      </c>
      <c r="O214" s="2">
        <v>68869.67</v>
      </c>
      <c r="P214" s="2">
        <v>75041.789999999994</v>
      </c>
      <c r="Q214" s="2">
        <v>82181.89</v>
      </c>
      <c r="R214" s="2">
        <v>90289.94</v>
      </c>
      <c r="S214" s="2">
        <v>114892.9</v>
      </c>
    </row>
    <row r="215" spans="1:21" x14ac:dyDescent="0.25">
      <c r="A215" t="s">
        <v>1666</v>
      </c>
      <c r="B215" s="2">
        <v>25965</v>
      </c>
      <c r="C215" s="2">
        <v>26503</v>
      </c>
      <c r="D215" s="2">
        <v>23888</v>
      </c>
      <c r="E215" s="2">
        <v>27598</v>
      </c>
      <c r="F215" s="2">
        <v>19111</v>
      </c>
      <c r="G215" s="2">
        <v>-3496</v>
      </c>
      <c r="H215" s="2">
        <v>-12696</v>
      </c>
      <c r="I215" s="2">
        <v>-20120</v>
      </c>
      <c r="J215" s="2">
        <v>-31336</v>
      </c>
      <c r="K215" s="2">
        <v>-27620</v>
      </c>
      <c r="L215" s="2">
        <v>-22628</v>
      </c>
      <c r="M215" s="2">
        <v>-15481</v>
      </c>
      <c r="N215" s="2">
        <v>-4309</v>
      </c>
      <c r="O215" s="2">
        <v>9923.49</v>
      </c>
      <c r="P215" s="2">
        <v>35274.21</v>
      </c>
      <c r="Q215" s="2">
        <v>73910.03</v>
      </c>
      <c r="R215" s="2">
        <v>127499.44</v>
      </c>
      <c r="S215" s="2">
        <v>202568.8</v>
      </c>
    </row>
    <row r="216" spans="1:21" x14ac:dyDescent="0.25">
      <c r="A216" t="s">
        <v>1667</v>
      </c>
      <c r="B216">
        <v>-164</v>
      </c>
      <c r="C216">
        <v>-996</v>
      </c>
      <c r="D216">
        <v>-816</v>
      </c>
      <c r="E216">
        <v>-803</v>
      </c>
      <c r="F216" s="2">
        <v>-1689</v>
      </c>
      <c r="G216" s="2">
        <v>-1628</v>
      </c>
      <c r="H216" s="2">
        <v>-1716</v>
      </c>
      <c r="I216" s="2">
        <v>-1175</v>
      </c>
      <c r="J216" s="2">
        <v>-1692</v>
      </c>
      <c r="K216" s="2">
        <v>-1522</v>
      </c>
      <c r="L216" s="2">
        <v>-1432</v>
      </c>
      <c r="M216" s="2">
        <v>-1175</v>
      </c>
      <c r="N216" s="2">
        <v>-1380</v>
      </c>
      <c r="O216" s="2">
        <v>3882</v>
      </c>
      <c r="P216" s="2">
        <v>3882</v>
      </c>
      <c r="Q216" s="2">
        <v>3882</v>
      </c>
      <c r="R216" s="2">
        <v>3882</v>
      </c>
      <c r="S216" s="2">
        <v>-1380</v>
      </c>
    </row>
    <row r="217" spans="1:21" x14ac:dyDescent="0.25">
      <c r="A217" t="s">
        <v>2064</v>
      </c>
      <c r="B217">
        <v>569</v>
      </c>
      <c r="C217">
        <v>435</v>
      </c>
      <c r="D217">
        <v>501</v>
      </c>
      <c r="E217">
        <v>386</v>
      </c>
      <c r="F217">
        <v>501</v>
      </c>
      <c r="G217">
        <v>578</v>
      </c>
      <c r="H217">
        <v>643</v>
      </c>
      <c r="I217">
        <v>714</v>
      </c>
      <c r="J217">
        <v>452</v>
      </c>
      <c r="K217">
        <v>483</v>
      </c>
      <c r="L217">
        <v>535</v>
      </c>
      <c r="M217">
        <v>518</v>
      </c>
      <c r="N217">
        <v>548</v>
      </c>
      <c r="O217">
        <v>543.20000000000005</v>
      </c>
      <c r="P217">
        <v>536.6</v>
      </c>
      <c r="Q217">
        <v>539</v>
      </c>
      <c r="R217">
        <v>540.6</v>
      </c>
      <c r="S217">
        <v>540.5</v>
      </c>
    </row>
    <row r="218" spans="1:21" x14ac:dyDescent="0.25">
      <c r="A218" t="s">
        <v>326</v>
      </c>
      <c r="B218" s="2">
        <v>90266</v>
      </c>
      <c r="C218" s="2">
        <v>110903</v>
      </c>
      <c r="D218" s="2">
        <v>112180</v>
      </c>
      <c r="E218" s="2">
        <v>134991</v>
      </c>
      <c r="F218" s="2">
        <v>137851</v>
      </c>
      <c r="G218" s="2">
        <v>108709</v>
      </c>
      <c r="H218" s="2">
        <v>115438</v>
      </c>
      <c r="I218" s="2">
        <v>131107</v>
      </c>
      <c r="J218" s="2">
        <v>109297</v>
      </c>
      <c r="K218" s="2">
        <v>134384</v>
      </c>
      <c r="L218" s="2">
        <v>140976</v>
      </c>
      <c r="M218" s="2">
        <v>168361</v>
      </c>
      <c r="N218" s="2">
        <v>261759</v>
      </c>
      <c r="O218" s="2">
        <v>351932.02</v>
      </c>
      <c r="P218" s="2">
        <v>445293.77</v>
      </c>
      <c r="Q218" s="2">
        <v>536452.06999999995</v>
      </c>
      <c r="R218" s="2">
        <v>622268.25</v>
      </c>
      <c r="S218" s="2">
        <v>665657.24</v>
      </c>
      <c r="T218" s="2">
        <v>717689.15</v>
      </c>
      <c r="U218" s="2">
        <v>780779.3</v>
      </c>
    </row>
    <row r="219" spans="1:21" x14ac:dyDescent="0.25">
      <c r="A219" t="s">
        <v>17</v>
      </c>
    </row>
    <row r="220" spans="1:21" x14ac:dyDescent="0.25">
      <c r="A220" t="s">
        <v>176</v>
      </c>
    </row>
    <row r="221" spans="1:21" x14ac:dyDescent="0.25">
      <c r="A221" t="s">
        <v>177</v>
      </c>
      <c r="B221" s="2">
        <v>-14722</v>
      </c>
      <c r="C221" s="2">
        <v>-12410</v>
      </c>
      <c r="D221" s="2">
        <v>-12270</v>
      </c>
      <c r="E221" s="2">
        <v>-8169</v>
      </c>
      <c r="F221" s="2">
        <v>-6642</v>
      </c>
      <c r="G221" s="2">
        <v>18340</v>
      </c>
      <c r="H221" s="2">
        <v>30615</v>
      </c>
      <c r="I221" s="2">
        <v>40455</v>
      </c>
      <c r="J221" s="2">
        <v>57623</v>
      </c>
      <c r="K221" s="2">
        <v>85159</v>
      </c>
      <c r="L221" s="2">
        <v>83808</v>
      </c>
      <c r="M221" s="2">
        <v>97749</v>
      </c>
      <c r="N221" s="2">
        <v>135538</v>
      </c>
      <c r="O221" s="2">
        <v>115651.18</v>
      </c>
      <c r="P221" s="2">
        <v>144862.45000000001</v>
      </c>
      <c r="Q221" s="2">
        <v>140807.92000000001</v>
      </c>
      <c r="R221" s="2">
        <v>95156.2</v>
      </c>
      <c r="S221" s="2">
        <v>72698.149999999994</v>
      </c>
      <c r="T221" s="2">
        <v>59537.62</v>
      </c>
      <c r="U221" s="2">
        <v>7760.58</v>
      </c>
    </row>
    <row r="222" spans="1:21" x14ac:dyDescent="0.25">
      <c r="A222" t="s">
        <v>2065</v>
      </c>
      <c r="B222">
        <v>-3.2</v>
      </c>
      <c r="C222">
        <v>-2.76</v>
      </c>
      <c r="D222">
        <v>-2.85</v>
      </c>
      <c r="E222">
        <v>-1.94</v>
      </c>
      <c r="F222">
        <v>-1.57</v>
      </c>
      <c r="G222">
        <v>4.91</v>
      </c>
      <c r="H222">
        <v>9.2899999999999991</v>
      </c>
      <c r="I222">
        <v>13.39</v>
      </c>
      <c r="J222">
        <v>20.68</v>
      </c>
      <c r="K222">
        <v>30.79</v>
      </c>
      <c r="L222">
        <v>29.69</v>
      </c>
      <c r="M222">
        <v>34.11</v>
      </c>
      <c r="N222">
        <v>46.51</v>
      </c>
      <c r="O222">
        <v>38.61</v>
      </c>
      <c r="P222">
        <v>51.18</v>
      </c>
      <c r="Q222">
        <v>53.53</v>
      </c>
      <c r="R222">
        <v>54.81</v>
      </c>
      <c r="S222">
        <v>23.07</v>
      </c>
      <c r="T222">
        <v>18.27</v>
      </c>
      <c r="U222">
        <v>2.35</v>
      </c>
    </row>
    <row r="223" spans="1:21" x14ac:dyDescent="0.25">
      <c r="A223" t="s">
        <v>609</v>
      </c>
      <c r="B223" s="2">
        <v>24097</v>
      </c>
      <c r="C223" s="2">
        <v>41958</v>
      </c>
      <c r="D223" s="2">
        <v>43855</v>
      </c>
      <c r="E223" s="2">
        <v>57909</v>
      </c>
      <c r="F223" s="2">
        <v>60619</v>
      </c>
      <c r="G223" s="2">
        <v>56167</v>
      </c>
      <c r="H223" s="2">
        <v>73672</v>
      </c>
      <c r="I223" s="2">
        <v>87009</v>
      </c>
      <c r="J223" s="2">
        <v>75859</v>
      </c>
      <c r="K223" s="2">
        <v>95346</v>
      </c>
      <c r="L223" s="2">
        <v>94469</v>
      </c>
      <c r="M223" s="2">
        <v>108952</v>
      </c>
      <c r="N223" s="2">
        <v>172432</v>
      </c>
      <c r="O223" s="2">
        <v>145508.94</v>
      </c>
      <c r="P223" s="2">
        <v>171730.37</v>
      </c>
      <c r="Q223" s="2">
        <v>179447.89</v>
      </c>
      <c r="R223" s="2">
        <v>178345.63</v>
      </c>
      <c r="S223" s="2">
        <v>208091.75</v>
      </c>
      <c r="T223" s="2">
        <v>187063.9</v>
      </c>
      <c r="U223" s="2">
        <v>179054.99</v>
      </c>
    </row>
    <row r="224" spans="1:21" x14ac:dyDescent="0.25">
      <c r="A224" t="s">
        <v>178</v>
      </c>
    </row>
    <row r="225" spans="1:21" x14ac:dyDescent="0.25">
      <c r="A225" t="s">
        <v>179</v>
      </c>
      <c r="B225">
        <v>12.74</v>
      </c>
      <c r="C225">
        <v>9.8800000000000008</v>
      </c>
      <c r="D225">
        <v>7.98</v>
      </c>
      <c r="E225">
        <v>7.55</v>
      </c>
      <c r="F225">
        <v>2.63</v>
      </c>
      <c r="G225">
        <v>8.99</v>
      </c>
      <c r="H225">
        <v>9.0399999999999991</v>
      </c>
      <c r="I225">
        <v>11.15</v>
      </c>
      <c r="J225">
        <v>5.59</v>
      </c>
      <c r="K225">
        <v>6.98</v>
      </c>
      <c r="L225">
        <v>7.6</v>
      </c>
      <c r="M225">
        <v>8.0399999999999991</v>
      </c>
      <c r="N225">
        <v>7.95</v>
      </c>
      <c r="O225">
        <v>8.06</v>
      </c>
      <c r="P225">
        <v>8.7899999999999991</v>
      </c>
    </row>
    <row r="226" spans="1:21" x14ac:dyDescent="0.25">
      <c r="A226" t="s">
        <v>180</v>
      </c>
      <c r="B226">
        <v>23.94</v>
      </c>
      <c r="C226">
        <v>20.8</v>
      </c>
      <c r="D226">
        <v>18.55</v>
      </c>
      <c r="E226">
        <v>18.46</v>
      </c>
      <c r="F226">
        <v>7.16</v>
      </c>
      <c r="G226">
        <v>32.520000000000003</v>
      </c>
      <c r="H226">
        <v>59.87</v>
      </c>
      <c r="I226">
        <v>158.80000000000001</v>
      </c>
      <c r="L226">
        <v>214.11</v>
      </c>
      <c r="M226">
        <v>85.36</v>
      </c>
      <c r="N226">
        <v>58.61</v>
      </c>
      <c r="O226">
        <v>33.56</v>
      </c>
      <c r="P226">
        <v>29.94</v>
      </c>
      <c r="Q226">
        <v>35.47</v>
      </c>
      <c r="R226">
        <v>27.35</v>
      </c>
      <c r="S226">
        <v>25.1</v>
      </c>
    </row>
    <row r="227" spans="1:21" x14ac:dyDescent="0.25">
      <c r="A227" t="s">
        <v>185</v>
      </c>
      <c r="B227">
        <v>280.39999999999998</v>
      </c>
      <c r="C227">
        <v>193.7</v>
      </c>
      <c r="D227">
        <v>271.89999999999998</v>
      </c>
      <c r="E227">
        <v>85.6</v>
      </c>
      <c r="F227">
        <v>238</v>
      </c>
      <c r="G227">
        <v>733.8</v>
      </c>
      <c r="H227">
        <v>361</v>
      </c>
      <c r="I227">
        <v>329.2</v>
      </c>
      <c r="J227">
        <v>0</v>
      </c>
      <c r="K227">
        <v>17</v>
      </c>
      <c r="L227">
        <v>10.6</v>
      </c>
      <c r="M227">
        <v>3.9</v>
      </c>
      <c r="N227">
        <v>0.4</v>
      </c>
    </row>
    <row r="228" spans="1:21" x14ac:dyDescent="0.25">
      <c r="A228" t="s">
        <v>611</v>
      </c>
      <c r="B228">
        <v>58.05</v>
      </c>
      <c r="C228">
        <v>53.64</v>
      </c>
      <c r="D228">
        <v>53.2</v>
      </c>
      <c r="E228">
        <v>51.27</v>
      </c>
      <c r="F228">
        <v>47.6</v>
      </c>
      <c r="G228">
        <v>47.43</v>
      </c>
      <c r="H228">
        <v>52</v>
      </c>
      <c r="I228">
        <v>48.77</v>
      </c>
      <c r="J228">
        <v>51.2</v>
      </c>
      <c r="K228">
        <v>50.53</v>
      </c>
      <c r="L228">
        <v>54.42</v>
      </c>
      <c r="M228">
        <v>54.42</v>
      </c>
      <c r="N228">
        <v>56.28</v>
      </c>
      <c r="O228">
        <v>57.99</v>
      </c>
      <c r="P228">
        <v>58.48</v>
      </c>
      <c r="Q228">
        <v>63.83</v>
      </c>
      <c r="R228">
        <v>66.040000000000006</v>
      </c>
      <c r="S228">
        <v>68</v>
      </c>
      <c r="T228">
        <v>64.42</v>
      </c>
      <c r="U228">
        <v>64.42</v>
      </c>
    </row>
    <row r="229" spans="1:21" x14ac:dyDescent="0.25">
      <c r="A229" t="s">
        <v>186</v>
      </c>
      <c r="B229">
        <v>3.34</v>
      </c>
      <c r="C229">
        <v>4.1100000000000003</v>
      </c>
      <c r="D229">
        <v>3.74</v>
      </c>
      <c r="E229">
        <v>3.08</v>
      </c>
      <c r="F229">
        <v>3.98</v>
      </c>
      <c r="G229">
        <v>2.4900000000000002</v>
      </c>
      <c r="H229">
        <v>3.03</v>
      </c>
      <c r="I229">
        <v>2.2999999999999998</v>
      </c>
      <c r="J229">
        <v>1.62</v>
      </c>
      <c r="K229">
        <v>0.91</v>
      </c>
      <c r="L229">
        <v>0.72</v>
      </c>
      <c r="M229">
        <v>0.75</v>
      </c>
      <c r="N229">
        <v>1.1200000000000001</v>
      </c>
      <c r="O229">
        <v>0.92</v>
      </c>
      <c r="P229">
        <v>0.65</v>
      </c>
      <c r="Q229">
        <v>0.74</v>
      </c>
      <c r="R229">
        <v>0.69</v>
      </c>
      <c r="S229">
        <v>1.53</v>
      </c>
      <c r="T229">
        <v>1.0900000000000001</v>
      </c>
      <c r="U229">
        <v>1.43</v>
      </c>
    </row>
    <row r="230" spans="1:21" x14ac:dyDescent="0.25">
      <c r="A230" t="s">
        <v>333</v>
      </c>
      <c r="B230" s="2">
        <v>33739</v>
      </c>
      <c r="C230" s="2">
        <v>47314</v>
      </c>
      <c r="D230" s="2">
        <v>47105</v>
      </c>
      <c r="E230" s="2">
        <v>50337</v>
      </c>
      <c r="F230" s="2">
        <v>57035</v>
      </c>
      <c r="G230" s="2">
        <v>27756</v>
      </c>
      <c r="H230" s="2">
        <v>34940</v>
      </c>
      <c r="I230" s="2">
        <v>31403</v>
      </c>
      <c r="J230" s="2">
        <v>12122</v>
      </c>
      <c r="K230" s="2">
        <v>-2086</v>
      </c>
      <c r="L230" s="2">
        <v>-8990</v>
      </c>
      <c r="M230" s="2">
        <v>-8064</v>
      </c>
      <c r="N230" s="2">
        <v>4803</v>
      </c>
      <c r="O230" s="2">
        <v>-21864.39</v>
      </c>
      <c r="P230" s="2">
        <v>-13106.25</v>
      </c>
      <c r="Q230" s="2">
        <v>-13113.33</v>
      </c>
      <c r="R230" s="2">
        <v>11015.41</v>
      </c>
      <c r="S230" s="2">
        <v>56158.33</v>
      </c>
      <c r="T230" s="2">
        <v>16046.75</v>
      </c>
      <c r="U230" s="2">
        <v>70281.03</v>
      </c>
    </row>
    <row r="231" spans="1:21" x14ac:dyDescent="0.25">
      <c r="A231" t="s">
        <v>182</v>
      </c>
      <c r="B231">
        <v>10.5</v>
      </c>
      <c r="C231">
        <v>11.2</v>
      </c>
      <c r="D231">
        <v>11.45</v>
      </c>
      <c r="E231">
        <v>13.02</v>
      </c>
      <c r="F231">
        <v>11.6</v>
      </c>
      <c r="G231">
        <v>6.49</v>
      </c>
      <c r="H231">
        <v>3.94</v>
      </c>
      <c r="I231">
        <v>1.86</v>
      </c>
      <c r="J231">
        <v>-2.33</v>
      </c>
      <c r="K231">
        <v>0.4</v>
      </c>
      <c r="L231">
        <v>3.16</v>
      </c>
      <c r="M231">
        <v>7.29</v>
      </c>
      <c r="N231">
        <v>13.02</v>
      </c>
      <c r="O231">
        <v>28.31</v>
      </c>
      <c r="P231">
        <v>40.869999999999997</v>
      </c>
      <c r="Q231">
        <v>73.38</v>
      </c>
      <c r="R231">
        <v>103.22</v>
      </c>
    </row>
    <row r="232" spans="1:21" x14ac:dyDescent="0.25">
      <c r="A232" t="s">
        <v>422</v>
      </c>
      <c r="B232" s="2">
        <v>7269</v>
      </c>
      <c r="C232" s="2">
        <v>7638</v>
      </c>
      <c r="D232" s="2">
        <v>8191</v>
      </c>
      <c r="E232" s="2">
        <v>8835</v>
      </c>
      <c r="F232" s="2">
        <v>8966</v>
      </c>
      <c r="G232" s="2">
        <v>9043</v>
      </c>
      <c r="H232" s="2">
        <v>8599</v>
      </c>
      <c r="I232" s="2">
        <v>9454</v>
      </c>
      <c r="J232" s="2">
        <v>8357</v>
      </c>
      <c r="K232" s="2">
        <v>9938</v>
      </c>
      <c r="L232" s="2">
        <v>10546</v>
      </c>
      <c r="M232" s="2">
        <v>10733</v>
      </c>
      <c r="N232" s="2">
        <v>15395</v>
      </c>
      <c r="O232" s="2">
        <v>23768.12</v>
      </c>
      <c r="P232" s="2">
        <v>36286.019999999997</v>
      </c>
      <c r="Q232" s="2">
        <v>47032.41</v>
      </c>
      <c r="R232" s="2">
        <v>33399.99</v>
      </c>
      <c r="S232" s="2">
        <v>14682.77</v>
      </c>
    </row>
    <row r="233" spans="1:21" x14ac:dyDescent="0.25">
      <c r="A233" t="s">
        <v>17</v>
      </c>
    </row>
    <row r="234" spans="1:21" x14ac:dyDescent="0.25">
      <c r="A234" t="s">
        <v>188</v>
      </c>
    </row>
    <row r="235" spans="1:21" x14ac:dyDescent="0.25">
      <c r="A235" t="s">
        <v>189</v>
      </c>
    </row>
    <row r="236" spans="1:21" x14ac:dyDescent="0.25">
      <c r="A236" t="s">
        <v>121</v>
      </c>
      <c r="B236" s="2">
        <v>10955</v>
      </c>
      <c r="C236" s="2">
        <v>9938</v>
      </c>
      <c r="D236" s="2">
        <v>8901</v>
      </c>
      <c r="E236" s="2">
        <v>9335</v>
      </c>
      <c r="F236" s="2">
        <v>3825</v>
      </c>
      <c r="G236" s="2">
        <v>11083</v>
      </c>
      <c r="H236" s="2">
        <v>10135</v>
      </c>
      <c r="I236" s="2">
        <v>13746</v>
      </c>
      <c r="J236" s="2">
        <v>6717</v>
      </c>
      <c r="K236" s="2">
        <v>8503</v>
      </c>
      <c r="L236" s="2">
        <v>10467</v>
      </c>
      <c r="M236" s="2">
        <v>12443</v>
      </c>
      <c r="N236" s="2">
        <v>16984</v>
      </c>
      <c r="O236" s="2">
        <v>20591.45</v>
      </c>
      <c r="P236" s="2">
        <v>29614.39</v>
      </c>
      <c r="Q236" s="2">
        <v>42905.33</v>
      </c>
      <c r="R236" s="2">
        <v>56244.33</v>
      </c>
      <c r="S236" s="2">
        <v>64848.83</v>
      </c>
      <c r="T236" s="2">
        <v>52759.5</v>
      </c>
      <c r="U236" s="2">
        <v>57337</v>
      </c>
    </row>
    <row r="237" spans="1:21" x14ac:dyDescent="0.25">
      <c r="A237" t="s">
        <v>190</v>
      </c>
      <c r="B237" s="2">
        <v>2908</v>
      </c>
      <c r="C237" s="2">
        <v>2861</v>
      </c>
      <c r="D237" s="2">
        <v>2509</v>
      </c>
      <c r="E237" s="2">
        <v>2451</v>
      </c>
      <c r="F237" s="2">
        <v>2785</v>
      </c>
      <c r="G237" s="2">
        <v>2919</v>
      </c>
      <c r="H237" s="2">
        <v>2968</v>
      </c>
      <c r="I237" s="2">
        <v>2916</v>
      </c>
      <c r="J237" s="2">
        <v>3122</v>
      </c>
      <c r="K237" s="2">
        <v>6108</v>
      </c>
      <c r="L237" s="2">
        <v>6139</v>
      </c>
      <c r="M237" s="2">
        <v>6174</v>
      </c>
      <c r="N237" s="2">
        <v>9294</v>
      </c>
      <c r="O237" s="2">
        <v>16048.74</v>
      </c>
      <c r="P237" s="2">
        <v>24610.37</v>
      </c>
      <c r="Q237" s="2">
        <v>38039.910000000003</v>
      </c>
      <c r="R237" s="2">
        <v>46267.88</v>
      </c>
      <c r="S237" s="2">
        <v>46394.55</v>
      </c>
      <c r="T237" s="2">
        <v>45907.54</v>
      </c>
      <c r="U237" s="2">
        <v>46068.44</v>
      </c>
    </row>
    <row r="238" spans="1:21" x14ac:dyDescent="0.25">
      <c r="A238" t="s">
        <v>191</v>
      </c>
      <c r="B238">
        <v>608</v>
      </c>
      <c r="C238">
        <v>712</v>
      </c>
      <c r="D238">
        <v>871</v>
      </c>
      <c r="E238" s="2">
        <v>1000</v>
      </c>
      <c r="F238" s="2">
        <v>1165</v>
      </c>
      <c r="G238" s="2">
        <v>1230</v>
      </c>
      <c r="H238" s="2">
        <v>1382</v>
      </c>
      <c r="I238" s="2">
        <v>1537</v>
      </c>
      <c r="J238" s="2">
        <v>1972</v>
      </c>
      <c r="K238" s="2">
        <v>2526</v>
      </c>
      <c r="L238" s="2">
        <v>3129</v>
      </c>
      <c r="M238" s="2">
        <v>3867</v>
      </c>
      <c r="N238" s="2">
        <v>7623</v>
      </c>
      <c r="O238" s="2">
        <v>15747.56</v>
      </c>
      <c r="P238" s="2">
        <v>24467.73</v>
      </c>
      <c r="Q238" s="2">
        <v>35336.68</v>
      </c>
      <c r="R238" s="2">
        <v>48286.239999999998</v>
      </c>
      <c r="S238" s="2">
        <v>54797.07</v>
      </c>
      <c r="T238" s="2">
        <v>68353.64</v>
      </c>
      <c r="U238" s="2">
        <v>70695.600000000006</v>
      </c>
    </row>
    <row r="239" spans="1:21" x14ac:dyDescent="0.25">
      <c r="A239" t="s">
        <v>192</v>
      </c>
      <c r="B239" s="2">
        <v>2300</v>
      </c>
      <c r="C239" s="2">
        <v>2149</v>
      </c>
      <c r="D239" s="2">
        <v>1638</v>
      </c>
      <c r="E239" s="2">
        <v>1451</v>
      </c>
      <c r="F239" s="2">
        <v>1620</v>
      </c>
      <c r="G239" s="2">
        <v>1689</v>
      </c>
      <c r="H239" s="2">
        <v>1586</v>
      </c>
      <c r="I239" s="2">
        <v>1379</v>
      </c>
      <c r="J239" s="2">
        <v>1150</v>
      </c>
      <c r="K239" s="2">
        <v>3582</v>
      </c>
      <c r="L239" s="2">
        <v>3010</v>
      </c>
      <c r="M239" s="2">
        <v>2307</v>
      </c>
      <c r="N239" s="2">
        <v>1671</v>
      </c>
      <c r="O239" s="2">
        <v>1366.2</v>
      </c>
      <c r="P239" s="2">
        <v>1512.11</v>
      </c>
      <c r="Q239" s="2">
        <v>1062.8499999999999</v>
      </c>
      <c r="R239">
        <v>988.79</v>
      </c>
      <c r="S239" s="2">
        <v>1651.75</v>
      </c>
      <c r="T239">
        <v>808</v>
      </c>
      <c r="U239">
        <v>808</v>
      </c>
    </row>
    <row r="240" spans="1:21" x14ac:dyDescent="0.25">
      <c r="A240" t="s">
        <v>546</v>
      </c>
      <c r="B240">
        <v>-248</v>
      </c>
      <c r="C240">
        <v>-548</v>
      </c>
      <c r="D240">
        <v>-105</v>
      </c>
      <c r="E240">
        <v>-486</v>
      </c>
      <c r="F240">
        <v>-847</v>
      </c>
      <c r="G240" s="2">
        <v>-1191</v>
      </c>
      <c r="H240">
        <v>-851</v>
      </c>
      <c r="I240" s="2">
        <v>-2425</v>
      </c>
      <c r="J240" s="2">
        <v>-1146</v>
      </c>
      <c r="K240" s="2">
        <v>-2167</v>
      </c>
      <c r="L240" s="2">
        <v>-2139</v>
      </c>
      <c r="M240" s="2">
        <v>-1637</v>
      </c>
      <c r="N240">
        <v>-917</v>
      </c>
      <c r="O240" s="2">
        <v>-1042.76</v>
      </c>
      <c r="P240" s="2">
        <v>-1205.3900000000001</v>
      </c>
      <c r="Q240" s="2">
        <v>-1442.23</v>
      </c>
      <c r="R240" s="2">
        <v>-1764.73</v>
      </c>
      <c r="S240">
        <v>-752.5</v>
      </c>
    </row>
    <row r="241" spans="1:21" x14ac:dyDescent="0.25">
      <c r="A241" t="s">
        <v>67</v>
      </c>
      <c r="B241">
        <v>795</v>
      </c>
      <c r="C241">
        <v>933</v>
      </c>
      <c r="D241" s="2">
        <v>1037</v>
      </c>
      <c r="E241" s="2">
        <v>1350</v>
      </c>
      <c r="F241" s="2">
        <v>1607</v>
      </c>
      <c r="G241" s="2">
        <v>1653</v>
      </c>
      <c r="H241" s="2">
        <v>1590</v>
      </c>
      <c r="I241" s="2">
        <v>1837</v>
      </c>
      <c r="J241" s="2">
        <v>2613</v>
      </c>
      <c r="K241" s="2">
        <v>3547</v>
      </c>
      <c r="L241" s="2">
        <v>3974</v>
      </c>
      <c r="M241" s="2">
        <v>4674</v>
      </c>
      <c r="N241" s="2">
        <v>4811</v>
      </c>
      <c r="O241" s="2">
        <v>5091.2700000000004</v>
      </c>
      <c r="P241" s="2">
        <v>6107.34</v>
      </c>
      <c r="Q241" s="2">
        <v>7922.96</v>
      </c>
      <c r="R241" s="2">
        <v>8938.65</v>
      </c>
      <c r="S241" s="2">
        <v>9345.2000000000007</v>
      </c>
      <c r="T241" s="2">
        <v>12764.13</v>
      </c>
      <c r="U241" s="2">
        <v>13100.07</v>
      </c>
    </row>
    <row r="242" spans="1:21" x14ac:dyDescent="0.25">
      <c r="A242" t="s">
        <v>815</v>
      </c>
      <c r="B242">
        <v>2.08</v>
      </c>
      <c r="C242">
        <v>2.44</v>
      </c>
      <c r="D242">
        <v>2.8</v>
      </c>
      <c r="E242">
        <v>3.58</v>
      </c>
      <c r="F242">
        <v>4.08</v>
      </c>
      <c r="G242">
        <v>4.18</v>
      </c>
      <c r="H242">
        <v>4.07</v>
      </c>
      <c r="I242">
        <v>4.54</v>
      </c>
      <c r="J242">
        <v>6.16</v>
      </c>
      <c r="K242">
        <v>7.1</v>
      </c>
      <c r="L242">
        <v>7.5</v>
      </c>
      <c r="M242">
        <v>8.14</v>
      </c>
      <c r="N242">
        <v>7.14</v>
      </c>
      <c r="O242">
        <v>6.03</v>
      </c>
      <c r="P242">
        <v>5.24</v>
      </c>
      <c r="Q242">
        <v>4.87</v>
      </c>
      <c r="R242">
        <v>4.4400000000000004</v>
      </c>
      <c r="S242">
        <v>5.57</v>
      </c>
      <c r="T242">
        <v>7.68</v>
      </c>
      <c r="U242">
        <v>7.71</v>
      </c>
    </row>
    <row r="243" spans="1:21" x14ac:dyDescent="0.25">
      <c r="A243" t="s">
        <v>2066</v>
      </c>
      <c r="B243">
        <v>311</v>
      </c>
      <c r="C243">
        <v>327</v>
      </c>
      <c r="D243">
        <v>143</v>
      </c>
      <c r="E243">
        <v>123</v>
      </c>
      <c r="F243">
        <v>-27</v>
      </c>
      <c r="G243">
        <v>157</v>
      </c>
      <c r="H243">
        <v>239</v>
      </c>
      <c r="I243">
        <v>-39</v>
      </c>
      <c r="J243">
        <v>220</v>
      </c>
      <c r="K243">
        <v>661</v>
      </c>
      <c r="L243">
        <v>720</v>
      </c>
      <c r="M243">
        <v>667</v>
      </c>
      <c r="N243" s="2">
        <v>-2433</v>
      </c>
      <c r="O243">
        <v>-841.31</v>
      </c>
      <c r="P243" s="2">
        <v>3148.6</v>
      </c>
      <c r="Q243">
        <v>350</v>
      </c>
      <c r="R243">
        <v>0</v>
      </c>
      <c r="S243">
        <v>0</v>
      </c>
    </row>
    <row r="244" spans="1:21" x14ac:dyDescent="0.25">
      <c r="A244" t="s">
        <v>338</v>
      </c>
    </row>
    <row r="245" spans="1:21" x14ac:dyDescent="0.25">
      <c r="A245" t="s">
        <v>197</v>
      </c>
      <c r="B245">
        <v>24</v>
      </c>
      <c r="C245">
        <v>208</v>
      </c>
      <c r="D245">
        <v>96</v>
      </c>
      <c r="E245">
        <v>18</v>
      </c>
      <c r="F245">
        <v>267</v>
      </c>
      <c r="G245">
        <v>-272</v>
      </c>
      <c r="H245">
        <v>-445</v>
      </c>
      <c r="I245">
        <v>333</v>
      </c>
      <c r="J245">
        <v>-874</v>
      </c>
      <c r="K245">
        <v>-151</v>
      </c>
      <c r="L245">
        <v>-965</v>
      </c>
      <c r="M245">
        <v>-653</v>
      </c>
      <c r="N245" s="2">
        <v>-2190</v>
      </c>
      <c r="O245" s="2">
        <v>-4152.5200000000004</v>
      </c>
      <c r="P245" s="2">
        <v>-6198.87</v>
      </c>
      <c r="Q245" s="2">
        <v>-8212.32</v>
      </c>
      <c r="R245" s="2">
        <v>-7192.01</v>
      </c>
      <c r="S245" s="2">
        <v>-4345.6400000000003</v>
      </c>
      <c r="T245" s="2">
        <v>-1266.01</v>
      </c>
      <c r="U245" s="2">
        <v>-1770.91</v>
      </c>
    </row>
    <row r="246" spans="1:21" x14ac:dyDescent="0.25">
      <c r="A246" t="s">
        <v>407</v>
      </c>
      <c r="B246">
        <v>-143</v>
      </c>
      <c r="C246">
        <v>-387</v>
      </c>
      <c r="D246">
        <v>-2</v>
      </c>
      <c r="E246">
        <v>-24</v>
      </c>
      <c r="F246">
        <v>-258</v>
      </c>
      <c r="G246">
        <v>261</v>
      </c>
      <c r="H246">
        <v>665</v>
      </c>
      <c r="I246">
        <v>622</v>
      </c>
      <c r="J246">
        <v>11</v>
      </c>
      <c r="K246">
        <v>317</v>
      </c>
      <c r="L246">
        <v>542</v>
      </c>
      <c r="M246">
        <v>266</v>
      </c>
      <c r="N246" s="2">
        <v>2179</v>
      </c>
      <c r="O246">
        <v>-246.95</v>
      </c>
      <c r="P246" s="2">
        <v>-2857.45</v>
      </c>
      <c r="Q246" s="2">
        <v>-2367.06</v>
      </c>
      <c r="R246" s="2">
        <v>-1780.94</v>
      </c>
      <c r="S246">
        <v>-430.81</v>
      </c>
      <c r="T246">
        <v>-499.29</v>
      </c>
      <c r="U246">
        <v>-928.06</v>
      </c>
    </row>
    <row r="247" spans="1:21" x14ac:dyDescent="0.25">
      <c r="A247" t="s">
        <v>2067</v>
      </c>
      <c r="B247">
        <v>48</v>
      </c>
      <c r="C247">
        <v>247</v>
      </c>
      <c r="D247">
        <v>-13</v>
      </c>
      <c r="E247">
        <v>-37</v>
      </c>
      <c r="F247">
        <v>-260</v>
      </c>
      <c r="G247">
        <v>-102</v>
      </c>
      <c r="H247">
        <v>-496</v>
      </c>
      <c r="I247">
        <v>-23</v>
      </c>
      <c r="J247">
        <v>-733</v>
      </c>
      <c r="K247">
        <v>-281</v>
      </c>
      <c r="L247">
        <v>-594</v>
      </c>
      <c r="M247">
        <v>-608</v>
      </c>
      <c r="N247">
        <v>-240</v>
      </c>
      <c r="O247" s="2">
        <v>2365.79</v>
      </c>
      <c r="P247" s="2">
        <v>9824.24</v>
      </c>
      <c r="Q247" s="2">
        <v>9239.42</v>
      </c>
      <c r="R247" s="2">
        <v>3380.43</v>
      </c>
      <c r="S247" s="2">
        <v>-12025.22</v>
      </c>
      <c r="T247" s="2">
        <v>-9429.39</v>
      </c>
      <c r="U247" s="2">
        <v>-2081.09</v>
      </c>
    </row>
    <row r="248" spans="1:21" x14ac:dyDescent="0.25">
      <c r="A248" t="s">
        <v>499</v>
      </c>
      <c r="B248">
        <v>-320</v>
      </c>
      <c r="C248">
        <v>386</v>
      </c>
      <c r="D248">
        <v>313</v>
      </c>
      <c r="E248">
        <v>732</v>
      </c>
      <c r="F248" s="2">
        <v>8150</v>
      </c>
      <c r="G248">
        <v>-453</v>
      </c>
      <c r="H248">
        <v>-444</v>
      </c>
      <c r="I248" s="2">
        <v>-1485</v>
      </c>
      <c r="J248">
        <v>-398</v>
      </c>
      <c r="K248">
        <v>-153</v>
      </c>
      <c r="L248">
        <v>-127</v>
      </c>
      <c r="M248">
        <v>-659</v>
      </c>
      <c r="N248">
        <v>-256</v>
      </c>
      <c r="O248" s="2">
        <v>1015.8</v>
      </c>
      <c r="P248" s="2">
        <v>3059.38</v>
      </c>
      <c r="Q248">
        <v>636.83000000000004</v>
      </c>
      <c r="R248">
        <v>-415.76</v>
      </c>
      <c r="S248">
        <v>-551.66999999999996</v>
      </c>
    </row>
    <row r="249" spans="1:21" x14ac:dyDescent="0.25">
      <c r="A249" t="s">
        <v>161</v>
      </c>
      <c r="B249">
        <v>172</v>
      </c>
      <c r="C249">
        <v>655</v>
      </c>
      <c r="D249">
        <v>676</v>
      </c>
      <c r="E249">
        <v>535</v>
      </c>
      <c r="F249">
        <v>236</v>
      </c>
      <c r="G249">
        <v>306</v>
      </c>
      <c r="H249">
        <v>-222</v>
      </c>
      <c r="I249">
        <v>405</v>
      </c>
      <c r="J249">
        <v>7</v>
      </c>
      <c r="K249">
        <v>781</v>
      </c>
      <c r="L249">
        <v>656</v>
      </c>
      <c r="M249">
        <v>154</v>
      </c>
      <c r="N249">
        <v>50</v>
      </c>
      <c r="O249" s="2">
        <v>10017.85</v>
      </c>
      <c r="P249" s="2">
        <v>7103.97</v>
      </c>
      <c r="Q249" s="2">
        <v>7242.17</v>
      </c>
      <c r="R249" s="2">
        <v>4358.04</v>
      </c>
      <c r="S249" s="2">
        <v>3907.87</v>
      </c>
      <c r="T249" s="2">
        <v>2594.42</v>
      </c>
      <c r="U249" s="2">
        <v>3432.59</v>
      </c>
    </row>
    <row r="250" spans="1:21" x14ac:dyDescent="0.25">
      <c r="A250" t="s">
        <v>204</v>
      </c>
      <c r="B250" s="2">
        <v>14921</v>
      </c>
      <c r="C250" s="2">
        <v>14580</v>
      </c>
      <c r="D250" s="2">
        <v>13685</v>
      </c>
      <c r="E250" s="2">
        <v>14126</v>
      </c>
      <c r="F250" s="2">
        <v>15386</v>
      </c>
      <c r="G250" s="2">
        <v>14551</v>
      </c>
      <c r="H250" s="2">
        <v>13139</v>
      </c>
      <c r="I250" s="2">
        <v>15887</v>
      </c>
      <c r="J250" s="2">
        <v>9539</v>
      </c>
      <c r="K250" s="2">
        <v>17165</v>
      </c>
      <c r="L250" s="2">
        <v>18673</v>
      </c>
      <c r="M250" s="2">
        <v>20821</v>
      </c>
      <c r="N250" s="2">
        <v>31977</v>
      </c>
      <c r="O250" s="2">
        <v>58202.23</v>
      </c>
      <c r="P250" s="2">
        <v>77033.31</v>
      </c>
      <c r="Q250" s="2">
        <v>95684.99</v>
      </c>
      <c r="R250" s="2">
        <v>114450.73</v>
      </c>
      <c r="S250" s="2">
        <v>132830.07999999999</v>
      </c>
      <c r="T250" s="2">
        <v>114262.8</v>
      </c>
      <c r="U250" s="2">
        <v>127881.86</v>
      </c>
    </row>
    <row r="251" spans="1:21" x14ac:dyDescent="0.25">
      <c r="A251" t="s">
        <v>17</v>
      </c>
    </row>
    <row r="252" spans="1:21" x14ac:dyDescent="0.25">
      <c r="A252" t="s">
        <v>205</v>
      </c>
    </row>
    <row r="253" spans="1:21" x14ac:dyDescent="0.25">
      <c r="A253" t="s">
        <v>206</v>
      </c>
      <c r="B253">
        <v>-580</v>
      </c>
      <c r="C253" s="2">
        <v>-1391</v>
      </c>
      <c r="D253" s="2">
        <v>-1189</v>
      </c>
      <c r="E253" s="2">
        <v>-2021</v>
      </c>
      <c r="F253" s="2">
        <v>-1736</v>
      </c>
      <c r="G253" s="2">
        <v>-1660</v>
      </c>
      <c r="H253" s="2">
        <v>-1564</v>
      </c>
      <c r="I253" s="2">
        <v>-2135</v>
      </c>
      <c r="J253" s="2">
        <v>-4511</v>
      </c>
      <c r="K253" s="2">
        <v>-8695</v>
      </c>
      <c r="L253" s="2">
        <v>-6866</v>
      </c>
      <c r="M253" s="2">
        <v>-21215</v>
      </c>
      <c r="N253" s="2">
        <v>-55663</v>
      </c>
      <c r="O253" s="2">
        <v>-92132.800000000003</v>
      </c>
      <c r="P253" s="2">
        <v>-103932.07</v>
      </c>
      <c r="Q253" s="2">
        <v>-97300.62</v>
      </c>
      <c r="R253" s="2">
        <v>-93024.53</v>
      </c>
      <c r="S253" s="2">
        <v>-82025.83</v>
      </c>
      <c r="T253" s="2">
        <v>-54478.5</v>
      </c>
      <c r="U253" s="2">
        <v>-69303.5</v>
      </c>
    </row>
    <row r="254" spans="1:21" x14ac:dyDescent="0.25">
      <c r="A254" t="s">
        <v>815</v>
      </c>
      <c r="B254">
        <v>1.52</v>
      </c>
      <c r="C254">
        <v>3.64</v>
      </c>
      <c r="D254">
        <v>3.21</v>
      </c>
      <c r="E254">
        <v>5.36</v>
      </c>
      <c r="F254">
        <v>4.41</v>
      </c>
      <c r="G254">
        <v>4.2</v>
      </c>
      <c r="H254">
        <v>4</v>
      </c>
      <c r="I254">
        <v>5.27</v>
      </c>
      <c r="J254">
        <v>10.63</v>
      </c>
      <c r="K254">
        <v>17.41</v>
      </c>
      <c r="L254">
        <v>12.96</v>
      </c>
      <c r="M254">
        <v>36.96</v>
      </c>
      <c r="N254">
        <v>82.64</v>
      </c>
      <c r="O254">
        <v>104.15</v>
      </c>
      <c r="P254">
        <v>85.59</v>
      </c>
      <c r="Q254">
        <v>54.3</v>
      </c>
      <c r="R254">
        <v>42.7</v>
      </c>
      <c r="S254">
        <v>26.87</v>
      </c>
      <c r="T254">
        <v>22</v>
      </c>
      <c r="U254">
        <v>20.5</v>
      </c>
    </row>
    <row r="255" spans="1:21" x14ac:dyDescent="0.25">
      <c r="A255" t="s">
        <v>2068</v>
      </c>
    </row>
    <row r="256" spans="1:21" x14ac:dyDescent="0.25">
      <c r="A256" t="s">
        <v>516</v>
      </c>
      <c r="B256" s="2">
        <v>-3488</v>
      </c>
      <c r="C256" s="2">
        <v>-6239</v>
      </c>
      <c r="D256">
        <v>-650</v>
      </c>
      <c r="E256" s="2">
        <v>-11221</v>
      </c>
      <c r="F256" s="2">
        <v>-1724</v>
      </c>
      <c r="G256">
        <v>-363</v>
      </c>
      <c r="H256">
        <v>-124</v>
      </c>
      <c r="I256">
        <v>-41</v>
      </c>
      <c r="J256">
        <v>-148</v>
      </c>
      <c r="K256" s="2">
        <v>-27721</v>
      </c>
      <c r="L256">
        <v>-63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21" x14ac:dyDescent="0.25">
      <c r="A257" t="s">
        <v>2069</v>
      </c>
      <c r="B257" s="2">
        <v>-32316</v>
      </c>
      <c r="C257" s="2">
        <v>-31421</v>
      </c>
      <c r="D257" s="2">
        <v>-24562</v>
      </c>
      <c r="E257" s="2">
        <v>-25867</v>
      </c>
      <c r="F257" s="2">
        <v>-25282</v>
      </c>
      <c r="G257" s="2">
        <v>-1400</v>
      </c>
      <c r="H257" s="2">
        <v>-5731</v>
      </c>
      <c r="I257" s="2">
        <v>-37982</v>
      </c>
      <c r="J257" s="2">
        <v>-10272</v>
      </c>
      <c r="K257" s="2">
        <v>-1181</v>
      </c>
      <c r="L257" s="2">
        <v>-1003</v>
      </c>
      <c r="M257" s="2">
        <v>-1272</v>
      </c>
      <c r="N257" s="2">
        <v>-2039</v>
      </c>
      <c r="O257">
        <v>-360</v>
      </c>
      <c r="P257">
        <v>-612</v>
      </c>
      <c r="Q257">
        <v>0</v>
      </c>
      <c r="R257">
        <v>0</v>
      </c>
      <c r="S257">
        <v>0</v>
      </c>
    </row>
    <row r="258" spans="1:21" x14ac:dyDescent="0.25">
      <c r="A258" t="s">
        <v>2070</v>
      </c>
      <c r="B258" s="2">
        <v>28845</v>
      </c>
      <c r="C258" s="2">
        <v>20004</v>
      </c>
      <c r="D258" s="2">
        <v>21247</v>
      </c>
      <c r="E258" s="2">
        <v>17615</v>
      </c>
      <c r="F258" s="2">
        <v>23117</v>
      </c>
      <c r="G258" s="2">
        <v>29980</v>
      </c>
      <c r="H258" s="2">
        <v>17262</v>
      </c>
      <c r="I258" s="2">
        <v>27060</v>
      </c>
      <c r="J258" s="2">
        <v>26151</v>
      </c>
      <c r="K258" s="2">
        <v>1113</v>
      </c>
      <c r="L258">
        <v>572</v>
      </c>
      <c r="M258">
        <v>776</v>
      </c>
      <c r="N258" s="2">
        <v>5848</v>
      </c>
      <c r="O258">
        <v>264.70999999999998</v>
      </c>
      <c r="P258">
        <v>450</v>
      </c>
      <c r="Q258">
        <v>0</v>
      </c>
      <c r="R258">
        <v>0</v>
      </c>
      <c r="S258">
        <v>0</v>
      </c>
    </row>
    <row r="259" spans="1:21" x14ac:dyDescent="0.25">
      <c r="A259" t="s">
        <v>346</v>
      </c>
      <c r="B259" s="2">
        <v>-3471</v>
      </c>
      <c r="C259" s="2">
        <v>-11417</v>
      </c>
      <c r="D259" s="2">
        <v>-3315</v>
      </c>
      <c r="E259" s="2">
        <v>-8252</v>
      </c>
      <c r="F259" s="2">
        <v>-2165</v>
      </c>
      <c r="G259" s="2">
        <v>28580</v>
      </c>
      <c r="H259" s="2">
        <v>11531</v>
      </c>
      <c r="I259" s="2">
        <v>-10922</v>
      </c>
      <c r="J259" s="2">
        <v>15879</v>
      </c>
      <c r="K259">
        <v>-68</v>
      </c>
      <c r="L259">
        <v>-431</v>
      </c>
      <c r="M259">
        <v>-496</v>
      </c>
      <c r="N259" s="2">
        <v>3809</v>
      </c>
      <c r="O259">
        <v>-81</v>
      </c>
      <c r="P259">
        <v>0</v>
      </c>
      <c r="Q259">
        <v>0</v>
      </c>
      <c r="R259">
        <v>0</v>
      </c>
      <c r="S259">
        <v>0</v>
      </c>
    </row>
    <row r="260" spans="1:21" x14ac:dyDescent="0.25">
      <c r="A260" t="s">
        <v>213</v>
      </c>
      <c r="B260" s="2">
        <v>-7539</v>
      </c>
      <c r="C260" s="2">
        <v>-19047</v>
      </c>
      <c r="D260" s="2">
        <v>-5154</v>
      </c>
      <c r="E260" s="2">
        <v>-21494</v>
      </c>
      <c r="F260" s="2">
        <v>-5625</v>
      </c>
      <c r="G260" s="2">
        <v>26557</v>
      </c>
      <c r="H260" s="2">
        <v>9843</v>
      </c>
      <c r="I260" s="2">
        <v>-13098</v>
      </c>
      <c r="J260" s="2">
        <v>11220</v>
      </c>
      <c r="K260" s="2">
        <v>-36484</v>
      </c>
      <c r="L260" s="2">
        <v>-7360</v>
      </c>
      <c r="M260" s="2">
        <v>-21711</v>
      </c>
      <c r="N260" s="2">
        <v>-51854</v>
      </c>
      <c r="O260" s="2">
        <v>-93768.7</v>
      </c>
      <c r="P260" s="2">
        <v>-108083.04</v>
      </c>
      <c r="Q260" s="2">
        <v>-99261.9</v>
      </c>
      <c r="R260" s="2">
        <v>-92514.42</v>
      </c>
      <c r="S260" s="2">
        <v>-58011.51</v>
      </c>
      <c r="T260" s="2">
        <v>-54478.65</v>
      </c>
      <c r="U260" s="2">
        <v>-69303.740000000005</v>
      </c>
    </row>
    <row r="261" spans="1:21" x14ac:dyDescent="0.25">
      <c r="A261" t="s">
        <v>17</v>
      </c>
    </row>
    <row r="262" spans="1:21" x14ac:dyDescent="0.25">
      <c r="A262" t="s">
        <v>214</v>
      </c>
    </row>
    <row r="263" spans="1:21" x14ac:dyDescent="0.25">
      <c r="A263" t="s">
        <v>347</v>
      </c>
      <c r="B263" s="2">
        <v>-2178</v>
      </c>
      <c r="C263" s="2">
        <v>-2255</v>
      </c>
      <c r="D263" s="2">
        <v>-2541</v>
      </c>
      <c r="E263" s="2">
        <v>-2631</v>
      </c>
      <c r="F263" s="2">
        <v>-3140</v>
      </c>
      <c r="G263" s="2">
        <v>-2932</v>
      </c>
      <c r="H263" s="2">
        <v>-3070</v>
      </c>
      <c r="I263" s="2">
        <v>-3063</v>
      </c>
      <c r="J263" s="2">
        <v>-3457</v>
      </c>
      <c r="K263" s="2">
        <v>-3668</v>
      </c>
      <c r="L263" s="2">
        <v>-4391</v>
      </c>
      <c r="M263" s="2">
        <v>-4743</v>
      </c>
      <c r="N263" s="2">
        <v>-5787</v>
      </c>
      <c r="O263" s="2">
        <v>-5697.84</v>
      </c>
      <c r="P263" s="2">
        <v>-6199.6</v>
      </c>
      <c r="Q263" s="2">
        <v>-6264.89</v>
      </c>
      <c r="R263" s="2">
        <v>-6471.93</v>
      </c>
      <c r="S263" s="2">
        <v>-6387.36</v>
      </c>
      <c r="T263" s="2">
        <v>-6661.43</v>
      </c>
      <c r="U263" s="2">
        <v>-6751.08</v>
      </c>
    </row>
    <row r="264" spans="1:21" x14ac:dyDescent="0.25">
      <c r="A264" t="s">
        <v>2071</v>
      </c>
      <c r="B264">
        <v>0</v>
      </c>
      <c r="C264">
        <v>-14</v>
      </c>
      <c r="D264">
        <v>-89</v>
      </c>
      <c r="E264">
        <v>-283</v>
      </c>
      <c r="F264">
        <v>-34</v>
      </c>
      <c r="G264">
        <v>-136</v>
      </c>
      <c r="H264">
        <v>-133</v>
      </c>
      <c r="I264">
        <v>196</v>
      </c>
      <c r="J264">
        <v>-560</v>
      </c>
      <c r="K264">
        <v>-55</v>
      </c>
      <c r="L264">
        <v>4</v>
      </c>
      <c r="M264">
        <v>-330</v>
      </c>
      <c r="N264" s="2">
        <v>4617</v>
      </c>
      <c r="O264">
        <v>-797.94</v>
      </c>
    </row>
    <row r="265" spans="1:21" x14ac:dyDescent="0.25">
      <c r="A265" t="s">
        <v>822</v>
      </c>
      <c r="B265" s="2">
        <v>5566</v>
      </c>
      <c r="C265" s="2">
        <v>18342</v>
      </c>
      <c r="D265" s="2">
        <v>1750</v>
      </c>
      <c r="E265" s="2">
        <v>13638</v>
      </c>
      <c r="F265" s="2">
        <v>2643</v>
      </c>
      <c r="G265" s="2">
        <v>-4500</v>
      </c>
      <c r="H265" s="2">
        <v>15388</v>
      </c>
      <c r="I265" s="2">
        <v>12303</v>
      </c>
      <c r="J265" s="2">
        <v>-8250</v>
      </c>
      <c r="K265" s="2">
        <v>12944</v>
      </c>
      <c r="L265" s="2">
        <v>-3667</v>
      </c>
      <c r="M265" s="2">
        <v>7018</v>
      </c>
      <c r="N265" s="2">
        <v>40211</v>
      </c>
      <c r="O265" s="2">
        <v>16096.17</v>
      </c>
      <c r="P265" s="2">
        <v>21950.33</v>
      </c>
      <c r="Q265" s="2">
        <v>3812.5</v>
      </c>
      <c r="R265" s="2">
        <v>-2875</v>
      </c>
      <c r="S265" s="2">
        <v>-168905</v>
      </c>
    </row>
    <row r="266" spans="1:21" x14ac:dyDescent="0.25">
      <c r="A266" t="s">
        <v>2072</v>
      </c>
      <c r="B266" s="2">
        <v>-9833</v>
      </c>
      <c r="C266" s="2">
        <v>-8087</v>
      </c>
      <c r="D266" s="2">
        <v>-10440</v>
      </c>
      <c r="E266" s="2">
        <v>-3561</v>
      </c>
      <c r="F266" s="2">
        <v>-11347</v>
      </c>
      <c r="G266" s="2">
        <v>-36140</v>
      </c>
      <c r="H266" s="2">
        <v>-19240</v>
      </c>
      <c r="I266" s="2">
        <v>-20934</v>
      </c>
      <c r="J266" s="2">
        <v>-16248</v>
      </c>
      <c r="K266" s="2">
        <v>-1300</v>
      </c>
      <c r="L266" s="2">
        <v>-1202</v>
      </c>
      <c r="M266">
        <v>-600</v>
      </c>
      <c r="N266">
        <v>-95</v>
      </c>
      <c r="O266">
        <v>-148.06</v>
      </c>
      <c r="P266">
        <v>-187.74</v>
      </c>
      <c r="Q266">
        <v>-253.33</v>
      </c>
      <c r="R266">
        <v>-253.33</v>
      </c>
      <c r="S266">
        <v>-280</v>
      </c>
      <c r="T266">
        <v>-640</v>
      </c>
      <c r="U266">
        <v>-640</v>
      </c>
    </row>
    <row r="267" spans="1:21" x14ac:dyDescent="0.25">
      <c r="A267" t="s">
        <v>2073</v>
      </c>
      <c r="B267" s="2">
        <v>2155</v>
      </c>
      <c r="C267" s="2">
        <v>1816</v>
      </c>
      <c r="D267" s="2">
        <v>1425</v>
      </c>
      <c r="E267" s="2">
        <v>2181</v>
      </c>
      <c r="F267" s="2">
        <v>2402</v>
      </c>
      <c r="G267" s="2">
        <v>2155</v>
      </c>
      <c r="H267" s="2">
        <v>1588</v>
      </c>
      <c r="I267" s="2">
        <v>1786</v>
      </c>
      <c r="J267">
        <v>482</v>
      </c>
      <c r="K267" s="2">
        <v>1192</v>
      </c>
      <c r="L267">
        <v>742</v>
      </c>
      <c r="M267">
        <v>653</v>
      </c>
      <c r="N267" s="2">
        <v>1449</v>
      </c>
      <c r="O267" s="2">
        <v>24086.48</v>
      </c>
      <c r="P267" s="2">
        <v>5465</v>
      </c>
      <c r="Q267" s="2">
        <v>3853.33</v>
      </c>
      <c r="R267">
        <v>573.33000000000004</v>
      </c>
      <c r="S267">
        <v>573.33000000000004</v>
      </c>
      <c r="T267">
        <v>540</v>
      </c>
      <c r="U267">
        <v>540</v>
      </c>
    </row>
    <row r="268" spans="1:21" x14ac:dyDescent="0.25">
      <c r="A268" t="s">
        <v>2074</v>
      </c>
      <c r="B268">
        <v>0</v>
      </c>
      <c r="C268" s="2">
        <v>-1500</v>
      </c>
      <c r="D268" s="2">
        <v>-2000</v>
      </c>
      <c r="E268" s="2">
        <v>-4094</v>
      </c>
      <c r="F268" s="2">
        <v>-9800</v>
      </c>
      <c r="G268" s="2">
        <v>-4500</v>
      </c>
      <c r="H268" s="2">
        <v>-4500</v>
      </c>
      <c r="I268" s="2">
        <v>-2631</v>
      </c>
      <c r="J268" s="2">
        <v>-8250</v>
      </c>
      <c r="K268" s="2">
        <v>-21050</v>
      </c>
      <c r="L268" s="2">
        <v>-3500</v>
      </c>
      <c r="M268" s="2">
        <v>-15841</v>
      </c>
      <c r="N268" s="2">
        <v>-6942</v>
      </c>
      <c r="O268">
        <v>161.22</v>
      </c>
      <c r="P268" s="2">
        <v>8931.2000000000007</v>
      </c>
      <c r="Q268" s="2">
        <v>2562.5</v>
      </c>
      <c r="R268" s="2">
        <v>-5437.5</v>
      </c>
      <c r="S268" s="2">
        <v>-16583.330000000002</v>
      </c>
      <c r="T268" s="2">
        <v>-16546.2</v>
      </c>
      <c r="U268" s="2">
        <v>-16017.82</v>
      </c>
    </row>
    <row r="269" spans="1:21" x14ac:dyDescent="0.25">
      <c r="A269" t="s">
        <v>2075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-167</v>
      </c>
      <c r="M269" s="2">
        <v>3311</v>
      </c>
      <c r="N269" s="2">
        <v>1060</v>
      </c>
      <c r="O269">
        <v>-830</v>
      </c>
    </row>
    <row r="270" spans="1:21" x14ac:dyDescent="0.25">
      <c r="A270" t="s">
        <v>2076</v>
      </c>
      <c r="B270" s="2">
        <v>5566</v>
      </c>
      <c r="C270" s="2">
        <v>19842</v>
      </c>
      <c r="D270" s="2">
        <v>3750</v>
      </c>
      <c r="E270" s="2">
        <v>17732</v>
      </c>
      <c r="F270" s="2">
        <v>12443</v>
      </c>
      <c r="G270">
        <v>0</v>
      </c>
      <c r="H270" s="2">
        <v>19888</v>
      </c>
      <c r="I270" s="2">
        <v>14934</v>
      </c>
      <c r="J270">
        <v>0</v>
      </c>
      <c r="K270" s="2">
        <v>33494</v>
      </c>
      <c r="L270">
        <v>0</v>
      </c>
      <c r="M270" s="2">
        <v>19548</v>
      </c>
      <c r="N270" s="2">
        <v>46093</v>
      </c>
      <c r="O270" s="2">
        <v>20000</v>
      </c>
      <c r="P270" s="2">
        <v>19000</v>
      </c>
      <c r="Q270" s="2">
        <v>13500</v>
      </c>
      <c r="R270" s="2">
        <v>21000</v>
      </c>
    </row>
    <row r="271" spans="1:21" x14ac:dyDescent="0.25">
      <c r="A271" t="s">
        <v>2077</v>
      </c>
      <c r="B271" s="2">
        <v>5566</v>
      </c>
      <c r="C271" s="2">
        <v>19842</v>
      </c>
      <c r="D271" s="2">
        <v>3750</v>
      </c>
      <c r="E271" s="2">
        <v>17732</v>
      </c>
      <c r="F271" s="2">
        <v>12443</v>
      </c>
      <c r="G271">
        <v>0</v>
      </c>
      <c r="H271" s="2">
        <v>19888</v>
      </c>
      <c r="I271" s="2">
        <v>14934</v>
      </c>
      <c r="J271">
        <v>0</v>
      </c>
      <c r="K271" s="2">
        <v>33494</v>
      </c>
      <c r="L271">
        <v>0</v>
      </c>
      <c r="M271" s="2">
        <v>19548</v>
      </c>
      <c r="N271" s="2">
        <v>46093</v>
      </c>
      <c r="O271" s="2">
        <v>20000</v>
      </c>
      <c r="P271" s="2">
        <v>25981.03</v>
      </c>
      <c r="Q271" s="2">
        <v>13229.69</v>
      </c>
      <c r="R271" s="2">
        <v>8881.9699999999993</v>
      </c>
      <c r="S271">
        <v>0</v>
      </c>
    </row>
    <row r="272" spans="1:21" x14ac:dyDescent="0.25">
      <c r="A272" t="s">
        <v>2078</v>
      </c>
      <c r="B272">
        <v>250</v>
      </c>
      <c r="C272">
        <v>244</v>
      </c>
      <c r="D272">
        <v>311</v>
      </c>
      <c r="E272">
        <v>-283</v>
      </c>
      <c r="F272">
        <v>-506</v>
      </c>
      <c r="G272">
        <v>-503</v>
      </c>
      <c r="H272">
        <v>-665</v>
      </c>
      <c r="I272">
        <v>-666</v>
      </c>
      <c r="J272" s="2">
        <v>-1093</v>
      </c>
      <c r="K272" s="2">
        <v>-1203</v>
      </c>
      <c r="O272">
        <v>17.329999999999998</v>
      </c>
      <c r="P272">
        <v>-130</v>
      </c>
    </row>
    <row r="273" spans="1:21" x14ac:dyDescent="0.25">
      <c r="A273" t="s">
        <v>2079</v>
      </c>
      <c r="H273">
        <v>-665</v>
      </c>
      <c r="I273">
        <v>-666</v>
      </c>
      <c r="J273" s="2">
        <v>-1093</v>
      </c>
      <c r="K273" s="2">
        <v>-1203</v>
      </c>
      <c r="L273" s="2">
        <v>-2040</v>
      </c>
      <c r="M273">
        <v>-900</v>
      </c>
      <c r="N273">
        <v>-111</v>
      </c>
      <c r="O273">
        <v>-15</v>
      </c>
      <c r="P273">
        <v>-65</v>
      </c>
      <c r="Q273">
        <v>-65</v>
      </c>
      <c r="R273">
        <v>-65</v>
      </c>
      <c r="S273">
        <v>-65</v>
      </c>
    </row>
    <row r="274" spans="1:21" x14ac:dyDescent="0.25">
      <c r="A274" t="s">
        <v>218</v>
      </c>
      <c r="B274" s="2">
        <v>-4068</v>
      </c>
      <c r="C274" s="2">
        <v>9606</v>
      </c>
      <c r="D274" s="2">
        <v>-9980</v>
      </c>
      <c r="E274" s="2">
        <v>9086</v>
      </c>
      <c r="F274" s="2">
        <v>-9982</v>
      </c>
      <c r="G274" s="2">
        <v>-42056</v>
      </c>
      <c r="H274" s="2">
        <v>-6132</v>
      </c>
      <c r="I274" s="2">
        <v>-10378</v>
      </c>
      <c r="J274" s="2">
        <v>-29126</v>
      </c>
      <c r="K274" s="2">
        <v>7910</v>
      </c>
      <c r="L274" s="2">
        <v>-10554</v>
      </c>
      <c r="M274" s="2">
        <v>1098</v>
      </c>
      <c r="N274" s="2">
        <v>40284</v>
      </c>
      <c r="O274" s="2">
        <v>33380.269999999997</v>
      </c>
      <c r="P274" s="2">
        <v>20140.689999999999</v>
      </c>
      <c r="Q274" s="2">
        <v>5073.42</v>
      </c>
      <c r="R274" s="2">
        <v>-5161.13</v>
      </c>
      <c r="S274" s="2">
        <v>-48258.09</v>
      </c>
      <c r="T274" s="2">
        <v>-14984.53</v>
      </c>
      <c r="U274" s="2">
        <v>-14809.99</v>
      </c>
    </row>
    <row r="275" spans="1:21" x14ac:dyDescent="0.25">
      <c r="A275" t="s">
        <v>17</v>
      </c>
    </row>
    <row r="276" spans="1:21" x14ac:dyDescent="0.25">
      <c r="A276" t="s">
        <v>176</v>
      </c>
    </row>
    <row r="277" spans="1:21" x14ac:dyDescent="0.25">
      <c r="A277" t="s">
        <v>219</v>
      </c>
      <c r="B277">
        <v>-158</v>
      </c>
      <c r="C277" s="2">
        <v>-1192</v>
      </c>
      <c r="D277">
        <v>-115</v>
      </c>
      <c r="E277">
        <v>-86</v>
      </c>
      <c r="F277">
        <v>57</v>
      </c>
      <c r="G277">
        <v>-158</v>
      </c>
      <c r="H277">
        <v>-125</v>
      </c>
      <c r="I277">
        <v>448</v>
      </c>
      <c r="J277">
        <v>-348</v>
      </c>
      <c r="K277">
        <v>-209</v>
      </c>
      <c r="L277">
        <v>-70</v>
      </c>
      <c r="M277">
        <v>124</v>
      </c>
      <c r="N277">
        <v>96</v>
      </c>
      <c r="O277">
        <v>11</v>
      </c>
      <c r="P277">
        <v>0</v>
      </c>
      <c r="Q277">
        <v>0</v>
      </c>
      <c r="R277">
        <v>0</v>
      </c>
      <c r="S277">
        <v>0</v>
      </c>
    </row>
    <row r="278" spans="1:21" x14ac:dyDescent="0.25">
      <c r="A278" t="s">
        <v>220</v>
      </c>
      <c r="B278" s="2">
        <v>3156</v>
      </c>
      <c r="C278" s="2">
        <v>3947</v>
      </c>
      <c r="D278" s="2">
        <v>-1564</v>
      </c>
      <c r="E278" s="2">
        <v>1632</v>
      </c>
      <c r="F278">
        <v>-164</v>
      </c>
      <c r="G278" s="2">
        <v>-1106</v>
      </c>
      <c r="H278" s="2">
        <v>16725</v>
      </c>
      <c r="I278" s="2">
        <v>-7141</v>
      </c>
      <c r="J278">
        <v>0</v>
      </c>
      <c r="K278" s="2">
        <v>-11618</v>
      </c>
      <c r="L278">
        <v>689</v>
      </c>
      <c r="M278">
        <v>332</v>
      </c>
      <c r="N278" s="2">
        <v>20503</v>
      </c>
      <c r="O278">
        <v>-573.52</v>
      </c>
      <c r="P278" s="2">
        <v>-4465.07</v>
      </c>
      <c r="Q278" s="2">
        <v>11461.85</v>
      </c>
      <c r="R278" s="2">
        <v>17031.919999999998</v>
      </c>
      <c r="S278" s="2">
        <v>38626.410000000003</v>
      </c>
      <c r="T278" s="2">
        <v>44799.63</v>
      </c>
      <c r="U278" s="2">
        <v>43768.13</v>
      </c>
    </row>
    <row r="279" spans="1:21" x14ac:dyDescent="0.25">
      <c r="A279" t="s">
        <v>221</v>
      </c>
      <c r="B279" s="2">
        <v>14613</v>
      </c>
      <c r="C279" s="2">
        <v>17769</v>
      </c>
      <c r="D279" s="2">
        <v>21716</v>
      </c>
      <c r="E279" s="2">
        <v>20152</v>
      </c>
      <c r="F279" s="2">
        <v>21784</v>
      </c>
      <c r="G279" s="2">
        <v>21620</v>
      </c>
      <c r="H279" s="2">
        <v>20514</v>
      </c>
      <c r="I279" s="2">
        <v>37239</v>
      </c>
      <c r="J279" s="2">
        <v>30098</v>
      </c>
      <c r="K279" s="2">
        <v>21383</v>
      </c>
      <c r="L279" s="2">
        <v>9765</v>
      </c>
      <c r="M279" s="2">
        <v>10454</v>
      </c>
      <c r="N279" s="2">
        <v>10786</v>
      </c>
      <c r="O279" s="2">
        <v>30744.52</v>
      </c>
      <c r="P279" s="2">
        <v>29935.86</v>
      </c>
      <c r="Q279" s="2">
        <v>16185.32</v>
      </c>
      <c r="R279" s="2">
        <v>30504.68</v>
      </c>
      <c r="S279" s="2">
        <v>76395.11</v>
      </c>
      <c r="T279" s="2">
        <v>63692.1</v>
      </c>
      <c r="U279" s="2">
        <v>105226.3</v>
      </c>
    </row>
    <row r="280" spans="1:21" x14ac:dyDescent="0.25">
      <c r="A280" t="s">
        <v>222</v>
      </c>
      <c r="B280" s="2">
        <v>17769</v>
      </c>
      <c r="C280" s="2">
        <v>21716</v>
      </c>
      <c r="D280" s="2">
        <v>20152</v>
      </c>
      <c r="E280" s="2">
        <v>21784</v>
      </c>
      <c r="F280" s="2">
        <v>21620</v>
      </c>
      <c r="G280" s="2">
        <v>20514</v>
      </c>
      <c r="H280" s="2">
        <v>37239</v>
      </c>
      <c r="I280" s="2">
        <v>30098</v>
      </c>
      <c r="J280" s="2">
        <v>21383</v>
      </c>
      <c r="K280" s="2">
        <v>9765</v>
      </c>
      <c r="L280" s="2">
        <v>10454</v>
      </c>
      <c r="M280" s="2">
        <v>10786</v>
      </c>
      <c r="N280" s="2">
        <v>31289</v>
      </c>
      <c r="O280" s="2">
        <v>31033.759999999998</v>
      </c>
      <c r="P280" s="2">
        <v>21883.1</v>
      </c>
      <c r="Q280" s="2">
        <v>24448.23</v>
      </c>
      <c r="R280" s="2">
        <v>42852.82</v>
      </c>
    </row>
    <row r="281" spans="1:21" x14ac:dyDescent="0.25">
      <c r="A281" t="s">
        <v>224</v>
      </c>
      <c r="B281">
        <v>3.3</v>
      </c>
      <c r="C281">
        <v>3.31</v>
      </c>
      <c r="D281">
        <v>3.24</v>
      </c>
      <c r="E281">
        <v>3.43</v>
      </c>
      <c r="F281">
        <v>3.73</v>
      </c>
      <c r="G281">
        <v>4</v>
      </c>
      <c r="H281">
        <v>4.09</v>
      </c>
      <c r="I281">
        <v>5.39</v>
      </c>
      <c r="J281">
        <v>3.53</v>
      </c>
      <c r="K281">
        <v>6.37</v>
      </c>
      <c r="L281">
        <v>6.81</v>
      </c>
      <c r="M281">
        <v>7.47</v>
      </c>
      <c r="N281">
        <v>11.18</v>
      </c>
    </row>
    <row r="282" spans="1:21" x14ac:dyDescent="0.25">
      <c r="A282" t="s">
        <v>356</v>
      </c>
      <c r="B282">
        <v>3.24</v>
      </c>
      <c r="C282">
        <v>3.24</v>
      </c>
      <c r="D282">
        <v>3.18</v>
      </c>
      <c r="E282">
        <v>3.35</v>
      </c>
      <c r="F282">
        <v>3.63</v>
      </c>
      <c r="G282">
        <v>3.9</v>
      </c>
      <c r="H282">
        <v>3.99</v>
      </c>
      <c r="I282">
        <v>5.26</v>
      </c>
      <c r="J282">
        <v>3.42</v>
      </c>
      <c r="K282">
        <v>6.21</v>
      </c>
      <c r="L282">
        <v>6.61</v>
      </c>
      <c r="M282">
        <v>7.26</v>
      </c>
      <c r="N282">
        <v>10.97</v>
      </c>
      <c r="O282">
        <v>19.46</v>
      </c>
      <c r="P282">
        <v>24.65</v>
      </c>
      <c r="Q282">
        <v>34.43</v>
      </c>
      <c r="R282">
        <v>36.549999999999997</v>
      </c>
      <c r="S282">
        <v>45.91</v>
      </c>
    </row>
    <row r="283" spans="1:21" x14ac:dyDescent="0.25">
      <c r="A283" t="s">
        <v>225</v>
      </c>
      <c r="B283" s="2">
        <v>14341</v>
      </c>
      <c r="C283" s="2">
        <v>13189</v>
      </c>
      <c r="D283" s="2">
        <v>12496</v>
      </c>
      <c r="E283" s="2">
        <v>12105</v>
      </c>
      <c r="F283" s="2">
        <v>13650</v>
      </c>
      <c r="G283" s="2">
        <v>12891</v>
      </c>
      <c r="H283" s="2">
        <v>11575</v>
      </c>
      <c r="I283" s="2">
        <v>13752</v>
      </c>
      <c r="J283" s="2">
        <v>5028</v>
      </c>
      <c r="K283" s="2">
        <v>8470</v>
      </c>
      <c r="L283" s="2">
        <v>11807</v>
      </c>
      <c r="M283">
        <v>-394</v>
      </c>
      <c r="N283" s="2">
        <v>-23686</v>
      </c>
      <c r="O283" s="2">
        <v>-35569.31</v>
      </c>
      <c r="P283" s="2">
        <v>-29275.75</v>
      </c>
      <c r="Q283">
        <v>44</v>
      </c>
      <c r="R283" s="2">
        <v>23931.75</v>
      </c>
      <c r="S283" s="2">
        <v>54994.09</v>
      </c>
      <c r="T283" s="2">
        <v>48113</v>
      </c>
      <c r="U283" s="2">
        <v>53419.19</v>
      </c>
    </row>
    <row r="284" spans="1:21" x14ac:dyDescent="0.25">
      <c r="A284" t="s">
        <v>228</v>
      </c>
      <c r="B284">
        <v>37.47</v>
      </c>
      <c r="C284">
        <v>34.5</v>
      </c>
      <c r="D284">
        <v>33.729999999999997</v>
      </c>
      <c r="E284">
        <v>32.08</v>
      </c>
      <c r="F284">
        <v>34.659999999999997</v>
      </c>
      <c r="G284">
        <v>32.630000000000003</v>
      </c>
      <c r="H284">
        <v>29.63</v>
      </c>
      <c r="I284">
        <v>33.97</v>
      </c>
      <c r="J284">
        <v>11.85</v>
      </c>
      <c r="K284">
        <v>16.96</v>
      </c>
      <c r="L284">
        <v>22.29</v>
      </c>
      <c r="M284">
        <v>-0.69</v>
      </c>
      <c r="N284">
        <v>-35.159999999999997</v>
      </c>
      <c r="O284">
        <v>-38.44</v>
      </c>
      <c r="P284">
        <v>-21.04</v>
      </c>
      <c r="Q284">
        <v>3.12</v>
      </c>
      <c r="R284">
        <v>11.49</v>
      </c>
      <c r="S284">
        <v>20.62</v>
      </c>
      <c r="T284">
        <v>20.96</v>
      </c>
      <c r="U284">
        <v>23.19</v>
      </c>
    </row>
    <row r="285" spans="1:21" x14ac:dyDescent="0.25">
      <c r="A285" t="s">
        <v>438</v>
      </c>
      <c r="B285">
        <v>3.11</v>
      </c>
      <c r="C285">
        <v>2.93</v>
      </c>
      <c r="D285">
        <v>2.9</v>
      </c>
      <c r="E285">
        <v>2.87</v>
      </c>
      <c r="F285">
        <v>3.22</v>
      </c>
      <c r="G285">
        <v>3.45</v>
      </c>
      <c r="H285">
        <v>3.51</v>
      </c>
      <c r="I285">
        <v>4.55</v>
      </c>
      <c r="J285">
        <v>1.8</v>
      </c>
      <c r="K285">
        <v>3.06</v>
      </c>
      <c r="L285">
        <v>4.18</v>
      </c>
      <c r="M285">
        <v>-0.14000000000000001</v>
      </c>
      <c r="N285">
        <v>-8.1300000000000008</v>
      </c>
      <c r="O285">
        <v>-10.7</v>
      </c>
      <c r="P285">
        <v>-9</v>
      </c>
      <c r="Q285">
        <v>-1.31</v>
      </c>
      <c r="R285">
        <v>4.71</v>
      </c>
      <c r="S285">
        <v>12.47</v>
      </c>
      <c r="T285">
        <v>14.57</v>
      </c>
      <c r="U285">
        <v>15.94</v>
      </c>
    </row>
    <row r="286" spans="1:21" x14ac:dyDescent="0.25">
      <c r="A286" t="s">
        <v>2080</v>
      </c>
      <c r="B286">
        <v>38.979999999999997</v>
      </c>
      <c r="C286">
        <v>38.14</v>
      </c>
      <c r="D286">
        <v>36.94</v>
      </c>
      <c r="E286">
        <v>37.44</v>
      </c>
      <c r="F286">
        <v>39.07</v>
      </c>
      <c r="G286">
        <v>36.83</v>
      </c>
      <c r="H286">
        <v>33.630000000000003</v>
      </c>
      <c r="I286">
        <v>39.25</v>
      </c>
      <c r="J286">
        <v>22.48</v>
      </c>
      <c r="K286">
        <v>34.36</v>
      </c>
      <c r="L286">
        <v>35.26</v>
      </c>
      <c r="M286">
        <v>36.270000000000003</v>
      </c>
      <c r="N286">
        <v>47.47</v>
      </c>
      <c r="O286">
        <v>65.260000000000005</v>
      </c>
      <c r="P286">
        <v>60.44</v>
      </c>
      <c r="Q286">
        <v>52.16</v>
      </c>
      <c r="R286">
        <v>50.25</v>
      </c>
      <c r="S286">
        <v>53.3</v>
      </c>
    </row>
    <row r="287" spans="1:21" x14ac:dyDescent="0.25">
      <c r="A287" t="s">
        <v>17</v>
      </c>
    </row>
    <row r="288" spans="1:21" x14ac:dyDescent="0.25">
      <c r="A288" t="s">
        <v>231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5F0B-579A-434D-9047-25898E85FB70}">
  <dimension ref="A1:U205"/>
  <sheetViews>
    <sheetView workbookViewId="0">
      <selection sqref="A1:U205"/>
    </sheetView>
  </sheetViews>
  <sheetFormatPr defaultRowHeight="15" x14ac:dyDescent="0.25"/>
  <sheetData>
    <row r="1" spans="1:21" x14ac:dyDescent="0.25">
      <c r="A1" t="s">
        <v>2081</v>
      </c>
    </row>
    <row r="2" spans="1:21" x14ac:dyDescent="0.25">
      <c r="A2" t="s">
        <v>2082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H6">
        <v>0.25</v>
      </c>
      <c r="I6">
        <v>0.33</v>
      </c>
      <c r="J6">
        <v>0.1</v>
      </c>
      <c r="K6">
        <v>0.04</v>
      </c>
      <c r="L6">
        <v>0.12</v>
      </c>
      <c r="M6">
        <v>0.11</v>
      </c>
      <c r="N6">
        <v>0.35</v>
      </c>
      <c r="O6">
        <v>0.27</v>
      </c>
      <c r="P6">
        <v>0.56000000000000005</v>
      </c>
      <c r="Q6">
        <v>0.84</v>
      </c>
      <c r="R6">
        <v>1.0900000000000001</v>
      </c>
      <c r="S6">
        <v>1.27</v>
      </c>
      <c r="T6">
        <v>1.36</v>
      </c>
      <c r="U6">
        <v>1.54</v>
      </c>
    </row>
    <row r="7" spans="1:21" x14ac:dyDescent="0.25">
      <c r="A7" t="s">
        <v>16</v>
      </c>
      <c r="H7">
        <v>425.85</v>
      </c>
      <c r="I7">
        <v>462.29</v>
      </c>
      <c r="J7">
        <v>663.77</v>
      </c>
      <c r="K7">
        <v>769.09</v>
      </c>
      <c r="L7">
        <v>949.18</v>
      </c>
      <c r="M7" s="2">
        <v>1197.05</v>
      </c>
      <c r="N7" s="2">
        <v>1458.19</v>
      </c>
      <c r="O7" s="2">
        <v>1728.59</v>
      </c>
      <c r="P7" s="2">
        <v>1945.65</v>
      </c>
      <c r="Q7" s="2">
        <v>2160.84</v>
      </c>
      <c r="R7" s="2">
        <v>2408.9</v>
      </c>
      <c r="S7" s="2">
        <v>2589.7199999999998</v>
      </c>
      <c r="T7" s="2">
        <v>2789.42</v>
      </c>
      <c r="U7" s="2">
        <v>3096.92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2083</v>
      </c>
      <c r="M10">
        <v>981.17</v>
      </c>
      <c r="N10" s="2">
        <v>1183.6199999999999</v>
      </c>
      <c r="O10" s="2">
        <v>1458.96</v>
      </c>
      <c r="P10" s="2">
        <v>1636.33</v>
      </c>
      <c r="Q10" s="2">
        <v>1816.61</v>
      </c>
      <c r="R10" s="2">
        <v>2011.85</v>
      </c>
      <c r="S10" s="2">
        <v>2161.61</v>
      </c>
      <c r="T10" s="2">
        <v>2368.2600000000002</v>
      </c>
      <c r="U10" s="2">
        <v>2564.3000000000002</v>
      </c>
    </row>
    <row r="11" spans="1:21" x14ac:dyDescent="0.25">
      <c r="A11" t="s">
        <v>2084</v>
      </c>
      <c r="M11">
        <v>215.89</v>
      </c>
      <c r="N11">
        <v>274.57</v>
      </c>
      <c r="O11">
        <v>308.75</v>
      </c>
      <c r="P11">
        <v>343.63</v>
      </c>
      <c r="Q11">
        <v>374.11</v>
      </c>
      <c r="R11">
        <v>397.21</v>
      </c>
      <c r="S11">
        <v>427.95</v>
      </c>
      <c r="T11">
        <v>421.21</v>
      </c>
      <c r="U11">
        <v>532.33000000000004</v>
      </c>
    </row>
    <row r="12" spans="1:21" x14ac:dyDescent="0.25">
      <c r="A12" t="s">
        <v>17</v>
      </c>
    </row>
    <row r="13" spans="1:21" x14ac:dyDescent="0.25">
      <c r="A13" t="s">
        <v>680</v>
      </c>
      <c r="H13">
        <v>70.75</v>
      </c>
      <c r="I13">
        <v>87.8</v>
      </c>
      <c r="J13">
        <v>120.66</v>
      </c>
      <c r="K13">
        <v>132.55000000000001</v>
      </c>
      <c r="L13">
        <v>180.4</v>
      </c>
      <c r="M13">
        <v>240.61</v>
      </c>
      <c r="N13">
        <v>335.49</v>
      </c>
      <c r="O13">
        <v>410.04</v>
      </c>
      <c r="P13">
        <v>497.54</v>
      </c>
      <c r="Q13">
        <v>584.15</v>
      </c>
      <c r="R13">
        <v>661.47</v>
      </c>
      <c r="S13">
        <v>699.92</v>
      </c>
      <c r="T13">
        <v>667.99</v>
      </c>
      <c r="U13">
        <v>955.91</v>
      </c>
    </row>
    <row r="14" spans="1:21" x14ac:dyDescent="0.25">
      <c r="A14" t="s">
        <v>481</v>
      </c>
      <c r="H14">
        <v>16.600000000000001</v>
      </c>
      <c r="I14">
        <v>19</v>
      </c>
      <c r="J14">
        <v>18.2</v>
      </c>
      <c r="K14">
        <v>17</v>
      </c>
      <c r="L14">
        <v>19</v>
      </c>
      <c r="M14">
        <v>20.100000000000001</v>
      </c>
      <c r="N14">
        <v>23</v>
      </c>
      <c r="O14">
        <v>23.75</v>
      </c>
      <c r="P14">
        <v>25.46</v>
      </c>
      <c r="Q14">
        <v>26.72</v>
      </c>
      <c r="R14">
        <v>27.4</v>
      </c>
      <c r="S14">
        <v>26.89</v>
      </c>
      <c r="T14">
        <v>23.72</v>
      </c>
      <c r="U14">
        <v>30.87</v>
      </c>
    </row>
    <row r="15" spans="1:21" x14ac:dyDescent="0.25">
      <c r="A15" t="s">
        <v>17</v>
      </c>
    </row>
    <row r="16" spans="1:21" x14ac:dyDescent="0.25">
      <c r="A16" t="s">
        <v>1220</v>
      </c>
      <c r="H16">
        <v>115.66</v>
      </c>
      <c r="I16">
        <v>64.959999999999994</v>
      </c>
      <c r="J16">
        <v>-350.03</v>
      </c>
      <c r="K16">
        <v>-236.62</v>
      </c>
      <c r="L16">
        <v>-251.18</v>
      </c>
      <c r="M16">
        <v>-312.17</v>
      </c>
      <c r="N16">
        <v>-354.95</v>
      </c>
      <c r="O16">
        <v>-232.82</v>
      </c>
      <c r="P16">
        <v>-435.44</v>
      </c>
      <c r="Q16">
        <v>-642.65</v>
      </c>
      <c r="R16">
        <v>-884.44</v>
      </c>
      <c r="S16" s="2">
        <v>-1081.1600000000001</v>
      </c>
      <c r="T16">
        <v>-574.70000000000005</v>
      </c>
      <c r="U16" s="2">
        <v>-1304.1099999999999</v>
      </c>
    </row>
    <row r="17" spans="1:21" x14ac:dyDescent="0.25">
      <c r="A17" t="s">
        <v>17</v>
      </c>
    </row>
    <row r="18" spans="1:21" x14ac:dyDescent="0.25">
      <c r="A18" t="s">
        <v>58</v>
      </c>
    </row>
    <row r="19" spans="1:21" x14ac:dyDescent="0.25">
      <c r="A19" t="s">
        <v>2085</v>
      </c>
    </row>
    <row r="20" spans="1:21" x14ac:dyDescent="0.25">
      <c r="A20" t="s">
        <v>60</v>
      </c>
      <c r="M20">
        <v>981.17</v>
      </c>
      <c r="N20" s="2">
        <v>1183.6199999999999</v>
      </c>
      <c r="O20" s="2">
        <v>1458.96</v>
      </c>
      <c r="P20" s="2">
        <v>1636.33</v>
      </c>
      <c r="Q20" s="2">
        <v>1816.61</v>
      </c>
      <c r="R20" s="2">
        <v>2011.85</v>
      </c>
      <c r="S20" s="2">
        <v>2161.61</v>
      </c>
      <c r="T20" s="2">
        <v>2368.2600000000002</v>
      </c>
      <c r="U20" s="2">
        <v>2564.3000000000002</v>
      </c>
    </row>
    <row r="21" spans="1:21" x14ac:dyDescent="0.25">
      <c r="A21" t="s">
        <v>61</v>
      </c>
      <c r="O21">
        <v>82.35</v>
      </c>
      <c r="P21">
        <v>82.21</v>
      </c>
      <c r="Q21">
        <v>82.43</v>
      </c>
      <c r="R21">
        <v>82.47</v>
      </c>
      <c r="S21">
        <v>82.58</v>
      </c>
      <c r="T21">
        <v>82.69</v>
      </c>
      <c r="U21">
        <v>82.81</v>
      </c>
    </row>
    <row r="22" spans="1:21" x14ac:dyDescent="0.25">
      <c r="A22" t="s">
        <v>2086</v>
      </c>
      <c r="M22">
        <v>764.95</v>
      </c>
      <c r="N22">
        <v>923.88</v>
      </c>
      <c r="O22" s="2">
        <v>1137.54</v>
      </c>
      <c r="P22" s="2">
        <v>1339.94</v>
      </c>
      <c r="Q22" s="2">
        <v>1491.44</v>
      </c>
      <c r="R22" s="2">
        <v>1675.21</v>
      </c>
      <c r="S22" s="2">
        <v>1804.05</v>
      </c>
      <c r="T22" s="2">
        <v>2017.79</v>
      </c>
      <c r="U22" s="2">
        <v>2179.21</v>
      </c>
    </row>
    <row r="23" spans="1:21" x14ac:dyDescent="0.25">
      <c r="A23" t="s">
        <v>2087</v>
      </c>
      <c r="M23">
        <v>216.22</v>
      </c>
      <c r="N23">
        <v>259.74</v>
      </c>
      <c r="O23">
        <v>263.66000000000003</v>
      </c>
      <c r="P23">
        <v>299.51</v>
      </c>
      <c r="Q23">
        <v>323.61</v>
      </c>
      <c r="R23">
        <v>336.16</v>
      </c>
      <c r="S23">
        <v>346.5</v>
      </c>
      <c r="T23">
        <v>366.75</v>
      </c>
      <c r="U23">
        <v>385.09</v>
      </c>
    </row>
    <row r="24" spans="1:21" x14ac:dyDescent="0.25">
      <c r="A24" t="s">
        <v>17</v>
      </c>
    </row>
    <row r="25" spans="1:21" x14ac:dyDescent="0.25">
      <c r="A25" t="s">
        <v>2088</v>
      </c>
    </row>
    <row r="26" spans="1:21" x14ac:dyDescent="0.25">
      <c r="A26" t="s">
        <v>60</v>
      </c>
      <c r="M26">
        <v>215.89</v>
      </c>
      <c r="N26">
        <v>274.57</v>
      </c>
      <c r="O26">
        <v>308.75</v>
      </c>
      <c r="P26">
        <v>343.63</v>
      </c>
      <c r="Q26">
        <v>374.11</v>
      </c>
      <c r="R26">
        <v>397.21</v>
      </c>
      <c r="S26">
        <v>427.95</v>
      </c>
      <c r="T26">
        <v>421.21</v>
      </c>
      <c r="U26">
        <v>532.33000000000004</v>
      </c>
    </row>
    <row r="27" spans="1:21" x14ac:dyDescent="0.25">
      <c r="A27" t="s">
        <v>61</v>
      </c>
      <c r="O27">
        <v>17.86</v>
      </c>
      <c r="P27">
        <v>12.99</v>
      </c>
      <c r="Q27">
        <v>10.72</v>
      </c>
      <c r="R27">
        <v>10.02</v>
      </c>
      <c r="S27">
        <v>8.99</v>
      </c>
      <c r="T27">
        <v>10.01</v>
      </c>
      <c r="U27">
        <v>12.44</v>
      </c>
    </row>
    <row r="28" spans="1:21" x14ac:dyDescent="0.25">
      <c r="A28" t="s">
        <v>2089</v>
      </c>
      <c r="M28">
        <v>158.93</v>
      </c>
      <c r="N28">
        <v>205.25</v>
      </c>
      <c r="O28">
        <v>223.35</v>
      </c>
      <c r="P28">
        <v>264.52</v>
      </c>
      <c r="Q28">
        <v>294.38</v>
      </c>
      <c r="R28">
        <v>319.64</v>
      </c>
      <c r="S28">
        <v>351.31</v>
      </c>
      <c r="T28">
        <v>383.16</v>
      </c>
      <c r="U28">
        <v>408.06</v>
      </c>
    </row>
    <row r="29" spans="1:21" x14ac:dyDescent="0.25">
      <c r="A29" t="s">
        <v>2090</v>
      </c>
      <c r="M29">
        <v>43.67</v>
      </c>
      <c r="N29">
        <v>49.39</v>
      </c>
      <c r="O29">
        <v>47.05</v>
      </c>
      <c r="P29">
        <v>50.87</v>
      </c>
      <c r="Q29">
        <v>52.53</v>
      </c>
      <c r="R29">
        <v>54.37</v>
      </c>
      <c r="S29">
        <v>56.54</v>
      </c>
      <c r="T29">
        <v>63.78</v>
      </c>
      <c r="U29">
        <v>66.010000000000005</v>
      </c>
    </row>
    <row r="30" spans="1:21" x14ac:dyDescent="0.25">
      <c r="A30" t="s">
        <v>2091</v>
      </c>
      <c r="M30">
        <v>13.29</v>
      </c>
      <c r="N30">
        <v>19.93</v>
      </c>
      <c r="O30">
        <v>25.13</v>
      </c>
      <c r="P30">
        <v>29.21</v>
      </c>
      <c r="Q30">
        <v>33.11</v>
      </c>
      <c r="R30">
        <v>39.99</v>
      </c>
      <c r="S30">
        <v>49.82</v>
      </c>
      <c r="T30">
        <v>52.25</v>
      </c>
      <c r="U30">
        <v>58.26</v>
      </c>
    </row>
    <row r="31" spans="1:21" x14ac:dyDescent="0.25">
      <c r="A31" t="s">
        <v>17</v>
      </c>
    </row>
    <row r="32" spans="1:21" x14ac:dyDescent="0.25">
      <c r="A32" t="s">
        <v>51</v>
      </c>
    </row>
    <row r="33" spans="1:21" x14ac:dyDescent="0.25">
      <c r="A33" t="s">
        <v>2092</v>
      </c>
    </row>
    <row r="34" spans="1:21" x14ac:dyDescent="0.25">
      <c r="A34" t="s">
        <v>2093</v>
      </c>
      <c r="H34">
        <v>251.59</v>
      </c>
      <c r="I34">
        <v>268.3</v>
      </c>
      <c r="J34">
        <v>365.9</v>
      </c>
      <c r="K34">
        <v>409.82</v>
      </c>
      <c r="L34">
        <v>504.89</v>
      </c>
      <c r="O34">
        <v>831.08</v>
      </c>
      <c r="P34">
        <v>918.97</v>
      </c>
      <c r="Q34" s="2">
        <v>1005.61</v>
      </c>
      <c r="R34" s="2">
        <v>1094.58</v>
      </c>
      <c r="S34" s="2">
        <v>1185.03</v>
      </c>
      <c r="T34" s="2">
        <v>1278.69</v>
      </c>
      <c r="U34" s="2">
        <v>1375.15</v>
      </c>
    </row>
    <row r="35" spans="1:21" x14ac:dyDescent="0.25">
      <c r="A35" t="s">
        <v>2094</v>
      </c>
      <c r="H35">
        <v>197.08</v>
      </c>
      <c r="I35">
        <v>194.14</v>
      </c>
      <c r="J35">
        <v>253.15</v>
      </c>
      <c r="K35">
        <v>249.67</v>
      </c>
      <c r="L35">
        <v>300.83999999999997</v>
      </c>
    </row>
    <row r="36" spans="1:21" x14ac:dyDescent="0.25">
      <c r="A36" t="s">
        <v>2095</v>
      </c>
      <c r="H36">
        <v>38.14</v>
      </c>
      <c r="I36">
        <v>53.21</v>
      </c>
      <c r="J36">
        <v>94.58</v>
      </c>
      <c r="K36">
        <v>143.13999999999999</v>
      </c>
      <c r="L36">
        <v>190.2</v>
      </c>
    </row>
    <row r="37" spans="1:21" x14ac:dyDescent="0.25">
      <c r="A37" t="s">
        <v>2096</v>
      </c>
      <c r="H37">
        <v>16.37</v>
      </c>
      <c r="I37">
        <v>20.94</v>
      </c>
      <c r="J37">
        <v>18.16</v>
      </c>
      <c r="K37">
        <v>17.010000000000002</v>
      </c>
      <c r="L37">
        <v>13.85</v>
      </c>
    </row>
    <row r="38" spans="1:21" x14ac:dyDescent="0.25">
      <c r="A38" t="s">
        <v>2097</v>
      </c>
      <c r="H38">
        <v>144.68</v>
      </c>
      <c r="I38">
        <v>147.55000000000001</v>
      </c>
      <c r="J38">
        <v>209.33</v>
      </c>
      <c r="K38">
        <v>192.16</v>
      </c>
      <c r="L38">
        <v>226.65</v>
      </c>
      <c r="O38">
        <v>435.59</v>
      </c>
      <c r="P38">
        <v>490.11</v>
      </c>
      <c r="Q38">
        <v>554.28</v>
      </c>
      <c r="R38">
        <v>624.04</v>
      </c>
      <c r="S38">
        <v>694.46</v>
      </c>
      <c r="T38">
        <v>764.69</v>
      </c>
    </row>
    <row r="39" spans="1:21" x14ac:dyDescent="0.25">
      <c r="A39" t="s">
        <v>2098</v>
      </c>
      <c r="K39">
        <v>47</v>
      </c>
      <c r="L39">
        <v>45</v>
      </c>
    </row>
    <row r="40" spans="1:21" x14ac:dyDescent="0.25">
      <c r="A40" t="s">
        <v>2099</v>
      </c>
    </row>
    <row r="41" spans="1:21" x14ac:dyDescent="0.25">
      <c r="A41" t="s">
        <v>2093</v>
      </c>
      <c r="H41">
        <v>115.02</v>
      </c>
      <c r="I41">
        <v>120.9</v>
      </c>
      <c r="J41">
        <v>165.78</v>
      </c>
      <c r="K41">
        <v>169.07</v>
      </c>
      <c r="L41">
        <v>197.05</v>
      </c>
      <c r="O41">
        <v>282.99</v>
      </c>
      <c r="P41">
        <v>303.5</v>
      </c>
      <c r="Q41">
        <v>321.83999999999997</v>
      </c>
      <c r="R41">
        <v>339.52</v>
      </c>
      <c r="S41">
        <v>357.34</v>
      </c>
      <c r="T41">
        <v>375.21</v>
      </c>
      <c r="U41">
        <v>390.89</v>
      </c>
    </row>
    <row r="42" spans="1:21" x14ac:dyDescent="0.25">
      <c r="A42" t="s">
        <v>2097</v>
      </c>
      <c r="H42">
        <v>28.8</v>
      </c>
      <c r="I42">
        <v>29.37</v>
      </c>
      <c r="J42">
        <v>46.42</v>
      </c>
      <c r="K42">
        <v>48.97</v>
      </c>
      <c r="L42">
        <v>56.47</v>
      </c>
      <c r="O42">
        <v>76.37</v>
      </c>
      <c r="P42">
        <v>81.709999999999994</v>
      </c>
      <c r="Q42">
        <v>86.29</v>
      </c>
      <c r="R42">
        <v>90.6</v>
      </c>
      <c r="S42">
        <v>95.13</v>
      </c>
      <c r="T42">
        <v>99.89</v>
      </c>
    </row>
    <row r="43" spans="1:21" x14ac:dyDescent="0.25">
      <c r="A43" t="s">
        <v>2098</v>
      </c>
      <c r="K43">
        <v>29</v>
      </c>
      <c r="L43">
        <v>29</v>
      </c>
      <c r="O43">
        <v>26.54</v>
      </c>
      <c r="P43">
        <v>26.54</v>
      </c>
      <c r="Q43">
        <v>26.54</v>
      </c>
      <c r="R43">
        <v>26.54</v>
      </c>
      <c r="S43">
        <v>26.54</v>
      </c>
      <c r="T43">
        <v>26.54</v>
      </c>
    </row>
    <row r="44" spans="1:21" x14ac:dyDescent="0.25">
      <c r="A44" t="s">
        <v>2100</v>
      </c>
    </row>
    <row r="45" spans="1:21" x14ac:dyDescent="0.25">
      <c r="A45" t="s">
        <v>2093</v>
      </c>
      <c r="H45">
        <v>33.65</v>
      </c>
      <c r="I45">
        <v>33.83</v>
      </c>
      <c r="J45">
        <v>47.29</v>
      </c>
      <c r="K45">
        <v>55.96</v>
      </c>
      <c r="L45">
        <v>68.23</v>
      </c>
      <c r="O45">
        <v>108.77</v>
      </c>
      <c r="P45">
        <v>118.87</v>
      </c>
      <c r="Q45">
        <v>128.53</v>
      </c>
      <c r="R45">
        <v>138.75</v>
      </c>
      <c r="S45">
        <v>149.49</v>
      </c>
      <c r="T45">
        <v>160.72999999999999</v>
      </c>
      <c r="U45">
        <v>199.84</v>
      </c>
    </row>
    <row r="46" spans="1:21" x14ac:dyDescent="0.25">
      <c r="A46" t="s">
        <v>2097</v>
      </c>
      <c r="H46">
        <v>-1.7</v>
      </c>
      <c r="I46">
        <v>-1.73</v>
      </c>
      <c r="J46">
        <v>-6.8</v>
      </c>
      <c r="K46">
        <v>-14.06</v>
      </c>
      <c r="L46">
        <v>-6.84</v>
      </c>
      <c r="O46">
        <v>-9.33</v>
      </c>
      <c r="P46">
        <v>-8.4</v>
      </c>
      <c r="Q46">
        <v>-7.56</v>
      </c>
      <c r="R46">
        <v>-6.8</v>
      </c>
      <c r="S46">
        <v>-6.12</v>
      </c>
      <c r="T46">
        <v>-5.51</v>
      </c>
    </row>
    <row r="47" spans="1:21" x14ac:dyDescent="0.25">
      <c r="A47" t="s">
        <v>2098</v>
      </c>
      <c r="K47">
        <v>-25</v>
      </c>
      <c r="L47">
        <v>-10</v>
      </c>
      <c r="O47">
        <v>-8.74</v>
      </c>
      <c r="P47">
        <v>-7.39</v>
      </c>
      <c r="Q47">
        <v>-6.33</v>
      </c>
      <c r="R47">
        <v>-5.43</v>
      </c>
      <c r="S47">
        <v>-4.6500000000000004</v>
      </c>
      <c r="T47">
        <v>-3.99</v>
      </c>
    </row>
    <row r="48" spans="1:21" x14ac:dyDescent="0.25">
      <c r="A48" t="s">
        <v>17</v>
      </c>
    </row>
    <row r="49" spans="1:21" x14ac:dyDescent="0.25">
      <c r="A49" t="s">
        <v>72</v>
      </c>
    </row>
    <row r="50" spans="1:21" x14ac:dyDescent="0.25">
      <c r="A50" t="s">
        <v>385</v>
      </c>
    </row>
    <row r="51" spans="1:21" x14ac:dyDescent="0.25">
      <c r="A51" t="s">
        <v>60</v>
      </c>
      <c r="H51">
        <v>25.6</v>
      </c>
      <c r="I51">
        <v>39.28</v>
      </c>
      <c r="J51">
        <v>84.8</v>
      </c>
      <c r="K51">
        <v>134.22999999999999</v>
      </c>
      <c r="L51">
        <v>179.01</v>
      </c>
      <c r="M51">
        <v>284.25</v>
      </c>
      <c r="N51">
        <v>366.03</v>
      </c>
      <c r="O51">
        <v>437.21</v>
      </c>
      <c r="P51">
        <v>506.67</v>
      </c>
      <c r="Q51">
        <v>569.51</v>
      </c>
      <c r="R51">
        <v>642.35</v>
      </c>
      <c r="S51">
        <v>708.87</v>
      </c>
      <c r="T51">
        <v>775.3</v>
      </c>
      <c r="U51">
        <v>944.47</v>
      </c>
    </row>
    <row r="52" spans="1:21" x14ac:dyDescent="0.25">
      <c r="A52" t="s">
        <v>2101</v>
      </c>
      <c r="H52">
        <v>-44.89</v>
      </c>
      <c r="I52">
        <v>-45.78</v>
      </c>
      <c r="J52">
        <v>-26.76</v>
      </c>
      <c r="K52">
        <v>-4.3600000000000003</v>
      </c>
      <c r="L52">
        <v>20.43</v>
      </c>
      <c r="O52">
        <v>35.82</v>
      </c>
      <c r="P52">
        <v>55.11</v>
      </c>
      <c r="Q52">
        <v>12.31</v>
      </c>
      <c r="R52">
        <v>-58.57</v>
      </c>
      <c r="S52">
        <v>-147.81</v>
      </c>
      <c r="T52">
        <v>-259.05</v>
      </c>
    </row>
    <row r="53" spans="1:21" x14ac:dyDescent="0.25">
      <c r="A53" t="s">
        <v>286</v>
      </c>
      <c r="K53">
        <v>-3</v>
      </c>
      <c r="L53">
        <v>-11</v>
      </c>
      <c r="O53">
        <v>8.0399999999999991</v>
      </c>
      <c r="P53">
        <v>10.76</v>
      </c>
      <c r="Q53">
        <v>2.1800000000000002</v>
      </c>
      <c r="R53">
        <v>-9.67</v>
      </c>
      <c r="S53">
        <v>-22.7</v>
      </c>
      <c r="T53">
        <v>-37.01</v>
      </c>
    </row>
    <row r="54" spans="1:21" x14ac:dyDescent="0.25">
      <c r="A54" t="s">
        <v>17</v>
      </c>
    </row>
    <row r="55" spans="1:21" x14ac:dyDescent="0.25">
      <c r="A55" t="s">
        <v>2102</v>
      </c>
    </row>
    <row r="56" spans="1:21" x14ac:dyDescent="0.25">
      <c r="A56" t="s">
        <v>60</v>
      </c>
      <c r="H56">
        <v>400.26</v>
      </c>
      <c r="I56">
        <v>423.03</v>
      </c>
      <c r="J56">
        <v>578.97</v>
      </c>
      <c r="K56">
        <v>634.86</v>
      </c>
      <c r="L56">
        <v>770.17</v>
      </c>
      <c r="M56">
        <v>912.8</v>
      </c>
      <c r="N56" s="2">
        <v>1092.1600000000001</v>
      </c>
      <c r="O56" s="2">
        <v>1340.09</v>
      </c>
      <c r="P56" s="2">
        <v>1480.29</v>
      </c>
      <c r="Q56" s="2">
        <v>1633.87</v>
      </c>
      <c r="R56" s="2">
        <v>1754.7</v>
      </c>
      <c r="S56" s="2">
        <v>1880.7</v>
      </c>
      <c r="T56" s="2">
        <v>1915.7</v>
      </c>
      <c r="U56" s="2">
        <v>1965.88</v>
      </c>
    </row>
    <row r="57" spans="1:21" x14ac:dyDescent="0.25">
      <c r="A57" t="s">
        <v>17</v>
      </c>
    </row>
    <row r="58" spans="1:21" x14ac:dyDescent="0.25">
      <c r="A58" t="s">
        <v>79</v>
      </c>
    </row>
    <row r="59" spans="1:21" x14ac:dyDescent="0.25">
      <c r="A59" t="s">
        <v>80</v>
      </c>
      <c r="H59">
        <v>425.85</v>
      </c>
      <c r="I59">
        <v>462.29</v>
      </c>
      <c r="J59">
        <v>663.77</v>
      </c>
      <c r="K59">
        <v>769.09</v>
      </c>
      <c r="L59">
        <v>949.18</v>
      </c>
      <c r="M59" s="2">
        <v>1197.05</v>
      </c>
      <c r="N59" s="2">
        <v>1458.19</v>
      </c>
      <c r="O59" s="2">
        <v>1728.59</v>
      </c>
      <c r="P59" s="2">
        <v>1945.65</v>
      </c>
      <c r="Q59" s="2">
        <v>2160.84</v>
      </c>
      <c r="R59" s="2">
        <v>2408.9</v>
      </c>
      <c r="S59" s="2">
        <v>2589.7199999999998</v>
      </c>
      <c r="T59" s="2">
        <v>2789.42</v>
      </c>
      <c r="U59" s="2">
        <v>3096.92</v>
      </c>
    </row>
    <row r="60" spans="1:21" x14ac:dyDescent="0.25">
      <c r="A60" t="s">
        <v>17</v>
      </c>
    </row>
    <row r="61" spans="1:21" x14ac:dyDescent="0.25">
      <c r="A61" t="s">
        <v>2103</v>
      </c>
      <c r="H61">
        <v>68.73</v>
      </c>
      <c r="I61">
        <v>101.96</v>
      </c>
      <c r="J61">
        <v>141.25</v>
      </c>
      <c r="K61">
        <v>185.37</v>
      </c>
      <c r="L61">
        <v>222.66</v>
      </c>
      <c r="M61">
        <v>189.94</v>
      </c>
      <c r="N61">
        <v>215.83</v>
      </c>
      <c r="O61">
        <v>248.69</v>
      </c>
      <c r="P61">
        <v>277.63</v>
      </c>
      <c r="Q61">
        <v>298.33999999999997</v>
      </c>
      <c r="R61">
        <v>323.20999999999998</v>
      </c>
      <c r="S61">
        <v>348.47</v>
      </c>
      <c r="T61">
        <v>393.86</v>
      </c>
      <c r="U61">
        <v>456.67</v>
      </c>
    </row>
    <row r="62" spans="1:21" x14ac:dyDescent="0.25">
      <c r="A62" t="s">
        <v>83</v>
      </c>
      <c r="H62">
        <v>16.14</v>
      </c>
      <c r="I62">
        <v>22.06</v>
      </c>
      <c r="J62">
        <v>21.28</v>
      </c>
      <c r="K62">
        <v>24.1</v>
      </c>
      <c r="L62">
        <v>23.46</v>
      </c>
      <c r="M62">
        <v>15.87</v>
      </c>
      <c r="N62">
        <v>14.8</v>
      </c>
      <c r="O62">
        <v>32.909999999999997</v>
      </c>
      <c r="P62">
        <v>32.44</v>
      </c>
      <c r="Q62">
        <v>32.18</v>
      </c>
      <c r="R62">
        <v>32.22</v>
      </c>
      <c r="S62">
        <v>32.76</v>
      </c>
      <c r="T62">
        <v>35.74</v>
      </c>
      <c r="U62">
        <v>28.25</v>
      </c>
    </row>
    <row r="63" spans="1:21" x14ac:dyDescent="0.25">
      <c r="A63" t="s">
        <v>84</v>
      </c>
      <c r="H63">
        <v>357.13</v>
      </c>
      <c r="I63">
        <v>360.35</v>
      </c>
      <c r="J63">
        <v>522.52</v>
      </c>
      <c r="K63">
        <v>583.72</v>
      </c>
      <c r="L63">
        <v>726.52</v>
      </c>
      <c r="M63" s="2">
        <v>1007.11</v>
      </c>
      <c r="N63" s="2">
        <v>1242.3599999999999</v>
      </c>
      <c r="O63" s="2">
        <v>1506.73</v>
      </c>
      <c r="P63" s="2">
        <v>1676.34</v>
      </c>
      <c r="Q63" s="2">
        <v>1839.83</v>
      </c>
      <c r="R63" s="2">
        <v>2007.45</v>
      </c>
      <c r="S63" s="2">
        <v>2172.7800000000002</v>
      </c>
      <c r="T63" s="2">
        <v>2334.52</v>
      </c>
    </row>
    <row r="64" spans="1:21" x14ac:dyDescent="0.25">
      <c r="A64" t="s">
        <v>85</v>
      </c>
      <c r="H64">
        <v>33.39</v>
      </c>
      <c r="I64">
        <v>31.46</v>
      </c>
      <c r="J64">
        <v>78.72</v>
      </c>
      <c r="K64">
        <v>75.900000000000006</v>
      </c>
      <c r="L64">
        <v>76.540000000000006</v>
      </c>
      <c r="M64">
        <v>84.13</v>
      </c>
      <c r="N64">
        <v>85.2</v>
      </c>
      <c r="O64">
        <v>65.34</v>
      </c>
      <c r="P64">
        <v>66.180000000000007</v>
      </c>
      <c r="Q64">
        <v>56.99</v>
      </c>
      <c r="R64">
        <v>86.39</v>
      </c>
      <c r="S64">
        <v>86.51</v>
      </c>
      <c r="T64">
        <v>86.62</v>
      </c>
    </row>
    <row r="65" spans="1:21" x14ac:dyDescent="0.25">
      <c r="A65" t="s">
        <v>17</v>
      </c>
    </row>
    <row r="66" spans="1:21" x14ac:dyDescent="0.25">
      <c r="A66" t="s">
        <v>275</v>
      </c>
    </row>
    <row r="67" spans="1:21" x14ac:dyDescent="0.25">
      <c r="A67" t="s">
        <v>2104</v>
      </c>
      <c r="H67">
        <v>133.31</v>
      </c>
      <c r="I67">
        <v>138.47999999999999</v>
      </c>
      <c r="J67">
        <v>217.42</v>
      </c>
      <c r="K67">
        <v>280.16000000000003</v>
      </c>
      <c r="L67">
        <v>352.61</v>
      </c>
      <c r="M67">
        <v>378.27</v>
      </c>
      <c r="N67">
        <v>454.68</v>
      </c>
      <c r="O67">
        <v>511.42</v>
      </c>
      <c r="P67">
        <v>544.14</v>
      </c>
      <c r="Q67">
        <v>603.79</v>
      </c>
      <c r="R67">
        <v>622.41999999999996</v>
      </c>
      <c r="S67">
        <v>666.93</v>
      </c>
      <c r="T67">
        <v>725.27</v>
      </c>
      <c r="U67">
        <v>798.83</v>
      </c>
    </row>
    <row r="68" spans="1:21" x14ac:dyDescent="0.25">
      <c r="A68" t="s">
        <v>69</v>
      </c>
      <c r="H68">
        <v>31.3</v>
      </c>
      <c r="I68">
        <v>29.95</v>
      </c>
      <c r="J68">
        <v>32.75</v>
      </c>
      <c r="K68">
        <v>36.43</v>
      </c>
      <c r="L68">
        <v>37.15</v>
      </c>
      <c r="M68">
        <v>31.6</v>
      </c>
      <c r="N68">
        <v>31.18</v>
      </c>
      <c r="O68">
        <v>28.11</v>
      </c>
      <c r="P68">
        <v>26.82</v>
      </c>
      <c r="Q68">
        <v>27.24</v>
      </c>
      <c r="R68">
        <v>26.56</v>
      </c>
      <c r="S68">
        <v>26.2</v>
      </c>
      <c r="T68">
        <v>28.75</v>
      </c>
    </row>
    <row r="69" spans="1:21" x14ac:dyDescent="0.25">
      <c r="A69" t="s">
        <v>2105</v>
      </c>
      <c r="K69">
        <v>135.87</v>
      </c>
      <c r="L69">
        <v>157.01</v>
      </c>
      <c r="M69">
        <v>166.56</v>
      </c>
      <c r="N69">
        <v>196.39</v>
      </c>
      <c r="O69">
        <v>233.3</v>
      </c>
      <c r="P69">
        <v>259.7</v>
      </c>
      <c r="Q69">
        <v>283.82</v>
      </c>
      <c r="R69">
        <v>306.67</v>
      </c>
      <c r="S69">
        <v>327.27</v>
      </c>
      <c r="T69">
        <v>364.58</v>
      </c>
      <c r="U69">
        <v>405.66</v>
      </c>
    </row>
    <row r="70" spans="1:21" x14ac:dyDescent="0.25">
      <c r="A70" t="s">
        <v>1925</v>
      </c>
      <c r="H70">
        <v>5.94</v>
      </c>
      <c r="I70">
        <v>5.3</v>
      </c>
      <c r="J70">
        <v>7.04</v>
      </c>
      <c r="K70">
        <v>1.63</v>
      </c>
      <c r="L70">
        <v>6.68</v>
      </c>
      <c r="M70">
        <v>6.17</v>
      </c>
      <c r="N70">
        <v>10.62</v>
      </c>
      <c r="O70">
        <v>6.5</v>
      </c>
      <c r="P70">
        <v>7.04</v>
      </c>
      <c r="Q70">
        <v>9.44</v>
      </c>
      <c r="R70">
        <v>8.81</v>
      </c>
      <c r="S70">
        <v>8.34</v>
      </c>
      <c r="T70">
        <v>6.81</v>
      </c>
    </row>
    <row r="71" spans="1:21" x14ac:dyDescent="0.25">
      <c r="A71" t="s">
        <v>2106</v>
      </c>
      <c r="H71">
        <v>8.8000000000000007</v>
      </c>
      <c r="I71">
        <v>6.96</v>
      </c>
      <c r="J71">
        <v>13.95</v>
      </c>
      <c r="K71">
        <v>18.670000000000002</v>
      </c>
      <c r="L71">
        <v>30.61</v>
      </c>
      <c r="M71">
        <v>54.1</v>
      </c>
      <c r="N71">
        <v>52.84</v>
      </c>
      <c r="O71">
        <v>44.37</v>
      </c>
      <c r="P71">
        <v>50.89</v>
      </c>
      <c r="Q71">
        <v>51.03</v>
      </c>
      <c r="R71">
        <v>51.91</v>
      </c>
      <c r="S71">
        <v>54.47</v>
      </c>
      <c r="T71">
        <v>58.34</v>
      </c>
      <c r="U71">
        <v>109.93</v>
      </c>
    </row>
    <row r="72" spans="1:21" x14ac:dyDescent="0.25">
      <c r="A72" t="s">
        <v>2107</v>
      </c>
      <c r="L72">
        <v>101.57</v>
      </c>
      <c r="M72">
        <v>102.69</v>
      </c>
      <c r="N72">
        <v>117.93</v>
      </c>
      <c r="O72">
        <v>147.32</v>
      </c>
      <c r="P72">
        <v>158.35</v>
      </c>
      <c r="Q72">
        <v>173.6</v>
      </c>
      <c r="R72">
        <v>171.69</v>
      </c>
      <c r="S72">
        <v>179.57</v>
      </c>
      <c r="T72">
        <v>190.26</v>
      </c>
      <c r="U72">
        <v>199.73</v>
      </c>
    </row>
    <row r="73" spans="1:21" x14ac:dyDescent="0.25">
      <c r="A73" t="s">
        <v>212</v>
      </c>
      <c r="H73">
        <v>52.31</v>
      </c>
      <c r="I73">
        <v>47.2</v>
      </c>
      <c r="J73">
        <v>103.27</v>
      </c>
      <c r="K73">
        <v>101</v>
      </c>
      <c r="L73">
        <v>96.74</v>
      </c>
      <c r="M73">
        <v>482.44</v>
      </c>
      <c r="N73">
        <v>622.1</v>
      </c>
      <c r="O73">
        <v>155.97999999999999</v>
      </c>
      <c r="P73">
        <v>167.47</v>
      </c>
      <c r="Q73">
        <v>179.62</v>
      </c>
      <c r="R73">
        <v>187.89</v>
      </c>
      <c r="S73">
        <v>196.06</v>
      </c>
      <c r="T73">
        <v>200.57</v>
      </c>
      <c r="U73">
        <v>216.42</v>
      </c>
    </row>
    <row r="74" spans="1:21" x14ac:dyDescent="0.25">
      <c r="A74" t="s">
        <v>17</v>
      </c>
    </row>
    <row r="75" spans="1:21" x14ac:dyDescent="0.25">
      <c r="A75" t="s">
        <v>91</v>
      </c>
      <c r="H75">
        <v>-55.53</v>
      </c>
      <c r="I75">
        <v>-33.450000000000003</v>
      </c>
      <c r="J75">
        <v>62.77</v>
      </c>
      <c r="K75">
        <v>26.58</v>
      </c>
      <c r="L75">
        <v>84.59</v>
      </c>
      <c r="M75">
        <v>141.15</v>
      </c>
      <c r="N75">
        <v>220.16</v>
      </c>
      <c r="O75">
        <v>224.68</v>
      </c>
      <c r="P75">
        <v>319.52999999999997</v>
      </c>
      <c r="Q75">
        <v>405.62</v>
      </c>
      <c r="R75">
        <v>534.39</v>
      </c>
    </row>
    <row r="76" spans="1:21" x14ac:dyDescent="0.25">
      <c r="A76" t="s">
        <v>17</v>
      </c>
    </row>
    <row r="77" spans="1:21" x14ac:dyDescent="0.25">
      <c r="A77" t="s">
        <v>93</v>
      </c>
      <c r="H77">
        <v>131.63</v>
      </c>
      <c r="I77">
        <v>121.29</v>
      </c>
      <c r="J77">
        <v>153.02000000000001</v>
      </c>
      <c r="K77">
        <v>194.66</v>
      </c>
      <c r="L77">
        <v>223.19</v>
      </c>
      <c r="M77">
        <v>54.94</v>
      </c>
      <c r="N77">
        <v>75.680000000000007</v>
      </c>
      <c r="O77">
        <v>94.02</v>
      </c>
      <c r="P77">
        <v>101.22</v>
      </c>
      <c r="Q77">
        <v>104.81</v>
      </c>
      <c r="R77">
        <v>108.84</v>
      </c>
      <c r="S77">
        <v>114.66</v>
      </c>
      <c r="T77">
        <v>106.22</v>
      </c>
    </row>
    <row r="78" spans="1:21" x14ac:dyDescent="0.25">
      <c r="A78" t="s">
        <v>83</v>
      </c>
      <c r="H78">
        <v>40.03</v>
      </c>
      <c r="I78">
        <v>32.700000000000003</v>
      </c>
      <c r="J78">
        <v>23.05</v>
      </c>
      <c r="K78">
        <v>25.31</v>
      </c>
      <c r="L78">
        <v>24.64</v>
      </c>
      <c r="M78">
        <v>25.73</v>
      </c>
      <c r="N78">
        <v>26.13</v>
      </c>
      <c r="O78">
        <v>26.38</v>
      </c>
      <c r="P78">
        <v>23.4</v>
      </c>
      <c r="Q78">
        <v>22.95</v>
      </c>
      <c r="R78">
        <v>22.6</v>
      </c>
      <c r="S78">
        <v>22.25</v>
      </c>
      <c r="T78">
        <v>21.9</v>
      </c>
      <c r="U78">
        <v>21.55</v>
      </c>
    </row>
    <row r="79" spans="1:21" x14ac:dyDescent="0.25">
      <c r="A79" t="s">
        <v>94</v>
      </c>
      <c r="H79">
        <v>10.67</v>
      </c>
      <c r="I79">
        <v>11.15</v>
      </c>
      <c r="J79">
        <v>12.21</v>
      </c>
      <c r="K79">
        <v>12.62</v>
      </c>
      <c r="L79">
        <v>15.79</v>
      </c>
      <c r="M79">
        <v>17.920000000000002</v>
      </c>
      <c r="O79">
        <v>94.45</v>
      </c>
      <c r="P79">
        <v>100.52</v>
      </c>
      <c r="Q79">
        <v>116.93</v>
      </c>
      <c r="R79">
        <v>151.72999999999999</v>
      </c>
      <c r="S79">
        <v>193.28</v>
      </c>
      <c r="T79">
        <v>323.27</v>
      </c>
      <c r="U79">
        <v>119.22</v>
      </c>
    </row>
    <row r="80" spans="1:21" x14ac:dyDescent="0.25">
      <c r="A80" t="s">
        <v>127</v>
      </c>
      <c r="H80">
        <v>105.11</v>
      </c>
      <c r="I80">
        <v>92.03</v>
      </c>
      <c r="J80">
        <v>111.55</v>
      </c>
      <c r="K80">
        <v>147.66999999999999</v>
      </c>
      <c r="L80">
        <v>173.06</v>
      </c>
      <c r="M80">
        <v>253.08</v>
      </c>
      <c r="N80">
        <v>305.39</v>
      </c>
      <c r="O80">
        <v>387.16</v>
      </c>
      <c r="P80">
        <v>411.44</v>
      </c>
      <c r="Q80">
        <v>454.79</v>
      </c>
      <c r="R80">
        <v>518.84</v>
      </c>
      <c r="S80">
        <v>573.75</v>
      </c>
      <c r="T80">
        <v>694.36</v>
      </c>
      <c r="U80">
        <v>548.1</v>
      </c>
    </row>
    <row r="81" spans="1:21" x14ac:dyDescent="0.25">
      <c r="A81" t="s">
        <v>17</v>
      </c>
    </row>
    <row r="82" spans="1:21" x14ac:dyDescent="0.25">
      <c r="A82" t="s">
        <v>2108</v>
      </c>
      <c r="H82">
        <v>44.2</v>
      </c>
      <c r="I82">
        <v>29.9</v>
      </c>
      <c r="J82">
        <v>0</v>
      </c>
      <c r="K82">
        <v>0</v>
      </c>
      <c r="L82">
        <v>10.66</v>
      </c>
      <c r="M82">
        <v>0.18</v>
      </c>
      <c r="N82">
        <v>1.06</v>
      </c>
    </row>
    <row r="83" spans="1:21" x14ac:dyDescent="0.25">
      <c r="A83" t="s">
        <v>2109</v>
      </c>
      <c r="H83">
        <v>-19.53</v>
      </c>
      <c r="I83">
        <v>-47.65</v>
      </c>
      <c r="J83">
        <v>-6.27</v>
      </c>
      <c r="K83">
        <v>-5.53</v>
      </c>
      <c r="L83">
        <v>-13.9</v>
      </c>
      <c r="M83">
        <v>-11.85</v>
      </c>
      <c r="N83">
        <v>-11.91</v>
      </c>
      <c r="O83">
        <v>-11.78</v>
      </c>
      <c r="P83">
        <v>-13.03</v>
      </c>
      <c r="Q83">
        <v>-14.89</v>
      </c>
      <c r="R83">
        <v>-23.97</v>
      </c>
      <c r="S83">
        <v>-30.12</v>
      </c>
      <c r="T83">
        <v>-18.86</v>
      </c>
      <c r="U83">
        <v>-28.11</v>
      </c>
    </row>
    <row r="84" spans="1:21" x14ac:dyDescent="0.25">
      <c r="A84" t="s">
        <v>2110</v>
      </c>
      <c r="H84">
        <v>31.47</v>
      </c>
      <c r="I84">
        <v>41.18</v>
      </c>
      <c r="J84">
        <v>38.49</v>
      </c>
      <c r="K84">
        <v>43.66</v>
      </c>
      <c r="L84">
        <v>36.479999999999997</v>
      </c>
      <c r="M84">
        <v>85.32</v>
      </c>
      <c r="N84">
        <v>97.82</v>
      </c>
      <c r="O84">
        <v>111.5</v>
      </c>
      <c r="P84">
        <v>115.16</v>
      </c>
      <c r="Q84">
        <v>107.62</v>
      </c>
      <c r="R84">
        <v>96.63</v>
      </c>
      <c r="S84">
        <v>92.68</v>
      </c>
      <c r="T84">
        <v>93.15</v>
      </c>
      <c r="U84">
        <v>94.89</v>
      </c>
    </row>
    <row r="85" spans="1:21" x14ac:dyDescent="0.25">
      <c r="A85" t="s">
        <v>100</v>
      </c>
      <c r="H85">
        <v>-11.42</v>
      </c>
      <c r="I85">
        <v>25.23</v>
      </c>
      <c r="J85">
        <v>28.18</v>
      </c>
      <c r="K85">
        <v>18.739999999999998</v>
      </c>
      <c r="L85">
        <v>51.04</v>
      </c>
      <c r="M85">
        <v>24.4</v>
      </c>
      <c r="N85">
        <v>134.25</v>
      </c>
      <c r="O85">
        <v>109.95</v>
      </c>
      <c r="P85">
        <v>212.52</v>
      </c>
      <c r="Q85">
        <v>288.02</v>
      </c>
      <c r="R85">
        <v>341.77</v>
      </c>
      <c r="S85">
        <v>365.91</v>
      </c>
      <c r="T85">
        <v>267.14</v>
      </c>
      <c r="U85">
        <v>642.65</v>
      </c>
    </row>
    <row r="86" spans="1:21" x14ac:dyDescent="0.25">
      <c r="A86" t="s">
        <v>17</v>
      </c>
    </row>
    <row r="87" spans="1:21" x14ac:dyDescent="0.25">
      <c r="A87" t="s">
        <v>101</v>
      </c>
      <c r="H87">
        <v>-24.53</v>
      </c>
      <c r="I87">
        <v>8.36</v>
      </c>
      <c r="J87">
        <v>13.05</v>
      </c>
      <c r="K87">
        <v>7.69</v>
      </c>
      <c r="L87">
        <v>13.57</v>
      </c>
      <c r="M87">
        <v>-11.96</v>
      </c>
      <c r="N87">
        <v>20.84</v>
      </c>
      <c r="O87">
        <v>27.78</v>
      </c>
      <c r="P87">
        <v>44.94</v>
      </c>
      <c r="Q87">
        <v>56.78</v>
      </c>
      <c r="R87">
        <v>73.13</v>
      </c>
      <c r="S87">
        <v>80.11</v>
      </c>
      <c r="T87">
        <v>66.099999999999994</v>
      </c>
      <c r="U87">
        <v>160.61000000000001</v>
      </c>
    </row>
    <row r="88" spans="1:21" x14ac:dyDescent="0.25">
      <c r="A88" t="s">
        <v>102</v>
      </c>
      <c r="H88">
        <v>213.9</v>
      </c>
      <c r="I88">
        <v>33.08</v>
      </c>
      <c r="J88">
        <v>46.33</v>
      </c>
      <c r="K88">
        <v>41.03</v>
      </c>
      <c r="L88">
        <v>26.59</v>
      </c>
      <c r="N88">
        <v>15.53</v>
      </c>
      <c r="O88">
        <v>24.14</v>
      </c>
      <c r="P88">
        <v>18.77</v>
      </c>
      <c r="Q88">
        <v>15.98</v>
      </c>
      <c r="R88">
        <v>13.6</v>
      </c>
      <c r="S88">
        <v>22</v>
      </c>
      <c r="T88">
        <v>26.95</v>
      </c>
      <c r="U88">
        <v>25</v>
      </c>
    </row>
    <row r="89" spans="1:21" x14ac:dyDescent="0.25">
      <c r="A89" t="s">
        <v>17</v>
      </c>
    </row>
    <row r="90" spans="1:21" x14ac:dyDescent="0.25">
      <c r="A90" t="s">
        <v>106</v>
      </c>
      <c r="H90">
        <v>13.1</v>
      </c>
      <c r="I90">
        <v>16.899999999999999</v>
      </c>
      <c r="J90">
        <v>14.87</v>
      </c>
      <c r="K90">
        <v>11.05</v>
      </c>
      <c r="L90">
        <v>36.659999999999997</v>
      </c>
      <c r="M90">
        <v>36.94</v>
      </c>
      <c r="N90">
        <v>113.41</v>
      </c>
      <c r="O90">
        <v>73.33</v>
      </c>
      <c r="P90">
        <v>154.1</v>
      </c>
      <c r="Q90">
        <v>225.64</v>
      </c>
      <c r="R90">
        <v>268.64999999999998</v>
      </c>
      <c r="S90">
        <v>286.10000000000002</v>
      </c>
      <c r="T90">
        <v>200.74</v>
      </c>
      <c r="U90">
        <v>481.41</v>
      </c>
    </row>
    <row r="91" spans="1:21" x14ac:dyDescent="0.25">
      <c r="A91" t="s">
        <v>2111</v>
      </c>
      <c r="H91">
        <v>-0.08</v>
      </c>
      <c r="I91">
        <v>-0.5</v>
      </c>
      <c r="J91">
        <v>0.26</v>
      </c>
      <c r="K91">
        <v>-0.42</v>
      </c>
      <c r="L91">
        <v>-0.82</v>
      </c>
      <c r="M91">
        <v>-0.57999999999999996</v>
      </c>
      <c r="N91">
        <v>0</v>
      </c>
    </row>
    <row r="92" spans="1:21" x14ac:dyDescent="0.25">
      <c r="A92" t="s">
        <v>17</v>
      </c>
    </row>
    <row r="93" spans="1:21" x14ac:dyDescent="0.25">
      <c r="A93" t="s">
        <v>108</v>
      </c>
      <c r="H93">
        <v>344.61</v>
      </c>
      <c r="I93">
        <v>344.61</v>
      </c>
      <c r="J93">
        <v>205.45</v>
      </c>
      <c r="K93">
        <v>296.92</v>
      </c>
      <c r="L93">
        <v>207.52</v>
      </c>
      <c r="M93">
        <v>210.27</v>
      </c>
      <c r="N93">
        <v>218.67</v>
      </c>
      <c r="O93">
        <v>240.89</v>
      </c>
      <c r="P93">
        <v>237.53</v>
      </c>
      <c r="Q93">
        <v>239.76</v>
      </c>
      <c r="R93">
        <v>231.59</v>
      </c>
      <c r="S93">
        <v>237.9</v>
      </c>
      <c r="T93">
        <v>242.53</v>
      </c>
      <c r="U93">
        <v>294.05</v>
      </c>
    </row>
    <row r="94" spans="1:21" x14ac:dyDescent="0.25">
      <c r="A94" t="s">
        <v>17</v>
      </c>
    </row>
    <row r="95" spans="1:21" x14ac:dyDescent="0.25">
      <c r="A95" t="s">
        <v>109</v>
      </c>
      <c r="H95">
        <v>344.61</v>
      </c>
      <c r="I95">
        <v>344.61</v>
      </c>
      <c r="J95">
        <v>205.45</v>
      </c>
      <c r="K95">
        <v>312.52999999999997</v>
      </c>
      <c r="L95">
        <v>226.65</v>
      </c>
      <c r="M95">
        <v>227.48</v>
      </c>
      <c r="N95">
        <v>237.54</v>
      </c>
      <c r="O95">
        <v>227.4</v>
      </c>
      <c r="P95">
        <v>218.77</v>
      </c>
      <c r="Q95">
        <v>213.47</v>
      </c>
      <c r="R95">
        <v>210.78</v>
      </c>
      <c r="S95">
        <v>214.14</v>
      </c>
      <c r="T95">
        <v>209.48</v>
      </c>
    </row>
    <row r="96" spans="1:21" x14ac:dyDescent="0.25">
      <c r="A96" t="s">
        <v>110</v>
      </c>
      <c r="H96">
        <v>0.25</v>
      </c>
      <c r="I96">
        <v>0.33</v>
      </c>
      <c r="J96">
        <v>7.0000000000000007E-2</v>
      </c>
      <c r="K96">
        <v>0.04</v>
      </c>
      <c r="L96">
        <v>0.12</v>
      </c>
      <c r="M96">
        <v>0.11</v>
      </c>
      <c r="N96">
        <v>0.35</v>
      </c>
      <c r="O96">
        <v>0.26</v>
      </c>
      <c r="P96">
        <v>0.56999999999999995</v>
      </c>
      <c r="Q96">
        <v>0.85</v>
      </c>
      <c r="R96">
        <v>0.92</v>
      </c>
      <c r="S96">
        <v>1.08</v>
      </c>
      <c r="T96">
        <v>1.36</v>
      </c>
      <c r="U96">
        <v>1.54</v>
      </c>
    </row>
    <row r="97" spans="1:21" x14ac:dyDescent="0.25">
      <c r="A97" t="s">
        <v>17</v>
      </c>
    </row>
    <row r="98" spans="1:21" x14ac:dyDescent="0.25">
      <c r="A98" t="s">
        <v>111</v>
      </c>
    </row>
    <row r="99" spans="1:21" x14ac:dyDescent="0.25">
      <c r="A99" t="s">
        <v>2112</v>
      </c>
      <c r="K99">
        <v>280.17</v>
      </c>
      <c r="L99">
        <v>309.32</v>
      </c>
      <c r="M99">
        <v>306.14</v>
      </c>
      <c r="N99">
        <v>351.34</v>
      </c>
      <c r="O99">
        <v>384.87</v>
      </c>
      <c r="P99">
        <v>409.89</v>
      </c>
      <c r="Q99">
        <v>430.95</v>
      </c>
      <c r="R99">
        <v>494.05</v>
      </c>
      <c r="S99">
        <v>529.67999999999995</v>
      </c>
      <c r="T99">
        <v>575.21</v>
      </c>
      <c r="U99">
        <v>637.91</v>
      </c>
    </row>
    <row r="100" spans="1:21" x14ac:dyDescent="0.25">
      <c r="A100" t="s">
        <v>117</v>
      </c>
      <c r="H100">
        <v>70.75</v>
      </c>
      <c r="I100">
        <v>87.8</v>
      </c>
      <c r="J100">
        <v>120.66</v>
      </c>
      <c r="K100">
        <v>132.55000000000001</v>
      </c>
      <c r="L100">
        <v>180.4</v>
      </c>
      <c r="M100">
        <v>240.61</v>
      </c>
      <c r="N100">
        <v>335.49</v>
      </c>
      <c r="O100">
        <v>410.04</v>
      </c>
      <c r="P100">
        <v>497.54</v>
      </c>
      <c r="Q100">
        <v>584.15</v>
      </c>
      <c r="R100">
        <v>661.47</v>
      </c>
      <c r="S100">
        <v>699.92</v>
      </c>
      <c r="T100">
        <v>667.99</v>
      </c>
      <c r="U100">
        <v>955.91</v>
      </c>
    </row>
    <row r="101" spans="1:21" x14ac:dyDescent="0.25">
      <c r="A101" t="s">
        <v>286</v>
      </c>
      <c r="H101">
        <v>16.600000000000001</v>
      </c>
      <c r="I101">
        <v>19</v>
      </c>
      <c r="J101">
        <v>18.2</v>
      </c>
      <c r="K101">
        <v>17</v>
      </c>
      <c r="L101">
        <v>19</v>
      </c>
      <c r="M101">
        <v>20.100000000000001</v>
      </c>
      <c r="N101">
        <v>23</v>
      </c>
      <c r="O101">
        <v>23.75</v>
      </c>
      <c r="P101">
        <v>25.46</v>
      </c>
      <c r="Q101">
        <v>26.72</v>
      </c>
      <c r="R101">
        <v>27.4</v>
      </c>
      <c r="S101">
        <v>26.89</v>
      </c>
      <c r="T101">
        <v>23.72</v>
      </c>
      <c r="U101">
        <v>30.87</v>
      </c>
    </row>
    <row r="102" spans="1:21" x14ac:dyDescent="0.25">
      <c r="A102" t="s">
        <v>121</v>
      </c>
      <c r="H102">
        <v>13.1</v>
      </c>
      <c r="I102">
        <v>16.899999999999999</v>
      </c>
      <c r="J102">
        <v>20.37</v>
      </c>
      <c r="K102">
        <v>11.05</v>
      </c>
      <c r="L102">
        <v>36.659999999999997</v>
      </c>
      <c r="M102">
        <v>36.94</v>
      </c>
      <c r="N102">
        <v>113.41</v>
      </c>
      <c r="O102">
        <v>76.81</v>
      </c>
      <c r="P102">
        <v>162.19</v>
      </c>
      <c r="Q102">
        <v>226.21</v>
      </c>
      <c r="R102">
        <v>268.64999999999998</v>
      </c>
      <c r="S102">
        <v>286.10000000000002</v>
      </c>
      <c r="T102">
        <v>200.74</v>
      </c>
      <c r="U102">
        <v>481.41</v>
      </c>
    </row>
    <row r="103" spans="1:21" x14ac:dyDescent="0.25">
      <c r="A103" t="s">
        <v>124</v>
      </c>
      <c r="H103">
        <v>0.25</v>
      </c>
      <c r="I103">
        <v>0.33</v>
      </c>
      <c r="J103">
        <v>0.1</v>
      </c>
      <c r="K103">
        <v>0.04</v>
      </c>
      <c r="L103">
        <v>0.12</v>
      </c>
      <c r="M103">
        <v>0.11</v>
      </c>
      <c r="N103">
        <v>0.35</v>
      </c>
      <c r="O103">
        <v>0.27</v>
      </c>
      <c r="P103">
        <v>0.56000000000000005</v>
      </c>
      <c r="Q103">
        <v>0.84</v>
      </c>
      <c r="R103">
        <v>1.0900000000000001</v>
      </c>
      <c r="S103">
        <v>1.27</v>
      </c>
      <c r="T103">
        <v>1.36</v>
      </c>
      <c r="U103">
        <v>1.54</v>
      </c>
    </row>
    <row r="104" spans="1:21" x14ac:dyDescent="0.25">
      <c r="A104" t="s">
        <v>17</v>
      </c>
    </row>
    <row r="105" spans="1:21" x14ac:dyDescent="0.25">
      <c r="A105" t="s">
        <v>125</v>
      </c>
    </row>
    <row r="106" spans="1:21" x14ac:dyDescent="0.25">
      <c r="A106" t="s">
        <v>67</v>
      </c>
      <c r="H106">
        <v>0</v>
      </c>
      <c r="I106">
        <v>2.66</v>
      </c>
      <c r="J106">
        <v>18.25</v>
      </c>
      <c r="K106">
        <v>30.16</v>
      </c>
      <c r="L106">
        <v>42.95</v>
      </c>
      <c r="M106">
        <v>42.39</v>
      </c>
      <c r="N106">
        <v>63.47</v>
      </c>
      <c r="O106">
        <v>74.55</v>
      </c>
      <c r="P106">
        <v>78.2</v>
      </c>
      <c r="Q106">
        <v>84.39</v>
      </c>
      <c r="R106">
        <v>89.96</v>
      </c>
      <c r="S106">
        <v>96.5</v>
      </c>
      <c r="T106">
        <v>106.34</v>
      </c>
      <c r="U106">
        <v>96</v>
      </c>
    </row>
    <row r="107" spans="1:21" x14ac:dyDescent="0.25">
      <c r="A107" t="s">
        <v>78</v>
      </c>
      <c r="L107">
        <v>1.0900000000000001</v>
      </c>
      <c r="M107">
        <v>1.01</v>
      </c>
      <c r="N107">
        <v>1.08</v>
      </c>
      <c r="O107">
        <v>1.87</v>
      </c>
      <c r="P107">
        <v>0.57999999999999996</v>
      </c>
      <c r="Q107">
        <v>0.43</v>
      </c>
      <c r="R107">
        <v>-0.12</v>
      </c>
      <c r="S107">
        <v>-0.18</v>
      </c>
      <c r="T107">
        <v>-1.21</v>
      </c>
      <c r="U107">
        <v>-3.72</v>
      </c>
    </row>
    <row r="108" spans="1:21" x14ac:dyDescent="0.25">
      <c r="A108" t="s">
        <v>2113</v>
      </c>
      <c r="K108">
        <v>20.059999999999999</v>
      </c>
      <c r="M108">
        <v>3.66</v>
      </c>
      <c r="N108">
        <v>39.74</v>
      </c>
      <c r="O108">
        <v>6.06</v>
      </c>
      <c r="P108">
        <v>8.85</v>
      </c>
      <c r="Q108">
        <v>10.01</v>
      </c>
      <c r="R108">
        <v>20.43</v>
      </c>
      <c r="S108">
        <v>20.02</v>
      </c>
    </row>
    <row r="109" spans="1:21" x14ac:dyDescent="0.25">
      <c r="A109" t="s">
        <v>17</v>
      </c>
    </row>
    <row r="110" spans="1:21" x14ac:dyDescent="0.25">
      <c r="A110" t="s">
        <v>134</v>
      </c>
    </row>
    <row r="111" spans="1:21" x14ac:dyDescent="0.25">
      <c r="A111" t="s">
        <v>135</v>
      </c>
    </row>
    <row r="112" spans="1:21" x14ac:dyDescent="0.25">
      <c r="A112" t="s">
        <v>136</v>
      </c>
      <c r="H112">
        <v>126.14</v>
      </c>
      <c r="I112">
        <v>549.89</v>
      </c>
      <c r="J112">
        <v>967.86</v>
      </c>
      <c r="K112">
        <v>430.79</v>
      </c>
      <c r="L112">
        <v>496.85</v>
      </c>
      <c r="M112">
        <v>593.26</v>
      </c>
      <c r="N112">
        <v>786.87</v>
      </c>
      <c r="O112">
        <v>683.77</v>
      </c>
      <c r="P112">
        <v>905.81</v>
      </c>
      <c r="Q112" s="2">
        <v>1117.1099999999999</v>
      </c>
      <c r="R112" s="2">
        <v>1116.42</v>
      </c>
      <c r="S112" s="2">
        <v>1559.75</v>
      </c>
      <c r="T112" s="2">
        <v>1327.91</v>
      </c>
      <c r="U112" s="2">
        <v>1772.48</v>
      </c>
    </row>
    <row r="113" spans="1:21" x14ac:dyDescent="0.25">
      <c r="A113" t="s">
        <v>536</v>
      </c>
      <c r="H113">
        <v>64.03</v>
      </c>
      <c r="I113">
        <v>471.33</v>
      </c>
      <c r="J113">
        <v>845.72</v>
      </c>
      <c r="K113">
        <v>261.08999999999997</v>
      </c>
      <c r="L113">
        <v>306.67</v>
      </c>
      <c r="M113">
        <v>360.51</v>
      </c>
      <c r="N113">
        <v>428.71</v>
      </c>
      <c r="O113">
        <v>333.36</v>
      </c>
      <c r="P113">
        <v>550.66999999999996</v>
      </c>
      <c r="Q113">
        <v>684.41</v>
      </c>
      <c r="R113">
        <v>739.02</v>
      </c>
      <c r="S113" s="2">
        <v>1089.93</v>
      </c>
      <c r="T113">
        <v>891.24</v>
      </c>
      <c r="U113" s="2">
        <v>1361.86</v>
      </c>
    </row>
    <row r="114" spans="1:21" x14ac:dyDescent="0.25">
      <c r="A114" t="s">
        <v>197</v>
      </c>
      <c r="H114">
        <v>14.12</v>
      </c>
      <c r="I114">
        <v>29.11</v>
      </c>
      <c r="J114">
        <v>38.65</v>
      </c>
      <c r="K114">
        <v>67.92</v>
      </c>
      <c r="L114">
        <v>78.83</v>
      </c>
      <c r="M114">
        <v>79.8</v>
      </c>
      <c r="N114">
        <v>109.79</v>
      </c>
      <c r="O114">
        <v>123.12</v>
      </c>
      <c r="P114">
        <v>161.94999999999999</v>
      </c>
      <c r="Q114">
        <v>210.61</v>
      </c>
      <c r="R114">
        <v>127.86</v>
      </c>
      <c r="S114">
        <v>163.94</v>
      </c>
    </row>
    <row r="115" spans="1:21" x14ac:dyDescent="0.25">
      <c r="A115" t="s">
        <v>688</v>
      </c>
      <c r="H115">
        <v>23.08</v>
      </c>
      <c r="I115">
        <v>29.06</v>
      </c>
      <c r="J115">
        <v>46.25</v>
      </c>
      <c r="K115">
        <v>54.07</v>
      </c>
      <c r="L115">
        <v>67.349999999999994</v>
      </c>
      <c r="M115">
        <v>96.83</v>
      </c>
      <c r="N115">
        <v>144.88999999999999</v>
      </c>
      <c r="O115">
        <v>152.54</v>
      </c>
      <c r="P115">
        <v>167.71</v>
      </c>
      <c r="Q115">
        <v>220.07</v>
      </c>
      <c r="R115">
        <v>175.1</v>
      </c>
      <c r="S115">
        <v>233.37</v>
      </c>
    </row>
    <row r="116" spans="1:21" x14ac:dyDescent="0.25">
      <c r="A116" t="s">
        <v>2114</v>
      </c>
      <c r="H116">
        <v>20.63</v>
      </c>
      <c r="I116">
        <v>18.36</v>
      </c>
      <c r="J116">
        <v>35.479999999999997</v>
      </c>
      <c r="K116">
        <v>45.96</v>
      </c>
      <c r="L116">
        <v>36.79</v>
      </c>
      <c r="M116">
        <v>48.23</v>
      </c>
      <c r="N116">
        <v>84.84</v>
      </c>
      <c r="O116">
        <v>99.43</v>
      </c>
      <c r="P116">
        <v>95.18</v>
      </c>
      <c r="Q116">
        <v>98.39</v>
      </c>
      <c r="R116">
        <v>64.7</v>
      </c>
      <c r="S116">
        <v>91.7</v>
      </c>
      <c r="T116">
        <v>70.650000000000006</v>
      </c>
      <c r="U116">
        <v>72.77</v>
      </c>
    </row>
    <row r="117" spans="1:21" x14ac:dyDescent="0.25">
      <c r="A117" t="s">
        <v>2115</v>
      </c>
      <c r="H117">
        <v>2.75</v>
      </c>
      <c r="I117">
        <v>2.0299999999999998</v>
      </c>
      <c r="J117">
        <v>1.76</v>
      </c>
      <c r="K117">
        <v>1.75</v>
      </c>
      <c r="L117">
        <v>7.22</v>
      </c>
      <c r="M117">
        <v>7.89</v>
      </c>
      <c r="N117">
        <v>18.64</v>
      </c>
      <c r="O117">
        <v>15.59</v>
      </c>
      <c r="P117">
        <v>15.59</v>
      </c>
      <c r="Q117">
        <v>15.59</v>
      </c>
      <c r="R117">
        <v>15.59</v>
      </c>
      <c r="S117">
        <v>15.59</v>
      </c>
      <c r="T117">
        <v>15.45</v>
      </c>
      <c r="U117">
        <v>15.45</v>
      </c>
    </row>
    <row r="118" spans="1:21" x14ac:dyDescent="0.25">
      <c r="A118" t="s">
        <v>78</v>
      </c>
      <c r="H118">
        <v>52.1</v>
      </c>
      <c r="I118">
        <v>64.37</v>
      </c>
      <c r="J118">
        <v>110.6</v>
      </c>
      <c r="K118">
        <v>104.04</v>
      </c>
      <c r="L118">
        <v>96.1</v>
      </c>
      <c r="M118">
        <v>107.7</v>
      </c>
      <c r="N118">
        <v>160.51</v>
      </c>
      <c r="O118">
        <v>166.25</v>
      </c>
      <c r="P118">
        <v>179.09</v>
      </c>
      <c r="Q118">
        <v>210.78</v>
      </c>
      <c r="R118">
        <v>239.32</v>
      </c>
      <c r="S118">
        <v>269.13</v>
      </c>
      <c r="T118">
        <v>299.91000000000003</v>
      </c>
      <c r="U118">
        <v>331.34</v>
      </c>
    </row>
    <row r="119" spans="1:21" x14ac:dyDescent="0.25">
      <c r="A119" t="s">
        <v>146</v>
      </c>
      <c r="H119">
        <v>671</v>
      </c>
      <c r="I119">
        <v>620.05999999999995</v>
      </c>
      <c r="J119" s="2">
        <v>1048.74</v>
      </c>
      <c r="K119" s="2">
        <v>1057.03</v>
      </c>
      <c r="L119" s="2">
        <v>1989.62</v>
      </c>
      <c r="M119" s="2">
        <v>1781.47</v>
      </c>
      <c r="N119" s="2">
        <v>2584.5700000000002</v>
      </c>
      <c r="O119" s="2">
        <v>2284.2399999999998</v>
      </c>
      <c r="P119" s="2">
        <v>2172.5300000000002</v>
      </c>
      <c r="Q119" s="2">
        <v>1888.28</v>
      </c>
      <c r="R119" s="2">
        <v>1747.06</v>
      </c>
      <c r="S119" s="2">
        <v>1989.09</v>
      </c>
    </row>
    <row r="120" spans="1:21" x14ac:dyDescent="0.25">
      <c r="A120" t="s">
        <v>148</v>
      </c>
      <c r="H120">
        <v>43.71</v>
      </c>
      <c r="I120">
        <v>41.54</v>
      </c>
      <c r="J120">
        <v>40.9</v>
      </c>
      <c r="K120">
        <v>40.58</v>
      </c>
      <c r="L120">
        <v>80.5</v>
      </c>
      <c r="M120">
        <v>68.55</v>
      </c>
      <c r="N120">
        <v>93.12</v>
      </c>
      <c r="O120">
        <v>89.44</v>
      </c>
      <c r="P120">
        <v>94.78</v>
      </c>
      <c r="Q120">
        <v>90.67</v>
      </c>
      <c r="R120">
        <v>96.74</v>
      </c>
      <c r="S120">
        <v>102.41</v>
      </c>
      <c r="T120">
        <v>139.75</v>
      </c>
      <c r="U120">
        <v>134.02000000000001</v>
      </c>
    </row>
    <row r="121" spans="1:21" x14ac:dyDescent="0.25">
      <c r="A121" t="s">
        <v>2116</v>
      </c>
      <c r="H121">
        <v>472.51</v>
      </c>
      <c r="I121">
        <v>423.07</v>
      </c>
      <c r="J121">
        <v>920.53</v>
      </c>
      <c r="K121">
        <v>903.61</v>
      </c>
      <c r="L121" s="2">
        <v>1877.93</v>
      </c>
      <c r="M121" s="2">
        <v>1663.14</v>
      </c>
      <c r="N121" s="2">
        <v>2386.6999999999998</v>
      </c>
      <c r="O121" s="2">
        <v>2113.8000000000002</v>
      </c>
      <c r="P121" s="2">
        <v>2122.6999999999998</v>
      </c>
      <c r="Q121" s="2">
        <v>2058.37</v>
      </c>
      <c r="R121" s="2">
        <v>2237.9</v>
      </c>
      <c r="S121" s="2">
        <v>2553.39</v>
      </c>
      <c r="T121" s="2">
        <v>3976.55</v>
      </c>
      <c r="U121" s="2">
        <v>2542.29</v>
      </c>
    </row>
    <row r="122" spans="1:21" x14ac:dyDescent="0.25">
      <c r="A122" t="s">
        <v>311</v>
      </c>
      <c r="H122">
        <v>28.61</v>
      </c>
      <c r="I122">
        <v>27.16</v>
      </c>
      <c r="J122">
        <v>30.64</v>
      </c>
      <c r="K122">
        <v>28.93</v>
      </c>
      <c r="L122">
        <v>18.13</v>
      </c>
      <c r="M122">
        <v>37.65</v>
      </c>
      <c r="N122">
        <v>33.74</v>
      </c>
      <c r="O122">
        <v>41.26</v>
      </c>
      <c r="P122">
        <v>40.94</v>
      </c>
      <c r="Q122">
        <v>40.17</v>
      </c>
      <c r="R122">
        <v>37.29</v>
      </c>
      <c r="S122">
        <v>32.1</v>
      </c>
    </row>
    <row r="123" spans="1:21" x14ac:dyDescent="0.25">
      <c r="A123" t="s">
        <v>2117</v>
      </c>
      <c r="H123">
        <v>16.91</v>
      </c>
      <c r="I123">
        <v>12.08</v>
      </c>
      <c r="J123">
        <v>9.6199999999999992</v>
      </c>
      <c r="K123">
        <v>36.299999999999997</v>
      </c>
      <c r="L123">
        <v>0</v>
      </c>
      <c r="M123">
        <v>0</v>
      </c>
      <c r="N123">
        <v>0</v>
      </c>
    </row>
    <row r="124" spans="1:21" x14ac:dyDescent="0.25">
      <c r="A124" t="s">
        <v>78</v>
      </c>
      <c r="H124">
        <v>109.25</v>
      </c>
      <c r="I124">
        <v>116.2</v>
      </c>
      <c r="J124">
        <v>47.06</v>
      </c>
      <c r="K124">
        <v>47.61</v>
      </c>
      <c r="L124">
        <v>13.06</v>
      </c>
      <c r="M124">
        <v>12.13</v>
      </c>
      <c r="N124">
        <v>71.02</v>
      </c>
      <c r="O124">
        <v>65.64</v>
      </c>
      <c r="P124">
        <v>56.34</v>
      </c>
      <c r="Q124">
        <v>37.5</v>
      </c>
      <c r="R124">
        <v>-37.47</v>
      </c>
      <c r="S124">
        <v>58.8</v>
      </c>
    </row>
    <row r="125" spans="1:21" x14ac:dyDescent="0.25">
      <c r="A125" t="s">
        <v>155</v>
      </c>
      <c r="H125">
        <v>797.14</v>
      </c>
      <c r="I125" s="2">
        <v>1169.95</v>
      </c>
      <c r="J125" s="2">
        <v>2016.6</v>
      </c>
      <c r="K125" s="2">
        <v>1487.82</v>
      </c>
      <c r="L125" s="2">
        <v>2486.4699999999998</v>
      </c>
      <c r="M125" s="2">
        <v>2374.7199999999998</v>
      </c>
      <c r="N125" s="2">
        <v>3371.44</v>
      </c>
      <c r="O125" s="2">
        <v>2984.83</v>
      </c>
      <c r="P125" s="2">
        <v>3214.57</v>
      </c>
      <c r="Q125" s="2">
        <v>3341.75</v>
      </c>
      <c r="R125" s="2">
        <v>3477.49</v>
      </c>
      <c r="S125" s="2">
        <v>4292.76</v>
      </c>
      <c r="T125" s="2">
        <v>5557.95</v>
      </c>
      <c r="U125" s="2">
        <v>4562.5200000000004</v>
      </c>
    </row>
    <row r="126" spans="1:21" x14ac:dyDescent="0.25">
      <c r="A126" t="s">
        <v>17</v>
      </c>
    </row>
    <row r="127" spans="1:21" x14ac:dyDescent="0.25">
      <c r="A127" t="s">
        <v>156</v>
      </c>
    </row>
    <row r="128" spans="1:21" x14ac:dyDescent="0.25">
      <c r="A128" t="s">
        <v>157</v>
      </c>
      <c r="H128">
        <v>215.9</v>
      </c>
      <c r="I128">
        <v>244.2</v>
      </c>
      <c r="J128">
        <v>288.33</v>
      </c>
      <c r="K128">
        <v>331.49</v>
      </c>
      <c r="L128">
        <v>394</v>
      </c>
      <c r="M128">
        <v>386.88</v>
      </c>
      <c r="N128">
        <v>674.39</v>
      </c>
      <c r="O128">
        <v>654.94000000000005</v>
      </c>
      <c r="P128">
        <v>649.38</v>
      </c>
      <c r="Q128">
        <v>649.88</v>
      </c>
      <c r="R128">
        <v>576.24</v>
      </c>
      <c r="S128">
        <v>769.54</v>
      </c>
      <c r="T128">
        <v>967.36</v>
      </c>
      <c r="U128" s="2">
        <v>1414.95</v>
      </c>
    </row>
    <row r="129" spans="1:21" x14ac:dyDescent="0.25">
      <c r="A129" t="s">
        <v>2118</v>
      </c>
      <c r="H129">
        <v>137.86000000000001</v>
      </c>
      <c r="I129">
        <v>160.72</v>
      </c>
      <c r="J129">
        <v>170.8</v>
      </c>
      <c r="K129">
        <v>219.57</v>
      </c>
      <c r="L129">
        <v>287.3</v>
      </c>
      <c r="M129">
        <v>268.81</v>
      </c>
      <c r="N129">
        <v>500.96</v>
      </c>
      <c r="O129">
        <v>517.84</v>
      </c>
      <c r="P129">
        <v>527.95000000000005</v>
      </c>
      <c r="Q129">
        <v>541.16999999999996</v>
      </c>
      <c r="R129">
        <v>531.87</v>
      </c>
      <c r="S129">
        <v>595.23</v>
      </c>
      <c r="T129">
        <v>741.79</v>
      </c>
      <c r="U129" s="2">
        <v>1071.07</v>
      </c>
    </row>
    <row r="130" spans="1:21" x14ac:dyDescent="0.25">
      <c r="A130" t="s">
        <v>608</v>
      </c>
      <c r="H130">
        <v>8.07</v>
      </c>
      <c r="I130">
        <v>9.2100000000000009</v>
      </c>
      <c r="J130">
        <v>16.16</v>
      </c>
      <c r="K130">
        <v>9.31</v>
      </c>
      <c r="L130">
        <v>5.03</v>
      </c>
      <c r="M130">
        <v>5.79</v>
      </c>
      <c r="N130">
        <v>8.09</v>
      </c>
      <c r="O130">
        <v>3.35</v>
      </c>
      <c r="P130">
        <v>3.35</v>
      </c>
      <c r="Q130">
        <v>3.35</v>
      </c>
      <c r="R130">
        <v>3.35</v>
      </c>
      <c r="S130">
        <v>3.35</v>
      </c>
      <c r="T130">
        <v>3.32</v>
      </c>
    </row>
    <row r="131" spans="1:21" x14ac:dyDescent="0.25">
      <c r="A131" t="s">
        <v>2119</v>
      </c>
      <c r="H131">
        <v>18.89</v>
      </c>
      <c r="I131">
        <v>9.83</v>
      </c>
      <c r="J131">
        <v>6.93</v>
      </c>
      <c r="K131">
        <v>7.88</v>
      </c>
      <c r="L131">
        <v>10.61</v>
      </c>
      <c r="M131">
        <v>10.37</v>
      </c>
      <c r="N131">
        <v>12.92</v>
      </c>
      <c r="O131">
        <v>12.43</v>
      </c>
      <c r="P131">
        <v>12.45</v>
      </c>
      <c r="Q131">
        <v>12.52</v>
      </c>
      <c r="R131">
        <v>12.64</v>
      </c>
      <c r="S131">
        <v>12.64</v>
      </c>
      <c r="T131">
        <v>12.53</v>
      </c>
      <c r="U131">
        <v>12.53</v>
      </c>
    </row>
    <row r="132" spans="1:21" x14ac:dyDescent="0.25">
      <c r="A132" t="s">
        <v>1136</v>
      </c>
      <c r="H132">
        <v>21.64</v>
      </c>
      <c r="I132">
        <v>18.309999999999999</v>
      </c>
      <c r="J132">
        <v>26.14</v>
      </c>
      <c r="K132">
        <v>24.82</v>
      </c>
      <c r="L132">
        <v>29.42</v>
      </c>
      <c r="M132">
        <v>31.25</v>
      </c>
      <c r="N132">
        <v>41.3</v>
      </c>
      <c r="O132">
        <v>47.02</v>
      </c>
      <c r="P132">
        <v>49.7</v>
      </c>
      <c r="Q132">
        <v>52.39</v>
      </c>
      <c r="R132">
        <v>48.74</v>
      </c>
      <c r="S132">
        <v>54.19</v>
      </c>
    </row>
    <row r="133" spans="1:21" x14ac:dyDescent="0.25">
      <c r="A133" t="s">
        <v>78</v>
      </c>
      <c r="H133">
        <v>29.45</v>
      </c>
      <c r="I133">
        <v>46.13</v>
      </c>
      <c r="J133">
        <v>68.31</v>
      </c>
      <c r="K133">
        <v>69.91</v>
      </c>
      <c r="L133">
        <v>61.65</v>
      </c>
      <c r="M133">
        <v>70.650000000000006</v>
      </c>
      <c r="N133">
        <v>111.11</v>
      </c>
      <c r="O133">
        <v>68.81</v>
      </c>
      <c r="P133">
        <v>44.58</v>
      </c>
      <c r="Q133">
        <v>15.88</v>
      </c>
      <c r="R133">
        <v>-122.09</v>
      </c>
      <c r="S133">
        <v>66.44</v>
      </c>
    </row>
    <row r="134" spans="1:21" x14ac:dyDescent="0.25">
      <c r="A134" t="s">
        <v>164</v>
      </c>
      <c r="H134">
        <v>408.27</v>
      </c>
      <c r="I134">
        <v>725.1</v>
      </c>
      <c r="J134">
        <v>890.67</v>
      </c>
      <c r="K134">
        <v>345.05</v>
      </c>
      <c r="L134" s="2">
        <v>1126.76</v>
      </c>
      <c r="M134" s="2">
        <v>1025.54</v>
      </c>
      <c r="N134" s="2">
        <v>1548.88</v>
      </c>
      <c r="O134" s="2">
        <v>1421.49</v>
      </c>
      <c r="P134" s="2">
        <v>1474.6</v>
      </c>
      <c r="Q134" s="2">
        <v>1527.71</v>
      </c>
      <c r="R134" s="2">
        <v>1401.59</v>
      </c>
      <c r="S134" s="2">
        <v>1401.59</v>
      </c>
    </row>
    <row r="135" spans="1:21" x14ac:dyDescent="0.25">
      <c r="A135" t="s">
        <v>315</v>
      </c>
      <c r="H135">
        <v>186.14</v>
      </c>
      <c r="I135">
        <v>550.89</v>
      </c>
      <c r="J135">
        <v>488.76</v>
      </c>
      <c r="K135">
        <v>16.579999999999998</v>
      </c>
      <c r="L135">
        <v>44.87</v>
      </c>
      <c r="M135">
        <v>37.979999999999997</v>
      </c>
      <c r="N135">
        <v>60.84</v>
      </c>
      <c r="O135">
        <v>54.12</v>
      </c>
      <c r="P135">
        <v>52.67</v>
      </c>
      <c r="Q135">
        <v>47.11</v>
      </c>
      <c r="R135">
        <v>42.82</v>
      </c>
      <c r="S135">
        <v>47.8</v>
      </c>
      <c r="T135">
        <v>57.75</v>
      </c>
      <c r="U135">
        <v>57.75</v>
      </c>
    </row>
    <row r="136" spans="1:21" x14ac:dyDescent="0.25">
      <c r="A136" t="s">
        <v>1136</v>
      </c>
      <c r="L136">
        <v>43.73</v>
      </c>
      <c r="M136">
        <v>39.03</v>
      </c>
      <c r="N136">
        <v>44.62</v>
      </c>
      <c r="O136">
        <v>42.01</v>
      </c>
      <c r="P136">
        <v>42.5</v>
      </c>
      <c r="Q136">
        <v>41.82</v>
      </c>
      <c r="R136">
        <v>43.32</v>
      </c>
      <c r="S136">
        <v>47.13</v>
      </c>
    </row>
    <row r="137" spans="1:21" x14ac:dyDescent="0.25">
      <c r="A137" t="s">
        <v>501</v>
      </c>
      <c r="H137">
        <v>6.02</v>
      </c>
      <c r="I137">
        <v>6.91</v>
      </c>
      <c r="J137">
        <v>29.01</v>
      </c>
      <c r="K137">
        <v>27.9</v>
      </c>
      <c r="L137">
        <v>23.58</v>
      </c>
      <c r="M137">
        <v>19.71</v>
      </c>
      <c r="N137">
        <v>18.95</v>
      </c>
      <c r="O137">
        <v>15.43</v>
      </c>
      <c r="P137">
        <v>15.43</v>
      </c>
      <c r="Q137">
        <v>15.43</v>
      </c>
      <c r="R137">
        <v>15.43</v>
      </c>
      <c r="S137">
        <v>15.43</v>
      </c>
    </row>
    <row r="138" spans="1:21" x14ac:dyDescent="0.25">
      <c r="A138" t="s">
        <v>78</v>
      </c>
      <c r="H138">
        <v>241.45</v>
      </c>
      <c r="I138">
        <v>191.74</v>
      </c>
      <c r="J138">
        <v>372.9</v>
      </c>
      <c r="K138">
        <v>300.56</v>
      </c>
      <c r="L138" s="2">
        <v>1014.57</v>
      </c>
      <c r="M138">
        <v>928.83</v>
      </c>
      <c r="N138" s="2">
        <v>1424.46</v>
      </c>
    </row>
    <row r="139" spans="1:21" x14ac:dyDescent="0.25">
      <c r="A139" t="s">
        <v>167</v>
      </c>
      <c r="H139">
        <v>624.16999999999996</v>
      </c>
      <c r="I139">
        <v>969.3</v>
      </c>
      <c r="J139" s="2">
        <v>1179.01</v>
      </c>
      <c r="K139">
        <v>676.54</v>
      </c>
      <c r="L139" s="2">
        <v>1520.76</v>
      </c>
      <c r="M139" s="2">
        <v>1412.43</v>
      </c>
      <c r="N139" s="2">
        <v>2223.27</v>
      </c>
      <c r="O139" s="2">
        <v>2057.37</v>
      </c>
      <c r="P139" s="2">
        <v>2048.33</v>
      </c>
      <c r="Q139" s="2">
        <v>2033.93</v>
      </c>
      <c r="R139" s="2">
        <v>1916.1</v>
      </c>
      <c r="S139" s="2">
        <v>2068.56</v>
      </c>
      <c r="T139" s="2">
        <v>2424.75</v>
      </c>
      <c r="U139" s="2">
        <v>2947.94</v>
      </c>
    </row>
    <row r="140" spans="1:21" x14ac:dyDescent="0.25">
      <c r="A140" t="s">
        <v>170</v>
      </c>
      <c r="H140">
        <v>172.98</v>
      </c>
      <c r="I140">
        <v>200.65</v>
      </c>
      <c r="J140">
        <v>837.59</v>
      </c>
      <c r="K140">
        <v>811.28</v>
      </c>
      <c r="L140">
        <v>965.71</v>
      </c>
      <c r="M140">
        <v>962.3</v>
      </c>
      <c r="N140" s="2">
        <v>1148.18</v>
      </c>
      <c r="O140">
        <v>967.83</v>
      </c>
      <c r="P140" s="2">
        <v>1224.28</v>
      </c>
      <c r="Q140" s="2">
        <v>1346.63</v>
      </c>
      <c r="R140" s="2">
        <v>1685.51</v>
      </c>
      <c r="S140" s="2">
        <v>2533.84</v>
      </c>
      <c r="T140" s="2">
        <v>3133.18</v>
      </c>
      <c r="U140" s="2">
        <v>1614.54</v>
      </c>
    </row>
    <row r="141" spans="1:21" x14ac:dyDescent="0.25">
      <c r="A141" t="s">
        <v>2120</v>
      </c>
      <c r="H141">
        <v>176.32</v>
      </c>
      <c r="I141">
        <v>204.49</v>
      </c>
      <c r="J141">
        <v>841.22</v>
      </c>
      <c r="K141">
        <v>805.03</v>
      </c>
      <c r="L141">
        <v>960.13</v>
      </c>
      <c r="M141">
        <v>957.44</v>
      </c>
      <c r="N141" s="2">
        <v>1148.17</v>
      </c>
    </row>
    <row r="142" spans="1:21" x14ac:dyDescent="0.25">
      <c r="A142" t="s">
        <v>2121</v>
      </c>
      <c r="H142">
        <v>0.34</v>
      </c>
      <c r="I142">
        <v>0.37</v>
      </c>
      <c r="J142">
        <v>31.08</v>
      </c>
      <c r="K142">
        <v>29.27</v>
      </c>
      <c r="L142">
        <v>30.34</v>
      </c>
      <c r="M142">
        <v>28.51</v>
      </c>
      <c r="N142">
        <v>32.369999999999997</v>
      </c>
      <c r="O142">
        <v>32.04</v>
      </c>
      <c r="P142">
        <v>32.04</v>
      </c>
      <c r="Q142">
        <v>32.04</v>
      </c>
      <c r="R142">
        <v>32.04</v>
      </c>
      <c r="S142">
        <v>32.04</v>
      </c>
      <c r="T142">
        <v>31.77</v>
      </c>
      <c r="U142">
        <v>31.77</v>
      </c>
    </row>
    <row r="143" spans="1:21" x14ac:dyDescent="0.25">
      <c r="A143" t="s">
        <v>2063</v>
      </c>
      <c r="H143">
        <v>121.02</v>
      </c>
      <c r="I143">
        <v>122.12</v>
      </c>
      <c r="J143">
        <v>690.06</v>
      </c>
      <c r="K143">
        <v>632.15</v>
      </c>
      <c r="L143">
        <v>723.41</v>
      </c>
      <c r="M143">
        <v>691.58</v>
      </c>
      <c r="N143">
        <v>800.95</v>
      </c>
      <c r="O143">
        <v>748.93</v>
      </c>
      <c r="P143">
        <v>740.39</v>
      </c>
      <c r="Q143">
        <v>717.72</v>
      </c>
      <c r="R143">
        <v>530.20000000000005</v>
      </c>
      <c r="S143">
        <v>418.11</v>
      </c>
      <c r="T143">
        <v>-3.55</v>
      </c>
      <c r="U143" s="2">
        <v>-1143.8599999999999</v>
      </c>
    </row>
    <row r="144" spans="1:21" x14ac:dyDescent="0.25">
      <c r="A144" t="s">
        <v>2122</v>
      </c>
      <c r="H144">
        <v>0</v>
      </c>
      <c r="I144">
        <v>2.41</v>
      </c>
      <c r="J144">
        <v>0</v>
      </c>
      <c r="K144">
        <v>2.9</v>
      </c>
      <c r="L144">
        <v>2.57</v>
      </c>
      <c r="M144">
        <v>19.47</v>
      </c>
      <c r="N144">
        <v>93.17</v>
      </c>
      <c r="O144">
        <v>355.8</v>
      </c>
      <c r="P144">
        <v>415.55</v>
      </c>
      <c r="Q144">
        <v>499.08</v>
      </c>
      <c r="R144">
        <v>352.9</v>
      </c>
      <c r="S144">
        <v>364.51</v>
      </c>
      <c r="T144">
        <v>272.12</v>
      </c>
      <c r="U144">
        <v>272.12</v>
      </c>
    </row>
    <row r="145" spans="1:21" x14ac:dyDescent="0.25">
      <c r="A145" t="s">
        <v>2123</v>
      </c>
      <c r="H145">
        <v>57.07</v>
      </c>
      <c r="I145">
        <v>83.16</v>
      </c>
      <c r="J145">
        <v>102.12</v>
      </c>
      <c r="K145">
        <v>125.48</v>
      </c>
      <c r="L145">
        <v>192.1</v>
      </c>
      <c r="M145">
        <v>229.69</v>
      </c>
      <c r="N145">
        <v>401.43</v>
      </c>
      <c r="O145">
        <v>480.55</v>
      </c>
      <c r="P145">
        <v>798.46</v>
      </c>
      <c r="Q145" s="2">
        <v>1157.06</v>
      </c>
      <c r="R145" s="2">
        <v>1588.23</v>
      </c>
      <c r="S145" s="2">
        <v>2131.16</v>
      </c>
      <c r="T145" s="2">
        <v>3369.75</v>
      </c>
      <c r="U145" s="2">
        <v>2991.43</v>
      </c>
    </row>
    <row r="146" spans="1:21" x14ac:dyDescent="0.25">
      <c r="A146" t="s">
        <v>2124</v>
      </c>
      <c r="H146">
        <v>0.18</v>
      </c>
      <c r="I146">
        <v>0.2</v>
      </c>
      <c r="J146">
        <v>17.96</v>
      </c>
      <c r="K146">
        <v>21.02</v>
      </c>
      <c r="L146">
        <v>16.850000000000001</v>
      </c>
      <c r="M146">
        <v>27.14</v>
      </c>
      <c r="N146">
        <v>6.59</v>
      </c>
      <c r="O146">
        <v>5</v>
      </c>
      <c r="P146">
        <v>30.58</v>
      </c>
      <c r="Q146">
        <v>7.39</v>
      </c>
      <c r="R146">
        <v>7.39</v>
      </c>
      <c r="S146">
        <v>7.39</v>
      </c>
      <c r="T146">
        <v>7.33</v>
      </c>
      <c r="U146">
        <v>7.33</v>
      </c>
    </row>
    <row r="147" spans="1:21" x14ac:dyDescent="0.25">
      <c r="A147" t="s">
        <v>1235</v>
      </c>
      <c r="H147">
        <v>-3.35</v>
      </c>
      <c r="I147">
        <v>-3.84</v>
      </c>
      <c r="J147">
        <v>-3.63</v>
      </c>
      <c r="K147">
        <v>6.26</v>
      </c>
      <c r="L147">
        <v>5.58</v>
      </c>
      <c r="M147">
        <v>4.8600000000000003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">
        <v>326</v>
      </c>
      <c r="H148">
        <v>797.14</v>
      </c>
      <c r="I148" s="2">
        <v>1169.95</v>
      </c>
      <c r="J148" s="2">
        <v>2016.6</v>
      </c>
      <c r="K148" s="2">
        <v>1487.82</v>
      </c>
      <c r="L148" s="2">
        <v>2486.4699999999998</v>
      </c>
      <c r="M148" s="2">
        <v>2374.7199999999998</v>
      </c>
      <c r="N148" s="2">
        <v>3371.44</v>
      </c>
      <c r="O148" s="2">
        <v>2984.83</v>
      </c>
      <c r="P148" s="2">
        <v>3214.57</v>
      </c>
      <c r="Q148" s="2">
        <v>3341.75</v>
      </c>
      <c r="R148" s="2">
        <v>3477.49</v>
      </c>
      <c r="S148" s="2">
        <v>4292.76</v>
      </c>
      <c r="T148" s="2">
        <v>5557.95</v>
      </c>
      <c r="U148" s="2">
        <v>4562.5200000000004</v>
      </c>
    </row>
    <row r="149" spans="1:21" x14ac:dyDescent="0.25">
      <c r="A149" t="s">
        <v>17</v>
      </c>
    </row>
    <row r="150" spans="1:21" x14ac:dyDescent="0.25">
      <c r="A150" t="s">
        <v>176</v>
      </c>
    </row>
    <row r="151" spans="1:21" x14ac:dyDescent="0.25">
      <c r="A151" t="s">
        <v>505</v>
      </c>
      <c r="H151">
        <v>115.66</v>
      </c>
      <c r="I151">
        <v>64.959999999999994</v>
      </c>
      <c r="J151">
        <v>-350.03</v>
      </c>
      <c r="K151">
        <v>-236.62</v>
      </c>
      <c r="L151">
        <v>-251.18</v>
      </c>
      <c r="M151">
        <v>-312.17</v>
      </c>
      <c r="N151">
        <v>-354.95</v>
      </c>
      <c r="O151">
        <v>-232.82</v>
      </c>
      <c r="P151">
        <v>-435.44</v>
      </c>
      <c r="Q151">
        <v>-642.65</v>
      </c>
      <c r="R151">
        <v>-884.44</v>
      </c>
      <c r="S151" s="2">
        <v>-1081.1600000000001</v>
      </c>
      <c r="T151">
        <v>-574.70000000000005</v>
      </c>
      <c r="U151" s="2">
        <v>-1304.1099999999999</v>
      </c>
    </row>
    <row r="152" spans="1:21" x14ac:dyDescent="0.25">
      <c r="A152" t="s">
        <v>609</v>
      </c>
      <c r="H152">
        <v>212.08</v>
      </c>
      <c r="I152">
        <v>570</v>
      </c>
      <c r="J152">
        <v>495.69</v>
      </c>
      <c r="K152">
        <v>24.47</v>
      </c>
      <c r="L152">
        <v>55.48</v>
      </c>
      <c r="M152">
        <v>48.35</v>
      </c>
      <c r="N152">
        <v>73.760000000000005</v>
      </c>
      <c r="O152">
        <v>69.73</v>
      </c>
      <c r="P152">
        <v>67.55</v>
      </c>
      <c r="Q152">
        <v>64.42</v>
      </c>
      <c r="R152">
        <v>60.05</v>
      </c>
      <c r="S152">
        <v>56.96</v>
      </c>
      <c r="T152">
        <v>70.290000000000006</v>
      </c>
      <c r="U152">
        <v>57.75</v>
      </c>
    </row>
    <row r="153" spans="1:21" x14ac:dyDescent="0.25">
      <c r="A153" t="s">
        <v>178</v>
      </c>
    </row>
    <row r="154" spans="1:21" x14ac:dyDescent="0.25">
      <c r="A154" t="s">
        <v>179</v>
      </c>
      <c r="I154">
        <v>1.83</v>
      </c>
      <c r="J154">
        <v>0.92</v>
      </c>
      <c r="K154">
        <v>0.69</v>
      </c>
      <c r="L154">
        <v>1.91</v>
      </c>
      <c r="M154">
        <v>1.5</v>
      </c>
      <c r="N154">
        <v>3.88</v>
      </c>
      <c r="O154">
        <v>6.7</v>
      </c>
      <c r="P154">
        <v>15.7</v>
      </c>
      <c r="Q154">
        <v>18.3</v>
      </c>
    </row>
    <row r="155" spans="1:21" x14ac:dyDescent="0.25">
      <c r="A155" t="s">
        <v>180</v>
      </c>
      <c r="I155">
        <v>9.4</v>
      </c>
      <c r="J155">
        <v>2.77</v>
      </c>
      <c r="K155">
        <v>1.46</v>
      </c>
      <c r="L155">
        <v>4.28</v>
      </c>
      <c r="M155">
        <v>3.81</v>
      </c>
      <c r="N155">
        <v>10.54</v>
      </c>
      <c r="O155">
        <v>6.7</v>
      </c>
      <c r="P155">
        <v>15.7</v>
      </c>
      <c r="Q155">
        <v>18.3</v>
      </c>
    </row>
    <row r="156" spans="1:21" x14ac:dyDescent="0.25">
      <c r="A156" t="s">
        <v>701</v>
      </c>
      <c r="H156">
        <v>176.32</v>
      </c>
      <c r="I156">
        <v>204.49</v>
      </c>
      <c r="J156">
        <v>841.22</v>
      </c>
      <c r="K156">
        <v>805.03</v>
      </c>
      <c r="L156">
        <v>960.13</v>
      </c>
      <c r="M156">
        <v>957.44</v>
      </c>
      <c r="N156" s="2">
        <v>1148.17</v>
      </c>
      <c r="O156">
        <v>907.66</v>
      </c>
      <c r="P156" s="2">
        <v>1120.52</v>
      </c>
      <c r="Q156" s="2">
        <v>1262.96</v>
      </c>
      <c r="R156" s="2">
        <v>1486.5</v>
      </c>
      <c r="S156" s="2">
        <v>2185.29</v>
      </c>
      <c r="T156" s="2">
        <v>3133.18</v>
      </c>
      <c r="U156" s="2">
        <v>1614.54</v>
      </c>
    </row>
    <row r="157" spans="1:21" x14ac:dyDescent="0.25">
      <c r="A157" t="s">
        <v>424</v>
      </c>
      <c r="H157">
        <v>0.51</v>
      </c>
      <c r="I157">
        <v>0.59</v>
      </c>
      <c r="J157">
        <v>4.07</v>
      </c>
      <c r="K157">
        <v>3.89</v>
      </c>
      <c r="L157">
        <v>4.62</v>
      </c>
      <c r="M157">
        <v>4.58</v>
      </c>
      <c r="N157">
        <v>5.19</v>
      </c>
      <c r="O157">
        <v>3.28</v>
      </c>
      <c r="P157">
        <v>3.85</v>
      </c>
      <c r="Q157">
        <v>4.58</v>
      </c>
    </row>
    <row r="158" spans="1:21" x14ac:dyDescent="0.25">
      <c r="A158" t="s">
        <v>2125</v>
      </c>
      <c r="H158">
        <v>21.64</v>
      </c>
      <c r="I158">
        <v>18.309999999999999</v>
      </c>
      <c r="J158">
        <v>26.14</v>
      </c>
      <c r="K158">
        <v>24.82</v>
      </c>
      <c r="L158">
        <v>73.16</v>
      </c>
      <c r="M158">
        <v>70.28</v>
      </c>
      <c r="N158">
        <v>85.93</v>
      </c>
    </row>
    <row r="159" spans="1:21" x14ac:dyDescent="0.25">
      <c r="A159" t="s">
        <v>17</v>
      </c>
    </row>
    <row r="160" spans="1:21" x14ac:dyDescent="0.25">
      <c r="A160" t="s">
        <v>188</v>
      </c>
    </row>
    <row r="161" spans="1:21" x14ac:dyDescent="0.25">
      <c r="A161" t="s">
        <v>189</v>
      </c>
    </row>
    <row r="162" spans="1:21" x14ac:dyDescent="0.25">
      <c r="A162" t="s">
        <v>121</v>
      </c>
      <c r="H162">
        <v>13.1</v>
      </c>
      <c r="I162">
        <v>16.899999999999999</v>
      </c>
      <c r="J162">
        <v>14.87</v>
      </c>
      <c r="K162">
        <v>11.05</v>
      </c>
      <c r="L162">
        <v>36.659999999999997</v>
      </c>
      <c r="M162">
        <v>36.94</v>
      </c>
      <c r="N162">
        <v>113.41</v>
      </c>
      <c r="O162">
        <v>73.33</v>
      </c>
      <c r="P162">
        <v>154.1</v>
      </c>
      <c r="Q162">
        <v>225.64</v>
      </c>
      <c r="R162">
        <v>268.64999999999998</v>
      </c>
      <c r="S162">
        <v>286.10000000000002</v>
      </c>
      <c r="T162">
        <v>200.74</v>
      </c>
      <c r="U162">
        <v>481.41</v>
      </c>
    </row>
    <row r="163" spans="1:21" x14ac:dyDescent="0.25">
      <c r="A163" t="s">
        <v>2126</v>
      </c>
      <c r="H163">
        <v>1.79</v>
      </c>
      <c r="I163">
        <v>1.94</v>
      </c>
      <c r="J163">
        <v>6.97</v>
      </c>
      <c r="K163">
        <v>-0.01</v>
      </c>
      <c r="L163">
        <v>0</v>
      </c>
    </row>
    <row r="164" spans="1:21" x14ac:dyDescent="0.25">
      <c r="A164" t="s">
        <v>190</v>
      </c>
      <c r="H164">
        <v>131.63</v>
      </c>
      <c r="I164">
        <v>121.29</v>
      </c>
      <c r="J164">
        <v>153.02000000000001</v>
      </c>
      <c r="K164">
        <v>194.66</v>
      </c>
      <c r="L164">
        <v>223.19</v>
      </c>
      <c r="M164">
        <v>54.94</v>
      </c>
      <c r="N164">
        <v>75.680000000000007</v>
      </c>
      <c r="O164">
        <v>94.02</v>
      </c>
      <c r="P164">
        <v>101.22</v>
      </c>
      <c r="Q164">
        <v>104.81</v>
      </c>
      <c r="R164">
        <v>108.84</v>
      </c>
      <c r="S164">
        <v>114.66</v>
      </c>
      <c r="T164">
        <v>106.22</v>
      </c>
    </row>
    <row r="165" spans="1:21" x14ac:dyDescent="0.25">
      <c r="A165" t="s">
        <v>191</v>
      </c>
      <c r="H165">
        <v>10.67</v>
      </c>
      <c r="I165">
        <v>11.15</v>
      </c>
      <c r="J165">
        <v>12.21</v>
      </c>
      <c r="K165">
        <v>12.62</v>
      </c>
      <c r="L165">
        <v>15.79</v>
      </c>
      <c r="M165">
        <v>17.920000000000002</v>
      </c>
      <c r="O165">
        <v>94.45</v>
      </c>
      <c r="P165">
        <v>100.52</v>
      </c>
      <c r="Q165">
        <v>116.93</v>
      </c>
      <c r="R165">
        <v>151.72999999999999</v>
      </c>
      <c r="S165">
        <v>193.28</v>
      </c>
      <c r="T165">
        <v>323.27</v>
      </c>
      <c r="U165">
        <v>119.22</v>
      </c>
    </row>
    <row r="166" spans="1:21" x14ac:dyDescent="0.25">
      <c r="A166" t="s">
        <v>192</v>
      </c>
      <c r="H166">
        <v>105.11</v>
      </c>
      <c r="I166">
        <v>92.03</v>
      </c>
      <c r="J166">
        <v>111.55</v>
      </c>
      <c r="K166">
        <v>147.66999999999999</v>
      </c>
      <c r="L166">
        <v>173.06</v>
      </c>
      <c r="M166">
        <v>253.08</v>
      </c>
      <c r="N166">
        <v>305.39</v>
      </c>
      <c r="O166">
        <v>387.16</v>
      </c>
      <c r="P166">
        <v>411.44</v>
      </c>
      <c r="Q166">
        <v>454.79</v>
      </c>
      <c r="R166">
        <v>518.84</v>
      </c>
      <c r="S166">
        <v>573.75</v>
      </c>
      <c r="T166">
        <v>694.36</v>
      </c>
      <c r="U166">
        <v>548.1</v>
      </c>
    </row>
    <row r="167" spans="1:21" x14ac:dyDescent="0.25">
      <c r="A167" t="s">
        <v>2127</v>
      </c>
      <c r="H167">
        <v>159.81</v>
      </c>
      <c r="I167">
        <v>140.03</v>
      </c>
      <c r="J167">
        <v>140.81</v>
      </c>
      <c r="K167">
        <v>182.04</v>
      </c>
      <c r="L167">
        <v>218.06</v>
      </c>
      <c r="M167">
        <v>253.08</v>
      </c>
      <c r="N167">
        <v>305.39</v>
      </c>
      <c r="O167">
        <v>383.62</v>
      </c>
      <c r="P167">
        <v>398.99</v>
      </c>
      <c r="Q167">
        <v>424.86</v>
      </c>
      <c r="R167">
        <v>473.94</v>
      </c>
      <c r="S167">
        <v>500.82</v>
      </c>
    </row>
    <row r="168" spans="1:21" x14ac:dyDescent="0.25">
      <c r="A168" t="s">
        <v>67</v>
      </c>
      <c r="H168">
        <v>0</v>
      </c>
      <c r="I168">
        <v>2.66</v>
      </c>
      <c r="J168">
        <v>18.25</v>
      </c>
      <c r="K168">
        <v>29.81</v>
      </c>
      <c r="L168">
        <v>44.53</v>
      </c>
      <c r="M168">
        <v>42.39</v>
      </c>
      <c r="N168">
        <v>62.03</v>
      </c>
      <c r="O168">
        <v>68.37</v>
      </c>
      <c r="P168">
        <v>78.510000000000005</v>
      </c>
      <c r="Q168">
        <v>85.62</v>
      </c>
      <c r="R168">
        <v>91.91</v>
      </c>
      <c r="S168">
        <v>96.5</v>
      </c>
      <c r="T168">
        <v>106.34</v>
      </c>
      <c r="U168">
        <v>96</v>
      </c>
    </row>
    <row r="169" spans="1:21" x14ac:dyDescent="0.25">
      <c r="A169" t="s">
        <v>2128</v>
      </c>
      <c r="J169">
        <v>-6.43</v>
      </c>
      <c r="K169">
        <v>-28.11</v>
      </c>
      <c r="L169">
        <v>-25.1</v>
      </c>
      <c r="M169">
        <v>41.35</v>
      </c>
      <c r="N169">
        <v>-89.09</v>
      </c>
      <c r="O169">
        <v>22</v>
      </c>
      <c r="P169">
        <v>7</v>
      </c>
      <c r="Q169">
        <v>0</v>
      </c>
    </row>
    <row r="170" spans="1:21" x14ac:dyDescent="0.25">
      <c r="A170" t="s">
        <v>1053</v>
      </c>
      <c r="H170">
        <v>15.04</v>
      </c>
      <c r="I170">
        <v>15.14</v>
      </c>
      <c r="J170">
        <v>36.74</v>
      </c>
      <c r="K170">
        <v>35.380000000000003</v>
      </c>
      <c r="L170">
        <v>33.020000000000003</v>
      </c>
      <c r="M170">
        <v>82.63</v>
      </c>
      <c r="N170">
        <v>96.75</v>
      </c>
      <c r="O170">
        <v>105.11</v>
      </c>
      <c r="P170">
        <v>115.3</v>
      </c>
      <c r="Q170">
        <v>121.13</v>
      </c>
      <c r="R170">
        <v>121.77</v>
      </c>
      <c r="S170">
        <v>126.67</v>
      </c>
      <c r="T170">
        <v>167.38</v>
      </c>
      <c r="U170">
        <v>94.89</v>
      </c>
    </row>
    <row r="171" spans="1:21" x14ac:dyDescent="0.25">
      <c r="A171" t="s">
        <v>484</v>
      </c>
      <c r="H171">
        <v>15.04</v>
      </c>
      <c r="I171">
        <v>19.02</v>
      </c>
      <c r="J171">
        <v>38.229999999999997</v>
      </c>
      <c r="K171">
        <v>42.17</v>
      </c>
      <c r="L171">
        <v>34.020000000000003</v>
      </c>
      <c r="M171">
        <v>83.81</v>
      </c>
      <c r="N171">
        <v>97.58</v>
      </c>
      <c r="O171">
        <v>92.69</v>
      </c>
      <c r="P171">
        <v>104.23</v>
      </c>
      <c r="Q171">
        <v>114.89</v>
      </c>
      <c r="R171">
        <v>121.92</v>
      </c>
      <c r="S171">
        <v>126.81</v>
      </c>
      <c r="T171">
        <v>167.38</v>
      </c>
      <c r="U171">
        <v>94.89</v>
      </c>
    </row>
    <row r="172" spans="1:21" x14ac:dyDescent="0.25">
      <c r="A172" t="s">
        <v>398</v>
      </c>
      <c r="H172">
        <v>-4.74</v>
      </c>
      <c r="I172">
        <v>-7.61</v>
      </c>
      <c r="J172">
        <v>-6.13</v>
      </c>
      <c r="K172">
        <v>-5.53</v>
      </c>
      <c r="L172">
        <v>-8.31</v>
      </c>
      <c r="M172">
        <v>-10.039999999999999</v>
      </c>
      <c r="N172">
        <v>-10.95</v>
      </c>
      <c r="O172">
        <v>-7.58</v>
      </c>
      <c r="P172">
        <v>-4.2</v>
      </c>
      <c r="Q172">
        <v>-2.5499999999999998</v>
      </c>
      <c r="R172">
        <v>-3.76</v>
      </c>
      <c r="S172">
        <v>-30.14</v>
      </c>
      <c r="T172">
        <v>-18.86</v>
      </c>
      <c r="U172">
        <v>-28.11</v>
      </c>
    </row>
    <row r="173" spans="1:21" x14ac:dyDescent="0.25">
      <c r="A173" t="s">
        <v>2129</v>
      </c>
      <c r="H173">
        <v>175.83</v>
      </c>
      <c r="I173">
        <v>179.99</v>
      </c>
      <c r="J173">
        <v>232.93</v>
      </c>
      <c r="K173">
        <v>246.06</v>
      </c>
      <c r="L173">
        <v>340.71</v>
      </c>
      <c r="M173">
        <v>475.49</v>
      </c>
      <c r="N173">
        <v>592.25</v>
      </c>
      <c r="O173">
        <v>730.99</v>
      </c>
      <c r="P173">
        <v>841.71</v>
      </c>
      <c r="Q173" s="2">
        <v>1013.74</v>
      </c>
    </row>
    <row r="174" spans="1:21" x14ac:dyDescent="0.25">
      <c r="A174" t="s">
        <v>338</v>
      </c>
      <c r="H174">
        <v>4.8099999999999996</v>
      </c>
      <c r="I174">
        <v>10.199999999999999</v>
      </c>
      <c r="J174">
        <v>-30.17</v>
      </c>
      <c r="K174">
        <v>-22.5</v>
      </c>
      <c r="L174">
        <v>-19.010000000000002</v>
      </c>
      <c r="M174">
        <v>-8.19</v>
      </c>
      <c r="N174">
        <v>-28.23</v>
      </c>
      <c r="O174">
        <v>-38.61</v>
      </c>
      <c r="P174">
        <v>-27.24</v>
      </c>
      <c r="Q174">
        <v>-12.38</v>
      </c>
      <c r="R174">
        <v>21.59</v>
      </c>
      <c r="S174">
        <v>50.16</v>
      </c>
      <c r="T174">
        <v>56.28</v>
      </c>
      <c r="U174">
        <v>134.04</v>
      </c>
    </row>
    <row r="175" spans="1:21" x14ac:dyDescent="0.25">
      <c r="A175" t="s">
        <v>2130</v>
      </c>
      <c r="H175">
        <v>-7.63</v>
      </c>
      <c r="I175">
        <v>-13.38</v>
      </c>
      <c r="J175">
        <v>-82.67</v>
      </c>
      <c r="K175">
        <v>-56.37</v>
      </c>
      <c r="L175">
        <v>-17.41</v>
      </c>
      <c r="M175">
        <v>-52.5</v>
      </c>
      <c r="N175">
        <v>-0.36</v>
      </c>
      <c r="O175">
        <v>-67.72</v>
      </c>
      <c r="P175">
        <v>-89.77</v>
      </c>
      <c r="Q175">
        <v>-101.46</v>
      </c>
      <c r="R175">
        <v>-55.21</v>
      </c>
      <c r="S175">
        <v>-27.45</v>
      </c>
      <c r="T175">
        <v>-18.809999999999999</v>
      </c>
      <c r="U175">
        <v>-16.38</v>
      </c>
    </row>
    <row r="176" spans="1:21" x14ac:dyDescent="0.25">
      <c r="A176" t="s">
        <v>2131</v>
      </c>
      <c r="H176">
        <v>12.44</v>
      </c>
      <c r="I176">
        <v>23.58</v>
      </c>
      <c r="J176">
        <v>52.5</v>
      </c>
      <c r="K176">
        <v>33.869999999999997</v>
      </c>
      <c r="L176">
        <v>-1.6</v>
      </c>
      <c r="M176">
        <v>44.31</v>
      </c>
      <c r="N176">
        <v>-27.87</v>
      </c>
      <c r="O176">
        <v>2.77</v>
      </c>
      <c r="P176">
        <v>12.6</v>
      </c>
      <c r="Q176">
        <v>19.62</v>
      </c>
      <c r="R176">
        <v>-12.25</v>
      </c>
      <c r="S176">
        <v>10.28</v>
      </c>
      <c r="T176">
        <v>146.65</v>
      </c>
      <c r="U176">
        <v>150.41999999999999</v>
      </c>
    </row>
    <row r="177" spans="1:21" x14ac:dyDescent="0.25">
      <c r="A177" t="s">
        <v>2132</v>
      </c>
      <c r="H177">
        <v>4.8099999999999996</v>
      </c>
      <c r="I177">
        <v>10.199999999999999</v>
      </c>
      <c r="J177">
        <v>-30.17</v>
      </c>
      <c r="K177">
        <v>-22.5</v>
      </c>
      <c r="L177">
        <v>-19.010000000000002</v>
      </c>
      <c r="M177">
        <v>-8.19</v>
      </c>
      <c r="N177">
        <v>-28.23</v>
      </c>
    </row>
    <row r="178" spans="1:21" x14ac:dyDescent="0.25">
      <c r="A178" t="s">
        <v>204</v>
      </c>
      <c r="H178">
        <v>163.41</v>
      </c>
      <c r="I178">
        <v>172.7</v>
      </c>
      <c r="J178">
        <v>156.38999999999999</v>
      </c>
      <c r="K178">
        <v>177.03</v>
      </c>
      <c r="L178">
        <v>279.73</v>
      </c>
      <c r="M178">
        <v>381.88</v>
      </c>
      <c r="N178">
        <v>455.57</v>
      </c>
      <c r="O178">
        <v>557.86</v>
      </c>
      <c r="P178">
        <v>675.67</v>
      </c>
      <c r="Q178">
        <v>789.38</v>
      </c>
      <c r="R178">
        <v>915.54</v>
      </c>
      <c r="S178" s="2">
        <v>1014.61</v>
      </c>
      <c r="T178" s="2">
        <v>1108.75</v>
      </c>
      <c r="U178" s="2">
        <v>1259.98</v>
      </c>
    </row>
    <row r="179" spans="1:21" x14ac:dyDescent="0.25">
      <c r="A179" t="s">
        <v>17</v>
      </c>
    </row>
    <row r="180" spans="1:21" x14ac:dyDescent="0.25">
      <c r="A180" t="s">
        <v>205</v>
      </c>
    </row>
    <row r="181" spans="1:21" x14ac:dyDescent="0.25">
      <c r="A181" t="s">
        <v>206</v>
      </c>
      <c r="H181">
        <v>-7.49</v>
      </c>
      <c r="I181">
        <v>-2.2799999999999998</v>
      </c>
      <c r="J181">
        <v>-6.93</v>
      </c>
      <c r="K181">
        <v>-8.73</v>
      </c>
      <c r="L181">
        <v>-15.99</v>
      </c>
      <c r="M181">
        <v>-5.81</v>
      </c>
      <c r="N181">
        <v>-5.54</v>
      </c>
      <c r="O181">
        <v>-11.59</v>
      </c>
      <c r="P181">
        <v>-14.53</v>
      </c>
      <c r="Q181">
        <v>-10.73</v>
      </c>
      <c r="R181">
        <v>-10.35</v>
      </c>
      <c r="S181">
        <v>-11.01</v>
      </c>
      <c r="T181">
        <v>-10.28</v>
      </c>
      <c r="U181">
        <v>-6.2</v>
      </c>
    </row>
    <row r="182" spans="1:21" x14ac:dyDescent="0.25">
      <c r="A182" t="s">
        <v>1448</v>
      </c>
      <c r="H182">
        <v>-110.01</v>
      </c>
      <c r="I182">
        <v>-107.27</v>
      </c>
      <c r="J182">
        <v>-154.65</v>
      </c>
      <c r="K182">
        <v>-171.21</v>
      </c>
      <c r="L182">
        <v>-216.61</v>
      </c>
      <c r="M182">
        <v>-246.27</v>
      </c>
      <c r="N182">
        <v>-258.05</v>
      </c>
      <c r="O182">
        <v>-308.45</v>
      </c>
      <c r="P182">
        <v>-349.51</v>
      </c>
      <c r="Q182">
        <v>-412.59</v>
      </c>
      <c r="R182">
        <v>-421.54</v>
      </c>
      <c r="S182">
        <v>-11.02</v>
      </c>
      <c r="T182">
        <v>-10.3</v>
      </c>
      <c r="U182">
        <v>-6.19</v>
      </c>
    </row>
    <row r="183" spans="1:21" x14ac:dyDescent="0.25">
      <c r="A183" t="s">
        <v>2133</v>
      </c>
      <c r="H183">
        <v>-102.52</v>
      </c>
      <c r="I183">
        <v>-104.99</v>
      </c>
      <c r="J183">
        <v>-147.72</v>
      </c>
      <c r="K183">
        <v>-162.49</v>
      </c>
      <c r="L183">
        <v>-200.62</v>
      </c>
      <c r="M183">
        <v>-240.47</v>
      </c>
      <c r="N183">
        <v>-252.51</v>
      </c>
      <c r="O183">
        <v>-298.54000000000002</v>
      </c>
      <c r="P183">
        <v>-356.54</v>
      </c>
      <c r="Q183">
        <v>-411.47</v>
      </c>
      <c r="R183">
        <v>-500.5</v>
      </c>
      <c r="S183">
        <v>-597.03</v>
      </c>
      <c r="T183">
        <v>-746.27</v>
      </c>
      <c r="U183">
        <v>-658.03</v>
      </c>
    </row>
    <row r="184" spans="1:21" x14ac:dyDescent="0.25">
      <c r="A184" t="s">
        <v>211</v>
      </c>
      <c r="H184">
        <v>-9.98</v>
      </c>
      <c r="I184">
        <v>-2.35</v>
      </c>
      <c r="J184">
        <v>-234.7</v>
      </c>
      <c r="K184">
        <v>-59.24</v>
      </c>
      <c r="L184">
        <v>-13.89</v>
      </c>
      <c r="M184">
        <v>-29.27</v>
      </c>
      <c r="N184">
        <v>8.7799999999999994</v>
      </c>
      <c r="O184">
        <v>38.01</v>
      </c>
      <c r="P184">
        <v>37.04</v>
      </c>
      <c r="Q184">
        <v>0</v>
      </c>
    </row>
    <row r="185" spans="1:21" x14ac:dyDescent="0.25">
      <c r="A185" t="s">
        <v>2134</v>
      </c>
      <c r="H185">
        <v>-1.89</v>
      </c>
      <c r="I185">
        <v>0</v>
      </c>
      <c r="J185">
        <v>-0.05</v>
      </c>
      <c r="K185">
        <v>-29.36</v>
      </c>
      <c r="L185">
        <v>0</v>
      </c>
      <c r="M185">
        <v>0</v>
      </c>
      <c r="N185">
        <v>-0.13</v>
      </c>
      <c r="O185">
        <v>0.01</v>
      </c>
      <c r="P185">
        <v>0</v>
      </c>
      <c r="Q185">
        <v>0</v>
      </c>
    </row>
    <row r="186" spans="1:21" x14ac:dyDescent="0.25">
      <c r="A186" t="s">
        <v>213</v>
      </c>
      <c r="H186">
        <v>-127.96</v>
      </c>
      <c r="I186">
        <v>-112.05</v>
      </c>
      <c r="J186">
        <v>-394.77</v>
      </c>
      <c r="K186">
        <v>-259.7</v>
      </c>
      <c r="L186">
        <v>-218.57</v>
      </c>
      <c r="M186">
        <v>-275.73</v>
      </c>
      <c r="N186">
        <v>-262.38</v>
      </c>
      <c r="O186">
        <v>-287.05</v>
      </c>
      <c r="P186">
        <v>-341.24</v>
      </c>
      <c r="Q186">
        <v>-421.65</v>
      </c>
      <c r="R186">
        <v>-510.85</v>
      </c>
      <c r="S186">
        <v>-608.04999999999995</v>
      </c>
      <c r="T186">
        <v>-756.57</v>
      </c>
      <c r="U186">
        <v>-664.23</v>
      </c>
    </row>
    <row r="187" spans="1:21" x14ac:dyDescent="0.25">
      <c r="A187" t="s">
        <v>17</v>
      </c>
    </row>
    <row r="188" spans="1:21" x14ac:dyDescent="0.25">
      <c r="A188" t="s">
        <v>214</v>
      </c>
    </row>
    <row r="189" spans="1:21" x14ac:dyDescent="0.25">
      <c r="A189" t="s">
        <v>2135</v>
      </c>
      <c r="H189">
        <v>-22.59</v>
      </c>
      <c r="I189">
        <v>-199.73</v>
      </c>
      <c r="J189">
        <v>-11.26</v>
      </c>
      <c r="K189">
        <v>-449.4</v>
      </c>
      <c r="L189">
        <v>-9.31</v>
      </c>
      <c r="M189">
        <v>-8.68</v>
      </c>
      <c r="N189">
        <v>-8.5399999999999991</v>
      </c>
      <c r="O189">
        <v>-7.91</v>
      </c>
      <c r="P189">
        <v>-9.77</v>
      </c>
      <c r="Q189">
        <v>-9.19</v>
      </c>
      <c r="R189">
        <v>-9.4499999999999993</v>
      </c>
      <c r="S189">
        <v>-9.0399999999999991</v>
      </c>
      <c r="T189">
        <v>-8.6999999999999993</v>
      </c>
    </row>
    <row r="190" spans="1:21" x14ac:dyDescent="0.25">
      <c r="A190" t="s">
        <v>2136</v>
      </c>
      <c r="H190">
        <v>0</v>
      </c>
      <c r="I190">
        <v>-12.74</v>
      </c>
      <c r="J190">
        <v>0</v>
      </c>
      <c r="K190">
        <v>0</v>
      </c>
      <c r="L190">
        <v>0</v>
      </c>
      <c r="M190">
        <v>-31.07</v>
      </c>
      <c r="N190">
        <v>-118.94</v>
      </c>
      <c r="O190">
        <v>-393.86</v>
      </c>
      <c r="P190">
        <v>-186.32</v>
      </c>
      <c r="Q190">
        <v>-202.49</v>
      </c>
      <c r="R190">
        <v>-293.56</v>
      </c>
      <c r="S190">
        <v>-205.2</v>
      </c>
      <c r="T190">
        <v>-283.79000000000002</v>
      </c>
      <c r="U190">
        <v>-370.96</v>
      </c>
    </row>
    <row r="191" spans="1:21" x14ac:dyDescent="0.25">
      <c r="A191" t="s">
        <v>218</v>
      </c>
      <c r="H191">
        <v>-5.25</v>
      </c>
      <c r="I191">
        <v>313.45</v>
      </c>
      <c r="J191">
        <v>638.41999999999996</v>
      </c>
      <c r="K191">
        <v>-484.35</v>
      </c>
      <c r="L191">
        <v>-19.07</v>
      </c>
      <c r="M191">
        <v>-39.76</v>
      </c>
      <c r="N191">
        <v>-144.44</v>
      </c>
      <c r="O191">
        <v>-405.29</v>
      </c>
      <c r="P191">
        <v>-193.16</v>
      </c>
      <c r="Q191">
        <v>-208.22</v>
      </c>
      <c r="R191">
        <v>-299.23</v>
      </c>
      <c r="S191">
        <v>-209.72</v>
      </c>
      <c r="T191">
        <v>-288.14</v>
      </c>
      <c r="U191">
        <v>-370.96</v>
      </c>
    </row>
    <row r="192" spans="1:21" x14ac:dyDescent="0.25">
      <c r="A192" t="s">
        <v>17</v>
      </c>
    </row>
    <row r="193" spans="1:21" x14ac:dyDescent="0.25">
      <c r="A193" t="s">
        <v>176</v>
      </c>
    </row>
    <row r="194" spans="1:21" x14ac:dyDescent="0.25">
      <c r="A194" t="s">
        <v>220</v>
      </c>
      <c r="H194">
        <v>30.2</v>
      </c>
      <c r="I194">
        <v>374.1</v>
      </c>
      <c r="J194">
        <v>400.03</v>
      </c>
      <c r="K194">
        <v>-567.02</v>
      </c>
      <c r="L194">
        <v>42.1</v>
      </c>
      <c r="M194">
        <v>66.400000000000006</v>
      </c>
      <c r="N194">
        <v>48.76</v>
      </c>
      <c r="O194">
        <v>-11.19</v>
      </c>
      <c r="P194">
        <v>151.81</v>
      </c>
      <c r="Q194">
        <v>204.54</v>
      </c>
      <c r="R194">
        <v>218.22</v>
      </c>
      <c r="S194">
        <v>242.35</v>
      </c>
      <c r="T194">
        <v>-71.03</v>
      </c>
    </row>
    <row r="195" spans="1:21" x14ac:dyDescent="0.25">
      <c r="A195" t="s">
        <v>2137</v>
      </c>
      <c r="H195">
        <v>0.03</v>
      </c>
      <c r="I195">
        <v>0.98</v>
      </c>
      <c r="J195">
        <v>22.49</v>
      </c>
      <c r="K195">
        <v>41.42</v>
      </c>
      <c r="L195">
        <v>-5.95</v>
      </c>
      <c r="M195">
        <v>10.61</v>
      </c>
      <c r="N195">
        <v>-29.61</v>
      </c>
      <c r="O195">
        <v>0.97</v>
      </c>
      <c r="P195">
        <v>-15.12</v>
      </c>
      <c r="Q195">
        <v>-15.12</v>
      </c>
      <c r="R195">
        <v>-30.17</v>
      </c>
      <c r="S195">
        <v>-30.17</v>
      </c>
      <c r="T195">
        <v>-30.17</v>
      </c>
    </row>
    <row r="196" spans="1:21" x14ac:dyDescent="0.25">
      <c r="A196" t="s">
        <v>220</v>
      </c>
      <c r="H196">
        <v>30.24</v>
      </c>
      <c r="I196">
        <v>375.08</v>
      </c>
      <c r="J196">
        <v>422.52</v>
      </c>
      <c r="K196">
        <v>-525.6</v>
      </c>
      <c r="L196">
        <v>36.14</v>
      </c>
      <c r="M196">
        <v>77</v>
      </c>
      <c r="N196">
        <v>19.149999999999999</v>
      </c>
      <c r="O196">
        <v>-66.63</v>
      </c>
      <c r="P196">
        <v>201.2</v>
      </c>
      <c r="Q196">
        <v>169.65</v>
      </c>
      <c r="R196">
        <v>30.03</v>
      </c>
      <c r="S196">
        <v>150.04</v>
      </c>
      <c r="T196">
        <v>199.11</v>
      </c>
      <c r="U196">
        <v>224.79</v>
      </c>
    </row>
    <row r="197" spans="1:21" x14ac:dyDescent="0.25">
      <c r="A197" t="s">
        <v>221</v>
      </c>
      <c r="H197">
        <v>33.6</v>
      </c>
      <c r="I197">
        <v>65.11</v>
      </c>
      <c r="J197">
        <v>456.01</v>
      </c>
      <c r="K197">
        <v>782.35</v>
      </c>
      <c r="L197">
        <v>263.63</v>
      </c>
      <c r="M197">
        <v>299.83999999999997</v>
      </c>
      <c r="N197">
        <v>393.79</v>
      </c>
      <c r="O197">
        <v>418.06</v>
      </c>
      <c r="P197">
        <v>355.4</v>
      </c>
      <c r="Q197">
        <v>464.16</v>
      </c>
      <c r="R197">
        <v>663.88</v>
      </c>
      <c r="S197">
        <v>923.38</v>
      </c>
      <c r="T197">
        <v>872.18</v>
      </c>
      <c r="U197" s="2">
        <v>1137.07</v>
      </c>
    </row>
    <row r="198" spans="1:21" x14ac:dyDescent="0.25">
      <c r="A198" t="s">
        <v>222</v>
      </c>
      <c r="H198">
        <v>64.03</v>
      </c>
      <c r="I198">
        <v>471.33</v>
      </c>
      <c r="J198">
        <v>845.72</v>
      </c>
      <c r="K198">
        <v>261.08999999999997</v>
      </c>
      <c r="L198">
        <v>306.67</v>
      </c>
      <c r="M198">
        <v>360.51</v>
      </c>
      <c r="N198">
        <v>428.71</v>
      </c>
      <c r="O198">
        <v>325.14999999999998</v>
      </c>
      <c r="P198">
        <v>542.29999999999995</v>
      </c>
      <c r="Q198">
        <v>620.25</v>
      </c>
      <c r="R198">
        <v>424.67</v>
      </c>
      <c r="S198">
        <v>821.99</v>
      </c>
    </row>
    <row r="199" spans="1:21" x14ac:dyDescent="0.25">
      <c r="A199" t="s">
        <v>178</v>
      </c>
    </row>
    <row r="200" spans="1:21" x14ac:dyDescent="0.25">
      <c r="A200" t="s">
        <v>1052</v>
      </c>
      <c r="H200">
        <v>2.2000000000000002</v>
      </c>
      <c r="I200">
        <v>2.37</v>
      </c>
      <c r="J200">
        <v>9.82</v>
      </c>
      <c r="K200">
        <v>16.510000000000002</v>
      </c>
      <c r="L200">
        <v>17.260000000000002</v>
      </c>
      <c r="M200">
        <v>12.88</v>
      </c>
      <c r="N200">
        <v>21.68</v>
      </c>
      <c r="O200">
        <v>26.42</v>
      </c>
      <c r="P200">
        <v>36.79</v>
      </c>
      <c r="Q200">
        <v>49.85</v>
      </c>
      <c r="R200">
        <v>66.36</v>
      </c>
      <c r="S200">
        <v>77.5</v>
      </c>
      <c r="T200">
        <v>67.64</v>
      </c>
      <c r="U200">
        <v>160.61000000000001</v>
      </c>
    </row>
    <row r="201" spans="1:21" x14ac:dyDescent="0.25">
      <c r="A201" t="s">
        <v>2138</v>
      </c>
      <c r="H201">
        <v>0.01</v>
      </c>
      <c r="I201">
        <v>0.02</v>
      </c>
      <c r="J201">
        <v>0.2</v>
      </c>
      <c r="K201">
        <v>5.36</v>
      </c>
      <c r="L201">
        <v>8.3000000000000007</v>
      </c>
      <c r="M201">
        <v>10.1</v>
      </c>
      <c r="N201">
        <v>9.98</v>
      </c>
      <c r="O201">
        <v>8.67</v>
      </c>
      <c r="P201">
        <v>11.23</v>
      </c>
      <c r="Q201">
        <v>14.41</v>
      </c>
      <c r="R201">
        <v>23.57</v>
      </c>
      <c r="S201">
        <v>29.73</v>
      </c>
      <c r="T201">
        <v>18.059999999999999</v>
      </c>
      <c r="U201">
        <v>28.11</v>
      </c>
    </row>
    <row r="202" spans="1:21" x14ac:dyDescent="0.25">
      <c r="A202" t="s">
        <v>225</v>
      </c>
      <c r="H202">
        <v>61.91</v>
      </c>
      <c r="I202">
        <v>61.08</v>
      </c>
      <c r="J202">
        <v>17.149999999999999</v>
      </c>
      <c r="K202">
        <v>40.950000000000003</v>
      </c>
      <c r="L202">
        <v>263.74</v>
      </c>
      <c r="M202">
        <v>376.07</v>
      </c>
      <c r="N202">
        <v>450.03</v>
      </c>
      <c r="O202">
        <v>240.94</v>
      </c>
      <c r="P202">
        <v>298.64</v>
      </c>
      <c r="Q202">
        <v>364.79</v>
      </c>
      <c r="R202">
        <v>403.14</v>
      </c>
      <c r="S202">
        <v>363.21</v>
      </c>
      <c r="T202">
        <v>347.83</v>
      </c>
      <c r="U202">
        <v>595.75</v>
      </c>
    </row>
    <row r="203" spans="1:21" x14ac:dyDescent="0.25">
      <c r="A203" t="s">
        <v>355</v>
      </c>
      <c r="H203">
        <v>61.91</v>
      </c>
      <c r="I203">
        <v>61.08</v>
      </c>
      <c r="J203">
        <v>17.149999999999999</v>
      </c>
      <c r="K203">
        <v>40.950000000000003</v>
      </c>
      <c r="O203">
        <v>244.37</v>
      </c>
      <c r="P203">
        <v>300.25</v>
      </c>
      <c r="Q203">
        <v>357.86</v>
      </c>
      <c r="R203">
        <v>410.19</v>
      </c>
      <c r="S203">
        <v>381.75</v>
      </c>
      <c r="T203">
        <v>159.31</v>
      </c>
    </row>
    <row r="204" spans="1:21" x14ac:dyDescent="0.25">
      <c r="A204" t="s">
        <v>17</v>
      </c>
    </row>
    <row r="205" spans="1:21" x14ac:dyDescent="0.25">
      <c r="A205" t="s">
        <v>231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B479-3E9B-42FE-8054-3664A5A9055F}">
  <dimension ref="A1:U176"/>
  <sheetViews>
    <sheetView workbookViewId="0">
      <selection sqref="A1:U176"/>
    </sheetView>
  </sheetViews>
  <sheetFormatPr defaultRowHeight="15" x14ac:dyDescent="0.25"/>
  <sheetData>
    <row r="1" spans="1:21" x14ac:dyDescent="0.25">
      <c r="A1" t="s">
        <v>2139</v>
      </c>
    </row>
    <row r="2" spans="1:21" x14ac:dyDescent="0.25">
      <c r="A2" t="s">
        <v>2140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E6">
        <v>0.09</v>
      </c>
      <c r="F6">
        <v>0.16</v>
      </c>
      <c r="G6">
        <v>0.27</v>
      </c>
      <c r="H6">
        <v>0.37</v>
      </c>
      <c r="I6">
        <v>0.87</v>
      </c>
      <c r="J6">
        <v>0.91</v>
      </c>
      <c r="K6">
        <v>1.04</v>
      </c>
      <c r="L6">
        <v>1.26</v>
      </c>
      <c r="M6">
        <v>1.66</v>
      </c>
      <c r="N6">
        <v>1.77</v>
      </c>
      <c r="O6">
        <v>1.1200000000000001</v>
      </c>
      <c r="P6">
        <v>0.93</v>
      </c>
      <c r="Q6">
        <v>1.1599999999999999</v>
      </c>
      <c r="R6">
        <v>1.1200000000000001</v>
      </c>
      <c r="S6">
        <v>1.18</v>
      </c>
      <c r="T6">
        <v>1.37</v>
      </c>
      <c r="U6">
        <v>1.54</v>
      </c>
    </row>
    <row r="7" spans="1:21" x14ac:dyDescent="0.25">
      <c r="A7" t="s">
        <v>16</v>
      </c>
      <c r="E7">
        <v>202.93</v>
      </c>
      <c r="F7">
        <v>308.22000000000003</v>
      </c>
      <c r="G7">
        <v>477.29</v>
      </c>
      <c r="H7">
        <v>661.06</v>
      </c>
      <c r="I7">
        <v>836.03</v>
      </c>
      <c r="J7" s="2">
        <v>1196.47</v>
      </c>
      <c r="K7" s="2">
        <v>1577.8</v>
      </c>
      <c r="L7" s="2">
        <v>1946.12</v>
      </c>
      <c r="M7" s="2">
        <v>2444.83</v>
      </c>
      <c r="N7" s="2">
        <v>2896.28</v>
      </c>
      <c r="O7" s="2">
        <v>2753.06</v>
      </c>
      <c r="P7" s="2">
        <v>2636.31</v>
      </c>
      <c r="Q7" s="2">
        <v>2831.27</v>
      </c>
      <c r="R7" s="2">
        <v>2960.67</v>
      </c>
      <c r="S7" s="2">
        <v>3190.43</v>
      </c>
      <c r="T7" s="2">
        <v>3416.57</v>
      </c>
      <c r="U7" s="2">
        <v>3772.17</v>
      </c>
    </row>
    <row r="8" spans="1:21" x14ac:dyDescent="0.25">
      <c r="A8" t="s">
        <v>17</v>
      </c>
    </row>
    <row r="9" spans="1:21" x14ac:dyDescent="0.25">
      <c r="A9" t="s">
        <v>275</v>
      </c>
      <c r="D9">
        <v>75.86</v>
      </c>
      <c r="E9">
        <v>145.41</v>
      </c>
      <c r="F9">
        <v>238.86</v>
      </c>
      <c r="G9">
        <v>369.97</v>
      </c>
      <c r="H9">
        <v>548.86</v>
      </c>
      <c r="I9">
        <v>691.83</v>
      </c>
      <c r="J9" s="2">
        <v>1071.6500000000001</v>
      </c>
      <c r="K9" s="2">
        <v>1464.14</v>
      </c>
      <c r="L9" s="2">
        <v>1745.64</v>
      </c>
      <c r="M9" s="2">
        <v>2017.66</v>
      </c>
      <c r="N9" s="2">
        <v>2306.96</v>
      </c>
      <c r="O9" s="2">
        <v>2499.7199999999998</v>
      </c>
      <c r="P9" s="2">
        <v>2533.33</v>
      </c>
      <c r="Q9" s="2">
        <v>2609.98</v>
      </c>
      <c r="R9" s="2">
        <v>2797.8</v>
      </c>
      <c r="S9" s="2">
        <v>2918.41</v>
      </c>
      <c r="T9" s="2">
        <v>3322.34</v>
      </c>
      <c r="U9" s="2">
        <v>3560.63</v>
      </c>
    </row>
    <row r="10" spans="1:21" x14ac:dyDescent="0.25">
      <c r="A10" t="s">
        <v>680</v>
      </c>
      <c r="E10">
        <v>65.2</v>
      </c>
      <c r="F10">
        <v>95.5</v>
      </c>
      <c r="G10">
        <v>159.44</v>
      </c>
      <c r="H10">
        <v>213.92</v>
      </c>
      <c r="I10">
        <v>283.7</v>
      </c>
      <c r="J10">
        <v>502.7</v>
      </c>
      <c r="K10">
        <v>667.68</v>
      </c>
      <c r="L10">
        <v>771.53</v>
      </c>
      <c r="M10" s="2">
        <v>1010.65</v>
      </c>
      <c r="N10" s="2">
        <v>1196.45</v>
      </c>
      <c r="O10">
        <v>823.55</v>
      </c>
      <c r="P10">
        <v>680.51</v>
      </c>
      <c r="Q10">
        <v>791.32</v>
      </c>
      <c r="R10">
        <v>787.79</v>
      </c>
      <c r="S10">
        <v>848.46</v>
      </c>
      <c r="T10">
        <v>936</v>
      </c>
      <c r="U10" s="2">
        <v>1073.17</v>
      </c>
    </row>
    <row r="11" spans="1:21" x14ac:dyDescent="0.25">
      <c r="A11" t="s">
        <v>481</v>
      </c>
      <c r="E11">
        <v>32</v>
      </c>
      <c r="F11">
        <v>31</v>
      </c>
      <c r="G11">
        <v>33</v>
      </c>
      <c r="H11">
        <v>32</v>
      </c>
      <c r="I11">
        <v>34</v>
      </c>
      <c r="J11">
        <v>42</v>
      </c>
      <c r="K11">
        <v>42</v>
      </c>
      <c r="L11">
        <v>40</v>
      </c>
      <c r="M11">
        <v>41</v>
      </c>
      <c r="N11">
        <v>41</v>
      </c>
      <c r="O11">
        <v>29.5</v>
      </c>
      <c r="P11">
        <v>24.85</v>
      </c>
      <c r="Q11">
        <v>27.08</v>
      </c>
      <c r="R11">
        <v>26.36</v>
      </c>
      <c r="S11">
        <v>26.81</v>
      </c>
      <c r="T11">
        <v>27.56</v>
      </c>
      <c r="U11">
        <v>28.62</v>
      </c>
    </row>
    <row r="12" spans="1:21" x14ac:dyDescent="0.25">
      <c r="A12" t="s">
        <v>17</v>
      </c>
    </row>
    <row r="13" spans="1:21" x14ac:dyDescent="0.25">
      <c r="A13" t="s">
        <v>36</v>
      </c>
      <c r="C13">
        <v>-16.5</v>
      </c>
      <c r="D13">
        <v>-43.49</v>
      </c>
      <c r="E13">
        <v>65.81</v>
      </c>
      <c r="F13">
        <v>18.16</v>
      </c>
      <c r="G13">
        <v>61.41</v>
      </c>
      <c r="H13">
        <v>19.600000000000001</v>
      </c>
      <c r="I13">
        <v>324.95999999999998</v>
      </c>
      <c r="J13">
        <v>318.54000000000002</v>
      </c>
      <c r="K13">
        <v>456.85</v>
      </c>
      <c r="L13">
        <v>543.29999999999995</v>
      </c>
      <c r="M13">
        <v>632.39</v>
      </c>
      <c r="N13">
        <v>782.96</v>
      </c>
      <c r="O13">
        <v>746.92</v>
      </c>
      <c r="P13">
        <v>464.33</v>
      </c>
      <c r="Q13">
        <v>532.89</v>
      </c>
      <c r="R13">
        <v>538.66999999999996</v>
      </c>
      <c r="S13">
        <v>567.52</v>
      </c>
      <c r="T13">
        <v>664.6</v>
      </c>
      <c r="U13">
        <v>794.26</v>
      </c>
    </row>
    <row r="14" spans="1:21" x14ac:dyDescent="0.25">
      <c r="A14" t="s">
        <v>17</v>
      </c>
    </row>
    <row r="15" spans="1:21" x14ac:dyDescent="0.25">
      <c r="A15" t="s">
        <v>37</v>
      </c>
    </row>
    <row r="16" spans="1:21" x14ac:dyDescent="0.25">
      <c r="A16" t="s">
        <v>2141</v>
      </c>
      <c r="D16">
        <v>529.98</v>
      </c>
      <c r="E16">
        <v>990.56</v>
      </c>
      <c r="F16" s="2">
        <v>1491.74</v>
      </c>
      <c r="G16" s="2">
        <v>2285.0100000000002</v>
      </c>
      <c r="H16" s="2">
        <v>3095.69</v>
      </c>
      <c r="I16" s="2">
        <v>4168.26</v>
      </c>
      <c r="J16" s="2">
        <v>6129.63</v>
      </c>
      <c r="K16" s="2">
        <v>7634.57</v>
      </c>
      <c r="L16" s="2">
        <v>9430.65</v>
      </c>
      <c r="M16" s="2">
        <v>11752.77</v>
      </c>
      <c r="N16" s="2">
        <v>13400</v>
      </c>
      <c r="O16" s="2">
        <v>14214.88</v>
      </c>
      <c r="P16" s="2">
        <v>14699.86</v>
      </c>
      <c r="Q16" s="2">
        <v>15349.32</v>
      </c>
      <c r="R16" s="2">
        <v>18154.3</v>
      </c>
      <c r="S16" s="2">
        <v>20217.580000000002</v>
      </c>
      <c r="T16" s="2">
        <v>32896.550000000003</v>
      </c>
      <c r="U16" s="2">
        <v>38663.120000000003</v>
      </c>
    </row>
    <row r="17" spans="1:21" x14ac:dyDescent="0.25">
      <c r="A17" t="s">
        <v>17</v>
      </c>
    </row>
    <row r="18" spans="1:21" x14ac:dyDescent="0.25">
      <c r="A18" t="s">
        <v>2142</v>
      </c>
      <c r="D18">
        <v>552.33000000000004</v>
      </c>
      <c r="E18" s="2">
        <v>1027.98</v>
      </c>
      <c r="F18" s="2">
        <v>1555.86</v>
      </c>
      <c r="G18" s="2">
        <v>2350.88</v>
      </c>
      <c r="H18" s="2">
        <v>3128.87</v>
      </c>
      <c r="I18" s="2">
        <v>4198.57</v>
      </c>
      <c r="J18" s="2">
        <v>6172</v>
      </c>
      <c r="K18" s="2">
        <v>7741</v>
      </c>
      <c r="L18" s="2">
        <v>9611</v>
      </c>
      <c r="M18" s="2">
        <v>12041</v>
      </c>
      <c r="N18" s="2">
        <v>13394.68</v>
      </c>
      <c r="O18" s="2">
        <v>13372.16</v>
      </c>
      <c r="P18" s="2">
        <v>13140.35</v>
      </c>
      <c r="Q18" s="2">
        <v>13653.76</v>
      </c>
      <c r="R18" s="2">
        <v>14097.77</v>
      </c>
      <c r="S18" s="2">
        <v>15010.91</v>
      </c>
      <c r="T18" s="2">
        <v>18090.990000000002</v>
      </c>
      <c r="U18" s="2">
        <v>19834.400000000001</v>
      </c>
    </row>
    <row r="19" spans="1:21" x14ac:dyDescent="0.25">
      <c r="A19" t="s">
        <v>17</v>
      </c>
    </row>
    <row r="20" spans="1:21" x14ac:dyDescent="0.25">
      <c r="A20" t="s">
        <v>1889</v>
      </c>
      <c r="O20">
        <v>20.62</v>
      </c>
      <c r="P20">
        <v>20.13</v>
      </c>
      <c r="Q20">
        <v>20.5</v>
      </c>
      <c r="R20">
        <v>20.76</v>
      </c>
      <c r="S20">
        <v>20.61</v>
      </c>
      <c r="T20">
        <v>19.64</v>
      </c>
      <c r="U20">
        <v>19.420000000000002</v>
      </c>
    </row>
    <row r="21" spans="1:21" x14ac:dyDescent="0.25">
      <c r="A21" t="s">
        <v>17</v>
      </c>
    </row>
    <row r="22" spans="1:21" x14ac:dyDescent="0.25">
      <c r="A22" t="s">
        <v>43</v>
      </c>
      <c r="J22" s="2">
        <v>1967</v>
      </c>
      <c r="K22" s="2">
        <v>2770</v>
      </c>
      <c r="L22" s="2">
        <v>3115</v>
      </c>
      <c r="M22" s="2">
        <v>3522</v>
      </c>
      <c r="N22" s="2">
        <v>3843</v>
      </c>
      <c r="O22" s="2">
        <v>4009</v>
      </c>
      <c r="P22" s="2">
        <v>4230</v>
      </c>
      <c r="Q22" s="2">
        <v>4398</v>
      </c>
      <c r="R22" s="2">
        <v>4486</v>
      </c>
      <c r="S22" s="2">
        <v>4575</v>
      </c>
    </row>
    <row r="23" spans="1:21" x14ac:dyDescent="0.25">
      <c r="A23" t="s">
        <v>17</v>
      </c>
    </row>
    <row r="24" spans="1:21" x14ac:dyDescent="0.25">
      <c r="A24" t="s">
        <v>72</v>
      </c>
    </row>
    <row r="25" spans="1:21" x14ac:dyDescent="0.25">
      <c r="A25" t="s">
        <v>385</v>
      </c>
    </row>
    <row r="26" spans="1:21" x14ac:dyDescent="0.25">
      <c r="A26" t="s">
        <v>60</v>
      </c>
      <c r="L26" s="2">
        <v>1696.91</v>
      </c>
      <c r="M26" s="2">
        <v>2133.5</v>
      </c>
      <c r="N26" s="2">
        <v>2476.6799999999998</v>
      </c>
    </row>
    <row r="27" spans="1:21" x14ac:dyDescent="0.25">
      <c r="A27" t="s">
        <v>2143</v>
      </c>
      <c r="E27">
        <v>868.88</v>
      </c>
      <c r="F27" s="2">
        <v>1270.1199999999999</v>
      </c>
      <c r="G27" s="2">
        <v>1937.07</v>
      </c>
      <c r="H27" s="2">
        <v>2639.5</v>
      </c>
      <c r="I27" s="2">
        <v>3605.67</v>
      </c>
      <c r="J27" s="2">
        <v>5286.19</v>
      </c>
      <c r="K27" s="2">
        <v>6696.74</v>
      </c>
      <c r="L27" s="2">
        <v>8216.4500000000007</v>
      </c>
      <c r="M27" s="2">
        <v>10244.27</v>
      </c>
      <c r="O27" s="2">
        <v>12112.75</v>
      </c>
      <c r="P27" s="2">
        <v>12740.4</v>
      </c>
      <c r="Q27" s="2">
        <v>13379.05</v>
      </c>
      <c r="R27" s="2">
        <v>16347.87</v>
      </c>
      <c r="S27" s="2">
        <v>18389.3</v>
      </c>
      <c r="T27" s="2">
        <v>28427.200000000001</v>
      </c>
      <c r="U27" s="2">
        <v>33437.25</v>
      </c>
    </row>
    <row r="28" spans="1:21" x14ac:dyDescent="0.25">
      <c r="A28" t="s">
        <v>2144</v>
      </c>
      <c r="F28">
        <v>85</v>
      </c>
      <c r="G28">
        <v>85</v>
      </c>
      <c r="H28">
        <v>85</v>
      </c>
      <c r="I28">
        <v>86</v>
      </c>
      <c r="J28">
        <v>86</v>
      </c>
      <c r="K28">
        <v>88</v>
      </c>
      <c r="L28">
        <v>87</v>
      </c>
      <c r="M28">
        <v>88</v>
      </c>
      <c r="O28">
        <v>85.6</v>
      </c>
      <c r="P28">
        <v>85.24</v>
      </c>
      <c r="Q28">
        <v>84.58</v>
      </c>
      <c r="R28">
        <v>84.29</v>
      </c>
      <c r="S28">
        <v>83.97</v>
      </c>
      <c r="T28">
        <v>84.42</v>
      </c>
      <c r="U28">
        <v>84.18</v>
      </c>
    </row>
    <row r="29" spans="1:21" x14ac:dyDescent="0.25">
      <c r="A29" t="s">
        <v>2145</v>
      </c>
      <c r="E29">
        <v>45.9</v>
      </c>
      <c r="F29">
        <v>66.150000000000006</v>
      </c>
      <c r="G29">
        <v>115.71</v>
      </c>
      <c r="H29">
        <v>162.25</v>
      </c>
      <c r="I29">
        <v>212.53</v>
      </c>
      <c r="J29">
        <v>193.05</v>
      </c>
      <c r="K29">
        <v>169.89</v>
      </c>
      <c r="L29">
        <v>328.85</v>
      </c>
      <c r="M29">
        <v>579.34</v>
      </c>
      <c r="N29">
        <v>677.72</v>
      </c>
    </row>
    <row r="30" spans="1:21" x14ac:dyDescent="0.25">
      <c r="A30" t="s">
        <v>386</v>
      </c>
    </row>
    <row r="31" spans="1:21" x14ac:dyDescent="0.25">
      <c r="A31" t="s">
        <v>60</v>
      </c>
      <c r="L31">
        <v>249.21</v>
      </c>
      <c r="M31">
        <v>311.33</v>
      </c>
      <c r="N31">
        <v>419.6</v>
      </c>
    </row>
    <row r="32" spans="1:21" x14ac:dyDescent="0.25">
      <c r="A32" t="s">
        <v>2143</v>
      </c>
      <c r="E32">
        <v>121.68</v>
      </c>
      <c r="F32">
        <v>221.63</v>
      </c>
      <c r="G32">
        <v>347.94</v>
      </c>
      <c r="H32">
        <v>456.19</v>
      </c>
      <c r="I32">
        <v>562.6</v>
      </c>
      <c r="J32">
        <v>843.44</v>
      </c>
      <c r="K32">
        <v>937.82</v>
      </c>
      <c r="L32" s="2">
        <v>1214.21</v>
      </c>
      <c r="M32" s="2">
        <v>1508.5</v>
      </c>
      <c r="O32" s="2">
        <v>1884.92</v>
      </c>
      <c r="P32" s="2">
        <v>1965.79</v>
      </c>
      <c r="Q32" s="2">
        <v>2209.11</v>
      </c>
      <c r="R32" s="2">
        <v>2626.28</v>
      </c>
      <c r="S32" s="2">
        <v>2958.26</v>
      </c>
      <c r="T32" s="2">
        <v>4469.3500000000004</v>
      </c>
      <c r="U32" s="2">
        <v>5225.87</v>
      </c>
    </row>
    <row r="33" spans="1:21" x14ac:dyDescent="0.25">
      <c r="A33" t="s">
        <v>2144</v>
      </c>
      <c r="F33">
        <v>15</v>
      </c>
      <c r="G33">
        <v>15</v>
      </c>
      <c r="H33">
        <v>15</v>
      </c>
      <c r="I33">
        <v>14</v>
      </c>
      <c r="J33">
        <v>14</v>
      </c>
      <c r="K33">
        <v>12</v>
      </c>
      <c r="L33">
        <v>13</v>
      </c>
      <c r="M33">
        <v>12</v>
      </c>
      <c r="O33">
        <v>14.22</v>
      </c>
      <c r="P33">
        <v>13.17</v>
      </c>
      <c r="Q33">
        <v>14.94</v>
      </c>
      <c r="R33">
        <v>15.53</v>
      </c>
      <c r="S33">
        <v>15.72</v>
      </c>
      <c r="T33">
        <v>16.63</v>
      </c>
      <c r="U33">
        <v>17.600000000000001</v>
      </c>
    </row>
    <row r="34" spans="1:21" x14ac:dyDescent="0.25">
      <c r="A34" t="s">
        <v>2145</v>
      </c>
      <c r="E34">
        <v>-2.0699999999999998</v>
      </c>
      <c r="F34">
        <v>-2.52</v>
      </c>
      <c r="G34">
        <v>-9.9700000000000006</v>
      </c>
      <c r="H34">
        <v>-46.03</v>
      </c>
      <c r="I34">
        <v>-68.63</v>
      </c>
      <c r="J34">
        <v>-71.010000000000005</v>
      </c>
      <c r="K34">
        <v>42.52</v>
      </c>
      <c r="L34">
        <v>-60.86</v>
      </c>
      <c r="M34">
        <v>-72.040000000000006</v>
      </c>
      <c r="N34">
        <v>-18.97</v>
      </c>
    </row>
    <row r="35" spans="1:21" x14ac:dyDescent="0.25">
      <c r="A35" t="s">
        <v>17</v>
      </c>
    </row>
    <row r="36" spans="1:21" x14ac:dyDescent="0.25">
      <c r="A36" t="s">
        <v>79</v>
      </c>
    </row>
    <row r="37" spans="1:21" x14ac:dyDescent="0.25">
      <c r="A37" t="s">
        <v>80</v>
      </c>
      <c r="E37">
        <v>202.93</v>
      </c>
      <c r="F37">
        <v>308.22000000000003</v>
      </c>
      <c r="G37">
        <v>477.29</v>
      </c>
      <c r="H37">
        <v>661.06</v>
      </c>
      <c r="I37">
        <v>836.03</v>
      </c>
      <c r="J37" s="2">
        <v>1196.47</v>
      </c>
      <c r="K37" s="2">
        <v>1577.8</v>
      </c>
      <c r="L37" s="2">
        <v>1946.12</v>
      </c>
      <c r="M37" s="2">
        <v>2444.83</v>
      </c>
      <c r="N37" s="2">
        <v>2896.28</v>
      </c>
      <c r="O37" s="2">
        <v>2753.06</v>
      </c>
      <c r="P37" s="2">
        <v>2636.31</v>
      </c>
      <c r="Q37" s="2">
        <v>2831.27</v>
      </c>
      <c r="R37" s="2">
        <v>2960.67</v>
      </c>
      <c r="S37" s="2">
        <v>3190.43</v>
      </c>
      <c r="T37" s="2">
        <v>3416.57</v>
      </c>
      <c r="U37" s="2">
        <v>3772.17</v>
      </c>
    </row>
    <row r="38" spans="1:21" x14ac:dyDescent="0.25">
      <c r="A38" t="s">
        <v>17</v>
      </c>
    </row>
    <row r="39" spans="1:21" x14ac:dyDescent="0.25">
      <c r="A39" t="s">
        <v>84</v>
      </c>
    </row>
    <row r="40" spans="1:21" x14ac:dyDescent="0.25">
      <c r="A40" t="s">
        <v>85</v>
      </c>
      <c r="E40">
        <v>80.349999999999994</v>
      </c>
      <c r="F40">
        <v>78.510000000000005</v>
      </c>
      <c r="G40">
        <v>76.09</v>
      </c>
      <c r="H40">
        <v>76.37</v>
      </c>
      <c r="I40">
        <v>78.61</v>
      </c>
      <c r="J40">
        <v>81.48</v>
      </c>
      <c r="K40">
        <v>82.1</v>
      </c>
      <c r="L40">
        <v>81.209999999999994</v>
      </c>
      <c r="M40">
        <v>80.69</v>
      </c>
      <c r="N40">
        <v>78.63</v>
      </c>
      <c r="O40">
        <v>73.12</v>
      </c>
      <c r="P40">
        <v>71.83</v>
      </c>
      <c r="Q40">
        <v>71.98</v>
      </c>
      <c r="R40">
        <v>70.849999999999994</v>
      </c>
      <c r="S40">
        <v>70.489999999999995</v>
      </c>
      <c r="T40">
        <v>71.709999999999994</v>
      </c>
      <c r="U40">
        <v>71.11</v>
      </c>
    </row>
    <row r="41" spans="1:21" x14ac:dyDescent="0.25">
      <c r="A41" t="s">
        <v>17</v>
      </c>
    </row>
    <row r="42" spans="1:21" x14ac:dyDescent="0.25">
      <c r="A42" t="s">
        <v>275</v>
      </c>
      <c r="D42">
        <v>75.86</v>
      </c>
      <c r="E42">
        <v>145.41</v>
      </c>
      <c r="F42">
        <v>238.86</v>
      </c>
      <c r="G42">
        <v>369.97</v>
      </c>
      <c r="H42">
        <v>548.86</v>
      </c>
      <c r="I42">
        <v>691.83</v>
      </c>
      <c r="J42" s="2">
        <v>1071.6500000000001</v>
      </c>
      <c r="K42" s="2">
        <v>1464.14</v>
      </c>
      <c r="L42" s="2">
        <v>1745.64</v>
      </c>
      <c r="M42" s="2">
        <v>2017.66</v>
      </c>
      <c r="N42" s="2">
        <v>2306.96</v>
      </c>
      <c r="O42" s="2">
        <v>2499.7199999999998</v>
      </c>
      <c r="P42" s="2">
        <v>2533.33</v>
      </c>
      <c r="Q42" s="2">
        <v>2609.98</v>
      </c>
      <c r="R42" s="2">
        <v>2797.8</v>
      </c>
      <c r="S42" s="2">
        <v>2918.41</v>
      </c>
      <c r="T42" s="2">
        <v>3322.34</v>
      </c>
      <c r="U42" s="2">
        <v>3560.63</v>
      </c>
    </row>
    <row r="43" spans="1:21" x14ac:dyDescent="0.25">
      <c r="A43" t="s">
        <v>83</v>
      </c>
      <c r="C43">
        <v>98.28</v>
      </c>
      <c r="D43">
        <v>66.64</v>
      </c>
      <c r="E43">
        <v>71.66</v>
      </c>
      <c r="F43">
        <v>77.5</v>
      </c>
      <c r="G43">
        <v>77.510000000000005</v>
      </c>
      <c r="H43">
        <v>83.03</v>
      </c>
      <c r="I43">
        <v>82.75</v>
      </c>
      <c r="J43">
        <v>89.57</v>
      </c>
      <c r="K43">
        <v>92.8</v>
      </c>
      <c r="L43">
        <v>89.7</v>
      </c>
      <c r="M43">
        <v>82.53</v>
      </c>
      <c r="N43">
        <v>79.650000000000006</v>
      </c>
      <c r="O43">
        <v>89.61</v>
      </c>
      <c r="P43">
        <v>93.35</v>
      </c>
      <c r="Q43">
        <v>91.76</v>
      </c>
      <c r="R43">
        <v>91.89</v>
      </c>
      <c r="S43">
        <v>90.81</v>
      </c>
      <c r="T43">
        <v>93.43</v>
      </c>
      <c r="U43">
        <v>91.7</v>
      </c>
    </row>
    <row r="44" spans="1:21" x14ac:dyDescent="0.25">
      <c r="A44" t="s">
        <v>2146</v>
      </c>
      <c r="C44">
        <v>12.56</v>
      </c>
      <c r="D44">
        <v>22.97</v>
      </c>
      <c r="E44">
        <v>39.880000000000003</v>
      </c>
      <c r="F44">
        <v>66.23</v>
      </c>
      <c r="G44">
        <v>114.1</v>
      </c>
      <c r="H44">
        <v>156.18</v>
      </c>
      <c r="I44">
        <v>178.81</v>
      </c>
      <c r="J44">
        <v>221.55</v>
      </c>
      <c r="K44">
        <v>281.12</v>
      </c>
      <c r="L44">
        <v>365.6</v>
      </c>
      <c r="M44">
        <v>472.01</v>
      </c>
      <c r="N44">
        <v>619.07000000000005</v>
      </c>
      <c r="O44">
        <v>757.02</v>
      </c>
      <c r="P44">
        <v>776.95</v>
      </c>
      <c r="Q44">
        <v>803.39</v>
      </c>
      <c r="R44">
        <v>873.19</v>
      </c>
      <c r="S44">
        <v>940.3</v>
      </c>
      <c r="T44" s="2">
        <v>1045.93</v>
      </c>
      <c r="U44" s="2">
        <v>1178.02</v>
      </c>
    </row>
    <row r="45" spans="1:21" x14ac:dyDescent="0.25">
      <c r="A45" t="s">
        <v>90</v>
      </c>
      <c r="C45">
        <v>14.59</v>
      </c>
      <c r="D45">
        <v>26.79</v>
      </c>
      <c r="E45">
        <v>46.06</v>
      </c>
      <c r="F45">
        <v>61.38</v>
      </c>
      <c r="G45">
        <v>87.07</v>
      </c>
      <c r="H45">
        <v>132.88</v>
      </c>
      <c r="I45">
        <v>174.74</v>
      </c>
      <c r="J45">
        <v>249.3</v>
      </c>
      <c r="K45">
        <v>337.98</v>
      </c>
      <c r="L45">
        <v>447.97</v>
      </c>
      <c r="M45">
        <v>546.52</v>
      </c>
      <c r="N45">
        <v>644.29999999999995</v>
      </c>
      <c r="O45">
        <v>692.37</v>
      </c>
      <c r="P45">
        <v>695.71</v>
      </c>
      <c r="Q45">
        <v>717.87</v>
      </c>
      <c r="R45">
        <v>734.3</v>
      </c>
      <c r="S45">
        <v>759.59</v>
      </c>
      <c r="T45">
        <v>867.63</v>
      </c>
      <c r="U45">
        <v>937.62</v>
      </c>
    </row>
    <row r="46" spans="1:21" x14ac:dyDescent="0.25">
      <c r="A46" t="s">
        <v>2147</v>
      </c>
      <c r="C46">
        <v>7.25</v>
      </c>
      <c r="D46">
        <v>12.82</v>
      </c>
      <c r="E46">
        <v>27.31</v>
      </c>
      <c r="F46">
        <v>52.81</v>
      </c>
      <c r="G46">
        <v>83.89</v>
      </c>
      <c r="H46">
        <v>116.75</v>
      </c>
      <c r="I46">
        <v>166.65</v>
      </c>
      <c r="J46">
        <v>226.14</v>
      </c>
      <c r="K46">
        <v>319.88</v>
      </c>
      <c r="L46">
        <v>411.79</v>
      </c>
      <c r="M46">
        <v>463.32</v>
      </c>
      <c r="N46">
        <v>525.14</v>
      </c>
      <c r="O46">
        <v>570.11</v>
      </c>
      <c r="P46">
        <v>588.69000000000005</v>
      </c>
      <c r="Q46">
        <v>617.14</v>
      </c>
      <c r="R46">
        <v>639.72</v>
      </c>
      <c r="S46">
        <v>662.77</v>
      </c>
      <c r="T46">
        <v>749.85</v>
      </c>
      <c r="U46">
        <v>825.14</v>
      </c>
    </row>
    <row r="47" spans="1:21" x14ac:dyDescent="0.25">
      <c r="A47" t="s">
        <v>61</v>
      </c>
      <c r="C47">
        <v>16.27</v>
      </c>
      <c r="D47">
        <v>11.26</v>
      </c>
      <c r="E47">
        <v>13.46</v>
      </c>
      <c r="F47">
        <v>17.13</v>
      </c>
      <c r="G47">
        <v>17.579999999999998</v>
      </c>
      <c r="H47">
        <v>17.66</v>
      </c>
      <c r="I47">
        <v>19.93</v>
      </c>
      <c r="J47">
        <v>18.899999999999999</v>
      </c>
      <c r="K47">
        <v>20.27</v>
      </c>
      <c r="L47">
        <v>21.16</v>
      </c>
      <c r="M47">
        <v>18.95</v>
      </c>
      <c r="N47">
        <v>18.13</v>
      </c>
      <c r="O47">
        <v>21.1</v>
      </c>
      <c r="P47">
        <v>22.46</v>
      </c>
      <c r="Q47">
        <v>21.82</v>
      </c>
      <c r="R47">
        <v>22.09</v>
      </c>
      <c r="S47">
        <v>21.94</v>
      </c>
      <c r="T47">
        <v>21.71</v>
      </c>
      <c r="U47">
        <v>21.44</v>
      </c>
    </row>
    <row r="48" spans="1:21" x14ac:dyDescent="0.25">
      <c r="A48" t="s">
        <v>88</v>
      </c>
      <c r="C48">
        <v>9.39</v>
      </c>
      <c r="D48">
        <v>13.28</v>
      </c>
      <c r="E48">
        <v>32.159999999999997</v>
      </c>
      <c r="F48">
        <v>58.45</v>
      </c>
      <c r="G48">
        <v>84.91</v>
      </c>
      <c r="H48">
        <v>143.05000000000001</v>
      </c>
      <c r="I48">
        <v>171.62</v>
      </c>
      <c r="J48">
        <v>374.66</v>
      </c>
      <c r="K48">
        <v>525.16999999999996</v>
      </c>
      <c r="L48">
        <v>520.28</v>
      </c>
      <c r="M48">
        <v>535.82000000000005</v>
      </c>
      <c r="N48">
        <v>518.46</v>
      </c>
      <c r="O48">
        <v>487.58</v>
      </c>
      <c r="P48">
        <v>497.68</v>
      </c>
      <c r="Q48">
        <v>510.32</v>
      </c>
      <c r="R48">
        <v>544.96</v>
      </c>
      <c r="S48">
        <v>544.27</v>
      </c>
      <c r="T48">
        <v>622.22</v>
      </c>
      <c r="U48">
        <v>667.04</v>
      </c>
    </row>
    <row r="49" spans="1:21" x14ac:dyDescent="0.25">
      <c r="A49" t="s">
        <v>61</v>
      </c>
      <c r="C49">
        <v>5.03</v>
      </c>
      <c r="D49">
        <v>4.96</v>
      </c>
      <c r="E49">
        <v>3.94</v>
      </c>
      <c r="F49">
        <v>3.93</v>
      </c>
      <c r="G49">
        <v>5.49</v>
      </c>
      <c r="H49">
        <v>16.170000000000002</v>
      </c>
      <c r="I49">
        <v>16.100000000000001</v>
      </c>
      <c r="J49">
        <v>13.58</v>
      </c>
      <c r="K49">
        <v>12.21</v>
      </c>
      <c r="L49">
        <v>11.76</v>
      </c>
      <c r="M49">
        <v>12.69</v>
      </c>
      <c r="N49">
        <v>14.5</v>
      </c>
      <c r="O49">
        <v>13.25</v>
      </c>
      <c r="P49">
        <v>13.95</v>
      </c>
      <c r="Q49">
        <v>13.52</v>
      </c>
      <c r="R49">
        <v>13.39</v>
      </c>
      <c r="S49">
        <v>13.18</v>
      </c>
      <c r="T49">
        <v>13.06</v>
      </c>
      <c r="U49">
        <v>12.87</v>
      </c>
    </row>
    <row r="50" spans="1:21" x14ac:dyDescent="0.25">
      <c r="A50" t="s">
        <v>17</v>
      </c>
    </row>
    <row r="51" spans="1:21" x14ac:dyDescent="0.25">
      <c r="A51" t="s">
        <v>91</v>
      </c>
      <c r="E51">
        <v>66.98</v>
      </c>
      <c r="F51">
        <v>69.36</v>
      </c>
      <c r="G51">
        <v>107.32</v>
      </c>
      <c r="H51">
        <v>112.2</v>
      </c>
      <c r="I51">
        <v>144.21</v>
      </c>
      <c r="J51">
        <v>124.82</v>
      </c>
      <c r="K51">
        <v>113.65</v>
      </c>
      <c r="L51">
        <v>200.48</v>
      </c>
      <c r="M51">
        <v>427.17</v>
      </c>
      <c r="N51">
        <v>589.32000000000005</v>
      </c>
      <c r="O51">
        <v>278.8</v>
      </c>
      <c r="P51">
        <v>160.65</v>
      </c>
      <c r="Q51">
        <v>269.93</v>
      </c>
      <c r="R51">
        <v>212.46</v>
      </c>
      <c r="S51">
        <v>304.8</v>
      </c>
      <c r="T51">
        <v>209.86</v>
      </c>
      <c r="U51">
        <v>287.33</v>
      </c>
    </row>
    <row r="52" spans="1:21" x14ac:dyDescent="0.25">
      <c r="A52" t="s">
        <v>92</v>
      </c>
      <c r="C52">
        <v>1.72</v>
      </c>
      <c r="D52">
        <v>33.36</v>
      </c>
      <c r="E52">
        <v>28.34</v>
      </c>
      <c r="F52">
        <v>22.5</v>
      </c>
      <c r="G52">
        <v>22.49</v>
      </c>
      <c r="H52">
        <v>16.97</v>
      </c>
      <c r="I52">
        <v>17.25</v>
      </c>
      <c r="J52">
        <v>10.43</v>
      </c>
      <c r="K52">
        <v>7.2</v>
      </c>
      <c r="L52">
        <v>10.3</v>
      </c>
      <c r="M52">
        <v>17.47</v>
      </c>
      <c r="N52">
        <v>20.350000000000001</v>
      </c>
      <c r="O52">
        <v>9.02</v>
      </c>
      <c r="P52">
        <v>3.94</v>
      </c>
      <c r="Q52">
        <v>7.08</v>
      </c>
      <c r="R52">
        <v>5.46</v>
      </c>
      <c r="S52">
        <v>7.04</v>
      </c>
      <c r="T52">
        <v>6.53</v>
      </c>
      <c r="U52">
        <v>8.1199999999999992</v>
      </c>
    </row>
    <row r="53" spans="1:21" x14ac:dyDescent="0.25">
      <c r="A53" t="s">
        <v>17</v>
      </c>
    </row>
    <row r="54" spans="1:21" x14ac:dyDescent="0.25">
      <c r="A54" t="s">
        <v>93</v>
      </c>
      <c r="C54">
        <v>0.68</v>
      </c>
      <c r="D54">
        <v>1.83</v>
      </c>
      <c r="E54">
        <v>3.8</v>
      </c>
      <c r="F54">
        <v>7.21</v>
      </c>
      <c r="G54">
        <v>11.82</v>
      </c>
      <c r="H54">
        <v>21.66</v>
      </c>
      <c r="I54">
        <v>28.63</v>
      </c>
      <c r="J54">
        <v>42.22</v>
      </c>
      <c r="K54">
        <v>54.43</v>
      </c>
      <c r="L54">
        <v>80.42</v>
      </c>
      <c r="M54">
        <v>87.49</v>
      </c>
      <c r="N54">
        <v>115.78</v>
      </c>
      <c r="O54">
        <v>128.69999999999999</v>
      </c>
      <c r="P54">
        <v>136.41999999999999</v>
      </c>
      <c r="Q54">
        <v>150.5</v>
      </c>
      <c r="R54">
        <v>160.66</v>
      </c>
      <c r="S54">
        <v>170.87</v>
      </c>
      <c r="T54">
        <v>196.65</v>
      </c>
      <c r="U54">
        <v>234.32</v>
      </c>
    </row>
    <row r="55" spans="1:21" x14ac:dyDescent="0.25">
      <c r="A55" t="s">
        <v>83</v>
      </c>
      <c r="C55">
        <v>1.53</v>
      </c>
      <c r="D55">
        <v>1.61</v>
      </c>
      <c r="E55">
        <v>1.87</v>
      </c>
      <c r="F55">
        <v>2.34</v>
      </c>
      <c r="G55">
        <v>2.48</v>
      </c>
      <c r="H55">
        <v>3.28</v>
      </c>
      <c r="I55">
        <v>3.42</v>
      </c>
      <c r="J55">
        <v>3.53</v>
      </c>
      <c r="K55">
        <v>3.45</v>
      </c>
      <c r="L55">
        <v>4.13</v>
      </c>
      <c r="M55">
        <v>3.58</v>
      </c>
      <c r="N55">
        <v>4</v>
      </c>
      <c r="O55">
        <v>4.47</v>
      </c>
      <c r="P55">
        <v>4.71</v>
      </c>
      <c r="Q55">
        <v>4.99</v>
      </c>
      <c r="R55">
        <v>5.0199999999999996</v>
      </c>
      <c r="S55">
        <v>5.0199999999999996</v>
      </c>
      <c r="T55">
        <v>4.99</v>
      </c>
      <c r="U55">
        <v>5.48</v>
      </c>
    </row>
    <row r="56" spans="1:21" x14ac:dyDescent="0.25">
      <c r="A56" t="s">
        <v>17</v>
      </c>
    </row>
    <row r="57" spans="1:21" x14ac:dyDescent="0.25">
      <c r="A57" t="s">
        <v>2148</v>
      </c>
      <c r="C57">
        <v>1.71</v>
      </c>
      <c r="D57">
        <v>8.1300000000000008</v>
      </c>
      <c r="E57">
        <v>13.68</v>
      </c>
      <c r="F57">
        <v>5.73</v>
      </c>
      <c r="G57">
        <v>1.59</v>
      </c>
      <c r="H57">
        <v>-4.0199999999999996</v>
      </c>
      <c r="I57">
        <v>0.31</v>
      </c>
      <c r="J57">
        <v>2.78</v>
      </c>
      <c r="K57">
        <v>-13.72</v>
      </c>
      <c r="L57">
        <v>-67.52</v>
      </c>
      <c r="M57">
        <v>-80.14</v>
      </c>
      <c r="N57">
        <v>-69.430000000000007</v>
      </c>
      <c r="O57">
        <v>-47.5</v>
      </c>
      <c r="P57">
        <v>-48.36</v>
      </c>
      <c r="Q57">
        <v>-50.41</v>
      </c>
      <c r="R57">
        <v>-54.55</v>
      </c>
      <c r="S57">
        <v>-58.12</v>
      </c>
      <c r="T57">
        <v>-62</v>
      </c>
      <c r="U57">
        <v>-64.510000000000005</v>
      </c>
    </row>
    <row r="58" spans="1:21" x14ac:dyDescent="0.25">
      <c r="A58" t="s">
        <v>2149</v>
      </c>
      <c r="C58">
        <v>0.32</v>
      </c>
      <c r="D58">
        <v>1.02</v>
      </c>
      <c r="E58">
        <v>1.1499999999999999</v>
      </c>
      <c r="F58">
        <v>3.94</v>
      </c>
      <c r="G58">
        <v>1.92</v>
      </c>
      <c r="H58">
        <v>0.7</v>
      </c>
      <c r="I58">
        <v>0.96</v>
      </c>
      <c r="J58">
        <v>1.75</v>
      </c>
      <c r="K58">
        <v>-0.96</v>
      </c>
      <c r="L58">
        <v>0.99</v>
      </c>
      <c r="M58">
        <v>-1.29</v>
      </c>
      <c r="N58">
        <v>-0.72</v>
      </c>
      <c r="O58">
        <v>1.1200000000000001</v>
      </c>
      <c r="P58">
        <v>0</v>
      </c>
    </row>
    <row r="59" spans="1:21" x14ac:dyDescent="0.25">
      <c r="A59" t="s">
        <v>392</v>
      </c>
      <c r="C59">
        <v>0.84</v>
      </c>
      <c r="D59">
        <v>1.1399999999999999</v>
      </c>
      <c r="E59">
        <v>3.08</v>
      </c>
      <c r="F59">
        <v>1.79</v>
      </c>
      <c r="G59">
        <v>-0.33</v>
      </c>
      <c r="H59">
        <v>-4.72</v>
      </c>
      <c r="I59">
        <v>-0.66</v>
      </c>
      <c r="J59">
        <v>1.03</v>
      </c>
      <c r="K59">
        <v>-12.76</v>
      </c>
      <c r="L59">
        <v>-68.510000000000005</v>
      </c>
      <c r="M59">
        <v>-78.84</v>
      </c>
      <c r="N59">
        <v>-68.72</v>
      </c>
      <c r="O59">
        <v>-46.74</v>
      </c>
      <c r="P59">
        <v>-50.39</v>
      </c>
      <c r="Q59">
        <v>-52.95</v>
      </c>
      <c r="R59">
        <v>-60</v>
      </c>
      <c r="S59">
        <v>-66.08</v>
      </c>
      <c r="T59">
        <v>-62</v>
      </c>
      <c r="U59">
        <v>-64.510000000000005</v>
      </c>
    </row>
    <row r="60" spans="1:21" x14ac:dyDescent="0.25">
      <c r="A60" t="s">
        <v>100</v>
      </c>
      <c r="E60">
        <v>43.83</v>
      </c>
      <c r="F60">
        <v>63.63</v>
      </c>
      <c r="G60">
        <v>105.74</v>
      </c>
      <c r="H60">
        <v>116.22</v>
      </c>
      <c r="I60">
        <v>143.9</v>
      </c>
      <c r="J60">
        <v>122.04</v>
      </c>
      <c r="K60">
        <v>127.37</v>
      </c>
      <c r="L60">
        <v>268</v>
      </c>
      <c r="M60">
        <v>507.3</v>
      </c>
      <c r="N60">
        <v>658.76</v>
      </c>
      <c r="O60">
        <v>295.07</v>
      </c>
      <c r="P60">
        <v>182.3</v>
      </c>
      <c r="Q60">
        <v>276.14999999999998</v>
      </c>
      <c r="R60">
        <v>247.87</v>
      </c>
      <c r="S60">
        <v>286.10000000000002</v>
      </c>
      <c r="T60">
        <v>258.67</v>
      </c>
      <c r="U60">
        <v>343.4</v>
      </c>
    </row>
    <row r="61" spans="1:21" x14ac:dyDescent="0.25">
      <c r="A61" t="s">
        <v>83</v>
      </c>
      <c r="C61">
        <v>-2.12</v>
      </c>
      <c r="D61">
        <v>26.23</v>
      </c>
      <c r="E61">
        <v>21.6</v>
      </c>
      <c r="F61">
        <v>20.64</v>
      </c>
      <c r="G61">
        <v>22.15</v>
      </c>
      <c r="H61">
        <v>17.579999999999998</v>
      </c>
      <c r="I61">
        <v>17.21</v>
      </c>
      <c r="J61">
        <v>10.199999999999999</v>
      </c>
      <c r="K61">
        <v>8.07</v>
      </c>
      <c r="L61">
        <v>13.77</v>
      </c>
      <c r="M61">
        <v>20.75</v>
      </c>
      <c r="N61">
        <v>22.74</v>
      </c>
      <c r="O61">
        <v>10.87</v>
      </c>
      <c r="P61">
        <v>5.31</v>
      </c>
      <c r="Q61">
        <v>-0.16</v>
      </c>
      <c r="R61">
        <v>-0.13</v>
      </c>
      <c r="S61">
        <v>0.32</v>
      </c>
      <c r="T61">
        <v>0.37</v>
      </c>
      <c r="U61">
        <v>1.27</v>
      </c>
    </row>
    <row r="62" spans="1:21" x14ac:dyDescent="0.25">
      <c r="A62" t="s">
        <v>17</v>
      </c>
    </row>
    <row r="63" spans="1:21" x14ac:dyDescent="0.25">
      <c r="A63" t="s">
        <v>101</v>
      </c>
      <c r="C63">
        <v>-0.95</v>
      </c>
      <c r="D63">
        <v>13.93</v>
      </c>
      <c r="E63">
        <v>23.35</v>
      </c>
      <c r="F63">
        <v>12.83</v>
      </c>
      <c r="G63">
        <v>17.600000000000001</v>
      </c>
      <c r="H63">
        <v>7.9</v>
      </c>
      <c r="I63">
        <v>-98.41</v>
      </c>
      <c r="J63">
        <v>-15.73</v>
      </c>
      <c r="K63">
        <v>73.989999999999995</v>
      </c>
      <c r="L63">
        <v>89.06</v>
      </c>
      <c r="M63">
        <v>114.23</v>
      </c>
      <c r="N63">
        <v>215.45</v>
      </c>
      <c r="O63">
        <v>118.08</v>
      </c>
      <c r="P63">
        <v>51.23</v>
      </c>
      <c r="Q63">
        <v>73.09</v>
      </c>
      <c r="R63">
        <v>65.06</v>
      </c>
      <c r="S63">
        <v>86.51</v>
      </c>
      <c r="T63">
        <v>87.12</v>
      </c>
      <c r="U63">
        <v>97.99</v>
      </c>
    </row>
    <row r="64" spans="1:21" x14ac:dyDescent="0.25">
      <c r="A64" t="s">
        <v>102</v>
      </c>
      <c r="D64">
        <v>46.65</v>
      </c>
      <c r="E64">
        <v>53.27</v>
      </c>
      <c r="F64">
        <v>20.16</v>
      </c>
      <c r="G64">
        <v>16.64</v>
      </c>
      <c r="H64">
        <v>6.8</v>
      </c>
      <c r="K64">
        <v>58.09</v>
      </c>
      <c r="L64">
        <v>33.229999999999997</v>
      </c>
      <c r="M64">
        <v>22.52</v>
      </c>
      <c r="N64">
        <v>32.71</v>
      </c>
      <c r="O64">
        <v>40.76</v>
      </c>
      <c r="P64">
        <v>30.39</v>
      </c>
      <c r="Q64">
        <v>29.22</v>
      </c>
      <c r="R64">
        <v>27.85</v>
      </c>
      <c r="S64">
        <v>27.68</v>
      </c>
      <c r="T64">
        <v>28.52</v>
      </c>
      <c r="U64">
        <v>28.09</v>
      </c>
    </row>
    <row r="65" spans="1:21" x14ac:dyDescent="0.25">
      <c r="A65" t="s">
        <v>17</v>
      </c>
    </row>
    <row r="66" spans="1:21" x14ac:dyDescent="0.25">
      <c r="A66" t="s">
        <v>106</v>
      </c>
      <c r="E66">
        <v>-26.73</v>
      </c>
      <c r="F66">
        <v>50.8</v>
      </c>
      <c r="G66">
        <v>88.14</v>
      </c>
      <c r="H66">
        <v>108.32</v>
      </c>
      <c r="I66">
        <v>242.3</v>
      </c>
      <c r="J66">
        <v>137.76</v>
      </c>
      <c r="K66">
        <v>53.39</v>
      </c>
      <c r="L66">
        <v>178.94</v>
      </c>
      <c r="M66">
        <v>393.08</v>
      </c>
      <c r="N66">
        <v>443.3</v>
      </c>
      <c r="O66">
        <v>180.72</v>
      </c>
      <c r="P66">
        <v>108.78</v>
      </c>
      <c r="Q66">
        <v>180.36</v>
      </c>
      <c r="R66">
        <v>175.41</v>
      </c>
      <c r="S66">
        <v>229.68</v>
      </c>
      <c r="T66">
        <v>195.14</v>
      </c>
      <c r="U66">
        <v>253.87</v>
      </c>
    </row>
    <row r="67" spans="1:21" x14ac:dyDescent="0.25">
      <c r="A67" t="s">
        <v>280</v>
      </c>
      <c r="C67">
        <v>0.01</v>
      </c>
      <c r="D67">
        <v>7.7</v>
      </c>
      <c r="E67">
        <v>-13.17</v>
      </c>
      <c r="F67">
        <v>16.48</v>
      </c>
      <c r="G67">
        <v>18.47</v>
      </c>
      <c r="H67">
        <v>16.39</v>
      </c>
      <c r="I67">
        <v>28.98</v>
      </c>
      <c r="J67">
        <v>11.51</v>
      </c>
      <c r="K67">
        <v>3.38</v>
      </c>
      <c r="L67">
        <v>9.19</v>
      </c>
      <c r="M67">
        <v>16.079999999999998</v>
      </c>
      <c r="N67">
        <v>15.31</v>
      </c>
      <c r="O67">
        <v>6.48</v>
      </c>
      <c r="P67">
        <v>4.47</v>
      </c>
      <c r="Q67">
        <v>6.14</v>
      </c>
      <c r="R67">
        <v>5.31</v>
      </c>
      <c r="S67">
        <v>5.9</v>
      </c>
      <c r="T67">
        <v>6.12</v>
      </c>
      <c r="U67">
        <v>7.43</v>
      </c>
    </row>
    <row r="68" spans="1:21" x14ac:dyDescent="0.25">
      <c r="A68" t="s">
        <v>17</v>
      </c>
    </row>
    <row r="69" spans="1:21" x14ac:dyDescent="0.25">
      <c r="A69" t="s">
        <v>108</v>
      </c>
      <c r="C69">
        <v>102.33</v>
      </c>
      <c r="D69">
        <v>102.9</v>
      </c>
      <c r="E69">
        <v>182.8</v>
      </c>
      <c r="F69">
        <v>402.62</v>
      </c>
      <c r="G69">
        <v>424.42</v>
      </c>
      <c r="H69">
        <v>445.33</v>
      </c>
      <c r="I69">
        <v>462.87</v>
      </c>
      <c r="J69">
        <v>476.85</v>
      </c>
      <c r="K69">
        <v>486.94</v>
      </c>
      <c r="L69">
        <v>489.26</v>
      </c>
      <c r="M69">
        <v>490.88</v>
      </c>
      <c r="N69">
        <v>488.28</v>
      </c>
      <c r="O69">
        <v>468.5</v>
      </c>
      <c r="P69">
        <v>463.78</v>
      </c>
      <c r="Q69">
        <v>450.62</v>
      </c>
      <c r="R69">
        <v>449.08</v>
      </c>
      <c r="S69">
        <v>447.11</v>
      </c>
      <c r="T69">
        <v>427.02</v>
      </c>
      <c r="U69">
        <v>426.75</v>
      </c>
    </row>
    <row r="70" spans="1:21" x14ac:dyDescent="0.25">
      <c r="A70" t="s">
        <v>888</v>
      </c>
      <c r="C70">
        <v>0</v>
      </c>
      <c r="D70">
        <v>0.09</v>
      </c>
      <c r="E70">
        <v>-0.15</v>
      </c>
      <c r="F70">
        <v>0.13</v>
      </c>
      <c r="G70">
        <v>0.21</v>
      </c>
      <c r="H70">
        <v>0.24</v>
      </c>
      <c r="I70">
        <v>0.52</v>
      </c>
      <c r="J70">
        <v>0.28999999999999998</v>
      </c>
      <c r="K70">
        <v>0.11</v>
      </c>
      <c r="L70">
        <v>0.37</v>
      </c>
      <c r="M70">
        <v>0.8</v>
      </c>
      <c r="N70">
        <v>0.91</v>
      </c>
      <c r="O70">
        <v>0.4</v>
      </c>
      <c r="P70">
        <v>0.22</v>
      </c>
      <c r="Q70">
        <v>0.25</v>
      </c>
      <c r="R70">
        <v>0.2</v>
      </c>
      <c r="S70">
        <v>0.33</v>
      </c>
      <c r="T70">
        <v>0.3</v>
      </c>
      <c r="U70">
        <v>0.44</v>
      </c>
    </row>
    <row r="71" spans="1:21" x14ac:dyDescent="0.25">
      <c r="A71" t="s">
        <v>17</v>
      </c>
    </row>
    <row r="72" spans="1:21" x14ac:dyDescent="0.25">
      <c r="A72" t="s">
        <v>109</v>
      </c>
      <c r="E72">
        <v>394.65</v>
      </c>
      <c r="F72">
        <v>440.56</v>
      </c>
      <c r="G72">
        <v>457.93</v>
      </c>
      <c r="H72">
        <v>478.06</v>
      </c>
      <c r="I72">
        <v>489.88</v>
      </c>
      <c r="J72">
        <v>498.54</v>
      </c>
      <c r="K72">
        <v>499.93</v>
      </c>
      <c r="L72">
        <v>500.18</v>
      </c>
      <c r="M72">
        <v>501.92</v>
      </c>
      <c r="N72">
        <v>493.55</v>
      </c>
      <c r="O72">
        <v>472.12</v>
      </c>
      <c r="P72">
        <v>471.59</v>
      </c>
      <c r="Q72">
        <v>465.11</v>
      </c>
      <c r="R72">
        <v>467.48</v>
      </c>
      <c r="S72">
        <v>466.63</v>
      </c>
      <c r="T72">
        <v>462.79</v>
      </c>
      <c r="U72">
        <v>459.13</v>
      </c>
    </row>
    <row r="73" spans="1:21" x14ac:dyDescent="0.25">
      <c r="A73" t="s">
        <v>110</v>
      </c>
      <c r="E73">
        <v>-0.15</v>
      </c>
      <c r="F73">
        <v>0.12</v>
      </c>
      <c r="G73">
        <v>0.19</v>
      </c>
      <c r="H73">
        <v>0.23</v>
      </c>
      <c r="I73">
        <v>0.5</v>
      </c>
      <c r="J73">
        <v>0.28000000000000003</v>
      </c>
      <c r="K73">
        <v>0.11</v>
      </c>
      <c r="L73">
        <v>0.36</v>
      </c>
      <c r="M73">
        <v>0.78</v>
      </c>
      <c r="N73">
        <v>0.9</v>
      </c>
      <c r="O73">
        <v>0.38</v>
      </c>
      <c r="P73">
        <v>0.24</v>
      </c>
      <c r="Q73">
        <v>0.38</v>
      </c>
      <c r="R73">
        <v>0.37</v>
      </c>
      <c r="S73">
        <v>0.49</v>
      </c>
      <c r="T73">
        <v>0.42</v>
      </c>
      <c r="U73">
        <v>0.56000000000000005</v>
      </c>
    </row>
    <row r="74" spans="1:21" x14ac:dyDescent="0.25">
      <c r="A74" t="s">
        <v>17</v>
      </c>
    </row>
    <row r="75" spans="1:21" x14ac:dyDescent="0.25">
      <c r="A75" t="s">
        <v>281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17</v>
      </c>
    </row>
    <row r="77" spans="1:21" x14ac:dyDescent="0.25">
      <c r="A77" t="s">
        <v>111</v>
      </c>
    </row>
    <row r="78" spans="1:21" x14ac:dyDescent="0.25">
      <c r="A78" t="s">
        <v>117</v>
      </c>
      <c r="E78">
        <v>65.2</v>
      </c>
      <c r="F78">
        <v>95.5</v>
      </c>
      <c r="G78">
        <v>159.44</v>
      </c>
      <c r="H78">
        <v>213.92</v>
      </c>
      <c r="I78">
        <v>283.7</v>
      </c>
      <c r="J78">
        <v>502.7</v>
      </c>
      <c r="K78">
        <v>667.68</v>
      </c>
      <c r="L78">
        <v>771.53</v>
      </c>
      <c r="M78" s="2">
        <v>1010.65</v>
      </c>
      <c r="N78" s="2">
        <v>1196.45</v>
      </c>
      <c r="O78">
        <v>823.55</v>
      </c>
      <c r="P78">
        <v>680.51</v>
      </c>
      <c r="Q78">
        <v>791.32</v>
      </c>
      <c r="R78">
        <v>787.79</v>
      </c>
      <c r="S78">
        <v>848.46</v>
      </c>
      <c r="T78">
        <v>936</v>
      </c>
      <c r="U78" s="2">
        <v>1073.17</v>
      </c>
    </row>
    <row r="79" spans="1:21" x14ac:dyDescent="0.25">
      <c r="A79" t="s">
        <v>286</v>
      </c>
      <c r="E79">
        <v>32</v>
      </c>
      <c r="F79">
        <v>31</v>
      </c>
      <c r="G79">
        <v>33</v>
      </c>
      <c r="H79">
        <v>32</v>
      </c>
      <c r="I79">
        <v>34</v>
      </c>
      <c r="J79">
        <v>42</v>
      </c>
      <c r="K79">
        <v>42</v>
      </c>
      <c r="L79">
        <v>40</v>
      </c>
      <c r="M79">
        <v>41</v>
      </c>
      <c r="N79">
        <v>41</v>
      </c>
      <c r="O79">
        <v>29.5</v>
      </c>
      <c r="P79">
        <v>24.85</v>
      </c>
      <c r="Q79">
        <v>27.08</v>
      </c>
      <c r="R79">
        <v>26.36</v>
      </c>
      <c r="S79">
        <v>26.81</v>
      </c>
      <c r="T79">
        <v>27.56</v>
      </c>
      <c r="U79">
        <v>28.62</v>
      </c>
    </row>
    <row r="80" spans="1:21" x14ac:dyDescent="0.25">
      <c r="A80" t="s">
        <v>2150</v>
      </c>
      <c r="E80">
        <v>-26.24</v>
      </c>
      <c r="F80">
        <v>50.8</v>
      </c>
      <c r="G80">
        <v>88.14</v>
      </c>
      <c r="H80">
        <v>108.32</v>
      </c>
      <c r="I80">
        <v>0</v>
      </c>
      <c r="K80">
        <v>522.03</v>
      </c>
      <c r="L80">
        <v>628.1</v>
      </c>
      <c r="M80">
        <v>832.3</v>
      </c>
      <c r="N80">
        <v>873.28</v>
      </c>
      <c r="O80">
        <v>501.64</v>
      </c>
      <c r="P80">
        <v>427.43</v>
      </c>
      <c r="Q80">
        <v>513.55999999999995</v>
      </c>
      <c r="R80">
        <v>539.6</v>
      </c>
      <c r="S80">
        <v>573.6</v>
      </c>
      <c r="T80">
        <v>637.57000000000005</v>
      </c>
      <c r="U80">
        <v>699.17</v>
      </c>
    </row>
    <row r="81" spans="1:21" x14ac:dyDescent="0.25">
      <c r="A81" t="s">
        <v>599</v>
      </c>
      <c r="E81">
        <v>35.299999999999997</v>
      </c>
      <c r="F81">
        <v>70.36</v>
      </c>
      <c r="G81">
        <v>123.85</v>
      </c>
      <c r="H81">
        <v>176.31</v>
      </c>
      <c r="I81">
        <v>88.3</v>
      </c>
      <c r="J81">
        <v>455.56</v>
      </c>
      <c r="K81">
        <v>522.03</v>
      </c>
      <c r="L81">
        <v>628.1</v>
      </c>
      <c r="M81">
        <v>832.3</v>
      </c>
      <c r="N81">
        <v>873.28</v>
      </c>
      <c r="O81">
        <v>501.64</v>
      </c>
      <c r="P81">
        <v>427.43</v>
      </c>
      <c r="Q81">
        <v>513.55999999999995</v>
      </c>
      <c r="R81">
        <v>539.6</v>
      </c>
      <c r="S81">
        <v>573.6</v>
      </c>
      <c r="T81">
        <v>637.57000000000005</v>
      </c>
      <c r="U81">
        <v>699.17</v>
      </c>
    </row>
    <row r="82" spans="1:21" x14ac:dyDescent="0.25">
      <c r="A82" t="s">
        <v>1704</v>
      </c>
      <c r="E82">
        <v>17.399999999999999</v>
      </c>
      <c r="F82">
        <v>22.83</v>
      </c>
      <c r="G82">
        <v>25.95</v>
      </c>
      <c r="H82">
        <v>26.67</v>
      </c>
      <c r="I82">
        <v>40.15</v>
      </c>
      <c r="J82">
        <v>38.08</v>
      </c>
      <c r="K82">
        <v>33.090000000000003</v>
      </c>
      <c r="L82">
        <v>32.270000000000003</v>
      </c>
      <c r="M82">
        <v>34.04</v>
      </c>
      <c r="N82">
        <v>30.14</v>
      </c>
      <c r="O82">
        <v>20.100000000000001</v>
      </c>
      <c r="P82">
        <v>18.27</v>
      </c>
      <c r="Q82">
        <v>20.56</v>
      </c>
      <c r="R82">
        <v>20.309999999999999</v>
      </c>
      <c r="S82">
        <v>20.65</v>
      </c>
      <c r="T82">
        <v>20.5</v>
      </c>
      <c r="U82">
        <v>20.55</v>
      </c>
    </row>
    <row r="83" spans="1:21" x14ac:dyDescent="0.25">
      <c r="A83" t="s">
        <v>124</v>
      </c>
      <c r="E83">
        <v>0.09</v>
      </c>
      <c r="F83">
        <v>0.16</v>
      </c>
      <c r="G83">
        <v>0.27</v>
      </c>
      <c r="H83">
        <v>0.37</v>
      </c>
      <c r="I83">
        <v>0.87</v>
      </c>
      <c r="J83">
        <v>0.91</v>
      </c>
      <c r="K83">
        <v>1.04</v>
      </c>
      <c r="L83">
        <v>1.26</v>
      </c>
      <c r="M83">
        <v>1.66</v>
      </c>
      <c r="N83">
        <v>1.77</v>
      </c>
      <c r="O83">
        <v>1.1200000000000001</v>
      </c>
      <c r="P83">
        <v>0.93</v>
      </c>
      <c r="Q83">
        <v>1.1599999999999999</v>
      </c>
      <c r="R83">
        <v>1.1200000000000001</v>
      </c>
      <c r="S83">
        <v>1.18</v>
      </c>
      <c r="T83">
        <v>1.37</v>
      </c>
      <c r="U83">
        <v>1.54</v>
      </c>
    </row>
    <row r="84" spans="1:21" x14ac:dyDescent="0.25">
      <c r="A84" t="s">
        <v>17</v>
      </c>
    </row>
    <row r="85" spans="1:21" x14ac:dyDescent="0.25">
      <c r="A85" t="s">
        <v>125</v>
      </c>
    </row>
    <row r="86" spans="1:21" x14ac:dyDescent="0.25">
      <c r="A86" t="s">
        <v>67</v>
      </c>
      <c r="C86">
        <v>4.55</v>
      </c>
      <c r="D86">
        <v>0.37</v>
      </c>
      <c r="E86">
        <v>5.0599999999999996</v>
      </c>
      <c r="F86">
        <v>21.32</v>
      </c>
      <c r="G86">
        <v>42.21</v>
      </c>
      <c r="H86">
        <v>80.760000000000005</v>
      </c>
      <c r="I86">
        <v>111.78</v>
      </c>
      <c r="J86">
        <v>337.41</v>
      </c>
      <c r="K86">
        <v>498.64</v>
      </c>
      <c r="L86">
        <v>491.62</v>
      </c>
      <c r="M86">
        <v>494.7</v>
      </c>
      <c r="N86">
        <v>490.63</v>
      </c>
      <c r="O86">
        <v>432.81</v>
      </c>
      <c r="P86">
        <v>440.1</v>
      </c>
      <c r="Q86">
        <v>449.67</v>
      </c>
      <c r="R86">
        <v>476.86</v>
      </c>
      <c r="S86">
        <v>500.66</v>
      </c>
      <c r="T86">
        <v>519.91999999999996</v>
      </c>
      <c r="U86">
        <v>533.86</v>
      </c>
    </row>
    <row r="87" spans="1:21" x14ac:dyDescent="0.25">
      <c r="A87" t="s">
        <v>2151</v>
      </c>
      <c r="C87">
        <v>0.01</v>
      </c>
      <c r="D87">
        <v>7.0000000000000007E-2</v>
      </c>
      <c r="E87">
        <v>0.76</v>
      </c>
      <c r="F87">
        <v>2.67</v>
      </c>
      <c r="G87">
        <v>4.46</v>
      </c>
      <c r="H87">
        <v>5.35</v>
      </c>
      <c r="I87">
        <v>8.7899999999999991</v>
      </c>
      <c r="J87">
        <v>15.91</v>
      </c>
      <c r="K87">
        <v>18.29</v>
      </c>
      <c r="L87">
        <v>21.05</v>
      </c>
      <c r="M87">
        <v>29.31</v>
      </c>
      <c r="N87">
        <v>34.479999999999997</v>
      </c>
      <c r="O87">
        <v>33.270000000000003</v>
      </c>
      <c r="P87">
        <v>33.89</v>
      </c>
      <c r="Q87">
        <v>35.26</v>
      </c>
      <c r="R87">
        <v>38.67</v>
      </c>
      <c r="S87">
        <v>41.41</v>
      </c>
      <c r="T87">
        <v>46.37</v>
      </c>
      <c r="U87">
        <v>50</v>
      </c>
    </row>
    <row r="88" spans="1:21" x14ac:dyDescent="0.25">
      <c r="A88" t="s">
        <v>113</v>
      </c>
      <c r="C88">
        <v>0.05</v>
      </c>
      <c r="D88">
        <v>0.13</v>
      </c>
      <c r="E88">
        <v>1.71</v>
      </c>
      <c r="F88">
        <v>6.26</v>
      </c>
      <c r="G88">
        <v>11.31</v>
      </c>
      <c r="H88">
        <v>20.77</v>
      </c>
      <c r="I88">
        <v>29.73</v>
      </c>
      <c r="J88">
        <v>50.67</v>
      </c>
      <c r="K88">
        <v>64.44</v>
      </c>
      <c r="L88">
        <v>75.92</v>
      </c>
      <c r="M88">
        <v>99.14</v>
      </c>
      <c r="N88">
        <v>112.51</v>
      </c>
      <c r="O88">
        <v>112.78</v>
      </c>
      <c r="P88">
        <v>114.21</v>
      </c>
      <c r="Q88">
        <v>117.52</v>
      </c>
      <c r="R88">
        <v>125.27</v>
      </c>
      <c r="S88">
        <v>131.31</v>
      </c>
      <c r="T88">
        <v>136.63</v>
      </c>
      <c r="U88">
        <v>140.5</v>
      </c>
    </row>
    <row r="89" spans="1:21" x14ac:dyDescent="0.25">
      <c r="A89" t="s">
        <v>2152</v>
      </c>
      <c r="C89">
        <v>0.91</v>
      </c>
      <c r="D89">
        <v>0.09</v>
      </c>
      <c r="E89">
        <v>1.51</v>
      </c>
      <c r="F89">
        <v>6.66</v>
      </c>
      <c r="G89">
        <v>13.86</v>
      </c>
      <c r="H89">
        <v>26.55</v>
      </c>
      <c r="I89">
        <v>36.67</v>
      </c>
      <c r="J89">
        <v>57.79</v>
      </c>
      <c r="K89">
        <v>94.82</v>
      </c>
      <c r="L89">
        <v>120.82</v>
      </c>
      <c r="M89">
        <v>138.38999999999999</v>
      </c>
      <c r="N89">
        <v>163.35</v>
      </c>
      <c r="O89">
        <v>163.25</v>
      </c>
      <c r="P89">
        <v>166.02</v>
      </c>
      <c r="Q89">
        <v>172.76</v>
      </c>
      <c r="R89">
        <v>186.84</v>
      </c>
      <c r="S89">
        <v>199.07</v>
      </c>
      <c r="T89">
        <v>212.32</v>
      </c>
      <c r="U89">
        <v>223.67</v>
      </c>
    </row>
    <row r="90" spans="1:21" x14ac:dyDescent="0.25">
      <c r="A90" t="s">
        <v>115</v>
      </c>
      <c r="C90">
        <v>3.57</v>
      </c>
      <c r="D90">
        <v>0.09</v>
      </c>
      <c r="E90">
        <v>1.08</v>
      </c>
      <c r="F90">
        <v>5.72</v>
      </c>
      <c r="G90">
        <v>12.59</v>
      </c>
      <c r="H90">
        <v>28.09</v>
      </c>
      <c r="I90">
        <v>36.58</v>
      </c>
      <c r="J90">
        <v>213.04</v>
      </c>
      <c r="K90">
        <v>321.08999999999997</v>
      </c>
      <c r="L90">
        <v>273.83</v>
      </c>
      <c r="M90">
        <v>227.86</v>
      </c>
      <c r="N90">
        <v>180.29</v>
      </c>
      <c r="O90">
        <v>126.69</v>
      </c>
      <c r="P90">
        <v>144.41999999999999</v>
      </c>
      <c r="Q90">
        <v>145.03</v>
      </c>
      <c r="R90">
        <v>141.91999999999999</v>
      </c>
      <c r="S90">
        <v>147.94999999999999</v>
      </c>
      <c r="T90">
        <v>165.56</v>
      </c>
      <c r="U90">
        <v>166.92</v>
      </c>
    </row>
    <row r="91" spans="1:21" x14ac:dyDescent="0.25">
      <c r="A91" t="s">
        <v>120</v>
      </c>
      <c r="E91">
        <v>-0.44</v>
      </c>
      <c r="F91">
        <v>-3.27</v>
      </c>
      <c r="G91">
        <v>-6.5</v>
      </c>
      <c r="H91">
        <v>-12.77</v>
      </c>
      <c r="I91">
        <v>-18.46</v>
      </c>
      <c r="J91">
        <v>-19.62</v>
      </c>
      <c r="K91">
        <v>-30</v>
      </c>
      <c r="L91">
        <v>-42.46</v>
      </c>
      <c r="M91">
        <v>-55.47</v>
      </c>
      <c r="N91">
        <v>-60.85</v>
      </c>
      <c r="O91">
        <v>-58.59</v>
      </c>
      <c r="P91">
        <v>-61.61</v>
      </c>
      <c r="Q91">
        <v>-65.599999999999994</v>
      </c>
      <c r="R91">
        <v>-68.14</v>
      </c>
      <c r="S91">
        <v>-74.56</v>
      </c>
      <c r="T91">
        <v>-93.43</v>
      </c>
      <c r="U91">
        <v>-106.13</v>
      </c>
    </row>
    <row r="92" spans="1:21" x14ac:dyDescent="0.25">
      <c r="A92" t="s">
        <v>17</v>
      </c>
    </row>
    <row r="93" spans="1:21" x14ac:dyDescent="0.25">
      <c r="A93" t="s">
        <v>134</v>
      </c>
    </row>
    <row r="94" spans="1:21" x14ac:dyDescent="0.25">
      <c r="A94" t="s">
        <v>135</v>
      </c>
    </row>
    <row r="95" spans="1:21" x14ac:dyDescent="0.25">
      <c r="A95" t="s">
        <v>136</v>
      </c>
      <c r="C95">
        <v>97.09</v>
      </c>
      <c r="D95">
        <v>199.8</v>
      </c>
      <c r="E95">
        <v>516.4</v>
      </c>
      <c r="F95">
        <v>765.81</v>
      </c>
      <c r="G95" s="2">
        <v>1056.52</v>
      </c>
      <c r="H95" s="2">
        <v>1449.22</v>
      </c>
      <c r="I95" s="2">
        <v>2310.3200000000002</v>
      </c>
      <c r="J95" s="2">
        <v>3091.65</v>
      </c>
      <c r="K95" s="2">
        <v>3845.62</v>
      </c>
      <c r="L95" s="2">
        <v>4313.95</v>
      </c>
      <c r="M95" s="2">
        <v>5336.46</v>
      </c>
      <c r="N95" s="2">
        <v>5261</v>
      </c>
      <c r="O95" s="2">
        <v>4980.62</v>
      </c>
      <c r="P95" s="2">
        <v>5299.67</v>
      </c>
      <c r="Q95" s="2">
        <v>5550.82</v>
      </c>
      <c r="R95" s="2">
        <v>5856.08</v>
      </c>
      <c r="S95" s="2">
        <v>6221.59</v>
      </c>
      <c r="T95" s="2">
        <v>6310.19</v>
      </c>
      <c r="U95" s="2">
        <v>6437.27</v>
      </c>
    </row>
    <row r="96" spans="1:21" x14ac:dyDescent="0.25">
      <c r="A96" t="s">
        <v>137</v>
      </c>
      <c r="C96">
        <v>17.32</v>
      </c>
      <c r="D96">
        <v>4.05</v>
      </c>
      <c r="E96">
        <v>133.4</v>
      </c>
      <c r="F96">
        <v>155.94999999999999</v>
      </c>
      <c r="G96">
        <v>207.23</v>
      </c>
      <c r="H96">
        <v>254.99</v>
      </c>
      <c r="I96">
        <v>624.04</v>
      </c>
      <c r="J96">
        <v>958.78</v>
      </c>
      <c r="K96" s="2">
        <v>1446.59</v>
      </c>
      <c r="L96" s="2">
        <v>1380.29</v>
      </c>
      <c r="M96" s="2">
        <v>1921.49</v>
      </c>
      <c r="N96" s="2">
        <v>1303.06</v>
      </c>
      <c r="O96" s="2">
        <v>1622.3</v>
      </c>
      <c r="P96" s="2">
        <v>1696.13</v>
      </c>
      <c r="Q96" s="2">
        <v>1519.65</v>
      </c>
      <c r="R96" s="2">
        <v>1831.31</v>
      </c>
      <c r="S96" s="2">
        <v>1983.45</v>
      </c>
      <c r="T96">
        <v>861.27</v>
      </c>
      <c r="U96">
        <v>866.3</v>
      </c>
    </row>
    <row r="97" spans="1:21" x14ac:dyDescent="0.25">
      <c r="A97" t="s">
        <v>139</v>
      </c>
      <c r="C97">
        <v>17.32</v>
      </c>
      <c r="D97">
        <v>4.05</v>
      </c>
      <c r="E97">
        <v>133.4</v>
      </c>
      <c r="F97">
        <v>155.94999999999999</v>
      </c>
      <c r="G97">
        <v>207.23</v>
      </c>
      <c r="H97">
        <v>130.88</v>
      </c>
      <c r="I97">
        <v>437.35</v>
      </c>
      <c r="J97">
        <v>754.15</v>
      </c>
      <c r="K97" s="2">
        <v>1030.51</v>
      </c>
      <c r="L97">
        <v>895.13</v>
      </c>
      <c r="M97" s="2">
        <v>1369.46</v>
      </c>
      <c r="N97">
        <v>658.18</v>
      </c>
      <c r="O97" s="2">
        <v>1435.17</v>
      </c>
      <c r="P97" s="2">
        <v>1754.61</v>
      </c>
      <c r="Q97" s="2">
        <v>1553.8</v>
      </c>
      <c r="R97" s="2">
        <v>1722.77</v>
      </c>
      <c r="S97" s="2">
        <v>1986.82</v>
      </c>
      <c r="T97" s="2">
        <v>1808.03</v>
      </c>
      <c r="U97" s="2">
        <v>1720.04</v>
      </c>
    </row>
    <row r="98" spans="1:21" x14ac:dyDescent="0.25">
      <c r="A98" t="s">
        <v>141</v>
      </c>
      <c r="C98">
        <v>78.36</v>
      </c>
      <c r="D98">
        <v>191.94</v>
      </c>
      <c r="E98">
        <v>377.24</v>
      </c>
      <c r="F98">
        <v>599.57000000000005</v>
      </c>
      <c r="G98">
        <v>834.76</v>
      </c>
      <c r="H98" s="2">
        <v>1166.3800000000001</v>
      </c>
      <c r="I98" s="2">
        <v>1584.11</v>
      </c>
      <c r="J98" s="2">
        <v>2020.72</v>
      </c>
      <c r="K98" s="2">
        <v>2347.1999999999998</v>
      </c>
      <c r="L98" s="2">
        <v>2870.31</v>
      </c>
      <c r="M98" s="2">
        <v>3330.34</v>
      </c>
      <c r="N98" s="2">
        <v>3770.19</v>
      </c>
      <c r="O98" s="2">
        <v>3195.29</v>
      </c>
      <c r="P98" s="2">
        <v>3330.29</v>
      </c>
      <c r="Q98" s="2">
        <v>3446.39</v>
      </c>
      <c r="R98" s="2">
        <v>3539.95</v>
      </c>
      <c r="S98" s="2">
        <v>3609.61</v>
      </c>
      <c r="T98" s="2">
        <v>3657.8</v>
      </c>
      <c r="U98" s="2">
        <v>3769.26</v>
      </c>
    </row>
    <row r="99" spans="1:21" x14ac:dyDescent="0.25">
      <c r="A99" t="s">
        <v>428</v>
      </c>
      <c r="C99">
        <v>1.41</v>
      </c>
      <c r="D99">
        <v>3.81</v>
      </c>
      <c r="E99">
        <v>5.76</v>
      </c>
      <c r="F99">
        <v>10.3</v>
      </c>
      <c r="G99">
        <v>14.53</v>
      </c>
      <c r="H99">
        <v>27.86</v>
      </c>
      <c r="I99">
        <v>102.17</v>
      </c>
      <c r="J99">
        <v>112.15</v>
      </c>
      <c r="K99">
        <v>51.84</v>
      </c>
      <c r="L99">
        <v>63.35</v>
      </c>
      <c r="M99">
        <v>84.63</v>
      </c>
      <c r="N99">
        <v>187.75</v>
      </c>
      <c r="O99">
        <v>142.72</v>
      </c>
      <c r="P99">
        <v>144.5</v>
      </c>
      <c r="Q99">
        <v>151.02000000000001</v>
      </c>
      <c r="R99">
        <v>144.78</v>
      </c>
      <c r="S99">
        <v>147.93</v>
      </c>
      <c r="T99">
        <v>167.13</v>
      </c>
      <c r="U99">
        <v>177.43</v>
      </c>
    </row>
    <row r="100" spans="1:21" x14ac:dyDescent="0.25">
      <c r="A100" t="s">
        <v>2153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124.11</v>
      </c>
      <c r="I100">
        <v>186.69</v>
      </c>
      <c r="J100">
        <v>204.63</v>
      </c>
      <c r="K100">
        <v>416.08</v>
      </c>
      <c r="L100">
        <v>485.16</v>
      </c>
      <c r="M100">
        <v>552.03</v>
      </c>
      <c r="N100">
        <v>644.88</v>
      </c>
      <c r="O100">
        <v>424.22</v>
      </c>
      <c r="P100">
        <v>451.6</v>
      </c>
      <c r="Q100">
        <v>505.87</v>
      </c>
      <c r="R100">
        <v>578.33000000000004</v>
      </c>
      <c r="S100">
        <v>616.61</v>
      </c>
      <c r="T100">
        <v>790.11</v>
      </c>
      <c r="U100">
        <v>924.65</v>
      </c>
    </row>
    <row r="101" spans="1:21" x14ac:dyDescent="0.25">
      <c r="A101" t="s">
        <v>146</v>
      </c>
      <c r="C101">
        <v>5.15</v>
      </c>
      <c r="D101">
        <v>10.43</v>
      </c>
      <c r="E101">
        <v>21.19</v>
      </c>
      <c r="F101">
        <v>31.35</v>
      </c>
      <c r="G101">
        <v>61.35</v>
      </c>
      <c r="H101">
        <v>279.54000000000002</v>
      </c>
      <c r="I101">
        <v>443.33</v>
      </c>
      <c r="J101">
        <v>485.69</v>
      </c>
      <c r="K101">
        <v>535.05999999999995</v>
      </c>
      <c r="L101">
        <v>574.73</v>
      </c>
      <c r="M101">
        <v>775.49</v>
      </c>
      <c r="N101">
        <v>892.22</v>
      </c>
      <c r="O101">
        <v>952.72</v>
      </c>
      <c r="P101" s="2">
        <v>1013.99</v>
      </c>
      <c r="Q101" s="2">
        <v>1077.68</v>
      </c>
      <c r="R101" s="2">
        <v>1052.58</v>
      </c>
      <c r="S101" s="2">
        <v>1084.92</v>
      </c>
      <c r="T101" s="2">
        <v>1034.98</v>
      </c>
      <c r="U101" s="2">
        <v>1027.3499999999999</v>
      </c>
    </row>
    <row r="102" spans="1:21" x14ac:dyDescent="0.25">
      <c r="A102" t="s">
        <v>409</v>
      </c>
      <c r="D102">
        <v>6.63</v>
      </c>
      <c r="E102">
        <v>14.78</v>
      </c>
      <c r="F102">
        <v>17.41</v>
      </c>
      <c r="G102">
        <v>33.049999999999997</v>
      </c>
      <c r="H102">
        <v>64.010000000000005</v>
      </c>
      <c r="I102">
        <v>115.86</v>
      </c>
      <c r="J102">
        <v>135.86000000000001</v>
      </c>
      <c r="K102">
        <v>173.76</v>
      </c>
      <c r="L102">
        <v>161.41999999999999</v>
      </c>
      <c r="M102">
        <v>209.33</v>
      </c>
      <c r="N102">
        <v>396.82</v>
      </c>
      <c r="O102">
        <v>473.09</v>
      </c>
      <c r="P102">
        <v>554.76</v>
      </c>
      <c r="Q102">
        <v>594.15</v>
      </c>
      <c r="R102">
        <v>621.75</v>
      </c>
      <c r="S102">
        <v>675.45</v>
      </c>
      <c r="T102">
        <v>744.13</v>
      </c>
      <c r="U102">
        <v>769.67</v>
      </c>
    </row>
    <row r="103" spans="1:21" x14ac:dyDescent="0.25">
      <c r="A103" t="s">
        <v>310</v>
      </c>
      <c r="H103">
        <v>173.45</v>
      </c>
      <c r="I103">
        <v>248.14</v>
      </c>
      <c r="J103">
        <v>234.09</v>
      </c>
      <c r="K103">
        <v>220.4</v>
      </c>
      <c r="L103">
        <v>197.73</v>
      </c>
      <c r="M103">
        <v>263.76</v>
      </c>
      <c r="N103">
        <v>342.04</v>
      </c>
      <c r="O103">
        <v>335.35</v>
      </c>
      <c r="P103">
        <v>324.99</v>
      </c>
      <c r="Q103">
        <v>320.11</v>
      </c>
      <c r="R103">
        <v>321.7</v>
      </c>
      <c r="S103">
        <v>324.18</v>
      </c>
      <c r="T103">
        <v>321.45</v>
      </c>
      <c r="U103">
        <v>342.17</v>
      </c>
    </row>
    <row r="104" spans="1:21" x14ac:dyDescent="0.25">
      <c r="A104" t="s">
        <v>2154</v>
      </c>
      <c r="C104">
        <v>1.51</v>
      </c>
      <c r="D104">
        <v>1.17</v>
      </c>
      <c r="E104">
        <v>1.78</v>
      </c>
      <c r="F104">
        <v>3.36</v>
      </c>
      <c r="G104">
        <v>8.4600000000000009</v>
      </c>
      <c r="H104">
        <v>18.95</v>
      </c>
      <c r="I104">
        <v>50.17</v>
      </c>
      <c r="J104">
        <v>68.239999999999995</v>
      </c>
      <c r="K104">
        <v>94.03</v>
      </c>
      <c r="L104">
        <v>154.85</v>
      </c>
      <c r="M104">
        <v>230.21</v>
      </c>
      <c r="N104">
        <v>55.7</v>
      </c>
      <c r="O104">
        <v>59.46</v>
      </c>
      <c r="P104">
        <v>74.06</v>
      </c>
      <c r="Q104">
        <v>83.68</v>
      </c>
      <c r="R104">
        <v>112.57</v>
      </c>
      <c r="S104">
        <v>127.07</v>
      </c>
      <c r="T104">
        <v>191.29</v>
      </c>
      <c r="U104">
        <v>143.77000000000001</v>
      </c>
    </row>
    <row r="105" spans="1:21" x14ac:dyDescent="0.25">
      <c r="A105" t="s">
        <v>154</v>
      </c>
      <c r="D105">
        <v>2.63</v>
      </c>
      <c r="E105">
        <v>4.6399999999999997</v>
      </c>
      <c r="F105">
        <v>10.59</v>
      </c>
      <c r="G105">
        <v>19.84</v>
      </c>
      <c r="H105">
        <v>23.13</v>
      </c>
      <c r="I105">
        <v>29.15</v>
      </c>
      <c r="J105">
        <v>47.5</v>
      </c>
      <c r="K105">
        <v>46.88</v>
      </c>
      <c r="L105">
        <v>60.73</v>
      </c>
      <c r="M105">
        <v>72.19</v>
      </c>
      <c r="N105">
        <v>97.66</v>
      </c>
      <c r="O105">
        <v>94.1</v>
      </c>
      <c r="P105">
        <v>93.3</v>
      </c>
      <c r="Q105">
        <v>92.23</v>
      </c>
      <c r="R105">
        <v>78.88</v>
      </c>
      <c r="S105">
        <v>74.3</v>
      </c>
      <c r="T105">
        <v>106.48</v>
      </c>
      <c r="U105">
        <v>111.09</v>
      </c>
    </row>
    <row r="106" spans="1:21" x14ac:dyDescent="0.25">
      <c r="A106" t="s">
        <v>155</v>
      </c>
      <c r="C106">
        <v>102.24</v>
      </c>
      <c r="D106">
        <v>210.23</v>
      </c>
      <c r="E106">
        <v>537.6</v>
      </c>
      <c r="F106">
        <v>797.16</v>
      </c>
      <c r="G106" s="2">
        <v>1117.8699999999999</v>
      </c>
      <c r="H106" s="2">
        <v>1728.76</v>
      </c>
      <c r="I106" s="2">
        <v>2753.65</v>
      </c>
      <c r="J106" s="2">
        <v>3577.34</v>
      </c>
      <c r="K106" s="2">
        <v>4380.68</v>
      </c>
      <c r="L106" s="2">
        <v>4888.6899999999996</v>
      </c>
      <c r="M106" s="2">
        <v>6111.95</v>
      </c>
      <c r="N106" s="2">
        <v>6153.22</v>
      </c>
      <c r="O106" s="2">
        <v>6043.83</v>
      </c>
      <c r="P106" s="2">
        <v>6399.39</v>
      </c>
      <c r="Q106" s="2">
        <v>6657.83</v>
      </c>
      <c r="R106" s="2">
        <v>7027.49</v>
      </c>
      <c r="S106" s="2">
        <v>7499.2</v>
      </c>
      <c r="T106" s="2">
        <v>7673.55</v>
      </c>
      <c r="U106" s="2">
        <v>7803.97</v>
      </c>
    </row>
    <row r="107" spans="1:21" x14ac:dyDescent="0.25">
      <c r="A107" t="s">
        <v>17</v>
      </c>
    </row>
    <row r="108" spans="1:21" x14ac:dyDescent="0.25">
      <c r="A108" t="s">
        <v>156</v>
      </c>
    </row>
    <row r="109" spans="1:21" x14ac:dyDescent="0.25">
      <c r="A109" t="s">
        <v>157</v>
      </c>
      <c r="C109">
        <v>62.83</v>
      </c>
      <c r="D109">
        <v>118.9</v>
      </c>
      <c r="E109">
        <v>344.14</v>
      </c>
      <c r="F109">
        <v>518.53</v>
      </c>
      <c r="G109">
        <v>713.99</v>
      </c>
      <c r="H109">
        <v>930.37</v>
      </c>
      <c r="I109" s="2">
        <v>1474.68</v>
      </c>
      <c r="J109" s="2">
        <v>1803.31</v>
      </c>
      <c r="K109" s="2">
        <v>2029.32</v>
      </c>
      <c r="L109" s="2">
        <v>2510.84</v>
      </c>
      <c r="M109" s="2">
        <v>2873.47</v>
      </c>
      <c r="N109" s="2">
        <v>3266</v>
      </c>
      <c r="O109" s="2">
        <v>2883.61</v>
      </c>
      <c r="P109" s="2">
        <v>2964.77</v>
      </c>
      <c r="Q109" s="2">
        <v>3012.35</v>
      </c>
      <c r="R109" s="2">
        <v>2877.84</v>
      </c>
      <c r="S109" s="2">
        <v>2911.32</v>
      </c>
      <c r="T109" s="2">
        <v>3105.19</v>
      </c>
      <c r="U109" s="2">
        <v>3249.64</v>
      </c>
    </row>
    <row r="110" spans="1:21" x14ac:dyDescent="0.25">
      <c r="A110" t="s">
        <v>158</v>
      </c>
      <c r="C110">
        <v>58.29</v>
      </c>
      <c r="D110">
        <v>108.46</v>
      </c>
      <c r="E110">
        <v>321.16000000000003</v>
      </c>
      <c r="F110">
        <v>490.38</v>
      </c>
      <c r="G110">
        <v>669.15</v>
      </c>
      <c r="H110">
        <v>868.62</v>
      </c>
      <c r="I110" s="2">
        <v>1348.48</v>
      </c>
      <c r="J110" s="2">
        <v>1655.68</v>
      </c>
      <c r="K110" s="2">
        <v>1871.42</v>
      </c>
      <c r="L110" s="2">
        <v>2317.3200000000002</v>
      </c>
      <c r="M110" s="2">
        <v>2631.21</v>
      </c>
      <c r="N110" s="2">
        <v>3007.65</v>
      </c>
      <c r="O110" s="2">
        <v>2704.67</v>
      </c>
      <c r="P110" s="2">
        <v>2783.45</v>
      </c>
      <c r="Q110" s="2">
        <v>2835.87</v>
      </c>
      <c r="R110" s="2">
        <v>2756.95</v>
      </c>
      <c r="S110" s="2">
        <v>2789.22</v>
      </c>
      <c r="T110" s="2">
        <v>2872.3</v>
      </c>
      <c r="U110" s="2">
        <v>3014.81</v>
      </c>
    </row>
    <row r="111" spans="1:21" x14ac:dyDescent="0.25">
      <c r="A111" t="s">
        <v>906</v>
      </c>
      <c r="C111">
        <v>4.47</v>
      </c>
      <c r="D111">
        <v>9.94</v>
      </c>
      <c r="E111">
        <v>22.97</v>
      </c>
      <c r="F111">
        <v>28.16</v>
      </c>
      <c r="G111">
        <v>44.84</v>
      </c>
      <c r="H111">
        <v>47.18</v>
      </c>
      <c r="I111">
        <v>88.34</v>
      </c>
      <c r="J111">
        <v>101.47</v>
      </c>
      <c r="K111">
        <v>105.47</v>
      </c>
      <c r="L111">
        <v>138</v>
      </c>
      <c r="M111">
        <v>177.76</v>
      </c>
      <c r="N111">
        <v>181.99</v>
      </c>
      <c r="O111">
        <v>156.99</v>
      </c>
      <c r="P111">
        <v>152.19</v>
      </c>
      <c r="Q111">
        <v>164.31</v>
      </c>
      <c r="R111">
        <v>161.88</v>
      </c>
      <c r="S111">
        <v>163.56</v>
      </c>
      <c r="T111">
        <v>154.35</v>
      </c>
      <c r="U111">
        <v>156.21</v>
      </c>
    </row>
    <row r="112" spans="1:21" x14ac:dyDescent="0.25">
      <c r="A112" t="s">
        <v>202</v>
      </c>
      <c r="H112">
        <v>14.58</v>
      </c>
      <c r="I112">
        <v>37.869999999999997</v>
      </c>
      <c r="J112">
        <v>46.15</v>
      </c>
      <c r="K112">
        <v>52.43</v>
      </c>
      <c r="L112">
        <v>55.52</v>
      </c>
      <c r="M112">
        <v>64.489999999999995</v>
      </c>
      <c r="N112">
        <v>76.36</v>
      </c>
      <c r="O112">
        <v>80.709999999999994</v>
      </c>
      <c r="P112">
        <v>85.07</v>
      </c>
      <c r="Q112">
        <v>93.41</v>
      </c>
      <c r="R112">
        <v>103.2</v>
      </c>
      <c r="S112">
        <v>110.52</v>
      </c>
      <c r="T112">
        <v>78.55</v>
      </c>
      <c r="U112">
        <v>78.62</v>
      </c>
    </row>
    <row r="113" spans="1:21" x14ac:dyDescent="0.25">
      <c r="A113" t="s">
        <v>164</v>
      </c>
      <c r="C113">
        <v>17.54</v>
      </c>
      <c r="D113">
        <v>52.99</v>
      </c>
      <c r="E113">
        <v>29.08</v>
      </c>
      <c r="F113">
        <v>33.049999999999997</v>
      </c>
      <c r="G113">
        <v>9.31</v>
      </c>
      <c r="H113">
        <v>185.87</v>
      </c>
      <c r="I113">
        <v>265.82</v>
      </c>
      <c r="J113">
        <v>246.73</v>
      </c>
      <c r="K113">
        <v>236.02</v>
      </c>
      <c r="L113">
        <v>213.63</v>
      </c>
      <c r="M113">
        <v>289.33999999999997</v>
      </c>
      <c r="N113">
        <v>402.83</v>
      </c>
      <c r="O113">
        <v>393.03</v>
      </c>
      <c r="P113">
        <v>388.47</v>
      </c>
      <c r="Q113">
        <v>393.88</v>
      </c>
      <c r="R113">
        <v>396.2</v>
      </c>
      <c r="S113">
        <v>396.2</v>
      </c>
      <c r="T113">
        <v>396.4</v>
      </c>
      <c r="U113">
        <v>396.4</v>
      </c>
    </row>
    <row r="114" spans="1:21" x14ac:dyDescent="0.25">
      <c r="A114" t="s">
        <v>2155</v>
      </c>
      <c r="C114">
        <v>14.93</v>
      </c>
      <c r="D114">
        <v>44.89</v>
      </c>
      <c r="E114">
        <v>25.85</v>
      </c>
      <c r="F114">
        <v>27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21" x14ac:dyDescent="0.25">
      <c r="A115" t="s">
        <v>202</v>
      </c>
      <c r="H115">
        <v>174.87</v>
      </c>
      <c r="I115">
        <v>254.56</v>
      </c>
      <c r="J115">
        <v>238.45</v>
      </c>
      <c r="K115">
        <v>208.53</v>
      </c>
      <c r="L115">
        <v>180.37</v>
      </c>
      <c r="M115">
        <v>247.72</v>
      </c>
      <c r="N115">
        <v>359.98</v>
      </c>
      <c r="O115">
        <v>352.17</v>
      </c>
      <c r="P115">
        <v>350.38</v>
      </c>
      <c r="Q115">
        <v>353.82</v>
      </c>
      <c r="R115">
        <v>344.75</v>
      </c>
      <c r="S115">
        <v>344.38</v>
      </c>
      <c r="T115">
        <v>385.26</v>
      </c>
      <c r="U115">
        <v>400.81</v>
      </c>
    </row>
    <row r="116" spans="1:21" x14ac:dyDescent="0.25">
      <c r="A116" t="s">
        <v>502</v>
      </c>
      <c r="C116">
        <v>2.61</v>
      </c>
      <c r="D116">
        <v>8.1</v>
      </c>
      <c r="E116">
        <v>3.23</v>
      </c>
      <c r="F116">
        <v>6.05</v>
      </c>
      <c r="G116">
        <v>9.31</v>
      </c>
      <c r="H116">
        <v>11</v>
      </c>
      <c r="I116">
        <v>11.26</v>
      </c>
      <c r="J116">
        <v>8.2799999999999994</v>
      </c>
      <c r="K116">
        <v>27.49</v>
      </c>
      <c r="L116">
        <v>33.26</v>
      </c>
      <c r="M116">
        <v>41.62</v>
      </c>
      <c r="N116">
        <v>42.86</v>
      </c>
      <c r="O116">
        <v>42.39</v>
      </c>
      <c r="P116">
        <v>42.74</v>
      </c>
      <c r="Q116">
        <v>44.46</v>
      </c>
      <c r="R116">
        <v>43.07</v>
      </c>
      <c r="S116">
        <v>43.28</v>
      </c>
      <c r="T116">
        <v>42.52</v>
      </c>
      <c r="U116">
        <v>42.67</v>
      </c>
    </row>
    <row r="117" spans="1:21" x14ac:dyDescent="0.25">
      <c r="A117" t="s">
        <v>167</v>
      </c>
      <c r="C117">
        <v>80.37</v>
      </c>
      <c r="D117">
        <v>171.89</v>
      </c>
      <c r="E117">
        <v>373.22</v>
      </c>
      <c r="F117">
        <v>551.58000000000004</v>
      </c>
      <c r="G117">
        <v>723.31</v>
      </c>
      <c r="H117" s="2">
        <v>1116.24</v>
      </c>
      <c r="I117" s="2">
        <v>1740.5</v>
      </c>
      <c r="J117" s="2">
        <v>2050.0300000000002</v>
      </c>
      <c r="K117" s="2">
        <v>2265.34</v>
      </c>
      <c r="L117" s="2">
        <v>2724.47</v>
      </c>
      <c r="M117" s="2">
        <v>3162.81</v>
      </c>
      <c r="N117" s="2">
        <v>3668.83</v>
      </c>
      <c r="O117" s="2">
        <v>3344.88</v>
      </c>
      <c r="P117" s="2">
        <v>3427.21</v>
      </c>
      <c r="Q117" s="2">
        <v>3520.56</v>
      </c>
      <c r="R117" s="2">
        <v>3463.12</v>
      </c>
      <c r="S117" s="2">
        <v>3518.69</v>
      </c>
      <c r="T117" s="2">
        <v>3532.98</v>
      </c>
      <c r="U117" s="2">
        <v>3693.12</v>
      </c>
    </row>
    <row r="118" spans="1:21" x14ac:dyDescent="0.25">
      <c r="A118" t="s">
        <v>170</v>
      </c>
      <c r="C118">
        <v>21.87</v>
      </c>
      <c r="D118">
        <v>38.35</v>
      </c>
      <c r="E118">
        <v>164.38</v>
      </c>
      <c r="F118">
        <v>245.58</v>
      </c>
      <c r="G118">
        <v>394.57</v>
      </c>
      <c r="H118">
        <v>612.52</v>
      </c>
      <c r="I118" s="2">
        <v>1013.15</v>
      </c>
      <c r="J118" s="2">
        <v>1527.31</v>
      </c>
      <c r="K118" s="2">
        <v>2115.34</v>
      </c>
      <c r="L118" s="2">
        <v>2164.2199999999998</v>
      </c>
      <c r="M118" s="2">
        <v>2949.15</v>
      </c>
      <c r="N118" s="2">
        <v>2484.39</v>
      </c>
      <c r="O118" s="2">
        <v>2679.91</v>
      </c>
      <c r="P118" s="2">
        <v>2939.25</v>
      </c>
      <c r="Q118" s="2">
        <v>3077.56</v>
      </c>
      <c r="R118" s="2">
        <v>3514.91</v>
      </c>
      <c r="S118" s="2">
        <v>3768.5</v>
      </c>
      <c r="T118" s="2">
        <v>4140.57</v>
      </c>
      <c r="U118" s="2">
        <v>4110.83</v>
      </c>
    </row>
    <row r="119" spans="1:21" x14ac:dyDescent="0.25">
      <c r="A119" t="s">
        <v>503</v>
      </c>
      <c r="C119">
        <v>0.49</v>
      </c>
      <c r="D119">
        <v>1.04</v>
      </c>
      <c r="E119">
        <v>179.2</v>
      </c>
      <c r="F119">
        <v>209.6</v>
      </c>
      <c r="G119">
        <v>270.45</v>
      </c>
      <c r="H119">
        <v>380.08</v>
      </c>
      <c r="I119">
        <v>538.78</v>
      </c>
      <c r="J119">
        <v>915.18</v>
      </c>
      <c r="K119" s="2">
        <v>1449.83</v>
      </c>
      <c r="L119" s="2">
        <v>1967.27</v>
      </c>
      <c r="M119" s="2">
        <v>2594.9</v>
      </c>
      <c r="N119" s="2">
        <v>3075.3</v>
      </c>
      <c r="O119" s="2">
        <v>3190.87</v>
      </c>
      <c r="P119" s="2">
        <v>3299.24</v>
      </c>
      <c r="Q119" s="2">
        <v>3442.31</v>
      </c>
      <c r="R119" s="2">
        <v>3743.48</v>
      </c>
      <c r="S119" s="2">
        <v>3940.61</v>
      </c>
      <c r="T119" s="2">
        <v>3615.95</v>
      </c>
      <c r="U119" s="2">
        <v>3739.73</v>
      </c>
    </row>
    <row r="120" spans="1:21" x14ac:dyDescent="0.25">
      <c r="A120" t="s">
        <v>173</v>
      </c>
      <c r="C120">
        <v>-6.62</v>
      </c>
      <c r="D120">
        <v>13.1</v>
      </c>
      <c r="E120">
        <v>-14.82</v>
      </c>
      <c r="F120">
        <v>35.979999999999997</v>
      </c>
      <c r="G120">
        <v>124.12</v>
      </c>
      <c r="H120">
        <v>232.44</v>
      </c>
      <c r="I120">
        <v>474.37</v>
      </c>
      <c r="J120">
        <v>612.13</v>
      </c>
      <c r="K120">
        <v>665.51</v>
      </c>
      <c r="L120">
        <v>196.95</v>
      </c>
      <c r="M120">
        <v>354.25</v>
      </c>
      <c r="N120">
        <v>-590.91</v>
      </c>
      <c r="O120">
        <v>-640.62</v>
      </c>
      <c r="P120">
        <v>-551.48</v>
      </c>
      <c r="Q120">
        <v>-471.02</v>
      </c>
      <c r="R120">
        <v>-508.18</v>
      </c>
      <c r="S120">
        <v>-444.5</v>
      </c>
      <c r="T120">
        <v>-432.83</v>
      </c>
      <c r="U120">
        <v>-326.72000000000003</v>
      </c>
    </row>
    <row r="121" spans="1:21" x14ac:dyDescent="0.25">
      <c r="A121" t="s">
        <v>326</v>
      </c>
      <c r="C121">
        <v>102.24</v>
      </c>
      <c r="D121">
        <v>210.23</v>
      </c>
      <c r="E121">
        <v>537.6</v>
      </c>
      <c r="F121">
        <v>797.16</v>
      </c>
      <c r="G121" s="2">
        <v>1117.8699999999999</v>
      </c>
      <c r="H121" s="2">
        <v>1728.76</v>
      </c>
      <c r="I121" s="2">
        <v>2753.65</v>
      </c>
      <c r="J121" s="2">
        <v>3577.34</v>
      </c>
      <c r="K121" s="2">
        <v>4380.68</v>
      </c>
      <c r="L121" s="2">
        <v>4888.6899999999996</v>
      </c>
      <c r="M121" s="2">
        <v>6111.95</v>
      </c>
      <c r="N121" s="2">
        <v>6153.22</v>
      </c>
      <c r="O121" s="2">
        <v>6043.83</v>
      </c>
      <c r="P121" s="2">
        <v>6399.39</v>
      </c>
      <c r="Q121" s="2">
        <v>6657.83</v>
      </c>
      <c r="R121" s="2">
        <v>7027.49</v>
      </c>
      <c r="S121" s="2">
        <v>7499.2</v>
      </c>
      <c r="T121" s="2">
        <v>7673.55</v>
      </c>
      <c r="U121" s="2">
        <v>7803.97</v>
      </c>
    </row>
    <row r="122" spans="1:21" x14ac:dyDescent="0.25">
      <c r="A122" t="s">
        <v>17</v>
      </c>
    </row>
    <row r="123" spans="1:21" x14ac:dyDescent="0.25">
      <c r="A123" t="s">
        <v>176</v>
      </c>
    </row>
    <row r="124" spans="1:21" x14ac:dyDescent="0.25">
      <c r="A124" t="s">
        <v>505</v>
      </c>
      <c r="C124">
        <v>-2.39</v>
      </c>
      <c r="D124">
        <v>40.840000000000003</v>
      </c>
      <c r="E124">
        <v>-107.55</v>
      </c>
      <c r="F124">
        <v>-128.94999999999999</v>
      </c>
      <c r="G124">
        <v>-207.23</v>
      </c>
      <c r="H124">
        <v>-65.540000000000006</v>
      </c>
      <c r="I124">
        <v>-331.61</v>
      </c>
      <c r="J124">
        <v>-674.18</v>
      </c>
      <c r="K124" s="2">
        <v>-1185.6300000000001</v>
      </c>
      <c r="L124" s="2">
        <v>-1144.4000000000001</v>
      </c>
      <c r="M124" s="2">
        <v>-1609.27</v>
      </c>
      <c r="N124">
        <v>-866.73</v>
      </c>
      <c r="O124" s="2">
        <v>-1377.34</v>
      </c>
      <c r="P124" s="2">
        <v>-1509.7</v>
      </c>
      <c r="Q124" s="2">
        <v>-1693.61</v>
      </c>
      <c r="R124" s="2">
        <v>-1865.79</v>
      </c>
      <c r="S124" s="2">
        <v>-2005.48</v>
      </c>
      <c r="T124">
        <v>0</v>
      </c>
      <c r="U124">
        <v>0</v>
      </c>
    </row>
    <row r="125" spans="1:21" x14ac:dyDescent="0.25">
      <c r="A125" t="s">
        <v>178</v>
      </c>
    </row>
    <row r="126" spans="1:21" x14ac:dyDescent="0.25">
      <c r="A126" t="s">
        <v>179</v>
      </c>
      <c r="D126">
        <v>10.199999999999999</v>
      </c>
      <c r="E126">
        <v>5.48</v>
      </c>
      <c r="F126">
        <v>7.61</v>
      </c>
      <c r="G126">
        <v>9.2100000000000009</v>
      </c>
      <c r="H126">
        <v>7.61</v>
      </c>
      <c r="I126">
        <v>10.81</v>
      </c>
      <c r="J126">
        <v>4.3499999999999996</v>
      </c>
      <c r="K126">
        <v>1.34</v>
      </c>
      <c r="L126">
        <v>3.86</v>
      </c>
      <c r="M126">
        <v>7.15</v>
      </c>
      <c r="N126">
        <v>7.23</v>
      </c>
      <c r="O126">
        <v>4.87</v>
      </c>
      <c r="P126">
        <v>5.32</v>
      </c>
      <c r="Q126">
        <v>5.41</v>
      </c>
      <c r="R126">
        <v>5.29</v>
      </c>
      <c r="S126">
        <v>5.18</v>
      </c>
    </row>
    <row r="127" spans="1:21" x14ac:dyDescent="0.25">
      <c r="A127" t="s">
        <v>180</v>
      </c>
      <c r="E127">
        <v>-29.94</v>
      </c>
      <c r="F127">
        <v>24.78</v>
      </c>
      <c r="G127">
        <v>27.54</v>
      </c>
      <c r="H127">
        <v>21.51</v>
      </c>
      <c r="I127">
        <v>29.81</v>
      </c>
      <c r="J127">
        <v>10.85</v>
      </c>
      <c r="K127">
        <v>2.93</v>
      </c>
      <c r="L127">
        <v>8.36</v>
      </c>
      <c r="M127">
        <v>15.37</v>
      </c>
      <c r="N127">
        <v>16.32</v>
      </c>
      <c r="O127">
        <v>16.66</v>
      </c>
      <c r="P127">
        <v>12.96</v>
      </c>
      <c r="Q127">
        <v>12.31</v>
      </c>
      <c r="R127">
        <v>11.45</v>
      </c>
      <c r="S127">
        <v>10.44</v>
      </c>
    </row>
    <row r="128" spans="1:21" x14ac:dyDescent="0.25">
      <c r="A128" t="s">
        <v>611</v>
      </c>
      <c r="C128">
        <v>642.07000000000005</v>
      </c>
      <c r="D128">
        <v>615.44000000000005</v>
      </c>
      <c r="E128">
        <v>680.4</v>
      </c>
      <c r="F128">
        <v>710.02</v>
      </c>
      <c r="G128">
        <v>638.37</v>
      </c>
      <c r="H128">
        <v>644.01</v>
      </c>
      <c r="I128">
        <v>693.49</v>
      </c>
      <c r="J128">
        <v>616.45000000000005</v>
      </c>
      <c r="K128">
        <v>542.99</v>
      </c>
      <c r="L128">
        <v>538.33000000000004</v>
      </c>
      <c r="M128">
        <v>498.56</v>
      </c>
      <c r="N128">
        <v>475.13</v>
      </c>
      <c r="O128">
        <v>462.64</v>
      </c>
      <c r="P128">
        <v>501.64</v>
      </c>
      <c r="Q128">
        <v>519.48</v>
      </c>
      <c r="R128">
        <v>497.78</v>
      </c>
      <c r="S128">
        <v>478.08</v>
      </c>
      <c r="T128">
        <v>459.07</v>
      </c>
      <c r="U128">
        <v>435.79</v>
      </c>
    </row>
    <row r="129" spans="1:21" x14ac:dyDescent="0.25">
      <c r="A129" t="s">
        <v>186</v>
      </c>
      <c r="C129">
        <v>1.55</v>
      </c>
      <c r="D129">
        <v>1.68</v>
      </c>
      <c r="E129">
        <v>1.5</v>
      </c>
      <c r="F129">
        <v>1.48</v>
      </c>
      <c r="G129">
        <v>1.48</v>
      </c>
      <c r="H129">
        <v>1.56</v>
      </c>
      <c r="I129">
        <v>1.57</v>
      </c>
      <c r="J129">
        <v>1.71</v>
      </c>
      <c r="K129">
        <v>1.9</v>
      </c>
      <c r="L129">
        <v>1.72</v>
      </c>
      <c r="M129">
        <v>1.86</v>
      </c>
      <c r="N129">
        <v>1.61</v>
      </c>
      <c r="O129">
        <v>1.72</v>
      </c>
      <c r="P129">
        <v>1.76</v>
      </c>
      <c r="Q129">
        <v>1.86</v>
      </c>
      <c r="R129">
        <v>1.95</v>
      </c>
      <c r="S129">
        <v>2.04</v>
      </c>
      <c r="T129">
        <v>2.9</v>
      </c>
      <c r="U129">
        <v>1.98</v>
      </c>
    </row>
    <row r="130" spans="1:21" x14ac:dyDescent="0.25">
      <c r="A130" t="s">
        <v>424</v>
      </c>
      <c r="C130">
        <v>-0.06</v>
      </c>
      <c r="D130">
        <v>0.13</v>
      </c>
      <c r="E130">
        <v>0.42</v>
      </c>
      <c r="F130">
        <v>0.59</v>
      </c>
      <c r="G130">
        <v>0.9</v>
      </c>
      <c r="H130">
        <v>1.35</v>
      </c>
      <c r="I130">
        <v>2.14</v>
      </c>
      <c r="J130">
        <v>3.16</v>
      </c>
      <c r="K130">
        <v>4.3099999999999996</v>
      </c>
      <c r="L130">
        <v>4.43</v>
      </c>
      <c r="M130">
        <v>5.94</v>
      </c>
      <c r="N130">
        <v>5.22</v>
      </c>
      <c r="O130">
        <v>6.52</v>
      </c>
      <c r="P130">
        <v>7.79</v>
      </c>
      <c r="Q130">
        <v>9.9600000000000009</v>
      </c>
      <c r="R130">
        <v>9.76</v>
      </c>
      <c r="S130">
        <v>11.5</v>
      </c>
      <c r="T130">
        <v>13.29</v>
      </c>
    </row>
    <row r="131" spans="1:21" x14ac:dyDescent="0.25">
      <c r="A131" t="s">
        <v>17</v>
      </c>
    </row>
    <row r="132" spans="1:21" x14ac:dyDescent="0.25">
      <c r="A132" t="s">
        <v>188</v>
      </c>
    </row>
    <row r="133" spans="1:21" x14ac:dyDescent="0.25">
      <c r="A133" t="s">
        <v>189</v>
      </c>
    </row>
    <row r="134" spans="1:21" x14ac:dyDescent="0.25">
      <c r="A134" t="s">
        <v>121</v>
      </c>
      <c r="E134">
        <v>-26.73</v>
      </c>
      <c r="F134">
        <v>50.8</v>
      </c>
      <c r="G134">
        <v>88.14</v>
      </c>
      <c r="H134">
        <v>108.32</v>
      </c>
      <c r="I134">
        <v>242.3</v>
      </c>
      <c r="J134">
        <v>137.76</v>
      </c>
      <c r="K134">
        <v>53.39</v>
      </c>
      <c r="L134">
        <v>178.94</v>
      </c>
      <c r="M134">
        <v>393.08</v>
      </c>
      <c r="N134">
        <v>443.3</v>
      </c>
      <c r="O134">
        <v>180.72</v>
      </c>
      <c r="P134">
        <v>108.78</v>
      </c>
      <c r="Q134">
        <v>180.36</v>
      </c>
      <c r="R134">
        <v>175.41</v>
      </c>
      <c r="S134">
        <v>229.68</v>
      </c>
      <c r="T134">
        <v>195.14</v>
      </c>
      <c r="U134">
        <v>253.87</v>
      </c>
    </row>
    <row r="135" spans="1:21" x14ac:dyDescent="0.25">
      <c r="A135" t="s">
        <v>190</v>
      </c>
      <c r="I135">
        <v>28.63</v>
      </c>
      <c r="J135">
        <v>42.22</v>
      </c>
      <c r="K135">
        <v>54.43</v>
      </c>
      <c r="L135">
        <v>80.42</v>
      </c>
      <c r="M135">
        <v>87.49</v>
      </c>
      <c r="N135">
        <v>115.78</v>
      </c>
      <c r="O135">
        <v>123</v>
      </c>
      <c r="P135">
        <v>129.26</v>
      </c>
      <c r="Q135">
        <v>147.11000000000001</v>
      </c>
      <c r="R135">
        <v>162.36000000000001</v>
      </c>
      <c r="S135">
        <v>178.57</v>
      </c>
      <c r="T135">
        <v>251.28</v>
      </c>
      <c r="U135">
        <v>283.05</v>
      </c>
    </row>
    <row r="136" spans="1:21" x14ac:dyDescent="0.25">
      <c r="A136" t="s">
        <v>67</v>
      </c>
      <c r="C136">
        <v>4.55</v>
      </c>
      <c r="D136">
        <v>0.37</v>
      </c>
      <c r="E136">
        <v>5.0599999999999996</v>
      </c>
      <c r="F136">
        <v>21.32</v>
      </c>
      <c r="G136">
        <v>42.21</v>
      </c>
      <c r="H136">
        <v>80.760000000000005</v>
      </c>
      <c r="I136">
        <v>111.78</v>
      </c>
      <c r="J136">
        <v>337.41</v>
      </c>
      <c r="K136">
        <v>498.64</v>
      </c>
      <c r="L136">
        <v>491.62</v>
      </c>
      <c r="M136">
        <v>494.7</v>
      </c>
      <c r="N136">
        <v>490.63</v>
      </c>
      <c r="O136">
        <v>432.81</v>
      </c>
      <c r="P136">
        <v>440.1</v>
      </c>
      <c r="Q136">
        <v>449.67</v>
      </c>
      <c r="R136">
        <v>476.86</v>
      </c>
      <c r="S136">
        <v>500.66</v>
      </c>
      <c r="T136">
        <v>519.91999999999996</v>
      </c>
      <c r="U136">
        <v>533.86</v>
      </c>
    </row>
    <row r="137" spans="1:21" x14ac:dyDescent="0.25">
      <c r="A137" t="s">
        <v>815</v>
      </c>
      <c r="E137">
        <v>2.4900000000000002</v>
      </c>
      <c r="F137">
        <v>6.92</v>
      </c>
      <c r="G137">
        <v>8.84</v>
      </c>
      <c r="H137">
        <v>12.22</v>
      </c>
      <c r="I137">
        <v>13.37</v>
      </c>
      <c r="J137">
        <v>28.2</v>
      </c>
      <c r="K137">
        <v>31.6</v>
      </c>
      <c r="L137">
        <v>25.26</v>
      </c>
      <c r="M137">
        <v>20.23</v>
      </c>
      <c r="N137">
        <v>16.940000000000001</v>
      </c>
      <c r="O137">
        <v>16.04</v>
      </c>
      <c r="P137">
        <v>17.149999999999999</v>
      </c>
      <c r="Q137">
        <v>16.48</v>
      </c>
      <c r="R137">
        <v>16.8</v>
      </c>
      <c r="S137">
        <v>16.64</v>
      </c>
      <c r="T137">
        <v>16.28</v>
      </c>
      <c r="U137">
        <v>15.21</v>
      </c>
    </row>
    <row r="138" spans="1:21" x14ac:dyDescent="0.25">
      <c r="A138" t="s">
        <v>1925</v>
      </c>
      <c r="D138">
        <v>0.54</v>
      </c>
      <c r="F138">
        <v>4.29</v>
      </c>
      <c r="G138">
        <v>2.12</v>
      </c>
      <c r="H138">
        <v>2.7</v>
      </c>
      <c r="I138">
        <v>3.15</v>
      </c>
      <c r="J138">
        <v>1.46</v>
      </c>
      <c r="K138">
        <v>3.2</v>
      </c>
      <c r="L138">
        <v>2.96</v>
      </c>
      <c r="M138">
        <v>0.85</v>
      </c>
      <c r="N138">
        <v>0</v>
      </c>
      <c r="O138">
        <v>5.33</v>
      </c>
      <c r="P138">
        <v>6.48</v>
      </c>
      <c r="Q138">
        <v>8.3699999999999992</v>
      </c>
      <c r="R138">
        <v>5.9</v>
      </c>
      <c r="S138">
        <v>5.9</v>
      </c>
      <c r="T138">
        <v>5.9</v>
      </c>
      <c r="U138">
        <v>5.9</v>
      </c>
    </row>
    <row r="139" spans="1:21" x14ac:dyDescent="0.25">
      <c r="A139" t="s">
        <v>512</v>
      </c>
      <c r="D139">
        <v>6.09</v>
      </c>
      <c r="E139">
        <v>12.51</v>
      </c>
      <c r="F139">
        <v>-1.3</v>
      </c>
      <c r="G139">
        <v>2.91</v>
      </c>
      <c r="H139">
        <v>-1.94</v>
      </c>
      <c r="I139">
        <v>2.19</v>
      </c>
      <c r="J139">
        <v>5.8</v>
      </c>
      <c r="K139">
        <v>0.62</v>
      </c>
      <c r="L139">
        <v>-20.38</v>
      </c>
      <c r="M139">
        <v>-7.88</v>
      </c>
      <c r="N139">
        <v>-19.239999999999998</v>
      </c>
      <c r="O139">
        <v>-8.49</v>
      </c>
      <c r="P139">
        <v>-8.33</v>
      </c>
      <c r="Q139">
        <v>-17.82</v>
      </c>
      <c r="R139">
        <v>1.9</v>
      </c>
      <c r="S139">
        <v>1.9</v>
      </c>
      <c r="T139">
        <v>1.9</v>
      </c>
      <c r="U139">
        <v>1.9</v>
      </c>
    </row>
    <row r="140" spans="1:21" x14ac:dyDescent="0.25">
      <c r="A140" t="s">
        <v>338</v>
      </c>
    </row>
    <row r="141" spans="1:21" x14ac:dyDescent="0.25">
      <c r="A141" t="s">
        <v>141</v>
      </c>
      <c r="C141">
        <v>-53.32</v>
      </c>
      <c r="D141">
        <v>-114.17</v>
      </c>
      <c r="E141">
        <v>-187.74</v>
      </c>
      <c r="F141">
        <v>-224.64</v>
      </c>
      <c r="G141">
        <v>-239.9</v>
      </c>
      <c r="H141">
        <v>-331.37</v>
      </c>
      <c r="I141">
        <v>-418.05</v>
      </c>
      <c r="J141">
        <v>-444.34</v>
      </c>
      <c r="K141">
        <v>-291.75</v>
      </c>
      <c r="L141">
        <v>-554.01</v>
      </c>
      <c r="M141">
        <v>-474.23</v>
      </c>
      <c r="N141">
        <v>-432.72</v>
      </c>
      <c r="O141">
        <v>495.49</v>
      </c>
      <c r="P141">
        <v>-175.49</v>
      </c>
      <c r="Q141">
        <v>-91.54</v>
      </c>
      <c r="R141">
        <v>-84.99</v>
      </c>
      <c r="S141">
        <v>-96.55</v>
      </c>
      <c r="T141">
        <v>-145.26</v>
      </c>
      <c r="U141">
        <v>-91.02</v>
      </c>
    </row>
    <row r="142" spans="1:21" x14ac:dyDescent="0.25">
      <c r="A142" t="s">
        <v>407</v>
      </c>
      <c r="E142">
        <v>-2.68</v>
      </c>
      <c r="F142">
        <v>-5.03</v>
      </c>
      <c r="G142">
        <v>-10.55</v>
      </c>
      <c r="H142">
        <v>-19.600000000000001</v>
      </c>
      <c r="I142">
        <v>-66.66</v>
      </c>
      <c r="J142">
        <v>1.65</v>
      </c>
      <c r="K142">
        <v>50.66</v>
      </c>
      <c r="L142">
        <v>-26.82</v>
      </c>
      <c r="M142">
        <v>-38.78</v>
      </c>
      <c r="N142">
        <v>-76.59</v>
      </c>
      <c r="O142">
        <v>60.69</v>
      </c>
      <c r="P142">
        <v>-16.98</v>
      </c>
      <c r="Q142">
        <v>-15.01</v>
      </c>
      <c r="R142">
        <v>-21.75</v>
      </c>
      <c r="S142">
        <v>-24.7</v>
      </c>
      <c r="T142">
        <v>-35.53</v>
      </c>
      <c r="U142">
        <v>-38.97</v>
      </c>
    </row>
    <row r="143" spans="1:21" x14ac:dyDescent="0.25">
      <c r="A143" t="s">
        <v>158</v>
      </c>
      <c r="C143">
        <v>35.71</v>
      </c>
      <c r="D143">
        <v>50.02</v>
      </c>
      <c r="E143">
        <v>209.48</v>
      </c>
      <c r="F143">
        <v>171.79</v>
      </c>
      <c r="G143">
        <v>177.68</v>
      </c>
      <c r="H143">
        <v>191.76</v>
      </c>
      <c r="I143">
        <v>481.31</v>
      </c>
      <c r="J143">
        <v>309.41000000000003</v>
      </c>
      <c r="K143">
        <v>187.12</v>
      </c>
      <c r="L143">
        <v>475.46</v>
      </c>
      <c r="M143">
        <v>298.92</v>
      </c>
      <c r="N143">
        <v>291.07</v>
      </c>
      <c r="O143">
        <v>-344.25</v>
      </c>
      <c r="P143">
        <v>106.11</v>
      </c>
      <c r="Q143">
        <v>77.44</v>
      </c>
      <c r="R143">
        <v>48.3</v>
      </c>
      <c r="S143">
        <v>60.84</v>
      </c>
      <c r="T143">
        <v>190.07</v>
      </c>
      <c r="U143">
        <v>167.79</v>
      </c>
    </row>
    <row r="144" spans="1:21" x14ac:dyDescent="0.25">
      <c r="A144" t="s">
        <v>604</v>
      </c>
      <c r="C144">
        <v>-1.51</v>
      </c>
      <c r="D144">
        <v>0.34</v>
      </c>
      <c r="E144">
        <v>-0.61</v>
      </c>
      <c r="F144">
        <v>-1.58</v>
      </c>
      <c r="G144">
        <v>-5.0999999999999996</v>
      </c>
      <c r="H144">
        <v>-10.49</v>
      </c>
      <c r="I144">
        <v>-31.22</v>
      </c>
      <c r="J144">
        <v>-16.78</v>
      </c>
      <c r="K144">
        <v>-11.51</v>
      </c>
      <c r="L144">
        <v>-61.6</v>
      </c>
      <c r="M144">
        <v>-76.900000000000006</v>
      </c>
      <c r="N144">
        <v>167.69</v>
      </c>
      <c r="O144">
        <v>0.71</v>
      </c>
      <c r="P144">
        <v>13.9</v>
      </c>
      <c r="Q144">
        <v>15.38</v>
      </c>
      <c r="R144">
        <v>55.56</v>
      </c>
      <c r="S144">
        <v>52.77</v>
      </c>
      <c r="T144">
        <v>52.57</v>
      </c>
      <c r="U144">
        <v>47.7</v>
      </c>
    </row>
    <row r="145" spans="1:21" x14ac:dyDescent="0.25">
      <c r="A145" t="s">
        <v>202</v>
      </c>
      <c r="H145">
        <v>-10.34</v>
      </c>
      <c r="I145">
        <v>-17.100000000000001</v>
      </c>
      <c r="J145">
        <v>-43.99</v>
      </c>
      <c r="K145">
        <v>-48.35</v>
      </c>
      <c r="L145">
        <v>-52.91</v>
      </c>
      <c r="M145">
        <v>-41.75</v>
      </c>
      <c r="N145">
        <v>-63.82</v>
      </c>
      <c r="O145">
        <v>-44.38</v>
      </c>
      <c r="P145">
        <v>-4.9800000000000004</v>
      </c>
      <c r="Q145">
        <v>-26.61</v>
      </c>
      <c r="R145">
        <v>-14.54</v>
      </c>
      <c r="S145">
        <v>-14.57</v>
      </c>
      <c r="T145">
        <v>8.09</v>
      </c>
      <c r="U145">
        <v>8.02</v>
      </c>
    </row>
    <row r="146" spans="1:21" x14ac:dyDescent="0.25">
      <c r="A146" t="s">
        <v>1290</v>
      </c>
      <c r="D146">
        <v>2.58</v>
      </c>
      <c r="E146">
        <v>14.72</v>
      </c>
      <c r="F146">
        <v>8.3699999999999992</v>
      </c>
      <c r="G146">
        <v>17.29</v>
      </c>
      <c r="H146">
        <v>6.85</v>
      </c>
      <c r="I146">
        <v>35.450000000000003</v>
      </c>
      <c r="J146">
        <v>7.6</v>
      </c>
      <c r="K146">
        <v>8.17</v>
      </c>
      <c r="L146">
        <v>35.68</v>
      </c>
      <c r="M146">
        <v>46.56</v>
      </c>
      <c r="N146">
        <v>6.93</v>
      </c>
      <c r="O146">
        <v>-14.65</v>
      </c>
      <c r="P146">
        <v>2.0699999999999998</v>
      </c>
      <c r="Q146">
        <v>6.6</v>
      </c>
      <c r="R146">
        <v>5.72</v>
      </c>
      <c r="S146">
        <v>2.94</v>
      </c>
      <c r="T146">
        <v>4.5199999999999996</v>
      </c>
      <c r="U146">
        <v>4.2300000000000004</v>
      </c>
    </row>
    <row r="147" spans="1:21" x14ac:dyDescent="0.25">
      <c r="A147" t="s">
        <v>2156</v>
      </c>
      <c r="H147">
        <v>21.89</v>
      </c>
      <c r="I147">
        <v>33.270000000000003</v>
      </c>
      <c r="J147">
        <v>40.32</v>
      </c>
      <c r="K147">
        <v>44.12</v>
      </c>
      <c r="L147">
        <v>48.96</v>
      </c>
      <c r="M147">
        <v>57.4</v>
      </c>
      <c r="N147">
        <v>69.680000000000007</v>
      </c>
      <c r="O147">
        <v>56.43</v>
      </c>
      <c r="P147">
        <v>93.3</v>
      </c>
      <c r="Q147">
        <v>92.93</v>
      </c>
      <c r="R147">
        <v>108.41</v>
      </c>
      <c r="S147">
        <v>131.94999999999999</v>
      </c>
      <c r="T147">
        <v>71.06</v>
      </c>
      <c r="U147">
        <v>70.64</v>
      </c>
    </row>
    <row r="148" spans="1:21" x14ac:dyDescent="0.25">
      <c r="A148" t="s">
        <v>204</v>
      </c>
      <c r="D148">
        <v>-36.56</v>
      </c>
      <c r="E148">
        <v>75.03</v>
      </c>
      <c r="F148">
        <v>31.22</v>
      </c>
      <c r="G148">
        <v>86.6</v>
      </c>
      <c r="H148">
        <v>60.21</v>
      </c>
      <c r="I148">
        <v>405.07</v>
      </c>
      <c r="J148">
        <v>378.51</v>
      </c>
      <c r="K148">
        <v>548.73</v>
      </c>
      <c r="L148">
        <v>598.32000000000005</v>
      </c>
      <c r="M148">
        <v>739.46</v>
      </c>
      <c r="N148">
        <v>992.72</v>
      </c>
      <c r="O148" s="2">
        <v>1021.44</v>
      </c>
      <c r="P148">
        <v>628.80999999999995</v>
      </c>
      <c r="Q148">
        <v>721.49</v>
      </c>
      <c r="R148">
        <v>727.15</v>
      </c>
      <c r="S148">
        <v>762.61</v>
      </c>
      <c r="T148">
        <v>899.34</v>
      </c>
      <c r="U148" s="2">
        <v>1054.69</v>
      </c>
    </row>
    <row r="149" spans="1:21" x14ac:dyDescent="0.25">
      <c r="A149" t="s">
        <v>17</v>
      </c>
    </row>
    <row r="150" spans="1:21" x14ac:dyDescent="0.25">
      <c r="A150" t="s">
        <v>205</v>
      </c>
    </row>
    <row r="151" spans="1:21" x14ac:dyDescent="0.25">
      <c r="A151" t="s">
        <v>206</v>
      </c>
      <c r="C151">
        <v>-1.66</v>
      </c>
      <c r="D151">
        <v>-6.93</v>
      </c>
      <c r="E151">
        <v>-9.2200000000000006</v>
      </c>
      <c r="F151">
        <v>-13.06</v>
      </c>
      <c r="G151">
        <v>-25.19</v>
      </c>
      <c r="H151">
        <v>-40.6</v>
      </c>
      <c r="I151">
        <v>-80.11</v>
      </c>
      <c r="J151">
        <v>-59.97</v>
      </c>
      <c r="K151">
        <v>-91.89</v>
      </c>
      <c r="L151">
        <v>-55.02</v>
      </c>
      <c r="M151">
        <v>-107.06</v>
      </c>
      <c r="N151">
        <v>-209.76</v>
      </c>
      <c r="O151">
        <v>-238.04</v>
      </c>
      <c r="P151">
        <v>-235.61</v>
      </c>
      <c r="Q151">
        <v>-242.36</v>
      </c>
      <c r="R151">
        <v>-244.39</v>
      </c>
      <c r="S151">
        <v>-250.02</v>
      </c>
      <c r="T151">
        <v>-226.91</v>
      </c>
      <c r="U151">
        <v>-235.33</v>
      </c>
    </row>
    <row r="152" spans="1:21" x14ac:dyDescent="0.25">
      <c r="A152" t="s">
        <v>2157</v>
      </c>
      <c r="C152">
        <v>-1.66</v>
      </c>
      <c r="D152">
        <v>-5.13</v>
      </c>
      <c r="E152">
        <v>-6.88</v>
      </c>
      <c r="F152">
        <v>-10.11</v>
      </c>
      <c r="G152">
        <v>-19.8</v>
      </c>
      <c r="H152">
        <v>-35.69</v>
      </c>
      <c r="I152">
        <v>-74.06</v>
      </c>
      <c r="J152">
        <v>-54.8</v>
      </c>
      <c r="K152">
        <v>-84.16</v>
      </c>
      <c r="L152">
        <v>-46.79</v>
      </c>
      <c r="M152">
        <v>-98.24</v>
      </c>
      <c r="N152">
        <v>-197.01</v>
      </c>
      <c r="O152">
        <v>-206.79</v>
      </c>
      <c r="P152">
        <v>-182.14</v>
      </c>
      <c r="Q152">
        <v>-183.82</v>
      </c>
      <c r="R152">
        <v>-170.41</v>
      </c>
      <c r="S152">
        <v>-173.51</v>
      </c>
      <c r="T152">
        <v>-192</v>
      </c>
      <c r="U152">
        <v>-216.8</v>
      </c>
    </row>
    <row r="153" spans="1:21" x14ac:dyDescent="0.25">
      <c r="A153" t="s">
        <v>1675</v>
      </c>
      <c r="D153">
        <v>-1.8</v>
      </c>
      <c r="E153">
        <v>-2.34</v>
      </c>
      <c r="F153">
        <v>-2.95</v>
      </c>
      <c r="G153">
        <v>-5.4</v>
      </c>
      <c r="H153">
        <v>-4.91</v>
      </c>
      <c r="I153">
        <v>-6.05</v>
      </c>
      <c r="J153">
        <v>-5.17</v>
      </c>
      <c r="K153">
        <v>-7.73</v>
      </c>
      <c r="L153">
        <v>-8.23</v>
      </c>
      <c r="M153">
        <v>-8.82</v>
      </c>
      <c r="N153">
        <v>-12.75</v>
      </c>
      <c r="O153">
        <v>-10.18</v>
      </c>
      <c r="P153">
        <v>-9.7899999999999991</v>
      </c>
      <c r="Q153">
        <v>-12.26</v>
      </c>
      <c r="R153">
        <v>-12.26</v>
      </c>
      <c r="S153">
        <v>-12.8</v>
      </c>
      <c r="T153">
        <v>-15.01</v>
      </c>
      <c r="U153">
        <v>-15.68</v>
      </c>
    </row>
    <row r="154" spans="1:21" x14ac:dyDescent="0.25">
      <c r="A154" t="s">
        <v>672</v>
      </c>
      <c r="D154">
        <v>0</v>
      </c>
      <c r="E154">
        <v>0</v>
      </c>
      <c r="F154">
        <v>0</v>
      </c>
      <c r="G154">
        <v>0</v>
      </c>
      <c r="H154">
        <v>-212.78</v>
      </c>
      <c r="I154">
        <v>-230.76</v>
      </c>
      <c r="J154">
        <v>-278.39</v>
      </c>
      <c r="K154">
        <v>-553.29999999999995</v>
      </c>
      <c r="L154">
        <v>-608.38</v>
      </c>
      <c r="M154">
        <v>-679.54</v>
      </c>
      <c r="N154">
        <v>-954.27</v>
      </c>
      <c r="O154">
        <v>-323.24</v>
      </c>
      <c r="P154">
        <v>-366.49</v>
      </c>
      <c r="Q154">
        <v>-505.72</v>
      </c>
      <c r="R154">
        <v>-479.22</v>
      </c>
      <c r="S154">
        <v>-466.72</v>
      </c>
      <c r="T154">
        <v>-420.68</v>
      </c>
      <c r="U154">
        <v>-390.06</v>
      </c>
    </row>
    <row r="155" spans="1:21" x14ac:dyDescent="0.25">
      <c r="A155" t="s">
        <v>209</v>
      </c>
      <c r="D155">
        <v>0.55000000000000004</v>
      </c>
      <c r="E155">
        <v>0</v>
      </c>
      <c r="F155">
        <v>0</v>
      </c>
      <c r="G155">
        <v>0</v>
      </c>
      <c r="H155">
        <v>89.54</v>
      </c>
      <c r="I155">
        <v>167.6</v>
      </c>
      <c r="J155">
        <v>257.98</v>
      </c>
      <c r="K155">
        <v>340.81</v>
      </c>
      <c r="L155">
        <v>555.80999999999995</v>
      </c>
      <c r="M155">
        <v>629.09</v>
      </c>
      <c r="N155">
        <v>875.75</v>
      </c>
      <c r="O155">
        <v>535.49</v>
      </c>
      <c r="P155">
        <v>587.66</v>
      </c>
      <c r="Q155">
        <v>653.28</v>
      </c>
      <c r="R155">
        <v>777.9</v>
      </c>
      <c r="S155">
        <v>780.43</v>
      </c>
      <c r="T155">
        <v>845.86</v>
      </c>
      <c r="U155">
        <v>845.86</v>
      </c>
    </row>
    <row r="156" spans="1:21" x14ac:dyDescent="0.25">
      <c r="A156" t="s">
        <v>2158</v>
      </c>
      <c r="C156">
        <v>-0.55000000000000004</v>
      </c>
      <c r="D156">
        <v>0.55000000000000004</v>
      </c>
      <c r="E156">
        <v>0</v>
      </c>
      <c r="F156">
        <v>0</v>
      </c>
      <c r="G156">
        <v>0</v>
      </c>
      <c r="H156">
        <v>-123.24</v>
      </c>
      <c r="I156">
        <v>-63.16</v>
      </c>
      <c r="J156">
        <v>-20.399999999999999</v>
      </c>
      <c r="K156">
        <v>-212.49</v>
      </c>
      <c r="L156">
        <v>-52.57</v>
      </c>
      <c r="M156">
        <v>-50.45</v>
      </c>
      <c r="N156">
        <v>-78.52</v>
      </c>
      <c r="O156">
        <v>373.86</v>
      </c>
      <c r="P156">
        <v>282.77</v>
      </c>
      <c r="Q156">
        <v>232.47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t="s">
        <v>213</v>
      </c>
      <c r="D157">
        <v>-6.38</v>
      </c>
      <c r="E157">
        <v>-9.2200000000000006</v>
      </c>
      <c r="F157">
        <v>-16.059999999999999</v>
      </c>
      <c r="G157">
        <v>-25.19</v>
      </c>
      <c r="H157">
        <v>-163.84</v>
      </c>
      <c r="I157">
        <v>-143.27000000000001</v>
      </c>
      <c r="J157">
        <v>-93.64</v>
      </c>
      <c r="K157">
        <v>-304.37</v>
      </c>
      <c r="L157">
        <v>-107.59</v>
      </c>
      <c r="M157">
        <v>-157.51</v>
      </c>
      <c r="N157">
        <v>-292.63</v>
      </c>
      <c r="O157">
        <v>94.84</v>
      </c>
      <c r="P157">
        <v>-93.47</v>
      </c>
      <c r="Q157">
        <v>-121.13</v>
      </c>
      <c r="R157">
        <v>-167.4</v>
      </c>
      <c r="S157">
        <v>-168.81</v>
      </c>
      <c r="T157">
        <v>-203.79</v>
      </c>
      <c r="U157">
        <v>-219.32</v>
      </c>
    </row>
    <row r="158" spans="1:21" x14ac:dyDescent="0.25">
      <c r="A158" t="s">
        <v>17</v>
      </c>
    </row>
    <row r="159" spans="1:21" x14ac:dyDescent="0.25">
      <c r="A159" t="s">
        <v>214</v>
      </c>
    </row>
    <row r="160" spans="1:21" x14ac:dyDescent="0.25">
      <c r="A160" t="s">
        <v>2159</v>
      </c>
      <c r="D160">
        <v>0</v>
      </c>
      <c r="E160">
        <v>-0.16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-646.6</v>
      </c>
      <c r="M160">
        <v>-234.78</v>
      </c>
      <c r="N160" s="2">
        <v>-1380.42</v>
      </c>
      <c r="O160">
        <v>-455.35</v>
      </c>
      <c r="P160">
        <v>-472.18</v>
      </c>
      <c r="Q160">
        <v>-482.47</v>
      </c>
      <c r="R160">
        <v>-405.23</v>
      </c>
      <c r="S160">
        <v>-432.02</v>
      </c>
      <c r="T160">
        <v>-499.71</v>
      </c>
      <c r="U160">
        <v>-548.5</v>
      </c>
    </row>
    <row r="161" spans="1:21" x14ac:dyDescent="0.25">
      <c r="A161" t="s">
        <v>216</v>
      </c>
      <c r="E161">
        <v>0.49</v>
      </c>
      <c r="F161">
        <v>2.57</v>
      </c>
      <c r="G161">
        <v>10.02</v>
      </c>
      <c r="H161">
        <v>29.87</v>
      </c>
      <c r="I161">
        <v>76.150000000000006</v>
      </c>
      <c r="J161">
        <v>61.48</v>
      </c>
      <c r="K161">
        <v>47.53</v>
      </c>
      <c r="L161">
        <v>60.53</v>
      </c>
      <c r="M161">
        <v>216.28</v>
      </c>
      <c r="N161">
        <v>23.82</v>
      </c>
      <c r="O161">
        <v>15.15</v>
      </c>
      <c r="P161">
        <v>46.26</v>
      </c>
      <c r="Q161">
        <v>55.17</v>
      </c>
      <c r="R161">
        <v>63.28</v>
      </c>
      <c r="S161">
        <v>66.16</v>
      </c>
      <c r="T161">
        <v>87.45</v>
      </c>
      <c r="U161">
        <v>9.92</v>
      </c>
    </row>
    <row r="162" spans="1:21" x14ac:dyDescent="0.25">
      <c r="A162" t="s">
        <v>2160</v>
      </c>
      <c r="D162">
        <v>0.17</v>
      </c>
      <c r="F162">
        <v>0</v>
      </c>
      <c r="G162">
        <v>0</v>
      </c>
      <c r="H162">
        <v>16.75</v>
      </c>
      <c r="I162">
        <v>21.67</v>
      </c>
      <c r="J162">
        <v>29.23</v>
      </c>
      <c r="K162">
        <v>33.06</v>
      </c>
      <c r="L162">
        <v>38.479999999999997</v>
      </c>
      <c r="M162">
        <v>49.99</v>
      </c>
      <c r="N162">
        <v>42.88</v>
      </c>
      <c r="O162">
        <v>16.34</v>
      </c>
      <c r="P162">
        <v>38.85</v>
      </c>
      <c r="Q162">
        <v>33.18</v>
      </c>
      <c r="R162">
        <v>31.3</v>
      </c>
      <c r="S162">
        <v>32.03</v>
      </c>
      <c r="T162">
        <v>38.03</v>
      </c>
      <c r="U162">
        <v>27.43</v>
      </c>
    </row>
    <row r="163" spans="1:21" x14ac:dyDescent="0.25">
      <c r="A163" t="s">
        <v>2161</v>
      </c>
      <c r="D163">
        <v>-0.2</v>
      </c>
      <c r="E163">
        <v>5.77</v>
      </c>
      <c r="F163">
        <v>5.98</v>
      </c>
      <c r="G163">
        <v>7.13</v>
      </c>
      <c r="H163">
        <v>-19.329999999999998</v>
      </c>
      <c r="I163">
        <v>-53.14</v>
      </c>
      <c r="J163">
        <v>-56.86</v>
      </c>
      <c r="K163">
        <v>-48.6</v>
      </c>
      <c r="L163">
        <v>-78.52</v>
      </c>
      <c r="M163">
        <v>-139.1</v>
      </c>
      <c r="N163">
        <v>-97.65</v>
      </c>
      <c r="O163">
        <v>-44.39</v>
      </c>
      <c r="P163">
        <v>-66.14</v>
      </c>
      <c r="Q163">
        <v>-84.41</v>
      </c>
      <c r="R163">
        <v>-89.51</v>
      </c>
      <c r="S163">
        <v>-92.78</v>
      </c>
      <c r="T163">
        <v>-114.75</v>
      </c>
      <c r="U163">
        <v>-65.64</v>
      </c>
    </row>
    <row r="164" spans="1:21" x14ac:dyDescent="0.25">
      <c r="A164" t="s">
        <v>218</v>
      </c>
      <c r="D164">
        <v>29.67</v>
      </c>
      <c r="E164">
        <v>63.54</v>
      </c>
      <c r="F164">
        <v>7.39</v>
      </c>
      <c r="G164">
        <v>-10.130000000000001</v>
      </c>
      <c r="H164">
        <v>27.28</v>
      </c>
      <c r="I164">
        <v>44.68</v>
      </c>
      <c r="J164">
        <v>31.93</v>
      </c>
      <c r="K164">
        <v>31.99</v>
      </c>
      <c r="L164">
        <v>-626.11</v>
      </c>
      <c r="M164">
        <v>-107.61</v>
      </c>
      <c r="N164" s="2">
        <v>-1411.38</v>
      </c>
      <c r="O164">
        <v>-455.19</v>
      </c>
      <c r="P164">
        <v>-451.15</v>
      </c>
      <c r="Q164">
        <v>-421.68</v>
      </c>
      <c r="R164">
        <v>-321.58999999999997</v>
      </c>
      <c r="S164">
        <v>-343.06</v>
      </c>
      <c r="T164">
        <v>-427.5</v>
      </c>
      <c r="U164">
        <v>-579.03</v>
      </c>
    </row>
    <row r="165" spans="1:21" x14ac:dyDescent="0.25">
      <c r="A165" t="s">
        <v>17</v>
      </c>
    </row>
    <row r="166" spans="1:21" x14ac:dyDescent="0.25">
      <c r="A166" t="s">
        <v>176</v>
      </c>
    </row>
    <row r="167" spans="1:21" x14ac:dyDescent="0.25">
      <c r="A167" t="s">
        <v>220</v>
      </c>
      <c r="C167">
        <v>10.95</v>
      </c>
      <c r="D167">
        <v>-13.27</v>
      </c>
      <c r="E167">
        <v>129.35</v>
      </c>
      <c r="F167">
        <v>22.55</v>
      </c>
      <c r="G167">
        <v>51.28</v>
      </c>
      <c r="H167">
        <v>-76.36</v>
      </c>
      <c r="I167">
        <v>306.48</v>
      </c>
      <c r="J167">
        <v>316.8</v>
      </c>
      <c r="K167">
        <v>276.35000000000002</v>
      </c>
      <c r="L167">
        <v>-135.38</v>
      </c>
      <c r="M167">
        <v>474.33</v>
      </c>
      <c r="N167">
        <v>-711.29</v>
      </c>
      <c r="O167">
        <v>627.13</v>
      </c>
      <c r="P167">
        <v>168.73</v>
      </c>
      <c r="Q167">
        <v>213.17</v>
      </c>
      <c r="R167">
        <v>245.54</v>
      </c>
      <c r="S167">
        <v>264.04000000000002</v>
      </c>
      <c r="T167">
        <v>246.28</v>
      </c>
      <c r="U167">
        <v>245.68</v>
      </c>
    </row>
    <row r="168" spans="1:21" x14ac:dyDescent="0.25">
      <c r="A168" t="s">
        <v>221</v>
      </c>
      <c r="D168">
        <v>17.32</v>
      </c>
      <c r="E168">
        <v>4.05</v>
      </c>
      <c r="F168">
        <v>133.4</v>
      </c>
      <c r="G168">
        <v>155.94999999999999</v>
      </c>
      <c r="H168">
        <v>207.23</v>
      </c>
      <c r="I168">
        <v>130.88</v>
      </c>
      <c r="J168">
        <v>437.35</v>
      </c>
      <c r="K168">
        <v>754.15</v>
      </c>
      <c r="L168" s="2">
        <v>1030.51</v>
      </c>
      <c r="M168">
        <v>895.13</v>
      </c>
      <c r="N168" s="2">
        <v>1369.46</v>
      </c>
      <c r="O168">
        <v>833.82</v>
      </c>
      <c r="P168" s="2">
        <v>1573.56</v>
      </c>
      <c r="Q168" s="2">
        <v>1333.94</v>
      </c>
      <c r="R168" s="2">
        <v>1466.9</v>
      </c>
      <c r="S168" s="2">
        <v>1712.43</v>
      </c>
      <c r="T168" s="2">
        <v>1545.49</v>
      </c>
      <c r="U168" s="2">
        <v>1455.41</v>
      </c>
    </row>
    <row r="169" spans="1:21" x14ac:dyDescent="0.25">
      <c r="A169" t="s">
        <v>222</v>
      </c>
      <c r="C169">
        <v>17.32</v>
      </c>
      <c r="D169">
        <v>4.05</v>
      </c>
      <c r="E169">
        <v>133.4</v>
      </c>
      <c r="F169">
        <v>155.94999999999999</v>
      </c>
      <c r="G169">
        <v>207.23</v>
      </c>
      <c r="H169">
        <v>130.88</v>
      </c>
      <c r="I169">
        <v>437.35</v>
      </c>
      <c r="J169">
        <v>754.15</v>
      </c>
      <c r="K169" s="2">
        <v>1030.51</v>
      </c>
      <c r="L169">
        <v>895.13</v>
      </c>
      <c r="M169" s="2">
        <v>1369.46</v>
      </c>
      <c r="N169">
        <v>658.18</v>
      </c>
      <c r="O169" s="2">
        <v>1435.17</v>
      </c>
      <c r="P169" s="2">
        <v>1754.61</v>
      </c>
      <c r="Q169" s="2">
        <v>1553.8</v>
      </c>
      <c r="R169" s="2">
        <v>1722.77</v>
      </c>
      <c r="S169" s="2">
        <v>1986.82</v>
      </c>
      <c r="T169" s="2">
        <v>1808.03</v>
      </c>
      <c r="U169" s="2">
        <v>1720.04</v>
      </c>
    </row>
    <row r="170" spans="1:21" x14ac:dyDescent="0.25">
      <c r="A170" t="s">
        <v>178</v>
      </c>
    </row>
    <row r="171" spans="1:21" x14ac:dyDescent="0.25">
      <c r="A171" t="s">
        <v>225</v>
      </c>
      <c r="C171">
        <v>-16.5</v>
      </c>
      <c r="D171">
        <v>-43.49</v>
      </c>
      <c r="E171">
        <v>65.81</v>
      </c>
      <c r="F171">
        <v>18.16</v>
      </c>
      <c r="G171">
        <v>61.41</v>
      </c>
      <c r="H171">
        <v>19.600000000000001</v>
      </c>
      <c r="I171">
        <v>324.95999999999998</v>
      </c>
      <c r="J171">
        <v>318.54000000000002</v>
      </c>
      <c r="K171">
        <v>456.85</v>
      </c>
      <c r="L171">
        <v>543.29999999999995</v>
      </c>
      <c r="M171">
        <v>632.39</v>
      </c>
      <c r="N171">
        <v>782.96</v>
      </c>
      <c r="O171">
        <v>746.92</v>
      </c>
      <c r="P171">
        <v>464.33</v>
      </c>
      <c r="Q171">
        <v>532.89</v>
      </c>
      <c r="R171">
        <v>538.66999999999996</v>
      </c>
      <c r="S171">
        <v>567.52</v>
      </c>
      <c r="T171">
        <v>664.6</v>
      </c>
      <c r="U171">
        <v>794.26</v>
      </c>
    </row>
    <row r="172" spans="1:21" x14ac:dyDescent="0.25">
      <c r="A172" t="s">
        <v>228</v>
      </c>
      <c r="C172">
        <v>-37.04</v>
      </c>
      <c r="D172">
        <v>-38.200000000000003</v>
      </c>
      <c r="E172">
        <v>32.43</v>
      </c>
      <c r="F172">
        <v>5.89</v>
      </c>
      <c r="G172">
        <v>12.87</v>
      </c>
      <c r="H172">
        <v>2.97</v>
      </c>
      <c r="I172">
        <v>38.869999999999997</v>
      </c>
      <c r="J172">
        <v>26.62</v>
      </c>
      <c r="K172">
        <v>28.95</v>
      </c>
      <c r="L172">
        <v>27.92</v>
      </c>
      <c r="M172">
        <v>25.87</v>
      </c>
      <c r="N172">
        <v>27.03</v>
      </c>
      <c r="O172">
        <v>30.11</v>
      </c>
      <c r="P172">
        <v>14.45</v>
      </c>
      <c r="Q172">
        <v>13.99</v>
      </c>
      <c r="R172">
        <v>11.2</v>
      </c>
      <c r="S172">
        <v>12.23</v>
      </c>
      <c r="T172">
        <v>15</v>
      </c>
      <c r="U172">
        <v>15.25</v>
      </c>
    </row>
    <row r="173" spans="1:21" x14ac:dyDescent="0.25">
      <c r="A173" t="s">
        <v>2020</v>
      </c>
      <c r="C173">
        <v>-0.16</v>
      </c>
      <c r="D173">
        <v>-0.42</v>
      </c>
      <c r="E173">
        <v>0.36</v>
      </c>
      <c r="F173">
        <v>0.05</v>
      </c>
      <c r="G173">
        <v>0.14000000000000001</v>
      </c>
      <c r="H173">
        <v>0.04</v>
      </c>
      <c r="I173">
        <v>0.7</v>
      </c>
      <c r="J173">
        <v>0.67</v>
      </c>
      <c r="K173">
        <v>0.94</v>
      </c>
      <c r="L173">
        <v>1.1100000000000001</v>
      </c>
      <c r="M173">
        <v>1.29</v>
      </c>
      <c r="N173">
        <v>1.6</v>
      </c>
      <c r="O173">
        <v>1.87</v>
      </c>
      <c r="P173">
        <v>0.88</v>
      </c>
      <c r="Q173">
        <v>1.28</v>
      </c>
      <c r="R173">
        <v>1.1299999999999999</v>
      </c>
      <c r="S173">
        <v>1.22</v>
      </c>
      <c r="T173">
        <v>1.6</v>
      </c>
      <c r="U173">
        <v>1.93</v>
      </c>
    </row>
    <row r="174" spans="1:21" x14ac:dyDescent="0.25">
      <c r="A174" t="s">
        <v>227</v>
      </c>
      <c r="C174">
        <v>-0.13</v>
      </c>
      <c r="D174">
        <v>-0.26</v>
      </c>
      <c r="E174">
        <v>0.36</v>
      </c>
      <c r="F174">
        <v>0.04</v>
      </c>
      <c r="G174">
        <v>0.13</v>
      </c>
      <c r="H174">
        <v>0.04</v>
      </c>
      <c r="I174">
        <v>0.66</v>
      </c>
      <c r="J174">
        <v>0.64</v>
      </c>
      <c r="K174">
        <v>0.91</v>
      </c>
      <c r="L174">
        <v>1.0900000000000001</v>
      </c>
      <c r="M174">
        <v>1.26</v>
      </c>
      <c r="N174">
        <v>1.59</v>
      </c>
      <c r="O174">
        <v>1.62</v>
      </c>
      <c r="P174">
        <v>1.02</v>
      </c>
      <c r="Q174">
        <v>1.1200000000000001</v>
      </c>
      <c r="R174">
        <v>1.27</v>
      </c>
      <c r="S174">
        <v>1.1599999999999999</v>
      </c>
      <c r="T174">
        <v>0.99</v>
      </c>
      <c r="U174">
        <v>1.1399999999999999</v>
      </c>
    </row>
    <row r="175" spans="1:21" x14ac:dyDescent="0.25">
      <c r="A175" t="s">
        <v>17</v>
      </c>
    </row>
    <row r="176" spans="1:21" x14ac:dyDescent="0.25">
      <c r="A176" t="s">
        <v>231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DD3D-1CCC-4402-8A30-709EA2067093}">
  <dimension ref="A1:U258"/>
  <sheetViews>
    <sheetView workbookViewId="0">
      <selection sqref="A1:U258"/>
    </sheetView>
  </sheetViews>
  <sheetFormatPr defaultRowHeight="15" x14ac:dyDescent="0.25"/>
  <sheetData>
    <row r="1" spans="1:21" x14ac:dyDescent="0.25">
      <c r="A1" t="s">
        <v>2162</v>
      </c>
    </row>
    <row r="2" spans="1:21" x14ac:dyDescent="0.25">
      <c r="A2" t="s">
        <v>2163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41581</v>
      </c>
      <c r="C4" s="1">
        <v>41945</v>
      </c>
      <c r="D4" s="1">
        <v>42309</v>
      </c>
      <c r="E4" s="1">
        <v>42673</v>
      </c>
      <c r="F4" s="1">
        <v>43037</v>
      </c>
      <c r="G4" s="1">
        <v>43408</v>
      </c>
      <c r="H4" s="1">
        <v>43772</v>
      </c>
      <c r="I4" s="1">
        <v>44136</v>
      </c>
      <c r="J4" s="1">
        <v>44500</v>
      </c>
      <c r="K4" s="1">
        <v>44864</v>
      </c>
      <c r="L4" s="1">
        <v>45228</v>
      </c>
      <c r="M4" s="1">
        <v>45599</v>
      </c>
      <c r="N4" s="1">
        <v>45963</v>
      </c>
      <c r="O4" s="1">
        <v>46327</v>
      </c>
      <c r="P4" s="1">
        <v>46691</v>
      </c>
      <c r="Q4" s="1">
        <v>47055</v>
      </c>
      <c r="R4" s="1">
        <v>47419</v>
      </c>
      <c r="S4" s="1">
        <v>47790</v>
      </c>
      <c r="T4" s="1">
        <v>48154</v>
      </c>
      <c r="U4" s="1">
        <v>48518</v>
      </c>
    </row>
    <row r="5" spans="1:21" x14ac:dyDescent="0.25">
      <c r="A5" t="s">
        <v>14</v>
      </c>
    </row>
    <row r="6" spans="1:21" x14ac:dyDescent="0.25">
      <c r="A6" t="s">
        <v>15</v>
      </c>
      <c r="B6">
        <v>0.28999999999999998</v>
      </c>
      <c r="C6">
        <v>0.49</v>
      </c>
      <c r="D6">
        <v>0.9</v>
      </c>
      <c r="E6">
        <v>1.1499999999999999</v>
      </c>
      <c r="F6">
        <v>1.6</v>
      </c>
      <c r="G6">
        <v>2.08</v>
      </c>
      <c r="H6">
        <v>2.13</v>
      </c>
      <c r="I6">
        <v>2.2200000000000002</v>
      </c>
      <c r="J6">
        <v>2.8</v>
      </c>
      <c r="K6">
        <v>3.76</v>
      </c>
      <c r="L6">
        <v>4.2300000000000004</v>
      </c>
      <c r="M6">
        <v>4.87</v>
      </c>
      <c r="N6">
        <v>6.82</v>
      </c>
      <c r="O6">
        <v>11.67</v>
      </c>
      <c r="P6">
        <v>19.2</v>
      </c>
      <c r="Q6">
        <v>30.63</v>
      </c>
      <c r="R6">
        <v>41.79</v>
      </c>
      <c r="S6">
        <v>50.68</v>
      </c>
      <c r="T6">
        <v>53.21</v>
      </c>
    </row>
    <row r="7" spans="1:21" x14ac:dyDescent="0.25">
      <c r="A7" t="s">
        <v>16</v>
      </c>
      <c r="B7" s="2">
        <v>2520</v>
      </c>
      <c r="C7" s="2">
        <v>4307</v>
      </c>
      <c r="D7" s="2">
        <v>6905</v>
      </c>
      <c r="E7" s="2">
        <v>13292</v>
      </c>
      <c r="F7" s="2">
        <v>17665</v>
      </c>
      <c r="G7" s="2">
        <v>20862</v>
      </c>
      <c r="H7" s="2">
        <v>22597</v>
      </c>
      <c r="I7" s="2">
        <v>23888</v>
      </c>
      <c r="J7" s="2">
        <v>27450</v>
      </c>
      <c r="K7" s="2">
        <v>33203</v>
      </c>
      <c r="L7" s="2">
        <v>35819</v>
      </c>
      <c r="M7" s="2">
        <v>51574</v>
      </c>
      <c r="N7" s="2">
        <v>63887</v>
      </c>
      <c r="O7" s="2">
        <v>105987.2</v>
      </c>
      <c r="P7" s="2">
        <v>173892.18</v>
      </c>
      <c r="Q7" s="2">
        <v>277107.45</v>
      </c>
      <c r="R7" s="2">
        <v>333142.83</v>
      </c>
      <c r="S7" s="2">
        <v>429344.75</v>
      </c>
      <c r="T7" s="2">
        <v>483764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2164</v>
      </c>
      <c r="G10" s="2">
        <v>18934</v>
      </c>
      <c r="H10" s="2">
        <v>17441</v>
      </c>
      <c r="I10" s="2">
        <v>17267</v>
      </c>
      <c r="J10" s="2">
        <v>20383</v>
      </c>
      <c r="K10" s="2">
        <v>25818</v>
      </c>
      <c r="L10" s="2">
        <v>28182</v>
      </c>
      <c r="M10" s="2">
        <v>30096</v>
      </c>
      <c r="N10" s="2">
        <v>36858</v>
      </c>
      <c r="O10" s="2">
        <v>74428.87</v>
      </c>
      <c r="P10" s="2">
        <v>138334.79</v>
      </c>
      <c r="Q10" s="2">
        <v>231007.2</v>
      </c>
      <c r="R10" s="2">
        <v>291726.58</v>
      </c>
      <c r="S10" s="2">
        <v>422127.39</v>
      </c>
      <c r="T10" s="2">
        <v>425526.36</v>
      </c>
    </row>
    <row r="11" spans="1:21" x14ac:dyDescent="0.25">
      <c r="A11" t="s">
        <v>2165</v>
      </c>
      <c r="M11" s="2">
        <v>12200</v>
      </c>
      <c r="N11" s="2">
        <v>20138</v>
      </c>
      <c r="O11" s="2">
        <v>57562.14</v>
      </c>
      <c r="P11" s="2">
        <v>119418.67</v>
      </c>
      <c r="Q11" s="2">
        <v>223565.92</v>
      </c>
      <c r="R11" s="2">
        <v>277462.42</v>
      </c>
      <c r="S11" s="2">
        <v>484400</v>
      </c>
    </row>
    <row r="12" spans="1:21" x14ac:dyDescent="0.25">
      <c r="A12" t="s">
        <v>2166</v>
      </c>
      <c r="G12" s="2">
        <v>1780</v>
      </c>
      <c r="H12" s="2">
        <v>5156</v>
      </c>
      <c r="I12" s="2">
        <v>6621</v>
      </c>
      <c r="J12" s="2">
        <v>7067</v>
      </c>
      <c r="K12" s="2">
        <v>7385</v>
      </c>
      <c r="L12" s="2">
        <v>7637</v>
      </c>
      <c r="M12" s="2">
        <v>21478</v>
      </c>
      <c r="N12" s="2">
        <v>27029</v>
      </c>
      <c r="O12" s="2">
        <v>31459.17</v>
      </c>
      <c r="P12" s="2">
        <v>35884.959999999999</v>
      </c>
      <c r="Q12" s="2">
        <v>36776.92</v>
      </c>
      <c r="R12" s="2">
        <v>35290.230000000003</v>
      </c>
      <c r="S12" s="2">
        <v>49845.45</v>
      </c>
      <c r="T12" s="2">
        <v>58238.06</v>
      </c>
    </row>
    <row r="13" spans="1:21" x14ac:dyDescent="0.25">
      <c r="A13" t="s">
        <v>2167</v>
      </c>
      <c r="O13" s="2">
        <v>22774.74</v>
      </c>
      <c r="P13" s="2">
        <v>26498.400000000001</v>
      </c>
      <c r="Q13" s="2">
        <v>28045.26</v>
      </c>
      <c r="R13" s="2">
        <v>29847.05</v>
      </c>
    </row>
    <row r="14" spans="1:21" x14ac:dyDescent="0.25">
      <c r="A14" t="s">
        <v>17</v>
      </c>
    </row>
    <row r="15" spans="1:21" x14ac:dyDescent="0.25">
      <c r="A15" t="s">
        <v>30</v>
      </c>
      <c r="B15">
        <v>50.8</v>
      </c>
      <c r="C15">
        <v>56</v>
      </c>
      <c r="D15">
        <v>60.59</v>
      </c>
      <c r="E15">
        <v>60.53</v>
      </c>
      <c r="F15">
        <v>63.05</v>
      </c>
      <c r="G15">
        <v>66.78</v>
      </c>
      <c r="H15">
        <v>71.05</v>
      </c>
      <c r="I15">
        <v>73.48</v>
      </c>
      <c r="J15">
        <v>74.47</v>
      </c>
      <c r="K15">
        <v>75.62</v>
      </c>
      <c r="L15">
        <v>74.7</v>
      </c>
      <c r="M15">
        <v>76.510000000000005</v>
      </c>
      <c r="N15">
        <v>78.650000000000006</v>
      </c>
      <c r="O15">
        <v>75.14</v>
      </c>
      <c r="P15">
        <v>71.790000000000006</v>
      </c>
      <c r="Q15">
        <v>70.28</v>
      </c>
      <c r="R15">
        <v>69.94</v>
      </c>
      <c r="S15">
        <v>71.13</v>
      </c>
      <c r="T15">
        <v>75</v>
      </c>
    </row>
    <row r="16" spans="1:21" x14ac:dyDescent="0.25">
      <c r="A16" t="s">
        <v>721</v>
      </c>
      <c r="B16">
        <v>398</v>
      </c>
      <c r="C16">
        <v>695</v>
      </c>
      <c r="D16" s="2">
        <v>1049</v>
      </c>
      <c r="E16" s="2">
        <v>2674</v>
      </c>
      <c r="F16" s="2">
        <v>3292</v>
      </c>
      <c r="G16" s="2">
        <v>3768</v>
      </c>
      <c r="H16" s="2">
        <v>4696</v>
      </c>
      <c r="I16" s="2">
        <v>4968</v>
      </c>
      <c r="J16" s="2">
        <v>4854</v>
      </c>
      <c r="K16" s="2">
        <v>4919</v>
      </c>
      <c r="L16" s="2">
        <v>5253</v>
      </c>
      <c r="M16" s="2">
        <v>9310</v>
      </c>
      <c r="N16" s="2">
        <v>10977</v>
      </c>
      <c r="O16" s="2">
        <v>12072.96</v>
      </c>
      <c r="P16" s="2">
        <v>15357.6</v>
      </c>
      <c r="Q16" s="2">
        <v>21421.77</v>
      </c>
      <c r="R16" s="2">
        <v>20735.759999999998</v>
      </c>
      <c r="S16" s="2">
        <v>21216.79</v>
      </c>
      <c r="T16" s="2">
        <v>42074.94</v>
      </c>
    </row>
    <row r="17" spans="1:20" x14ac:dyDescent="0.25">
      <c r="A17" t="s">
        <v>776</v>
      </c>
      <c r="B17">
        <v>15.79</v>
      </c>
      <c r="C17">
        <v>16.28</v>
      </c>
      <c r="D17">
        <v>15.37</v>
      </c>
      <c r="E17">
        <v>20.2</v>
      </c>
      <c r="F17">
        <v>18.670000000000002</v>
      </c>
      <c r="G17">
        <v>18.07</v>
      </c>
      <c r="H17">
        <v>20.78</v>
      </c>
      <c r="I17">
        <v>20.8</v>
      </c>
      <c r="J17">
        <v>17.68</v>
      </c>
      <c r="K17">
        <v>14.81</v>
      </c>
      <c r="L17">
        <v>14.67</v>
      </c>
      <c r="M17">
        <v>18.05</v>
      </c>
      <c r="N17">
        <v>17.18</v>
      </c>
      <c r="O17">
        <v>11.37</v>
      </c>
      <c r="P17">
        <v>9.27</v>
      </c>
      <c r="Q17">
        <v>8.0399999999999991</v>
      </c>
      <c r="R17">
        <v>8.85</v>
      </c>
      <c r="S17">
        <v>8.77</v>
      </c>
      <c r="T17">
        <v>8.6999999999999993</v>
      </c>
    </row>
    <row r="18" spans="1:20" x14ac:dyDescent="0.25">
      <c r="A18" t="s">
        <v>29</v>
      </c>
      <c r="B18">
        <v>740</v>
      </c>
      <c r="C18" s="2">
        <v>1521</v>
      </c>
      <c r="D18" s="2">
        <v>2926</v>
      </c>
      <c r="E18" s="2">
        <v>5320</v>
      </c>
      <c r="F18" s="2">
        <v>8011</v>
      </c>
      <c r="G18" s="2">
        <v>10424</v>
      </c>
      <c r="H18" s="2">
        <v>11929</v>
      </c>
      <c r="I18" s="2">
        <v>12939</v>
      </c>
      <c r="J18" s="2">
        <v>15912</v>
      </c>
      <c r="K18" s="2">
        <v>20294</v>
      </c>
      <c r="L18" s="2">
        <v>22125</v>
      </c>
      <c r="M18" s="2">
        <v>30736</v>
      </c>
      <c r="N18" s="2">
        <v>41997</v>
      </c>
      <c r="O18" s="2">
        <v>70902.67</v>
      </c>
      <c r="P18" s="2">
        <v>113763.43</v>
      </c>
      <c r="Q18" s="2">
        <v>182096.36</v>
      </c>
      <c r="R18" s="2">
        <v>255090.75</v>
      </c>
      <c r="S18" s="2">
        <v>287482</v>
      </c>
      <c r="T18" s="2">
        <v>331006</v>
      </c>
    </row>
    <row r="19" spans="1:20" x14ac:dyDescent="0.25">
      <c r="A19" t="s">
        <v>240</v>
      </c>
      <c r="B19">
        <v>29.37</v>
      </c>
      <c r="C19">
        <v>35.630000000000003</v>
      </c>
      <c r="D19">
        <v>42.88</v>
      </c>
      <c r="E19">
        <v>40.11</v>
      </c>
      <c r="F19">
        <v>45.36</v>
      </c>
      <c r="G19">
        <v>50</v>
      </c>
      <c r="H19">
        <v>52.79</v>
      </c>
      <c r="I19">
        <v>54.17</v>
      </c>
      <c r="J19">
        <v>57.97</v>
      </c>
      <c r="K19">
        <v>61.12</v>
      </c>
      <c r="L19">
        <v>61.77</v>
      </c>
      <c r="M19">
        <v>59.6</v>
      </c>
      <c r="N19">
        <v>65.739999999999995</v>
      </c>
      <c r="O19">
        <v>66.989999999999995</v>
      </c>
      <c r="P19">
        <v>66.349999999999994</v>
      </c>
      <c r="Q19">
        <v>65.66</v>
      </c>
      <c r="R19">
        <v>66.05</v>
      </c>
      <c r="S19">
        <v>66.47</v>
      </c>
      <c r="T19">
        <v>68.42</v>
      </c>
    </row>
    <row r="20" spans="1:20" x14ac:dyDescent="0.25">
      <c r="A20" t="s">
        <v>775</v>
      </c>
      <c r="B20">
        <v>29.01</v>
      </c>
      <c r="C20">
        <v>31.46</v>
      </c>
      <c r="D20">
        <v>38.29</v>
      </c>
      <c r="E20">
        <v>35.29</v>
      </c>
      <c r="F20">
        <v>41.14</v>
      </c>
      <c r="G20">
        <v>45.05</v>
      </c>
      <c r="H20">
        <v>41.83</v>
      </c>
      <c r="I20">
        <v>41.83</v>
      </c>
      <c r="J20">
        <v>45.82</v>
      </c>
      <c r="K20">
        <v>49.77</v>
      </c>
      <c r="L20">
        <v>51.31</v>
      </c>
      <c r="M20">
        <v>46.02</v>
      </c>
      <c r="N20">
        <v>52.79</v>
      </c>
      <c r="O20">
        <v>54.33</v>
      </c>
      <c r="P20">
        <v>54.38</v>
      </c>
      <c r="Q20">
        <v>54.6</v>
      </c>
      <c r="R20">
        <v>53.52</v>
      </c>
      <c r="S20">
        <v>50.09</v>
      </c>
    </row>
    <row r="21" spans="1:20" x14ac:dyDescent="0.25">
      <c r="A21" t="s">
        <v>1584</v>
      </c>
      <c r="B21">
        <v>542</v>
      </c>
      <c r="C21">
        <v>900</v>
      </c>
      <c r="D21" s="2">
        <v>1258</v>
      </c>
      <c r="E21" s="2">
        <v>2726</v>
      </c>
      <c r="F21" s="2">
        <v>3126</v>
      </c>
      <c r="G21" s="2">
        <v>3507</v>
      </c>
      <c r="H21" s="2">
        <v>4126</v>
      </c>
      <c r="I21" s="2">
        <v>4613</v>
      </c>
      <c r="J21" s="2">
        <v>4531</v>
      </c>
      <c r="K21" s="2">
        <v>4813</v>
      </c>
      <c r="L21" s="2">
        <v>4632</v>
      </c>
      <c r="M21" s="2">
        <v>8723</v>
      </c>
      <c r="N21" s="2">
        <v>8248</v>
      </c>
      <c r="O21" s="2">
        <v>8589.5499999999993</v>
      </c>
      <c r="P21" s="2">
        <v>9723.33</v>
      </c>
      <c r="Q21" s="2">
        <v>11782.77</v>
      </c>
      <c r="R21" s="2">
        <v>12189.66</v>
      </c>
      <c r="S21" s="2">
        <v>15777.91</v>
      </c>
    </row>
    <row r="22" spans="1:20" x14ac:dyDescent="0.25">
      <c r="A22" t="s">
        <v>2168</v>
      </c>
      <c r="B22">
        <v>365</v>
      </c>
      <c r="C22">
        <v>632</v>
      </c>
      <c r="D22">
        <v>933</v>
      </c>
      <c r="E22" s="2">
        <v>2234</v>
      </c>
      <c r="F22" s="2">
        <v>2650</v>
      </c>
      <c r="G22" s="2">
        <v>2909</v>
      </c>
      <c r="H22" s="2">
        <v>3159</v>
      </c>
      <c r="I22" s="2">
        <v>3535</v>
      </c>
      <c r="J22" s="2">
        <v>3652</v>
      </c>
      <c r="K22" s="2">
        <v>3871</v>
      </c>
      <c r="L22" s="2">
        <v>3740</v>
      </c>
      <c r="M22" s="2">
        <v>5847</v>
      </c>
      <c r="N22" s="2">
        <v>5957</v>
      </c>
      <c r="O22" s="2">
        <v>6293.81</v>
      </c>
      <c r="P22" s="2">
        <v>7187.18</v>
      </c>
      <c r="Q22" s="2">
        <v>8730.36</v>
      </c>
      <c r="R22" s="2">
        <v>8514.57</v>
      </c>
      <c r="S22" s="2">
        <v>15053.47</v>
      </c>
    </row>
    <row r="23" spans="1:20" x14ac:dyDescent="0.25">
      <c r="A23" t="s">
        <v>680</v>
      </c>
      <c r="B23">
        <v>927</v>
      </c>
      <c r="C23" s="2">
        <v>2146</v>
      </c>
      <c r="D23" s="2">
        <v>3888</v>
      </c>
      <c r="E23" s="2">
        <v>8362</v>
      </c>
      <c r="F23" s="2">
        <v>12748</v>
      </c>
      <c r="G23" s="2">
        <v>14505</v>
      </c>
      <c r="H23" s="2">
        <v>12579</v>
      </c>
      <c r="I23" s="2">
        <v>13643</v>
      </c>
      <c r="J23" s="2">
        <v>16571</v>
      </c>
      <c r="K23" s="2">
        <v>21029</v>
      </c>
      <c r="L23" s="2">
        <v>23213</v>
      </c>
      <c r="M23" s="2">
        <v>31897</v>
      </c>
      <c r="N23" s="2">
        <v>43004</v>
      </c>
      <c r="O23" s="2">
        <v>71940.59</v>
      </c>
      <c r="P23" s="2">
        <v>115123.53</v>
      </c>
      <c r="Q23" s="2">
        <v>177264</v>
      </c>
      <c r="R23" s="2">
        <v>256541.5</v>
      </c>
    </row>
    <row r="24" spans="1:20" x14ac:dyDescent="0.25">
      <c r="A24" t="s">
        <v>2169</v>
      </c>
      <c r="I24">
        <v>57.11</v>
      </c>
      <c r="J24">
        <v>60.37</v>
      </c>
      <c r="K24">
        <v>63.32</v>
      </c>
      <c r="L24">
        <v>64.81</v>
      </c>
      <c r="M24">
        <v>61.85</v>
      </c>
      <c r="N24">
        <v>67.3</v>
      </c>
      <c r="O24">
        <v>67.69</v>
      </c>
      <c r="P24">
        <v>66.569999999999993</v>
      </c>
      <c r="Q24">
        <v>65.790000000000006</v>
      </c>
      <c r="R24">
        <v>65.400000000000006</v>
      </c>
      <c r="S24">
        <v>66.62</v>
      </c>
    </row>
    <row r="25" spans="1:20" x14ac:dyDescent="0.25">
      <c r="A25" t="s">
        <v>17</v>
      </c>
    </row>
    <row r="26" spans="1:20" x14ac:dyDescent="0.25">
      <c r="A26" t="s">
        <v>242</v>
      </c>
      <c r="B26">
        <v>-236</v>
      </c>
      <c r="C26">
        <v>-409</v>
      </c>
      <c r="D26">
        <v>-593</v>
      </c>
      <c r="E26">
        <v>-723</v>
      </c>
      <c r="F26" s="2">
        <v>-1069</v>
      </c>
      <c r="G26">
        <v>-635</v>
      </c>
      <c r="H26">
        <v>-432</v>
      </c>
      <c r="I26">
        <v>-463</v>
      </c>
      <c r="J26">
        <v>-443</v>
      </c>
      <c r="K26">
        <v>-424</v>
      </c>
      <c r="L26">
        <v>-452</v>
      </c>
      <c r="M26">
        <v>-548</v>
      </c>
      <c r="N26">
        <v>-623</v>
      </c>
      <c r="O26" s="2">
        <v>-1825.61</v>
      </c>
      <c r="P26" s="2">
        <v>-2895.52</v>
      </c>
      <c r="Q26" s="2">
        <v>-3132</v>
      </c>
      <c r="R26" s="2">
        <v>-4319.6000000000004</v>
      </c>
      <c r="S26" s="2">
        <v>-4134.67</v>
      </c>
      <c r="T26" s="2">
        <v>-4838</v>
      </c>
    </row>
    <row r="27" spans="1:20" x14ac:dyDescent="0.25">
      <c r="A27" t="s">
        <v>1407</v>
      </c>
      <c r="B27">
        <v>9.3699999999999992</v>
      </c>
      <c r="C27">
        <v>9.58</v>
      </c>
      <c r="D27">
        <v>8.69</v>
      </c>
      <c r="E27">
        <v>5.46</v>
      </c>
      <c r="F27">
        <v>6.06</v>
      </c>
      <c r="G27">
        <v>3.05</v>
      </c>
      <c r="H27">
        <v>1.91</v>
      </c>
      <c r="I27">
        <v>1.94</v>
      </c>
      <c r="J27">
        <v>1.61</v>
      </c>
      <c r="K27">
        <v>1.28</v>
      </c>
      <c r="L27">
        <v>1.26</v>
      </c>
      <c r="M27">
        <v>1.06</v>
      </c>
      <c r="N27">
        <v>0.98</v>
      </c>
      <c r="O27">
        <v>1.54</v>
      </c>
      <c r="P27">
        <v>1.73</v>
      </c>
      <c r="Q27">
        <v>1.19</v>
      </c>
      <c r="R27">
        <v>1.1399999999999999</v>
      </c>
      <c r="S27">
        <v>1</v>
      </c>
      <c r="T27">
        <v>1</v>
      </c>
    </row>
    <row r="28" spans="1:20" x14ac:dyDescent="0.25">
      <c r="A28" t="s">
        <v>36</v>
      </c>
      <c r="B28">
        <v>486</v>
      </c>
      <c r="C28">
        <v>766</v>
      </c>
      <c r="D28" s="2">
        <v>1725</v>
      </c>
      <c r="E28" s="2">
        <v>2688</v>
      </c>
      <c r="F28" s="2">
        <v>5482</v>
      </c>
      <c r="G28" s="2">
        <v>8245</v>
      </c>
      <c r="H28" s="2">
        <v>9265</v>
      </c>
      <c r="I28" s="2">
        <v>11598</v>
      </c>
      <c r="J28" s="2">
        <v>13321</v>
      </c>
      <c r="K28" s="2">
        <v>16312</v>
      </c>
      <c r="L28" s="2">
        <v>17633</v>
      </c>
      <c r="M28" s="2">
        <v>19414</v>
      </c>
      <c r="N28" s="2">
        <v>26914</v>
      </c>
      <c r="O28" s="2">
        <v>49541.26</v>
      </c>
      <c r="P28" s="2">
        <v>87178.79</v>
      </c>
      <c r="Q28" s="2">
        <v>139654.87</v>
      </c>
      <c r="R28" s="2">
        <v>207384.28</v>
      </c>
      <c r="S28" s="2">
        <v>310867.24</v>
      </c>
    </row>
    <row r="29" spans="1:20" x14ac:dyDescent="0.25">
      <c r="A29" t="s">
        <v>17</v>
      </c>
    </row>
    <row r="30" spans="1:20" x14ac:dyDescent="0.25">
      <c r="A30" t="s">
        <v>37</v>
      </c>
    </row>
    <row r="31" spans="1:20" x14ac:dyDescent="0.25">
      <c r="A31" t="s">
        <v>17</v>
      </c>
    </row>
    <row r="32" spans="1:20" x14ac:dyDescent="0.25">
      <c r="A32" t="s">
        <v>252</v>
      </c>
    </row>
    <row r="33" spans="1:20" x14ac:dyDescent="0.25">
      <c r="A33" t="s">
        <v>49</v>
      </c>
      <c r="B33">
        <v>55.87</v>
      </c>
      <c r="C33">
        <v>51.16</v>
      </c>
      <c r="D33">
        <v>48.03</v>
      </c>
      <c r="E33">
        <v>43.99</v>
      </c>
      <c r="F33">
        <v>47.77</v>
      </c>
      <c r="G33">
        <v>51.37</v>
      </c>
      <c r="H33">
        <v>53.03</v>
      </c>
      <c r="I33">
        <v>42.33</v>
      </c>
      <c r="J33">
        <v>28.96</v>
      </c>
      <c r="K33">
        <v>27.57</v>
      </c>
      <c r="L33">
        <v>31.06</v>
      </c>
      <c r="M33">
        <v>27.23</v>
      </c>
      <c r="N33">
        <v>32.93</v>
      </c>
      <c r="O33">
        <v>38.43</v>
      </c>
      <c r="P33">
        <v>35.520000000000003</v>
      </c>
      <c r="Q33">
        <v>40.75</v>
      </c>
    </row>
    <row r="34" spans="1:20" x14ac:dyDescent="0.25">
      <c r="A34" t="s">
        <v>2170</v>
      </c>
      <c r="B34">
        <v>69.05</v>
      </c>
      <c r="C34">
        <v>54.96</v>
      </c>
      <c r="D34">
        <v>62.89</v>
      </c>
      <c r="E34">
        <v>41.8</v>
      </c>
      <c r="F34">
        <v>46.94</v>
      </c>
      <c r="G34">
        <v>36.299999999999997</v>
      </c>
      <c r="H34">
        <v>30.74</v>
      </c>
      <c r="I34">
        <v>29.31</v>
      </c>
      <c r="J34">
        <v>32.090000000000003</v>
      </c>
      <c r="K34">
        <v>32.32</v>
      </c>
      <c r="L34">
        <v>36.200000000000003</v>
      </c>
      <c r="M34">
        <v>28.15</v>
      </c>
      <c r="N34">
        <v>27.79</v>
      </c>
      <c r="O34">
        <v>63</v>
      </c>
      <c r="P34">
        <v>51.28</v>
      </c>
      <c r="Q34">
        <v>45.5</v>
      </c>
      <c r="R34">
        <v>37.729999999999997</v>
      </c>
      <c r="S34">
        <v>46.87</v>
      </c>
      <c r="T34">
        <v>49.03</v>
      </c>
    </row>
    <row r="35" spans="1:20" x14ac:dyDescent="0.25">
      <c r="A35" t="s">
        <v>789</v>
      </c>
      <c r="B35">
        <v>67.209999999999994</v>
      </c>
      <c r="C35">
        <v>61.17</v>
      </c>
      <c r="D35">
        <v>58.03</v>
      </c>
      <c r="E35">
        <v>47.97</v>
      </c>
      <c r="F35">
        <v>56.77</v>
      </c>
      <c r="G35">
        <v>47.15</v>
      </c>
      <c r="H35">
        <v>35.950000000000003</v>
      </c>
      <c r="I35">
        <v>32.94</v>
      </c>
      <c r="J35">
        <v>39.47</v>
      </c>
      <c r="K35">
        <v>52.79</v>
      </c>
      <c r="L35">
        <v>62.52</v>
      </c>
      <c r="M35">
        <v>35.590000000000003</v>
      </c>
      <c r="N35">
        <v>35.619999999999997</v>
      </c>
      <c r="O35">
        <v>70.36</v>
      </c>
      <c r="P35">
        <v>58.93</v>
      </c>
      <c r="Q35">
        <v>63.21</v>
      </c>
      <c r="R35">
        <v>47.01</v>
      </c>
      <c r="S35">
        <v>51.05</v>
      </c>
      <c r="T35">
        <v>66.069999999999993</v>
      </c>
    </row>
    <row r="36" spans="1:20" x14ac:dyDescent="0.25">
      <c r="A36" t="s">
        <v>383</v>
      </c>
      <c r="K36" s="2">
        <v>23600</v>
      </c>
      <c r="L36" s="2">
        <v>20300</v>
      </c>
      <c r="M36" s="2">
        <v>20500</v>
      </c>
      <c r="N36" s="2">
        <v>33300</v>
      </c>
    </row>
    <row r="37" spans="1:20" x14ac:dyDescent="0.25">
      <c r="A37" t="s">
        <v>17</v>
      </c>
    </row>
    <row r="38" spans="1:20" x14ac:dyDescent="0.25">
      <c r="A38" t="s">
        <v>58</v>
      </c>
    </row>
    <row r="39" spans="1:20" x14ac:dyDescent="0.25">
      <c r="A39" t="s">
        <v>2171</v>
      </c>
    </row>
    <row r="40" spans="1:20" x14ac:dyDescent="0.25">
      <c r="A40" t="s">
        <v>60</v>
      </c>
      <c r="G40" s="2">
        <v>18934</v>
      </c>
      <c r="H40" s="2">
        <v>17441</v>
      </c>
      <c r="I40" s="2">
        <v>17267</v>
      </c>
      <c r="J40" s="2">
        <v>20383</v>
      </c>
      <c r="K40" s="2">
        <v>25818</v>
      </c>
      <c r="L40" s="2">
        <v>28182</v>
      </c>
      <c r="M40" s="2">
        <v>30096</v>
      </c>
      <c r="N40" s="2">
        <v>36858</v>
      </c>
      <c r="O40" s="2">
        <v>74428.87</v>
      </c>
      <c r="P40" s="2">
        <v>138334.79</v>
      </c>
      <c r="Q40" s="2">
        <v>231007.2</v>
      </c>
      <c r="R40" s="2">
        <v>291726.58</v>
      </c>
      <c r="S40" s="2">
        <v>422127.39</v>
      </c>
      <c r="T40" s="2">
        <v>425526.36</v>
      </c>
    </row>
    <row r="41" spans="1:20" x14ac:dyDescent="0.25">
      <c r="A41" t="s">
        <v>69</v>
      </c>
      <c r="G41">
        <v>91</v>
      </c>
      <c r="H41">
        <v>77</v>
      </c>
      <c r="I41">
        <v>72</v>
      </c>
      <c r="J41">
        <v>74</v>
      </c>
      <c r="K41">
        <v>78</v>
      </c>
      <c r="L41">
        <v>79</v>
      </c>
      <c r="M41">
        <v>58</v>
      </c>
      <c r="N41">
        <v>58</v>
      </c>
      <c r="O41">
        <v>69.849999999999994</v>
      </c>
      <c r="P41">
        <v>78.28</v>
      </c>
      <c r="Q41">
        <v>85.03</v>
      </c>
      <c r="R41">
        <v>89.2</v>
      </c>
      <c r="S41">
        <v>89.06</v>
      </c>
      <c r="T41">
        <v>87.96</v>
      </c>
    </row>
    <row r="42" spans="1:20" x14ac:dyDescent="0.25">
      <c r="A42" t="s">
        <v>2172</v>
      </c>
      <c r="J42" s="2">
        <v>6665.72</v>
      </c>
      <c r="K42" s="2">
        <v>8900</v>
      </c>
      <c r="L42" s="2">
        <v>10800</v>
      </c>
      <c r="M42" s="2">
        <v>15600</v>
      </c>
      <c r="O42" s="2">
        <v>54874.66</v>
      </c>
      <c r="P42" s="2">
        <v>111371.47</v>
      </c>
      <c r="Q42" s="2">
        <v>189703.85</v>
      </c>
      <c r="R42" s="2">
        <v>334450</v>
      </c>
    </row>
    <row r="43" spans="1:20" x14ac:dyDescent="0.25">
      <c r="A43" t="s">
        <v>2173</v>
      </c>
      <c r="B43">
        <v>0</v>
      </c>
      <c r="C43">
        <v>867</v>
      </c>
      <c r="D43" s="2">
        <v>2180</v>
      </c>
      <c r="E43" s="2">
        <v>2291</v>
      </c>
      <c r="F43" s="2">
        <v>2799</v>
      </c>
      <c r="G43" s="2">
        <v>4673</v>
      </c>
      <c r="J43" s="2">
        <v>2655.36</v>
      </c>
      <c r="K43" s="2">
        <v>4040</v>
      </c>
      <c r="L43" s="2">
        <v>4500</v>
      </c>
      <c r="M43" s="2">
        <v>3564</v>
      </c>
      <c r="O43" s="2">
        <v>4286.75</v>
      </c>
      <c r="P43" s="2">
        <v>4964.4799999999996</v>
      </c>
      <c r="Q43" s="2">
        <v>6233</v>
      </c>
      <c r="R43" s="2">
        <v>4120.34</v>
      </c>
    </row>
    <row r="44" spans="1:20" x14ac:dyDescent="0.25">
      <c r="A44" t="s">
        <v>2174</v>
      </c>
      <c r="J44" s="2">
        <v>3385.8</v>
      </c>
      <c r="K44" s="2">
        <v>4111</v>
      </c>
      <c r="L44" s="2">
        <v>4500</v>
      </c>
      <c r="M44" s="2">
        <v>2692</v>
      </c>
      <c r="O44" s="2">
        <v>2968.32</v>
      </c>
      <c r="P44" s="2">
        <v>3437.86</v>
      </c>
      <c r="Q44" s="2">
        <v>4205.8500000000004</v>
      </c>
      <c r="R44" s="2">
        <v>2624.52</v>
      </c>
    </row>
    <row r="45" spans="1:20" x14ac:dyDescent="0.25">
      <c r="A45" t="s">
        <v>2175</v>
      </c>
      <c r="B45" s="2">
        <v>1219</v>
      </c>
      <c r="C45" s="2">
        <v>1689</v>
      </c>
      <c r="D45" s="2">
        <v>2536</v>
      </c>
      <c r="E45" s="2">
        <v>3724</v>
      </c>
      <c r="F45" s="2">
        <v>5404</v>
      </c>
      <c r="G45" s="2">
        <v>6490</v>
      </c>
      <c r="J45" s="2">
        <v>6802</v>
      </c>
      <c r="K45" s="2">
        <v>7400</v>
      </c>
      <c r="L45" s="2">
        <v>7300</v>
      </c>
      <c r="M45" s="2">
        <v>7500</v>
      </c>
      <c r="O45" s="2">
        <v>6893.11</v>
      </c>
      <c r="P45" s="2">
        <v>6787.43</v>
      </c>
      <c r="Q45" s="2">
        <v>6567.79</v>
      </c>
      <c r="R45" s="2">
        <v>5393.46</v>
      </c>
    </row>
    <row r="46" spans="1:20" x14ac:dyDescent="0.25">
      <c r="A46" t="s">
        <v>2176</v>
      </c>
      <c r="B46">
        <v>557</v>
      </c>
      <c r="C46">
        <v>562</v>
      </c>
      <c r="D46">
        <v>629</v>
      </c>
      <c r="E46">
        <v>643</v>
      </c>
      <c r="F46">
        <v>884</v>
      </c>
      <c r="G46" s="2">
        <v>1011</v>
      </c>
      <c r="J46">
        <v>874.12</v>
      </c>
      <c r="K46">
        <v>975</v>
      </c>
      <c r="L46">
        <v>961</v>
      </c>
      <c r="M46">
        <v>740</v>
      </c>
      <c r="O46">
        <v>613.83000000000004</v>
      </c>
      <c r="P46">
        <v>648.47</v>
      </c>
      <c r="Q46">
        <v>675.31</v>
      </c>
      <c r="R46">
        <v>528.35</v>
      </c>
    </row>
    <row r="47" spans="1:20" x14ac:dyDescent="0.25">
      <c r="A47" t="s">
        <v>116</v>
      </c>
      <c r="G47" s="2">
        <v>9090</v>
      </c>
      <c r="H47" s="2">
        <v>8538</v>
      </c>
      <c r="I47" s="2">
        <v>8576</v>
      </c>
      <c r="J47" s="2">
        <v>10976</v>
      </c>
      <c r="K47" s="2">
        <v>15075</v>
      </c>
      <c r="L47" s="2">
        <v>16486</v>
      </c>
      <c r="M47" s="2">
        <v>16759</v>
      </c>
      <c r="N47" s="2">
        <v>21232</v>
      </c>
      <c r="O47" s="2">
        <v>44508.82</v>
      </c>
      <c r="P47" s="2">
        <v>76573.34</v>
      </c>
      <c r="Q47" s="2">
        <v>138299.66</v>
      </c>
      <c r="R47" s="2">
        <v>167445.46</v>
      </c>
      <c r="S47" s="2">
        <v>185329.57</v>
      </c>
      <c r="T47" s="2">
        <v>38191.800000000003</v>
      </c>
    </row>
    <row r="48" spans="1:20" x14ac:dyDescent="0.25">
      <c r="A48" t="s">
        <v>471</v>
      </c>
    </row>
    <row r="49" spans="1:20" x14ac:dyDescent="0.25">
      <c r="A49" t="s">
        <v>60</v>
      </c>
      <c r="G49" s="2">
        <v>1780</v>
      </c>
      <c r="H49" s="2">
        <v>5156</v>
      </c>
      <c r="I49" s="2">
        <v>6621</v>
      </c>
      <c r="J49" s="2">
        <v>7067</v>
      </c>
      <c r="K49" s="2">
        <v>7385</v>
      </c>
      <c r="L49" s="2">
        <v>7637</v>
      </c>
      <c r="M49" s="2">
        <v>21478</v>
      </c>
      <c r="N49" s="2">
        <v>27029</v>
      </c>
      <c r="O49" s="2">
        <v>31459.17</v>
      </c>
      <c r="P49" s="2">
        <v>35884.959999999999</v>
      </c>
      <c r="Q49" s="2">
        <v>36776.92</v>
      </c>
      <c r="R49" s="2">
        <v>35290.230000000003</v>
      </c>
      <c r="S49" s="2">
        <v>49845.45</v>
      </c>
      <c r="T49" s="2">
        <v>58238.06</v>
      </c>
    </row>
    <row r="50" spans="1:20" x14ac:dyDescent="0.25">
      <c r="A50" t="s">
        <v>69</v>
      </c>
      <c r="G50">
        <v>8</v>
      </c>
      <c r="H50">
        <v>23</v>
      </c>
      <c r="I50">
        <v>28</v>
      </c>
      <c r="J50">
        <v>26</v>
      </c>
      <c r="K50">
        <v>22</v>
      </c>
      <c r="L50">
        <v>21</v>
      </c>
      <c r="M50">
        <v>42</v>
      </c>
      <c r="N50">
        <v>42</v>
      </c>
      <c r="O50">
        <v>29.72</v>
      </c>
      <c r="P50">
        <v>20.8</v>
      </c>
      <c r="Q50">
        <v>13.95</v>
      </c>
      <c r="R50">
        <v>10.8</v>
      </c>
      <c r="S50">
        <v>10.94</v>
      </c>
      <c r="T50">
        <v>12.04</v>
      </c>
    </row>
    <row r="51" spans="1:20" x14ac:dyDescent="0.25">
      <c r="A51" t="s">
        <v>2167</v>
      </c>
      <c r="O51" s="2">
        <v>22774.74</v>
      </c>
      <c r="P51" s="2">
        <v>26498.400000000001</v>
      </c>
      <c r="Q51" s="2">
        <v>28045.26</v>
      </c>
      <c r="R51" s="2">
        <v>29847.05</v>
      </c>
    </row>
    <row r="52" spans="1:20" x14ac:dyDescent="0.25">
      <c r="A52" t="s">
        <v>2177</v>
      </c>
      <c r="O52" s="2">
        <v>4824.8100000000004</v>
      </c>
      <c r="P52" s="2">
        <v>5804.39</v>
      </c>
      <c r="Q52" s="2">
        <v>5768.43</v>
      </c>
    </row>
    <row r="53" spans="1:20" x14ac:dyDescent="0.25">
      <c r="A53" t="s">
        <v>2178</v>
      </c>
      <c r="O53" s="2">
        <v>2311.16</v>
      </c>
      <c r="P53" s="2">
        <v>2578.52</v>
      </c>
      <c r="Q53" s="2">
        <v>2435.7399999999998</v>
      </c>
    </row>
    <row r="54" spans="1:20" x14ac:dyDescent="0.25">
      <c r="A54" t="s">
        <v>2179</v>
      </c>
      <c r="O54" s="2">
        <v>1725.96</v>
      </c>
      <c r="P54" s="2">
        <v>1830.72</v>
      </c>
      <c r="Q54" s="2">
        <v>1827.24</v>
      </c>
    </row>
    <row r="55" spans="1:20" x14ac:dyDescent="0.25">
      <c r="A55" t="s">
        <v>116</v>
      </c>
      <c r="G55" s="2">
        <v>1250</v>
      </c>
      <c r="H55" s="2">
        <v>3391</v>
      </c>
      <c r="I55" s="2">
        <v>4363</v>
      </c>
      <c r="J55" s="2">
        <v>4936</v>
      </c>
      <c r="K55" s="2">
        <v>5219</v>
      </c>
      <c r="L55" s="2">
        <v>5639</v>
      </c>
      <c r="M55" s="2">
        <v>13977</v>
      </c>
      <c r="N55" s="2">
        <v>20765</v>
      </c>
      <c r="O55" s="2">
        <v>25696.11</v>
      </c>
      <c r="P55" s="2">
        <v>34479.81</v>
      </c>
      <c r="Q55" s="2">
        <v>46122.9</v>
      </c>
      <c r="R55" s="2">
        <v>71192.84</v>
      </c>
      <c r="S55" s="2">
        <v>123459.5</v>
      </c>
      <c r="T55" s="2">
        <v>262121.05</v>
      </c>
    </row>
    <row r="56" spans="1:20" x14ac:dyDescent="0.25">
      <c r="A56" t="s">
        <v>2180</v>
      </c>
    </row>
    <row r="57" spans="1:20" x14ac:dyDescent="0.25">
      <c r="A57" t="s">
        <v>116</v>
      </c>
      <c r="B57">
        <v>-188</v>
      </c>
      <c r="C57" s="2">
        <v>-1045</v>
      </c>
      <c r="D57" s="2">
        <v>-1213</v>
      </c>
      <c r="E57" s="2">
        <v>-5677</v>
      </c>
      <c r="F57" s="2">
        <v>-5599</v>
      </c>
      <c r="G57" s="2">
        <v>-5275</v>
      </c>
      <c r="H57" s="2">
        <v>-8485</v>
      </c>
      <c r="I57" s="2">
        <v>-8925</v>
      </c>
      <c r="J57" s="2">
        <v>-7393</v>
      </c>
      <c r="K57" s="2">
        <v>-6069</v>
      </c>
      <c r="L57" s="2">
        <v>-5918</v>
      </c>
      <c r="M57" s="2">
        <v>-17273</v>
      </c>
      <c r="N57" s="2">
        <v>-16513</v>
      </c>
      <c r="O57" s="2">
        <v>-16729.599999999999</v>
      </c>
      <c r="P57" s="2">
        <v>-16048.61</v>
      </c>
      <c r="Q57" s="2">
        <v>-17704.59</v>
      </c>
      <c r="R57" s="2">
        <v>-18205.71</v>
      </c>
      <c r="S57" s="2">
        <v>-12717.22</v>
      </c>
      <c r="T57" s="2">
        <v>-12844.39</v>
      </c>
    </row>
    <row r="58" spans="1:20" x14ac:dyDescent="0.25">
      <c r="A58" t="s">
        <v>17</v>
      </c>
    </row>
    <row r="59" spans="1:20" x14ac:dyDescent="0.25">
      <c r="A59" t="s">
        <v>258</v>
      </c>
    </row>
    <row r="60" spans="1:20" x14ac:dyDescent="0.25">
      <c r="A60" t="s">
        <v>16</v>
      </c>
    </row>
    <row r="61" spans="1:20" x14ac:dyDescent="0.25">
      <c r="A61" t="s">
        <v>2164</v>
      </c>
      <c r="G61" s="2">
        <v>18934</v>
      </c>
      <c r="H61" s="2">
        <v>17441</v>
      </c>
      <c r="I61" s="2">
        <v>17267</v>
      </c>
      <c r="J61" s="2">
        <v>20383</v>
      </c>
      <c r="K61" s="2">
        <v>25818</v>
      </c>
      <c r="L61" s="2">
        <v>28182</v>
      </c>
      <c r="M61" s="2">
        <v>30096</v>
      </c>
      <c r="N61" s="2">
        <v>36858</v>
      </c>
      <c r="O61" s="2">
        <v>74428.87</v>
      </c>
      <c r="P61" s="2">
        <v>138334.79</v>
      </c>
      <c r="Q61" s="2">
        <v>231007.2</v>
      </c>
      <c r="R61" s="2">
        <v>291726.58</v>
      </c>
      <c r="S61" s="2">
        <v>422127.39</v>
      </c>
      <c r="T61" s="2">
        <v>425526.36</v>
      </c>
    </row>
    <row r="62" spans="1:20" x14ac:dyDescent="0.25">
      <c r="A62" t="s">
        <v>2165</v>
      </c>
      <c r="M62" s="2">
        <v>12200</v>
      </c>
      <c r="N62" s="2">
        <v>20138</v>
      </c>
      <c r="O62" s="2">
        <v>57562.14</v>
      </c>
      <c r="P62" s="2">
        <v>119418.67</v>
      </c>
      <c r="Q62" s="2">
        <v>223565.92</v>
      </c>
      <c r="R62" s="2">
        <v>277462.42</v>
      </c>
      <c r="S62" s="2">
        <v>484400</v>
      </c>
    </row>
    <row r="63" spans="1:20" x14ac:dyDescent="0.25">
      <c r="A63" t="s">
        <v>2181</v>
      </c>
      <c r="N63" s="2">
        <v>16720</v>
      </c>
      <c r="O63" s="2">
        <v>16753.48</v>
      </c>
      <c r="P63" s="2">
        <v>17919.900000000001</v>
      </c>
      <c r="Q63" s="2">
        <v>19141.13</v>
      </c>
      <c r="R63" s="2">
        <v>15791.92</v>
      </c>
      <c r="S63" s="2">
        <v>19972.27</v>
      </c>
    </row>
    <row r="64" spans="1:20" x14ac:dyDescent="0.25">
      <c r="A64" t="s">
        <v>17</v>
      </c>
    </row>
    <row r="65" spans="1:20" x14ac:dyDescent="0.25">
      <c r="A65" t="s">
        <v>79</v>
      </c>
    </row>
    <row r="66" spans="1:20" x14ac:dyDescent="0.25">
      <c r="A66" t="s">
        <v>80</v>
      </c>
      <c r="B66" s="2">
        <v>2520</v>
      </c>
      <c r="C66" s="2">
        <v>4307</v>
      </c>
      <c r="D66" s="2">
        <v>6905</v>
      </c>
      <c r="E66" s="2">
        <v>13292</v>
      </c>
      <c r="F66" s="2">
        <v>17665</v>
      </c>
      <c r="G66" s="2">
        <v>20862</v>
      </c>
      <c r="H66" s="2">
        <v>22597</v>
      </c>
      <c r="I66" s="2">
        <v>23888</v>
      </c>
      <c r="J66" s="2">
        <v>27450</v>
      </c>
      <c r="K66" s="2">
        <v>33203</v>
      </c>
      <c r="L66" s="2">
        <v>35819</v>
      </c>
      <c r="M66" s="2">
        <v>51574</v>
      </c>
      <c r="N66" s="2">
        <v>63887</v>
      </c>
      <c r="O66" s="2">
        <v>105987.2</v>
      </c>
      <c r="P66" s="2">
        <v>173892.18</v>
      </c>
      <c r="Q66" s="2">
        <v>277107.45</v>
      </c>
      <c r="R66" s="2">
        <v>333142.83</v>
      </c>
      <c r="S66" s="2">
        <v>429344.75</v>
      </c>
      <c r="T66" s="2">
        <v>483764</v>
      </c>
    </row>
    <row r="67" spans="1:20" x14ac:dyDescent="0.25">
      <c r="A67" t="s">
        <v>1646</v>
      </c>
      <c r="G67" s="2">
        <v>19754</v>
      </c>
      <c r="H67" s="2">
        <v>18117</v>
      </c>
      <c r="I67" s="2">
        <v>17435</v>
      </c>
      <c r="J67" s="2">
        <v>20886</v>
      </c>
      <c r="K67" s="2">
        <v>26277</v>
      </c>
      <c r="L67" s="2">
        <v>27891</v>
      </c>
      <c r="M67" s="2">
        <v>30359</v>
      </c>
      <c r="N67" s="2">
        <v>44847</v>
      </c>
      <c r="O67" s="2">
        <v>66320.91</v>
      </c>
      <c r="P67" s="2">
        <v>125872.29</v>
      </c>
      <c r="Q67" s="2">
        <v>220585.75</v>
      </c>
      <c r="R67" s="2">
        <v>198888.74</v>
      </c>
      <c r="S67" s="2">
        <v>234935.3</v>
      </c>
      <c r="T67" s="2">
        <v>290258.65000000002</v>
      </c>
    </row>
    <row r="68" spans="1:20" x14ac:dyDescent="0.25">
      <c r="A68" t="s">
        <v>2182</v>
      </c>
      <c r="J68">
        <v>607</v>
      </c>
      <c r="K68">
        <v>627</v>
      </c>
      <c r="L68">
        <v>636</v>
      </c>
      <c r="M68" s="2">
        <v>2991</v>
      </c>
      <c r="N68" s="2">
        <v>2371</v>
      </c>
      <c r="O68" s="2">
        <v>1574.07</v>
      </c>
      <c r="P68" s="2">
        <v>7552.74</v>
      </c>
      <c r="Q68" s="2">
        <v>11773.08</v>
      </c>
      <c r="R68" s="2">
        <v>13737.47</v>
      </c>
      <c r="S68" s="2">
        <v>16062.93</v>
      </c>
      <c r="T68" s="2">
        <v>19632</v>
      </c>
    </row>
    <row r="69" spans="1:20" x14ac:dyDescent="0.25">
      <c r="A69" t="s">
        <v>17</v>
      </c>
    </row>
    <row r="70" spans="1:20" x14ac:dyDescent="0.25">
      <c r="A70" t="s">
        <v>82</v>
      </c>
      <c r="B70" s="2">
        <v>1261</v>
      </c>
      <c r="C70" s="2">
        <v>2143</v>
      </c>
      <c r="D70" s="2">
        <v>2787</v>
      </c>
      <c r="E70" s="2">
        <v>6537</v>
      </c>
      <c r="F70" s="2">
        <v>6616</v>
      </c>
      <c r="G70" s="2">
        <v>7111</v>
      </c>
      <c r="H70" s="2">
        <v>6800</v>
      </c>
      <c r="I70" s="2">
        <v>6553</v>
      </c>
      <c r="J70" s="2">
        <v>7179</v>
      </c>
      <c r="K70" s="2">
        <v>8261</v>
      </c>
      <c r="L70" s="2">
        <v>9276</v>
      </c>
      <c r="M70" s="2">
        <v>13042</v>
      </c>
      <c r="N70" s="2">
        <v>14562</v>
      </c>
      <c r="O70" s="2">
        <v>26578.92</v>
      </c>
      <c r="P70" s="2">
        <v>49100.480000000003</v>
      </c>
      <c r="Q70" s="2">
        <v>85159.38</v>
      </c>
      <c r="R70" s="2">
        <v>127870.28</v>
      </c>
      <c r="S70" s="2">
        <v>110600</v>
      </c>
    </row>
    <row r="71" spans="1:20" x14ac:dyDescent="0.25">
      <c r="A71" t="s">
        <v>84</v>
      </c>
      <c r="B71" s="2">
        <v>1282</v>
      </c>
      <c r="C71" s="2">
        <v>2421</v>
      </c>
      <c r="D71" s="2">
        <v>4184</v>
      </c>
      <c r="E71" s="2">
        <v>8046</v>
      </c>
      <c r="F71" s="2">
        <v>11137</v>
      </c>
      <c r="G71" s="2">
        <v>13931</v>
      </c>
      <c r="H71" s="2">
        <v>16055</v>
      </c>
      <c r="I71" s="2">
        <v>17552</v>
      </c>
      <c r="J71" s="2">
        <v>20443</v>
      </c>
      <c r="K71" s="2">
        <v>25107</v>
      </c>
      <c r="L71" s="2">
        <v>26757</v>
      </c>
      <c r="M71" s="2">
        <v>39459</v>
      </c>
      <c r="N71" s="2">
        <v>50245</v>
      </c>
      <c r="O71" s="2">
        <v>80943.960000000006</v>
      </c>
      <c r="P71" s="2">
        <v>122774.84</v>
      </c>
      <c r="Q71" s="2">
        <v>197223.13</v>
      </c>
      <c r="R71" s="2">
        <v>269677.45</v>
      </c>
      <c r="S71" s="2">
        <v>306579.96999999997</v>
      </c>
      <c r="T71" s="2">
        <v>362823.32</v>
      </c>
    </row>
    <row r="72" spans="1:20" x14ac:dyDescent="0.25">
      <c r="A72" t="s">
        <v>85</v>
      </c>
      <c r="B72">
        <v>50.8</v>
      </c>
      <c r="C72">
        <v>56</v>
      </c>
      <c r="D72">
        <v>60.59</v>
      </c>
      <c r="E72">
        <v>60.53</v>
      </c>
      <c r="F72">
        <v>63.05</v>
      </c>
      <c r="G72">
        <v>66.78</v>
      </c>
      <c r="H72">
        <v>71.05</v>
      </c>
      <c r="I72">
        <v>73.48</v>
      </c>
      <c r="J72">
        <v>74.47</v>
      </c>
      <c r="K72">
        <v>75.62</v>
      </c>
      <c r="L72">
        <v>74.7</v>
      </c>
      <c r="M72">
        <v>76.510000000000005</v>
      </c>
      <c r="N72">
        <v>78.650000000000006</v>
      </c>
      <c r="O72">
        <v>75.14</v>
      </c>
      <c r="P72">
        <v>71.790000000000006</v>
      </c>
      <c r="Q72">
        <v>70.28</v>
      </c>
      <c r="R72">
        <v>69.94</v>
      </c>
      <c r="S72">
        <v>71.13</v>
      </c>
      <c r="T72">
        <v>75</v>
      </c>
    </row>
    <row r="73" spans="1:20" x14ac:dyDescent="0.25">
      <c r="A73" t="s">
        <v>17</v>
      </c>
    </row>
    <row r="74" spans="1:20" x14ac:dyDescent="0.25">
      <c r="A74" t="s">
        <v>275</v>
      </c>
      <c r="B74">
        <v>542</v>
      </c>
      <c r="C74">
        <v>900</v>
      </c>
      <c r="D74" s="2">
        <v>1258</v>
      </c>
      <c r="E74" s="2">
        <v>2726</v>
      </c>
      <c r="F74" s="2">
        <v>3126</v>
      </c>
      <c r="G74" s="2">
        <v>3507</v>
      </c>
      <c r="H74" s="2">
        <v>4126</v>
      </c>
      <c r="I74" s="2">
        <v>4613</v>
      </c>
      <c r="J74" s="2">
        <v>4531</v>
      </c>
      <c r="K74" s="2">
        <v>4813</v>
      </c>
      <c r="L74" s="2">
        <v>4632</v>
      </c>
      <c r="M74" s="2">
        <v>8723</v>
      </c>
      <c r="N74" s="2">
        <v>8248</v>
      </c>
      <c r="O74" s="2">
        <v>8589.5499999999993</v>
      </c>
      <c r="P74" s="2">
        <v>9723.33</v>
      </c>
      <c r="Q74" s="2">
        <v>11782.77</v>
      </c>
      <c r="R74" s="2">
        <v>12189.66</v>
      </c>
      <c r="S74" s="2">
        <v>15777.91</v>
      </c>
    </row>
    <row r="75" spans="1:20" x14ac:dyDescent="0.25">
      <c r="A75" t="s">
        <v>276</v>
      </c>
      <c r="B75">
        <v>177</v>
      </c>
      <c r="C75">
        <v>268</v>
      </c>
      <c r="D75">
        <v>325</v>
      </c>
      <c r="E75">
        <v>492</v>
      </c>
      <c r="F75">
        <v>476</v>
      </c>
      <c r="G75">
        <v>598</v>
      </c>
      <c r="H75">
        <v>967</v>
      </c>
      <c r="I75" s="2">
        <v>1078</v>
      </c>
      <c r="J75">
        <v>879</v>
      </c>
      <c r="K75">
        <v>942</v>
      </c>
      <c r="L75">
        <v>892</v>
      </c>
      <c r="M75" s="2">
        <v>2876</v>
      </c>
      <c r="N75" s="2">
        <v>2291</v>
      </c>
      <c r="O75" s="2">
        <v>2229.0300000000002</v>
      </c>
      <c r="P75" s="2">
        <v>2437.9699999999998</v>
      </c>
      <c r="Q75" s="2">
        <v>2926.4</v>
      </c>
      <c r="R75" s="2">
        <v>3111.41</v>
      </c>
      <c r="S75" s="2">
        <v>1187.79</v>
      </c>
    </row>
    <row r="76" spans="1:20" x14ac:dyDescent="0.25">
      <c r="A76" t="s">
        <v>61</v>
      </c>
      <c r="B76">
        <v>7.02</v>
      </c>
      <c r="C76">
        <v>6.28</v>
      </c>
      <c r="D76">
        <v>4.76</v>
      </c>
      <c r="E76">
        <v>3.72</v>
      </c>
      <c r="F76">
        <v>2.7</v>
      </c>
      <c r="G76">
        <v>2.87</v>
      </c>
      <c r="H76">
        <v>4.28</v>
      </c>
      <c r="I76">
        <v>4.51</v>
      </c>
      <c r="J76">
        <v>3.2</v>
      </c>
      <c r="K76">
        <v>2.84</v>
      </c>
      <c r="L76">
        <v>2.4900000000000002</v>
      </c>
      <c r="M76">
        <v>5.58</v>
      </c>
      <c r="N76">
        <v>3.59</v>
      </c>
      <c r="O76">
        <v>2.1</v>
      </c>
      <c r="P76">
        <v>1.37</v>
      </c>
      <c r="Q76">
        <v>0.99</v>
      </c>
      <c r="R76">
        <v>0.8</v>
      </c>
      <c r="S76">
        <v>0.34</v>
      </c>
    </row>
    <row r="77" spans="1:20" x14ac:dyDescent="0.25">
      <c r="A77" t="s">
        <v>89</v>
      </c>
      <c r="B77">
        <v>365</v>
      </c>
      <c r="C77">
        <v>632</v>
      </c>
      <c r="D77">
        <v>933</v>
      </c>
      <c r="E77" s="2">
        <v>2234</v>
      </c>
      <c r="F77" s="2">
        <v>2650</v>
      </c>
      <c r="G77" s="2">
        <v>2909</v>
      </c>
      <c r="H77" s="2">
        <v>3159</v>
      </c>
      <c r="I77" s="2">
        <v>3535</v>
      </c>
      <c r="J77" s="2">
        <v>3652</v>
      </c>
      <c r="K77" s="2">
        <v>3871</v>
      </c>
      <c r="L77" s="2">
        <v>3740</v>
      </c>
      <c r="M77" s="2">
        <v>5847</v>
      </c>
      <c r="N77" s="2">
        <v>5957</v>
      </c>
      <c r="O77" s="2">
        <v>6293.81</v>
      </c>
      <c r="P77" s="2">
        <v>7187.18</v>
      </c>
      <c r="Q77" s="2">
        <v>8730.36</v>
      </c>
      <c r="R77" s="2">
        <v>8514.57</v>
      </c>
      <c r="S77" s="2">
        <v>15053.47</v>
      </c>
    </row>
    <row r="78" spans="1:20" x14ac:dyDescent="0.25">
      <c r="A78" t="s">
        <v>61</v>
      </c>
      <c r="B78">
        <v>14.48</v>
      </c>
      <c r="C78">
        <v>14.8</v>
      </c>
      <c r="D78">
        <v>13.67</v>
      </c>
      <c r="E78">
        <v>16.87</v>
      </c>
      <c r="F78">
        <v>15.03</v>
      </c>
      <c r="G78">
        <v>13.95</v>
      </c>
      <c r="H78">
        <v>13.98</v>
      </c>
      <c r="I78">
        <v>14.8</v>
      </c>
      <c r="J78">
        <v>13.3</v>
      </c>
      <c r="K78">
        <v>11.66</v>
      </c>
      <c r="L78">
        <v>10.44</v>
      </c>
      <c r="M78">
        <v>11.34</v>
      </c>
      <c r="N78">
        <v>9.32</v>
      </c>
      <c r="O78">
        <v>5.95</v>
      </c>
      <c r="P78">
        <v>3.99</v>
      </c>
      <c r="Q78">
        <v>2.95</v>
      </c>
      <c r="R78">
        <v>2.1800000000000002</v>
      </c>
      <c r="S78">
        <v>4.3</v>
      </c>
    </row>
    <row r="79" spans="1:20" x14ac:dyDescent="0.25">
      <c r="A79" t="s">
        <v>2183</v>
      </c>
      <c r="B79">
        <v>26</v>
      </c>
      <c r="C79">
        <v>337</v>
      </c>
      <c r="D79">
        <v>386</v>
      </c>
      <c r="E79" s="2">
        <v>2869</v>
      </c>
      <c r="F79" s="2">
        <v>2047</v>
      </c>
      <c r="G79">
        <v>774</v>
      </c>
      <c r="H79" s="2">
        <v>2634</v>
      </c>
      <c r="I79" s="2">
        <v>2599</v>
      </c>
      <c r="J79" s="2">
        <v>2124</v>
      </c>
      <c r="K79" s="2">
        <v>1569</v>
      </c>
      <c r="L79" s="2">
        <v>1638</v>
      </c>
      <c r="M79" s="2">
        <v>4777</v>
      </c>
      <c r="N79" s="2">
        <v>2622</v>
      </c>
      <c r="O79" s="2">
        <v>2070.04</v>
      </c>
      <c r="P79">
        <v>691.27</v>
      </c>
      <c r="Q79" s="2">
        <v>-1818.29</v>
      </c>
      <c r="R79">
        <v>318.07</v>
      </c>
    </row>
    <row r="80" spans="1:20" x14ac:dyDescent="0.25">
      <c r="A80" t="s">
        <v>17</v>
      </c>
    </row>
    <row r="81" spans="1:20" x14ac:dyDescent="0.25">
      <c r="A81" t="s">
        <v>91</v>
      </c>
      <c r="B81">
        <v>740</v>
      </c>
      <c r="C81" s="2">
        <v>1521</v>
      </c>
      <c r="D81" s="2">
        <v>2926</v>
      </c>
      <c r="E81" s="2">
        <v>5320</v>
      </c>
      <c r="F81" s="2">
        <v>8011</v>
      </c>
      <c r="G81" s="2">
        <v>10424</v>
      </c>
      <c r="H81" s="2">
        <v>11929</v>
      </c>
      <c r="I81" s="2">
        <v>12939</v>
      </c>
      <c r="J81" s="2">
        <v>15912</v>
      </c>
      <c r="K81" s="2">
        <v>20294</v>
      </c>
      <c r="L81" s="2">
        <v>22125</v>
      </c>
      <c r="M81" s="2">
        <v>30736</v>
      </c>
      <c r="N81" s="2">
        <v>41997</v>
      </c>
      <c r="O81" s="2">
        <v>70902.67</v>
      </c>
      <c r="P81" s="2">
        <v>113763.43</v>
      </c>
      <c r="Q81" s="2">
        <v>182096.36</v>
      </c>
      <c r="R81" s="2">
        <v>255090.75</v>
      </c>
      <c r="S81" s="2">
        <v>287482</v>
      </c>
      <c r="T81" s="2">
        <v>331006</v>
      </c>
    </row>
    <row r="82" spans="1:20" x14ac:dyDescent="0.25">
      <c r="A82" t="s">
        <v>92</v>
      </c>
      <c r="B82">
        <v>29.37</v>
      </c>
      <c r="C82">
        <v>35.630000000000003</v>
      </c>
      <c r="D82">
        <v>42.88</v>
      </c>
      <c r="E82">
        <v>40.11</v>
      </c>
      <c r="F82">
        <v>45.36</v>
      </c>
      <c r="G82">
        <v>50</v>
      </c>
      <c r="H82">
        <v>52.79</v>
      </c>
      <c r="I82">
        <v>54.17</v>
      </c>
      <c r="J82">
        <v>57.97</v>
      </c>
      <c r="K82">
        <v>61.12</v>
      </c>
      <c r="L82">
        <v>61.77</v>
      </c>
      <c r="M82">
        <v>59.6</v>
      </c>
      <c r="N82">
        <v>65.739999999999995</v>
      </c>
      <c r="O82">
        <v>66.989999999999995</v>
      </c>
      <c r="P82">
        <v>66.349999999999994</v>
      </c>
      <c r="Q82">
        <v>65.66</v>
      </c>
      <c r="R82">
        <v>66.05</v>
      </c>
      <c r="S82">
        <v>66.47</v>
      </c>
      <c r="T82">
        <v>68.42</v>
      </c>
    </row>
    <row r="83" spans="1:20" x14ac:dyDescent="0.25">
      <c r="A83" t="s">
        <v>17</v>
      </c>
    </row>
    <row r="84" spans="1:20" x14ac:dyDescent="0.25">
      <c r="A84" t="s">
        <v>93</v>
      </c>
      <c r="B84">
        <v>187</v>
      </c>
      <c r="C84">
        <v>625</v>
      </c>
      <c r="D84">
        <v>962</v>
      </c>
      <c r="E84" s="2">
        <v>3042</v>
      </c>
      <c r="F84" s="2">
        <v>4737</v>
      </c>
      <c r="G84" s="2">
        <v>4081</v>
      </c>
      <c r="H84" s="2">
        <v>5808</v>
      </c>
      <c r="I84" s="2">
        <v>6905</v>
      </c>
      <c r="J84" s="2">
        <v>6041</v>
      </c>
      <c r="K84" s="2">
        <v>4984</v>
      </c>
      <c r="L84" s="2">
        <v>3835</v>
      </c>
      <c r="M84" s="2">
        <v>10010</v>
      </c>
      <c r="N84" s="2">
        <v>8775</v>
      </c>
      <c r="O84" s="2">
        <v>8069.5</v>
      </c>
      <c r="P84" s="2">
        <v>8203.4699999999993</v>
      </c>
      <c r="Q84" s="2">
        <v>8530.36</v>
      </c>
      <c r="R84" s="2">
        <v>12192.02</v>
      </c>
    </row>
    <row r="85" spans="1:20" x14ac:dyDescent="0.25">
      <c r="A85" t="s">
        <v>94</v>
      </c>
      <c r="B85">
        <v>102</v>
      </c>
      <c r="C85">
        <v>164</v>
      </c>
      <c r="D85">
        <v>229</v>
      </c>
      <c r="E85">
        <v>402</v>
      </c>
      <c r="F85">
        <v>451</v>
      </c>
      <c r="G85">
        <v>515</v>
      </c>
      <c r="H85">
        <v>569</v>
      </c>
      <c r="I85">
        <v>570</v>
      </c>
      <c r="J85">
        <v>539</v>
      </c>
      <c r="K85">
        <v>529</v>
      </c>
      <c r="L85">
        <v>502</v>
      </c>
      <c r="M85">
        <v>593</v>
      </c>
      <c r="N85">
        <v>574</v>
      </c>
      <c r="O85">
        <v>670.32</v>
      </c>
      <c r="P85">
        <v>949.94</v>
      </c>
      <c r="Q85" s="2">
        <v>1319.11</v>
      </c>
      <c r="R85" s="2">
        <v>1940.61</v>
      </c>
      <c r="S85" s="2">
        <v>1580.19</v>
      </c>
      <c r="T85" s="2">
        <v>2641.47</v>
      </c>
    </row>
    <row r="86" spans="1:20" x14ac:dyDescent="0.25">
      <c r="A86" t="s">
        <v>69</v>
      </c>
      <c r="B86">
        <v>4.05</v>
      </c>
      <c r="C86">
        <v>3.84</v>
      </c>
      <c r="D86">
        <v>3.36</v>
      </c>
      <c r="E86">
        <v>3.04</v>
      </c>
      <c r="F86">
        <v>2.56</v>
      </c>
      <c r="G86">
        <v>2.4700000000000002</v>
      </c>
      <c r="H86">
        <v>2.52</v>
      </c>
      <c r="I86">
        <v>2.39</v>
      </c>
      <c r="J86">
        <v>1.96</v>
      </c>
      <c r="K86">
        <v>1.59</v>
      </c>
      <c r="L86">
        <v>1.4</v>
      </c>
      <c r="M86">
        <v>1.1499999999999999</v>
      </c>
      <c r="N86">
        <v>0.9</v>
      </c>
      <c r="O86">
        <v>0.64</v>
      </c>
      <c r="P86">
        <v>0.61</v>
      </c>
      <c r="Q86">
        <v>0.53</v>
      </c>
      <c r="R86">
        <v>0.56000000000000005</v>
      </c>
    </row>
    <row r="87" spans="1:20" x14ac:dyDescent="0.25">
      <c r="A87" t="s">
        <v>127</v>
      </c>
      <c r="B87">
        <v>85</v>
      </c>
      <c r="C87">
        <v>446</v>
      </c>
      <c r="D87">
        <v>733</v>
      </c>
      <c r="E87" s="2">
        <v>2636</v>
      </c>
      <c r="F87" s="2">
        <v>4275</v>
      </c>
      <c r="G87" s="2">
        <v>3545</v>
      </c>
      <c r="H87" s="2">
        <v>5212</v>
      </c>
      <c r="I87" s="2">
        <v>6220</v>
      </c>
      <c r="J87" s="2">
        <v>5403</v>
      </c>
      <c r="K87" s="2">
        <v>4359</v>
      </c>
      <c r="L87" s="2">
        <v>3247</v>
      </c>
      <c r="M87" s="2">
        <v>3244</v>
      </c>
      <c r="N87" s="2">
        <v>8062</v>
      </c>
      <c r="O87" s="2">
        <v>7838.94</v>
      </c>
      <c r="P87" s="2">
        <v>7335.7</v>
      </c>
      <c r="Q87" s="2">
        <v>6659.37</v>
      </c>
      <c r="R87" s="2">
        <v>4340.8900000000003</v>
      </c>
      <c r="S87" s="2">
        <v>2995.27</v>
      </c>
      <c r="T87" s="2">
        <v>2043.71</v>
      </c>
    </row>
    <row r="88" spans="1:20" x14ac:dyDescent="0.25">
      <c r="A88" t="s">
        <v>2184</v>
      </c>
      <c r="F88">
        <v>-307</v>
      </c>
      <c r="G88" s="2">
        <v>8662</v>
      </c>
      <c r="H88" s="2">
        <v>1678</v>
      </c>
      <c r="I88" s="2">
        <v>1881</v>
      </c>
      <c r="J88" s="2">
        <v>-1686</v>
      </c>
      <c r="K88" s="2">
        <v>-1314</v>
      </c>
      <c r="L88" s="2">
        <v>-1610</v>
      </c>
      <c r="M88">
        <v>0</v>
      </c>
      <c r="N88">
        <v>0</v>
      </c>
    </row>
    <row r="89" spans="1:20" x14ac:dyDescent="0.25">
      <c r="A89" t="s">
        <v>277</v>
      </c>
      <c r="B89">
        <v>927</v>
      </c>
      <c r="C89" s="2">
        <v>2146</v>
      </c>
      <c r="D89" s="2">
        <v>3888</v>
      </c>
      <c r="E89" s="2">
        <v>8362</v>
      </c>
      <c r="F89" s="2">
        <v>12748</v>
      </c>
      <c r="G89" s="2">
        <v>14505</v>
      </c>
      <c r="H89" s="2">
        <v>12579</v>
      </c>
      <c r="I89" s="2">
        <v>13643</v>
      </c>
      <c r="J89" s="2">
        <v>16571</v>
      </c>
      <c r="K89" s="2">
        <v>21029</v>
      </c>
      <c r="L89" s="2">
        <v>23213</v>
      </c>
      <c r="M89" s="2">
        <v>31897</v>
      </c>
      <c r="N89" s="2">
        <v>43004</v>
      </c>
      <c r="O89" s="2">
        <v>71940.59</v>
      </c>
      <c r="P89" s="2">
        <v>115123.53</v>
      </c>
      <c r="Q89" s="2">
        <v>177264</v>
      </c>
      <c r="R89" s="2">
        <v>256541.5</v>
      </c>
    </row>
    <row r="90" spans="1:20" x14ac:dyDescent="0.25">
      <c r="A90" t="s">
        <v>17</v>
      </c>
    </row>
    <row r="91" spans="1:20" x14ac:dyDescent="0.25">
      <c r="A91" t="s">
        <v>96</v>
      </c>
      <c r="D91">
        <v>191</v>
      </c>
      <c r="E91">
        <v>436</v>
      </c>
      <c r="F91">
        <v>453</v>
      </c>
      <c r="G91">
        <v>596</v>
      </c>
      <c r="H91" s="2">
        <v>1390</v>
      </c>
      <c r="I91" s="2">
        <v>1608</v>
      </c>
      <c r="J91" s="2">
        <v>1640</v>
      </c>
      <c r="K91" s="2">
        <v>1625</v>
      </c>
      <c r="L91" s="2">
        <v>1622</v>
      </c>
      <c r="M91" s="2">
        <v>-3796</v>
      </c>
      <c r="N91" s="2">
        <v>3072</v>
      </c>
      <c r="O91" s="2">
        <v>2979.45</v>
      </c>
      <c r="P91" s="2">
        <v>2720.13</v>
      </c>
      <c r="Q91" s="2">
        <v>2801.11</v>
      </c>
      <c r="R91" s="2">
        <v>4567.75</v>
      </c>
      <c r="S91" s="2">
        <v>9302.35</v>
      </c>
      <c r="T91" s="2">
        <v>11492.9</v>
      </c>
    </row>
    <row r="92" spans="1:20" x14ac:dyDescent="0.25">
      <c r="A92" t="s">
        <v>2185</v>
      </c>
      <c r="E92">
        <v>10</v>
      </c>
      <c r="F92">
        <v>-39</v>
      </c>
      <c r="G92">
        <v>-141</v>
      </c>
      <c r="H92">
        <v>-81</v>
      </c>
      <c r="I92">
        <v>-25</v>
      </c>
      <c r="J92">
        <v>-21</v>
      </c>
      <c r="K92">
        <v>-110</v>
      </c>
      <c r="L92">
        <v>-500</v>
      </c>
      <c r="M92">
        <v>418</v>
      </c>
      <c r="N92">
        <v>-294</v>
      </c>
      <c r="O92">
        <v>-452.4</v>
      </c>
      <c r="P92">
        <v>-644.95000000000005</v>
      </c>
      <c r="Q92">
        <v>-945.93</v>
      </c>
      <c r="R92" s="2">
        <v>-2535.56</v>
      </c>
      <c r="S92">
        <v>-392</v>
      </c>
      <c r="T92">
        <v>-392</v>
      </c>
    </row>
    <row r="93" spans="1:20" x14ac:dyDescent="0.25">
      <c r="A93" t="s">
        <v>100</v>
      </c>
      <c r="B93">
        <v>757</v>
      </c>
      <c r="C93" s="2">
        <v>1425</v>
      </c>
      <c r="D93" s="2">
        <v>2769</v>
      </c>
      <c r="E93" s="2">
        <v>4894</v>
      </c>
      <c r="F93" s="2">
        <v>7597</v>
      </c>
      <c r="G93" s="2">
        <v>9969</v>
      </c>
      <c r="H93" s="2">
        <v>10620</v>
      </c>
      <c r="I93" s="2">
        <v>2686</v>
      </c>
      <c r="J93" s="2">
        <v>6745</v>
      </c>
      <c r="K93" s="2">
        <v>18779</v>
      </c>
      <c r="L93" s="2">
        <v>19393</v>
      </c>
      <c r="M93" s="2">
        <v>27481</v>
      </c>
      <c r="N93" s="2">
        <v>39219</v>
      </c>
      <c r="O93" s="2">
        <v>68593.16</v>
      </c>
      <c r="P93" s="2">
        <v>111725.68</v>
      </c>
      <c r="Q93" s="2">
        <v>180038.27</v>
      </c>
      <c r="R93" s="2">
        <v>258673.33</v>
      </c>
      <c r="S93" s="2">
        <v>282312</v>
      </c>
      <c r="T93" s="2">
        <v>319905</v>
      </c>
    </row>
    <row r="94" spans="1:20" x14ac:dyDescent="0.25">
      <c r="A94" t="s">
        <v>588</v>
      </c>
      <c r="B94">
        <v>30.04</v>
      </c>
      <c r="C94">
        <v>33.380000000000003</v>
      </c>
      <c r="D94">
        <v>40.58</v>
      </c>
      <c r="E94">
        <v>36.96</v>
      </c>
      <c r="F94">
        <v>43.08</v>
      </c>
      <c r="G94">
        <v>47.82</v>
      </c>
      <c r="H94">
        <v>47</v>
      </c>
      <c r="I94">
        <v>47.54</v>
      </c>
      <c r="J94">
        <v>52.07</v>
      </c>
      <c r="K94">
        <v>56.56</v>
      </c>
      <c r="L94">
        <v>58.64</v>
      </c>
      <c r="M94">
        <v>53.05</v>
      </c>
      <c r="N94">
        <v>61.39</v>
      </c>
      <c r="O94">
        <v>64.52</v>
      </c>
      <c r="P94">
        <v>65.069999999999993</v>
      </c>
      <c r="Q94">
        <v>65.55</v>
      </c>
      <c r="R94">
        <v>66.83</v>
      </c>
      <c r="S94">
        <v>66.760000000000005</v>
      </c>
    </row>
    <row r="95" spans="1:20" x14ac:dyDescent="0.25">
      <c r="A95" t="s">
        <v>17</v>
      </c>
    </row>
    <row r="96" spans="1:20" x14ac:dyDescent="0.25">
      <c r="A96" t="s">
        <v>101</v>
      </c>
      <c r="D96">
        <v>156</v>
      </c>
      <c r="E96">
        <v>222</v>
      </c>
      <c r="F96">
        <v>342</v>
      </c>
      <c r="G96">
        <v>578</v>
      </c>
      <c r="H96" s="2">
        <v>1168</v>
      </c>
      <c r="I96" s="2">
        <v>1363</v>
      </c>
      <c r="J96" s="2">
        <v>1715</v>
      </c>
      <c r="K96" s="2">
        <v>2253</v>
      </c>
      <c r="L96" s="2">
        <v>2625</v>
      </c>
      <c r="M96" s="2">
        <v>3625</v>
      </c>
      <c r="N96" s="2">
        <v>5491</v>
      </c>
      <c r="O96" s="2">
        <v>11016.68</v>
      </c>
      <c r="P96" s="2">
        <v>18485.009999999998</v>
      </c>
      <c r="Q96" s="2">
        <v>29831.23</v>
      </c>
      <c r="R96" s="2">
        <v>41678.400000000001</v>
      </c>
      <c r="S96" s="2">
        <v>45077.34</v>
      </c>
      <c r="T96" s="2">
        <v>57214.6</v>
      </c>
    </row>
    <row r="97" spans="1:20" x14ac:dyDescent="0.25">
      <c r="A97" t="s">
        <v>102</v>
      </c>
      <c r="B97">
        <v>2.82</v>
      </c>
      <c r="C97">
        <v>9.65</v>
      </c>
      <c r="D97">
        <v>5.18</v>
      </c>
      <c r="F97">
        <v>1.92</v>
      </c>
      <c r="J97">
        <v>0.43</v>
      </c>
      <c r="K97">
        <v>7.55</v>
      </c>
      <c r="L97">
        <v>6.72</v>
      </c>
      <c r="M97">
        <v>37.799999999999997</v>
      </c>
      <c r="O97">
        <v>11.16</v>
      </c>
      <c r="P97">
        <v>10.64</v>
      </c>
      <c r="Q97">
        <v>10.1</v>
      </c>
      <c r="R97">
        <v>21.32</v>
      </c>
      <c r="S97">
        <v>20.440000000000001</v>
      </c>
      <c r="T97">
        <v>19.57</v>
      </c>
    </row>
    <row r="98" spans="1:20" x14ac:dyDescent="0.25">
      <c r="A98" t="s">
        <v>17</v>
      </c>
    </row>
    <row r="99" spans="1:20" x14ac:dyDescent="0.25">
      <c r="A99" t="s">
        <v>106</v>
      </c>
      <c r="B99">
        <v>731</v>
      </c>
      <c r="C99" s="2">
        <v>1343</v>
      </c>
      <c r="D99" s="2">
        <v>2613</v>
      </c>
      <c r="E99" s="2">
        <v>4672</v>
      </c>
      <c r="F99" s="2">
        <v>7255</v>
      </c>
      <c r="G99" s="2">
        <v>9391</v>
      </c>
      <c r="H99" s="2">
        <v>9452</v>
      </c>
      <c r="I99" s="2">
        <v>9993</v>
      </c>
      <c r="J99" s="2">
        <v>12578</v>
      </c>
      <c r="K99" s="2">
        <v>16526</v>
      </c>
      <c r="L99" s="2">
        <v>18378</v>
      </c>
      <c r="M99" s="2">
        <v>23733</v>
      </c>
      <c r="N99" s="2">
        <v>33728</v>
      </c>
      <c r="O99" s="2">
        <v>57642.57</v>
      </c>
      <c r="P99" s="2">
        <v>93753.22</v>
      </c>
      <c r="Q99" s="2">
        <v>149348</v>
      </c>
      <c r="R99" s="2">
        <v>200296.4</v>
      </c>
      <c r="S99" s="2">
        <v>228528</v>
      </c>
      <c r="T99" s="2">
        <v>262691</v>
      </c>
    </row>
    <row r="100" spans="1:20" x14ac:dyDescent="0.25">
      <c r="A100" t="s">
        <v>280</v>
      </c>
      <c r="B100">
        <v>29.01</v>
      </c>
      <c r="C100">
        <v>31.46</v>
      </c>
      <c r="D100">
        <v>38.29</v>
      </c>
      <c r="E100">
        <v>35.29</v>
      </c>
      <c r="F100">
        <v>41.14</v>
      </c>
      <c r="G100">
        <v>45.05</v>
      </c>
      <c r="H100">
        <v>41.83</v>
      </c>
      <c r="I100">
        <v>41.83</v>
      </c>
      <c r="J100">
        <v>45.82</v>
      </c>
      <c r="K100">
        <v>49.77</v>
      </c>
      <c r="L100">
        <v>51.31</v>
      </c>
      <c r="M100">
        <v>46.02</v>
      </c>
      <c r="N100">
        <v>52.79</v>
      </c>
      <c r="O100">
        <v>54.33</v>
      </c>
      <c r="P100">
        <v>54.38</v>
      </c>
      <c r="Q100">
        <v>54.6</v>
      </c>
      <c r="R100">
        <v>53.52</v>
      </c>
      <c r="S100">
        <v>50.09</v>
      </c>
    </row>
    <row r="101" spans="1:20" x14ac:dyDescent="0.25">
      <c r="A101" t="s">
        <v>17</v>
      </c>
    </row>
    <row r="102" spans="1:20" x14ac:dyDescent="0.25">
      <c r="A102" t="s">
        <v>2186</v>
      </c>
      <c r="B102" s="2">
        <v>2530</v>
      </c>
      <c r="C102" s="2">
        <v>2740</v>
      </c>
      <c r="D102" s="2">
        <v>2910</v>
      </c>
      <c r="E102" s="2">
        <v>4080</v>
      </c>
      <c r="F102" s="2">
        <v>4530</v>
      </c>
      <c r="G102" s="2">
        <v>4510</v>
      </c>
      <c r="H102" s="2">
        <v>4440</v>
      </c>
      <c r="I102" s="2">
        <v>4510</v>
      </c>
      <c r="J102" s="2">
        <v>4490</v>
      </c>
      <c r="K102" s="2">
        <v>4390</v>
      </c>
      <c r="L102" s="2">
        <v>4350</v>
      </c>
      <c r="M102" s="2">
        <v>4877</v>
      </c>
      <c r="N102" s="2">
        <v>4943</v>
      </c>
      <c r="O102" s="2">
        <v>4941.47</v>
      </c>
      <c r="P102" s="2">
        <v>4929.3500000000004</v>
      </c>
      <c r="Q102" s="2">
        <v>4923.6899999999996</v>
      </c>
      <c r="R102" s="2">
        <v>4431.09</v>
      </c>
      <c r="S102" s="2">
        <v>4674.83</v>
      </c>
      <c r="T102" s="2">
        <v>4937</v>
      </c>
    </row>
    <row r="103" spans="1:20" x14ac:dyDescent="0.25">
      <c r="A103" t="s">
        <v>110</v>
      </c>
      <c r="B103">
        <v>0.28999999999999998</v>
      </c>
      <c r="C103">
        <v>0.49</v>
      </c>
      <c r="D103">
        <v>0.9</v>
      </c>
      <c r="E103">
        <v>1.1499999999999999</v>
      </c>
      <c r="F103">
        <v>1.6</v>
      </c>
      <c r="G103">
        <v>2.08</v>
      </c>
      <c r="H103">
        <v>2.13</v>
      </c>
      <c r="I103">
        <v>2.2200000000000002</v>
      </c>
      <c r="J103">
        <v>2.8</v>
      </c>
      <c r="K103">
        <v>3.76</v>
      </c>
      <c r="L103">
        <v>4.2300000000000004</v>
      </c>
      <c r="M103">
        <v>4.87</v>
      </c>
      <c r="N103">
        <v>6.82</v>
      </c>
      <c r="O103">
        <v>11.67</v>
      </c>
      <c r="P103">
        <v>19.2</v>
      </c>
      <c r="Q103">
        <v>30.63</v>
      </c>
      <c r="R103">
        <v>41.79</v>
      </c>
      <c r="S103">
        <v>50.68</v>
      </c>
      <c r="T103">
        <v>53.21</v>
      </c>
    </row>
    <row r="104" spans="1:20" x14ac:dyDescent="0.25">
      <c r="A104" t="s">
        <v>17</v>
      </c>
    </row>
    <row r="105" spans="1:20" x14ac:dyDescent="0.25">
      <c r="A105" t="s">
        <v>1276</v>
      </c>
      <c r="B105">
        <v>0.08</v>
      </c>
      <c r="C105">
        <v>0.11</v>
      </c>
      <c r="D105">
        <v>0.16</v>
      </c>
      <c r="E105">
        <v>0.19</v>
      </c>
      <c r="F105">
        <v>0.41</v>
      </c>
      <c r="G105">
        <v>0.7</v>
      </c>
      <c r="H105">
        <v>1.06</v>
      </c>
      <c r="I105">
        <v>1.3</v>
      </c>
      <c r="J105">
        <v>1.44</v>
      </c>
      <c r="K105">
        <v>1.64</v>
      </c>
      <c r="L105">
        <v>1.84</v>
      </c>
      <c r="M105">
        <v>2.11</v>
      </c>
      <c r="N105">
        <v>2.36</v>
      </c>
      <c r="O105">
        <v>2.61</v>
      </c>
      <c r="P105">
        <v>3.11</v>
      </c>
      <c r="Q105">
        <v>3.32</v>
      </c>
      <c r="R105">
        <v>3.56</v>
      </c>
      <c r="S105">
        <v>4.5999999999999996</v>
      </c>
    </row>
    <row r="106" spans="1:20" x14ac:dyDescent="0.25">
      <c r="A106" t="s">
        <v>17</v>
      </c>
    </row>
    <row r="107" spans="1:20" x14ac:dyDescent="0.25">
      <c r="A107" t="s">
        <v>282</v>
      </c>
    </row>
    <row r="108" spans="1:20" x14ac:dyDescent="0.25">
      <c r="A108" t="s">
        <v>393</v>
      </c>
      <c r="B108" s="2">
        <v>2520</v>
      </c>
      <c r="C108" s="2">
        <v>4307</v>
      </c>
      <c r="D108" s="2">
        <v>6905</v>
      </c>
      <c r="E108" s="2">
        <v>13292</v>
      </c>
      <c r="F108" s="2">
        <v>17665</v>
      </c>
      <c r="G108" s="2">
        <v>20862</v>
      </c>
      <c r="H108" s="2">
        <v>22597</v>
      </c>
      <c r="I108" s="2">
        <v>23888</v>
      </c>
      <c r="J108" s="2">
        <v>27450</v>
      </c>
      <c r="K108" s="2">
        <v>33203</v>
      </c>
      <c r="L108" s="2">
        <v>35819</v>
      </c>
      <c r="M108" s="2">
        <v>51574</v>
      </c>
      <c r="N108" s="2">
        <v>63887</v>
      </c>
      <c r="O108" s="2">
        <v>105987.2</v>
      </c>
      <c r="P108" s="2">
        <v>173892.18</v>
      </c>
      <c r="Q108" s="2">
        <v>277107.45</v>
      </c>
      <c r="R108" s="2">
        <v>333142.83</v>
      </c>
      <c r="S108" s="2">
        <v>429344.75</v>
      </c>
      <c r="T108" s="2">
        <v>483764</v>
      </c>
    </row>
    <row r="109" spans="1:20" x14ac:dyDescent="0.25">
      <c r="A109" t="s">
        <v>62</v>
      </c>
      <c r="B109" s="2">
        <v>1322</v>
      </c>
      <c r="C109" s="2">
        <v>2392</v>
      </c>
      <c r="D109" s="2">
        <v>3271</v>
      </c>
      <c r="E109" s="2">
        <v>7300</v>
      </c>
      <c r="F109" s="2">
        <v>9127</v>
      </c>
      <c r="G109" s="2">
        <v>10115</v>
      </c>
      <c r="H109" s="2">
        <v>10114</v>
      </c>
      <c r="I109" s="2">
        <v>10372</v>
      </c>
      <c r="J109" s="2">
        <v>10606</v>
      </c>
      <c r="K109" s="2">
        <v>11108</v>
      </c>
      <c r="L109" s="2">
        <v>11129</v>
      </c>
      <c r="M109" s="2">
        <v>19065</v>
      </c>
      <c r="N109" s="2">
        <v>20593</v>
      </c>
      <c r="O109" s="2">
        <v>32860.69</v>
      </c>
      <c r="P109" s="2">
        <v>54669.95</v>
      </c>
      <c r="Q109" s="2">
        <v>90855.53</v>
      </c>
      <c r="R109" s="2">
        <v>119404.23</v>
      </c>
      <c r="S109" s="2">
        <v>141789.76000000001</v>
      </c>
      <c r="T109" s="2">
        <v>130879.97</v>
      </c>
    </row>
    <row r="110" spans="1:20" x14ac:dyDescent="0.25">
      <c r="A110" t="s">
        <v>63</v>
      </c>
      <c r="B110" s="2">
        <v>1198</v>
      </c>
      <c r="C110" s="2">
        <v>1877</v>
      </c>
      <c r="D110" s="2">
        <v>3553</v>
      </c>
      <c r="E110" s="2">
        <v>5940</v>
      </c>
      <c r="F110" s="2">
        <v>8509</v>
      </c>
      <c r="G110" s="2">
        <v>10733</v>
      </c>
      <c r="H110" s="2">
        <v>12483</v>
      </c>
      <c r="I110" s="2">
        <v>13516</v>
      </c>
      <c r="J110" s="2">
        <v>16844</v>
      </c>
      <c r="K110" s="2">
        <v>22095</v>
      </c>
      <c r="L110" s="2">
        <v>24690</v>
      </c>
      <c r="M110" s="2">
        <v>32509</v>
      </c>
      <c r="N110" s="2">
        <v>43294</v>
      </c>
      <c r="O110" s="2">
        <v>72961.740000000005</v>
      </c>
      <c r="P110" s="2">
        <v>118503.09</v>
      </c>
      <c r="Q110" s="2">
        <v>191094.79</v>
      </c>
      <c r="R110" s="2">
        <v>236301.06</v>
      </c>
      <c r="S110" s="2">
        <v>277669.31</v>
      </c>
      <c r="T110" s="2">
        <v>352884.45</v>
      </c>
    </row>
    <row r="111" spans="1:20" x14ac:dyDescent="0.25">
      <c r="A111" t="s">
        <v>64</v>
      </c>
      <c r="C111">
        <v>44</v>
      </c>
      <c r="D111">
        <v>52.1</v>
      </c>
      <c r="E111">
        <v>48.2</v>
      </c>
      <c r="F111">
        <v>48</v>
      </c>
      <c r="G111">
        <v>52</v>
      </c>
      <c r="H111">
        <v>55.2</v>
      </c>
      <c r="J111">
        <v>61</v>
      </c>
      <c r="K111">
        <v>67</v>
      </c>
      <c r="L111">
        <v>69</v>
      </c>
      <c r="M111">
        <v>63</v>
      </c>
      <c r="N111">
        <v>68</v>
      </c>
      <c r="O111">
        <v>69.06</v>
      </c>
      <c r="P111">
        <v>67.989999999999995</v>
      </c>
      <c r="Q111">
        <v>67.66</v>
      </c>
      <c r="R111">
        <v>72.37</v>
      </c>
      <c r="S111">
        <v>72.650000000000006</v>
      </c>
      <c r="T111">
        <v>72.95</v>
      </c>
    </row>
    <row r="112" spans="1:20" x14ac:dyDescent="0.25">
      <c r="A112" t="s">
        <v>87</v>
      </c>
      <c r="B112">
        <v>646</v>
      </c>
      <c r="C112" s="2">
        <v>1439</v>
      </c>
      <c r="D112" s="2">
        <v>1921</v>
      </c>
      <c r="E112" s="2">
        <v>6349</v>
      </c>
      <c r="F112" s="2">
        <v>6126</v>
      </c>
      <c r="G112" s="2">
        <v>5598</v>
      </c>
      <c r="H112" s="2">
        <v>9039</v>
      </c>
      <c r="I112" s="2">
        <v>9502</v>
      </c>
      <c r="J112" s="2">
        <v>8325</v>
      </c>
      <c r="K112" s="2">
        <v>7870</v>
      </c>
      <c r="L112" s="2">
        <v>8483</v>
      </c>
      <c r="M112" s="2">
        <v>19046</v>
      </c>
      <c r="N112" s="2">
        <v>17810</v>
      </c>
      <c r="O112" s="2">
        <v>18511.53</v>
      </c>
      <c r="P112" s="2">
        <v>21162.79</v>
      </c>
      <c r="Q112" s="2">
        <v>30502.43</v>
      </c>
      <c r="R112" s="2">
        <v>44165.599999999999</v>
      </c>
      <c r="S112" s="2">
        <v>51741.78</v>
      </c>
      <c r="T112" s="2">
        <v>63369.5</v>
      </c>
    </row>
    <row r="113" spans="1:20" x14ac:dyDescent="0.25">
      <c r="A113" t="s">
        <v>61</v>
      </c>
      <c r="B113">
        <v>25.63</v>
      </c>
      <c r="C113">
        <v>33.71</v>
      </c>
      <c r="D113">
        <v>28.15</v>
      </c>
      <c r="E113">
        <v>47.95</v>
      </c>
      <c r="F113">
        <v>34.74</v>
      </c>
      <c r="G113">
        <v>26.85</v>
      </c>
      <c r="H113">
        <v>40</v>
      </c>
      <c r="I113">
        <v>39.78</v>
      </c>
      <c r="J113">
        <v>30.33</v>
      </c>
      <c r="K113">
        <v>23.7</v>
      </c>
      <c r="L113">
        <v>23.68</v>
      </c>
      <c r="M113">
        <v>36.93</v>
      </c>
      <c r="N113">
        <v>27.88</v>
      </c>
      <c r="O113">
        <v>17.53</v>
      </c>
      <c r="P113">
        <v>11.88</v>
      </c>
      <c r="Q113">
        <v>11.33</v>
      </c>
      <c r="R113">
        <v>13.32</v>
      </c>
      <c r="S113">
        <v>13.21</v>
      </c>
      <c r="T113">
        <v>13.1</v>
      </c>
    </row>
    <row r="114" spans="1:20" x14ac:dyDescent="0.25">
      <c r="A114" t="s">
        <v>298</v>
      </c>
      <c r="B114">
        <v>222</v>
      </c>
      <c r="C114">
        <v>407</v>
      </c>
      <c r="D114">
        <v>486</v>
      </c>
      <c r="E114">
        <v>806</v>
      </c>
      <c r="F114">
        <v>787</v>
      </c>
      <c r="G114" s="2">
        <v>1056</v>
      </c>
      <c r="H114" s="2">
        <v>1709</v>
      </c>
      <c r="I114" s="2">
        <v>1935</v>
      </c>
      <c r="J114" s="2">
        <v>1347</v>
      </c>
      <c r="K114" s="2">
        <v>1382</v>
      </c>
      <c r="L114" s="2">
        <v>1592</v>
      </c>
      <c r="M114" s="2">
        <v>4959</v>
      </c>
      <c r="N114" s="2">
        <v>4211</v>
      </c>
      <c r="O114" s="2">
        <v>4168.49</v>
      </c>
      <c r="P114" s="2">
        <v>4977.3100000000004</v>
      </c>
      <c r="Q114" s="2">
        <v>5048.71</v>
      </c>
      <c r="R114" s="2">
        <v>5433.57</v>
      </c>
      <c r="S114" s="2">
        <v>6253.06</v>
      </c>
      <c r="T114" s="2">
        <v>12429.04</v>
      </c>
    </row>
    <row r="115" spans="1:20" x14ac:dyDescent="0.25">
      <c r="A115" t="s">
        <v>76</v>
      </c>
      <c r="B115">
        <v>8.81</v>
      </c>
      <c r="C115">
        <v>9.5299999999999994</v>
      </c>
      <c r="D115">
        <v>7.12</v>
      </c>
      <c r="E115">
        <v>6.09</v>
      </c>
      <c r="F115">
        <v>4.46</v>
      </c>
      <c r="G115">
        <v>5.07</v>
      </c>
      <c r="H115">
        <v>7.56</v>
      </c>
      <c r="I115">
        <v>8.1</v>
      </c>
      <c r="J115">
        <v>4.91</v>
      </c>
      <c r="K115">
        <v>4.16</v>
      </c>
      <c r="L115">
        <v>4.4400000000000004</v>
      </c>
      <c r="M115">
        <v>9.6199999999999992</v>
      </c>
      <c r="N115">
        <v>6.59</v>
      </c>
      <c r="O115">
        <v>3.87</v>
      </c>
      <c r="P115">
        <v>2.76</v>
      </c>
      <c r="Q115">
        <v>2.13</v>
      </c>
      <c r="R115">
        <v>2.61</v>
      </c>
      <c r="S115">
        <v>2.59</v>
      </c>
      <c r="T115">
        <v>2.57</v>
      </c>
    </row>
    <row r="116" spans="1:20" x14ac:dyDescent="0.25">
      <c r="A116" t="s">
        <v>114</v>
      </c>
      <c r="B116">
        <v>398</v>
      </c>
      <c r="C116">
        <v>695</v>
      </c>
      <c r="D116" s="2">
        <v>1049</v>
      </c>
      <c r="E116" s="2">
        <v>2674</v>
      </c>
      <c r="F116" s="2">
        <v>3292</v>
      </c>
      <c r="G116" s="2">
        <v>3768</v>
      </c>
      <c r="H116" s="2">
        <v>4696</v>
      </c>
      <c r="I116" s="2">
        <v>4968</v>
      </c>
      <c r="J116" s="2">
        <v>4854</v>
      </c>
      <c r="K116" s="2">
        <v>4919</v>
      </c>
      <c r="L116" s="2">
        <v>5253</v>
      </c>
      <c r="M116" s="2">
        <v>9310</v>
      </c>
      <c r="N116" s="2">
        <v>10977</v>
      </c>
      <c r="O116" s="2">
        <v>12072.96</v>
      </c>
      <c r="P116" s="2">
        <v>15357.6</v>
      </c>
      <c r="Q116" s="2">
        <v>21421.77</v>
      </c>
      <c r="R116" s="2">
        <v>20735.759999999998</v>
      </c>
      <c r="S116" s="2">
        <v>21216.79</v>
      </c>
      <c r="T116" s="2">
        <v>42074.94</v>
      </c>
    </row>
    <row r="117" spans="1:20" x14ac:dyDescent="0.25">
      <c r="A117" t="s">
        <v>76</v>
      </c>
      <c r="B117">
        <v>15.79</v>
      </c>
      <c r="C117">
        <v>16.28</v>
      </c>
      <c r="D117">
        <v>15.37</v>
      </c>
      <c r="E117">
        <v>20.2</v>
      </c>
      <c r="F117">
        <v>18.670000000000002</v>
      </c>
      <c r="G117">
        <v>18.07</v>
      </c>
      <c r="H117">
        <v>20.78</v>
      </c>
      <c r="I117">
        <v>20.8</v>
      </c>
      <c r="J117">
        <v>17.68</v>
      </c>
      <c r="K117">
        <v>14.81</v>
      </c>
      <c r="L117">
        <v>14.67</v>
      </c>
      <c r="M117">
        <v>18.05</v>
      </c>
      <c r="N117">
        <v>17.18</v>
      </c>
      <c r="O117">
        <v>11.37</v>
      </c>
      <c r="P117">
        <v>9.27</v>
      </c>
      <c r="Q117">
        <v>8.0399999999999991</v>
      </c>
      <c r="R117">
        <v>8.85</v>
      </c>
      <c r="S117">
        <v>8.77</v>
      </c>
      <c r="T117">
        <v>8.6999999999999993</v>
      </c>
    </row>
    <row r="118" spans="1:20" x14ac:dyDescent="0.25">
      <c r="A118" t="s">
        <v>1238</v>
      </c>
      <c r="B118">
        <v>24</v>
      </c>
      <c r="C118">
        <v>197</v>
      </c>
      <c r="D118">
        <v>249</v>
      </c>
      <c r="E118" s="2">
        <v>1873</v>
      </c>
      <c r="F118" s="2">
        <v>1764</v>
      </c>
      <c r="G118">
        <v>541</v>
      </c>
      <c r="H118" s="2">
        <v>1898</v>
      </c>
      <c r="I118" s="2">
        <v>2401</v>
      </c>
      <c r="J118" s="2">
        <v>1976</v>
      </c>
      <c r="K118" s="2">
        <v>1512</v>
      </c>
      <c r="L118" s="2">
        <v>1394</v>
      </c>
      <c r="M118" s="2">
        <v>3244</v>
      </c>
      <c r="N118" s="2">
        <v>2031</v>
      </c>
      <c r="O118" s="2">
        <v>2019.09</v>
      </c>
      <c r="P118" s="2">
        <v>2328.35</v>
      </c>
      <c r="Q118" s="2">
        <v>4002.28</v>
      </c>
      <c r="R118" s="2">
        <v>2357.87</v>
      </c>
      <c r="S118" s="2">
        <v>3737.25</v>
      </c>
      <c r="T118" s="2">
        <v>7368.56</v>
      </c>
    </row>
    <row r="119" spans="1:20" x14ac:dyDescent="0.25">
      <c r="A119" t="s">
        <v>2187</v>
      </c>
      <c r="B119">
        <v>2</v>
      </c>
      <c r="C119">
        <v>140</v>
      </c>
      <c r="D119">
        <v>137</v>
      </c>
      <c r="E119">
        <v>996</v>
      </c>
      <c r="F119">
        <v>283</v>
      </c>
      <c r="G119">
        <v>233</v>
      </c>
      <c r="H119">
        <v>736</v>
      </c>
      <c r="I119">
        <v>198</v>
      </c>
      <c r="J119">
        <v>148</v>
      </c>
      <c r="K119">
        <v>57</v>
      </c>
      <c r="L119">
        <v>244</v>
      </c>
      <c r="M119" s="2">
        <v>1533</v>
      </c>
      <c r="N119">
        <v>591</v>
      </c>
      <c r="O119">
        <v>368.25</v>
      </c>
      <c r="P119">
        <v>567.95000000000005</v>
      </c>
      <c r="Q119" s="2">
        <v>1045.96</v>
      </c>
      <c r="R119">
        <v>306</v>
      </c>
      <c r="S119">
        <v>306</v>
      </c>
      <c r="T119">
        <v>412</v>
      </c>
    </row>
    <row r="120" spans="1:20" x14ac:dyDescent="0.25">
      <c r="A120" t="s">
        <v>116</v>
      </c>
      <c r="B120">
        <v>552</v>
      </c>
      <c r="C120">
        <v>438</v>
      </c>
      <c r="D120" s="2">
        <v>1632</v>
      </c>
      <c r="E120">
        <v>-416</v>
      </c>
      <c r="F120" s="2">
        <v>2383</v>
      </c>
      <c r="G120" s="2">
        <v>5135</v>
      </c>
      <c r="H120" s="2">
        <v>3444</v>
      </c>
      <c r="I120" s="2">
        <v>4014</v>
      </c>
      <c r="J120" s="2">
        <v>8519</v>
      </c>
      <c r="K120" s="2">
        <v>14225</v>
      </c>
      <c r="L120" s="2">
        <v>16207</v>
      </c>
      <c r="M120" s="2">
        <v>13463</v>
      </c>
      <c r="N120" s="2">
        <v>25484</v>
      </c>
      <c r="O120" s="2">
        <v>53950.95</v>
      </c>
      <c r="P120" s="2">
        <v>96052.59</v>
      </c>
      <c r="Q120" s="2">
        <v>159948.85</v>
      </c>
      <c r="R120" s="2">
        <v>202782.25</v>
      </c>
      <c r="S120" s="2">
        <v>239672.92</v>
      </c>
      <c r="T120" s="2">
        <v>289514.94</v>
      </c>
    </row>
    <row r="121" spans="1:20" x14ac:dyDescent="0.25">
      <c r="A121" t="s">
        <v>269</v>
      </c>
      <c r="B121">
        <v>21.9</v>
      </c>
      <c r="C121">
        <v>10.26</v>
      </c>
      <c r="D121">
        <v>23.92</v>
      </c>
      <c r="E121">
        <v>-3.14</v>
      </c>
      <c r="F121">
        <v>13.51</v>
      </c>
      <c r="G121">
        <v>24.63</v>
      </c>
      <c r="H121">
        <v>15.24</v>
      </c>
      <c r="I121">
        <v>16.8</v>
      </c>
      <c r="J121">
        <v>31.03</v>
      </c>
      <c r="K121">
        <v>42.84</v>
      </c>
      <c r="L121">
        <v>45.25</v>
      </c>
      <c r="M121">
        <v>26.1</v>
      </c>
      <c r="N121">
        <v>39.89</v>
      </c>
      <c r="O121">
        <v>51.06</v>
      </c>
      <c r="P121">
        <v>55.62</v>
      </c>
      <c r="Q121">
        <v>58.19</v>
      </c>
      <c r="R121">
        <v>59.05</v>
      </c>
      <c r="S121">
        <v>59.44</v>
      </c>
      <c r="T121">
        <v>59.85</v>
      </c>
    </row>
    <row r="122" spans="1:20" x14ac:dyDescent="0.25">
      <c r="A122" t="s">
        <v>117</v>
      </c>
      <c r="B122">
        <v>739</v>
      </c>
      <c r="C122" s="2">
        <v>1063</v>
      </c>
      <c r="D122" s="2">
        <v>2594</v>
      </c>
      <c r="E122" s="2">
        <v>2633</v>
      </c>
      <c r="F122" s="2">
        <v>7120</v>
      </c>
      <c r="G122" s="2">
        <v>9216</v>
      </c>
      <c r="H122" s="2">
        <v>9252</v>
      </c>
      <c r="I122" s="2">
        <v>11025</v>
      </c>
      <c r="J122" s="2">
        <v>14662</v>
      </c>
      <c r="K122" s="2">
        <v>19307</v>
      </c>
      <c r="L122" s="2">
        <v>20133</v>
      </c>
      <c r="M122" s="2">
        <v>23660</v>
      </c>
      <c r="N122" s="2">
        <v>34441</v>
      </c>
      <c r="O122" s="2">
        <v>60988.78</v>
      </c>
      <c r="P122" s="2">
        <v>108820.49</v>
      </c>
      <c r="Q122" s="2">
        <v>169684.7</v>
      </c>
      <c r="R122" s="2">
        <v>215870</v>
      </c>
      <c r="S122" s="2">
        <v>251799</v>
      </c>
    </row>
    <row r="123" spans="1:20" x14ac:dyDescent="0.25">
      <c r="A123" t="s">
        <v>995</v>
      </c>
      <c r="B123">
        <v>-16</v>
      </c>
      <c r="C123">
        <v>96</v>
      </c>
      <c r="D123">
        <v>165</v>
      </c>
      <c r="E123">
        <v>698</v>
      </c>
      <c r="F123">
        <v>558</v>
      </c>
      <c r="G123">
        <v>590</v>
      </c>
      <c r="H123" s="2">
        <v>1218</v>
      </c>
      <c r="I123" s="2">
        <v>1571</v>
      </c>
      <c r="J123" s="2">
        <v>1754</v>
      </c>
      <c r="K123" s="2">
        <v>1791</v>
      </c>
      <c r="L123" s="2">
        <v>1110</v>
      </c>
      <c r="M123" s="2">
        <v>3547</v>
      </c>
      <c r="N123" s="2">
        <v>2755</v>
      </c>
      <c r="O123" s="2">
        <v>2457.9299999999998</v>
      </c>
      <c r="P123" s="2">
        <v>2300.4</v>
      </c>
      <c r="Q123" s="2">
        <v>2672.22</v>
      </c>
      <c r="R123" s="2">
        <v>6337.27</v>
      </c>
      <c r="S123" s="2">
        <v>8655.4500000000007</v>
      </c>
      <c r="T123" s="2">
        <v>11500.9</v>
      </c>
    </row>
    <row r="124" spans="1:20" x14ac:dyDescent="0.25">
      <c r="A124" t="s">
        <v>289</v>
      </c>
      <c r="B124">
        <v>2</v>
      </c>
      <c r="C124">
        <v>110</v>
      </c>
      <c r="D124">
        <v>191</v>
      </c>
      <c r="E124">
        <v>585</v>
      </c>
      <c r="F124">
        <v>454</v>
      </c>
      <c r="G124">
        <v>628</v>
      </c>
      <c r="H124" s="2">
        <v>1444</v>
      </c>
      <c r="I124" s="2">
        <v>1777</v>
      </c>
      <c r="J124" s="2">
        <v>1885</v>
      </c>
      <c r="K124" s="2">
        <v>1737</v>
      </c>
      <c r="L124" s="2">
        <v>1622</v>
      </c>
      <c r="M124" s="2">
        <v>3953</v>
      </c>
      <c r="N124" s="2">
        <v>3210</v>
      </c>
      <c r="O124" s="2">
        <v>3069.58</v>
      </c>
      <c r="P124" s="2">
        <v>2725.73</v>
      </c>
      <c r="Q124" s="2">
        <v>2888.22</v>
      </c>
      <c r="R124" s="2">
        <v>4145.17</v>
      </c>
      <c r="S124" s="2">
        <v>5534.12</v>
      </c>
      <c r="T124" s="2">
        <v>11792.9</v>
      </c>
    </row>
    <row r="125" spans="1:20" x14ac:dyDescent="0.25">
      <c r="A125" t="s">
        <v>290</v>
      </c>
      <c r="B125">
        <v>-18</v>
      </c>
      <c r="C125">
        <v>-14</v>
      </c>
      <c r="D125">
        <v>-18</v>
      </c>
      <c r="E125">
        <v>123</v>
      </c>
      <c r="F125">
        <v>148</v>
      </c>
      <c r="G125">
        <v>76</v>
      </c>
      <c r="H125">
        <v>-226</v>
      </c>
      <c r="I125">
        <v>-206</v>
      </c>
      <c r="J125">
        <v>-131</v>
      </c>
      <c r="K125">
        <v>54</v>
      </c>
      <c r="L125">
        <v>-512</v>
      </c>
      <c r="M125">
        <v>-406</v>
      </c>
      <c r="N125">
        <v>-455</v>
      </c>
      <c r="O125">
        <v>-738.07</v>
      </c>
      <c r="P125">
        <v>-583.29999999999995</v>
      </c>
      <c r="Q125">
        <v>-883.75</v>
      </c>
      <c r="R125" s="2">
        <v>-2485.56</v>
      </c>
      <c r="S125">
        <v>-292</v>
      </c>
      <c r="T125">
        <v>-292</v>
      </c>
    </row>
    <row r="126" spans="1:20" x14ac:dyDescent="0.25">
      <c r="A126" t="s">
        <v>2188</v>
      </c>
      <c r="B126">
        <v>1</v>
      </c>
      <c r="D126">
        <v>10</v>
      </c>
      <c r="E126">
        <v>272</v>
      </c>
      <c r="F126">
        <v>167</v>
      </c>
      <c r="G126">
        <v>32</v>
      </c>
      <c r="H126">
        <v>54</v>
      </c>
      <c r="I126">
        <v>169</v>
      </c>
      <c r="J126">
        <v>245</v>
      </c>
      <c r="K126">
        <v>112</v>
      </c>
      <c r="M126">
        <v>157</v>
      </c>
      <c r="N126">
        <v>138</v>
      </c>
      <c r="O126">
        <v>162.66999999999999</v>
      </c>
      <c r="P126">
        <v>300</v>
      </c>
      <c r="Q126">
        <v>300</v>
      </c>
      <c r="R126">
        <v>300</v>
      </c>
      <c r="S126">
        <v>300</v>
      </c>
      <c r="T126">
        <v>300</v>
      </c>
    </row>
    <row r="127" spans="1:20" x14ac:dyDescent="0.25">
      <c r="A127" t="s">
        <v>119</v>
      </c>
      <c r="B127">
        <v>568</v>
      </c>
      <c r="C127">
        <v>342</v>
      </c>
      <c r="D127" s="2">
        <v>1467</v>
      </c>
      <c r="E127" s="2">
        <v>-1107</v>
      </c>
      <c r="F127" s="2">
        <v>1825</v>
      </c>
      <c r="G127" s="2">
        <v>4545</v>
      </c>
      <c r="H127" s="2">
        <v>2226</v>
      </c>
      <c r="I127" s="2">
        <v>2443</v>
      </c>
      <c r="J127" s="2">
        <v>6765</v>
      </c>
      <c r="K127" s="2">
        <v>12434</v>
      </c>
      <c r="L127" s="2">
        <v>15097</v>
      </c>
      <c r="M127" s="2">
        <v>9916</v>
      </c>
      <c r="N127" s="2">
        <v>22729</v>
      </c>
      <c r="O127" s="2">
        <v>51515.07</v>
      </c>
      <c r="P127" s="2">
        <v>93114.7</v>
      </c>
      <c r="Q127" s="2">
        <v>156011.34</v>
      </c>
      <c r="R127" s="2">
        <v>187849.43</v>
      </c>
      <c r="S127" s="2">
        <v>223420.48</v>
      </c>
      <c r="T127" s="2">
        <v>278014.05</v>
      </c>
    </row>
    <row r="128" spans="1:20" x14ac:dyDescent="0.25">
      <c r="A128" t="s">
        <v>292</v>
      </c>
      <c r="B128">
        <v>22.54</v>
      </c>
      <c r="C128">
        <v>8.01</v>
      </c>
      <c r="D128">
        <v>21.5</v>
      </c>
      <c r="E128">
        <v>-8.36</v>
      </c>
      <c r="F128">
        <v>10.35</v>
      </c>
      <c r="G128">
        <v>21.8</v>
      </c>
      <c r="H128">
        <v>9.85</v>
      </c>
      <c r="I128">
        <v>10.23</v>
      </c>
      <c r="J128">
        <v>24.64</v>
      </c>
      <c r="K128">
        <v>37.450000000000003</v>
      </c>
      <c r="L128">
        <v>42.15</v>
      </c>
      <c r="M128">
        <v>19.23</v>
      </c>
      <c r="N128">
        <v>35.58</v>
      </c>
      <c r="O128">
        <v>48.82</v>
      </c>
      <c r="P128">
        <v>54.64</v>
      </c>
      <c r="Q128">
        <v>55.51</v>
      </c>
      <c r="R128">
        <v>56.67</v>
      </c>
      <c r="S128">
        <v>57.06</v>
      </c>
      <c r="T128">
        <v>57.47</v>
      </c>
    </row>
    <row r="129" spans="1:20" x14ac:dyDescent="0.25">
      <c r="A129" t="s">
        <v>120</v>
      </c>
      <c r="B129">
        <v>16</v>
      </c>
      <c r="C129">
        <v>33</v>
      </c>
      <c r="D129">
        <v>76</v>
      </c>
      <c r="E129">
        <v>642</v>
      </c>
      <c r="F129">
        <v>35</v>
      </c>
      <c r="G129" s="2">
        <v>-8084</v>
      </c>
      <c r="H129">
        <v>-510</v>
      </c>
      <c r="I129">
        <v>-518</v>
      </c>
      <c r="J129">
        <v>29</v>
      </c>
      <c r="K129">
        <v>939</v>
      </c>
      <c r="L129" s="2">
        <v>1015</v>
      </c>
      <c r="M129" s="2">
        <v>3748</v>
      </c>
      <c r="N129">
        <v>-397</v>
      </c>
      <c r="O129" s="2">
        <v>6178.19</v>
      </c>
      <c r="P129" s="2">
        <v>13426.37</v>
      </c>
      <c r="Q129" s="2">
        <v>21195.89</v>
      </c>
      <c r="R129" s="2">
        <v>40049.43</v>
      </c>
      <c r="S129" s="2">
        <v>45669.94</v>
      </c>
      <c r="T129" s="2">
        <v>54414.6</v>
      </c>
    </row>
    <row r="130" spans="1:20" x14ac:dyDescent="0.25">
      <c r="A130" t="s">
        <v>2189</v>
      </c>
      <c r="B130">
        <v>552</v>
      </c>
      <c r="C130">
        <v>309</v>
      </c>
      <c r="D130" s="2">
        <v>1391</v>
      </c>
      <c r="E130" s="2">
        <v>-1749</v>
      </c>
      <c r="F130" s="2">
        <v>1790</v>
      </c>
      <c r="G130" s="2">
        <v>12629</v>
      </c>
      <c r="H130" s="2">
        <v>2736</v>
      </c>
      <c r="I130" s="2">
        <v>2961</v>
      </c>
      <c r="J130" s="2">
        <v>6736</v>
      </c>
      <c r="K130" s="2">
        <v>11495</v>
      </c>
      <c r="L130" s="2">
        <v>14082</v>
      </c>
      <c r="M130" s="2">
        <v>6168</v>
      </c>
      <c r="N130" s="2">
        <v>23126</v>
      </c>
      <c r="O130" s="2">
        <v>50237.23</v>
      </c>
      <c r="P130" s="2">
        <v>89498.96</v>
      </c>
      <c r="Q130" s="2">
        <v>156795.03</v>
      </c>
      <c r="R130" s="2">
        <v>168727.33</v>
      </c>
      <c r="S130" s="2">
        <v>179897.55</v>
      </c>
      <c r="T130" s="2">
        <v>223599.44</v>
      </c>
    </row>
    <row r="131" spans="1:20" x14ac:dyDescent="0.25">
      <c r="A131" t="s">
        <v>2190</v>
      </c>
      <c r="B131">
        <v>0</v>
      </c>
      <c r="C131">
        <v>46</v>
      </c>
      <c r="D131">
        <v>27</v>
      </c>
      <c r="E131">
        <v>112</v>
      </c>
      <c r="F131">
        <v>6</v>
      </c>
      <c r="G131">
        <v>19</v>
      </c>
      <c r="H131">
        <v>12</v>
      </c>
      <c r="I131">
        <v>1</v>
      </c>
      <c r="J131">
        <v>0</v>
      </c>
      <c r="K131">
        <v>0</v>
      </c>
      <c r="L131">
        <v>0</v>
      </c>
      <c r="M131">
        <v>273</v>
      </c>
      <c r="N131">
        <v>0</v>
      </c>
      <c r="O131">
        <v>0</v>
      </c>
      <c r="P131">
        <v>0</v>
      </c>
      <c r="Q131">
        <v>0</v>
      </c>
    </row>
    <row r="132" spans="1:20" x14ac:dyDescent="0.25">
      <c r="A132" t="s">
        <v>121</v>
      </c>
      <c r="B132">
        <v>552</v>
      </c>
      <c r="C132">
        <v>309</v>
      </c>
      <c r="D132" s="2">
        <v>1391</v>
      </c>
      <c r="E132" s="2">
        <v>-1627</v>
      </c>
      <c r="F132" s="2">
        <v>1900</v>
      </c>
      <c r="G132" s="2">
        <v>12629</v>
      </c>
      <c r="H132" s="2">
        <v>2707</v>
      </c>
      <c r="I132" s="2">
        <v>2664</v>
      </c>
      <c r="J132" s="2">
        <v>6437</v>
      </c>
      <c r="K132" s="2">
        <v>11495</v>
      </c>
      <c r="L132" s="2">
        <v>14082</v>
      </c>
      <c r="M132" s="2">
        <v>5895</v>
      </c>
      <c r="N132" s="2">
        <v>23126</v>
      </c>
      <c r="O132" s="2">
        <v>45344.26</v>
      </c>
      <c r="P132" s="2">
        <v>80062</v>
      </c>
      <c r="Q132" s="2">
        <v>138665.38</v>
      </c>
      <c r="R132" s="2">
        <v>189012</v>
      </c>
      <c r="S132" s="2">
        <v>229242.33</v>
      </c>
      <c r="T132" s="2">
        <v>223599</v>
      </c>
    </row>
    <row r="133" spans="1:20" x14ac:dyDescent="0.25">
      <c r="A133" t="s">
        <v>1704</v>
      </c>
      <c r="B133">
        <v>21.9</v>
      </c>
      <c r="C133">
        <v>6.16</v>
      </c>
      <c r="D133">
        <v>19.989999999999998</v>
      </c>
      <c r="E133">
        <v>-13.13</v>
      </c>
      <c r="F133">
        <v>9.59</v>
      </c>
      <c r="G133">
        <v>58.8</v>
      </c>
      <c r="H133">
        <v>11.93</v>
      </c>
      <c r="I133">
        <v>11.15</v>
      </c>
      <c r="J133">
        <v>23.45</v>
      </c>
      <c r="K133">
        <v>33.799999999999997</v>
      </c>
      <c r="L133">
        <v>39.31</v>
      </c>
      <c r="M133">
        <v>11.43</v>
      </c>
      <c r="N133">
        <v>36.200000000000003</v>
      </c>
      <c r="O133">
        <v>43.05</v>
      </c>
      <c r="P133">
        <v>48.57</v>
      </c>
      <c r="Q133">
        <v>49.78</v>
      </c>
      <c r="R133">
        <v>44.89</v>
      </c>
      <c r="S133">
        <v>45.47</v>
      </c>
      <c r="T133">
        <v>46.22</v>
      </c>
    </row>
    <row r="134" spans="1:20" x14ac:dyDescent="0.25">
      <c r="A134" t="s">
        <v>2191</v>
      </c>
      <c r="B134" s="2">
        <v>2470</v>
      </c>
      <c r="C134" s="2">
        <v>2510</v>
      </c>
      <c r="D134" s="2">
        <v>2640</v>
      </c>
      <c r="E134" s="2">
        <v>3660</v>
      </c>
      <c r="F134" s="2">
        <v>4050</v>
      </c>
      <c r="G134" s="2">
        <v>4180</v>
      </c>
      <c r="H134" s="2">
        <v>3980</v>
      </c>
      <c r="I134" s="2">
        <v>4020</v>
      </c>
      <c r="J134" s="2">
        <v>4100</v>
      </c>
      <c r="K134" s="2">
        <v>4090</v>
      </c>
      <c r="L134" s="2">
        <v>4150</v>
      </c>
      <c r="M134" s="2">
        <v>4624</v>
      </c>
      <c r="N134" s="2">
        <v>4712</v>
      </c>
      <c r="O134" s="2">
        <v>4798.51</v>
      </c>
      <c r="P134" s="2">
        <v>4793.12</v>
      </c>
      <c r="Q134" s="2">
        <v>4786.78</v>
      </c>
      <c r="R134" s="2">
        <v>4811.49</v>
      </c>
      <c r="S134" s="2">
        <v>4860.25</v>
      </c>
      <c r="T134" s="2">
        <v>4766</v>
      </c>
    </row>
    <row r="135" spans="1:20" x14ac:dyDescent="0.25">
      <c r="A135" t="s">
        <v>297</v>
      </c>
      <c r="B135">
        <v>0.22</v>
      </c>
      <c r="C135">
        <v>0.1</v>
      </c>
      <c r="D135">
        <v>0.52</v>
      </c>
      <c r="E135">
        <v>-0.48</v>
      </c>
      <c r="F135">
        <v>0.42</v>
      </c>
      <c r="G135">
        <v>2.93</v>
      </c>
      <c r="H135">
        <v>0.68</v>
      </c>
      <c r="I135">
        <v>0.66</v>
      </c>
      <c r="J135">
        <v>1.57</v>
      </c>
      <c r="K135">
        <v>2.74</v>
      </c>
      <c r="L135">
        <v>3.39</v>
      </c>
      <c r="M135">
        <v>1.27</v>
      </c>
      <c r="N135">
        <v>4.91</v>
      </c>
      <c r="O135">
        <v>9.66</v>
      </c>
      <c r="P135">
        <v>17.14</v>
      </c>
      <c r="Q135">
        <v>29.58</v>
      </c>
      <c r="R135">
        <v>31.77</v>
      </c>
      <c r="S135">
        <v>37.75</v>
      </c>
      <c r="T135">
        <v>46.92</v>
      </c>
    </row>
    <row r="136" spans="1:20" x14ac:dyDescent="0.25">
      <c r="A136" t="s">
        <v>2192</v>
      </c>
      <c r="B136" s="2">
        <v>2520</v>
      </c>
      <c r="C136" s="2">
        <v>2670</v>
      </c>
      <c r="D136" s="2">
        <v>2810</v>
      </c>
      <c r="E136" s="2">
        <v>3830</v>
      </c>
      <c r="F136" s="2">
        <v>4210</v>
      </c>
      <c r="G136" s="2">
        <v>4310</v>
      </c>
      <c r="H136" s="2">
        <v>4190</v>
      </c>
      <c r="I136" s="2">
        <v>4210</v>
      </c>
      <c r="J136" s="2">
        <v>4290</v>
      </c>
      <c r="K136" s="2">
        <v>4230</v>
      </c>
      <c r="L136" s="2">
        <v>4270</v>
      </c>
      <c r="M136" s="2">
        <v>4778</v>
      </c>
      <c r="N136" s="2">
        <v>4853</v>
      </c>
      <c r="O136" s="2">
        <v>4874.3500000000004</v>
      </c>
      <c r="P136" s="2">
        <v>4865.7299999999996</v>
      </c>
      <c r="Q136" s="2">
        <v>4858.58</v>
      </c>
      <c r="R136" s="2">
        <v>4846.6099999999997</v>
      </c>
      <c r="S136" s="2">
        <v>4768</v>
      </c>
      <c r="T136" s="2">
        <v>4887</v>
      </c>
    </row>
    <row r="137" spans="1:20" x14ac:dyDescent="0.25">
      <c r="A137" t="s">
        <v>124</v>
      </c>
      <c r="B137">
        <v>0.22</v>
      </c>
      <c r="C137">
        <v>0.12</v>
      </c>
      <c r="D137">
        <v>0.5</v>
      </c>
      <c r="E137">
        <v>-0.45</v>
      </c>
      <c r="F137">
        <v>0.43</v>
      </c>
      <c r="G137">
        <v>2.85</v>
      </c>
      <c r="H137">
        <v>0.65</v>
      </c>
      <c r="I137">
        <v>0.63</v>
      </c>
      <c r="J137">
        <v>1.5</v>
      </c>
      <c r="K137">
        <v>2.65</v>
      </c>
      <c r="L137">
        <v>3.3</v>
      </c>
      <c r="M137">
        <v>1.23</v>
      </c>
      <c r="N137">
        <v>4.7699999999999996</v>
      </c>
      <c r="O137">
        <v>9.27</v>
      </c>
      <c r="P137">
        <v>16.55</v>
      </c>
      <c r="Q137">
        <v>28.1</v>
      </c>
      <c r="R137">
        <v>35.93</v>
      </c>
      <c r="S137">
        <v>38.92</v>
      </c>
      <c r="T137">
        <v>45.75</v>
      </c>
    </row>
    <row r="138" spans="1:20" x14ac:dyDescent="0.25">
      <c r="A138" t="s">
        <v>17</v>
      </c>
    </row>
    <row r="139" spans="1:20" x14ac:dyDescent="0.25">
      <c r="A139" t="s">
        <v>125</v>
      </c>
    </row>
    <row r="140" spans="1:20" x14ac:dyDescent="0.25">
      <c r="A140" t="s">
        <v>89</v>
      </c>
      <c r="B140">
        <v>3</v>
      </c>
      <c r="C140">
        <v>6</v>
      </c>
      <c r="D140">
        <v>9</v>
      </c>
      <c r="E140">
        <v>10</v>
      </c>
      <c r="F140">
        <v>6</v>
      </c>
      <c r="G140">
        <v>4</v>
      </c>
      <c r="H140">
        <v>5</v>
      </c>
      <c r="I140">
        <v>14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20</v>
      </c>
    </row>
    <row r="141" spans="1:20" x14ac:dyDescent="0.25">
      <c r="A141" t="s">
        <v>276</v>
      </c>
      <c r="B141">
        <v>8</v>
      </c>
      <c r="C141">
        <v>61</v>
      </c>
      <c r="D141">
        <v>62</v>
      </c>
      <c r="E141">
        <v>128</v>
      </c>
      <c r="F141">
        <v>91</v>
      </c>
      <c r="G141">
        <v>172</v>
      </c>
      <c r="H141">
        <v>252</v>
      </c>
      <c r="I141">
        <v>459</v>
      </c>
      <c r="J141">
        <v>106</v>
      </c>
      <c r="K141">
        <v>102</v>
      </c>
      <c r="L141">
        <v>252</v>
      </c>
      <c r="M141">
        <v>540</v>
      </c>
      <c r="N141">
        <v>216</v>
      </c>
      <c r="O141">
        <v>3</v>
      </c>
      <c r="P141">
        <v>6</v>
      </c>
      <c r="Q141">
        <v>6</v>
      </c>
    </row>
    <row r="142" spans="1:20" x14ac:dyDescent="0.25">
      <c r="A142" t="s">
        <v>67</v>
      </c>
      <c r="B142">
        <v>77</v>
      </c>
      <c r="C142">
        <v>153</v>
      </c>
      <c r="D142">
        <v>232</v>
      </c>
      <c r="E142">
        <v>664</v>
      </c>
      <c r="F142">
        <v>920</v>
      </c>
      <c r="G142" s="2">
        <v>1227</v>
      </c>
      <c r="H142" s="2">
        <v>2185</v>
      </c>
      <c r="I142" s="2">
        <v>1976</v>
      </c>
      <c r="J142" s="2">
        <v>1704</v>
      </c>
      <c r="K142" s="2">
        <v>1533</v>
      </c>
      <c r="L142" s="2">
        <v>2171</v>
      </c>
      <c r="M142" s="2">
        <v>5670</v>
      </c>
      <c r="N142" s="2">
        <v>7568</v>
      </c>
      <c r="O142" s="2">
        <v>8548.0499999999993</v>
      </c>
      <c r="P142" s="2">
        <v>9913.32</v>
      </c>
      <c r="Q142" s="2">
        <v>13104.09</v>
      </c>
      <c r="R142" s="2">
        <v>17901.98</v>
      </c>
      <c r="S142" s="2">
        <v>26716.14</v>
      </c>
      <c r="T142" s="2">
        <v>33007.35</v>
      </c>
    </row>
    <row r="143" spans="1:20" x14ac:dyDescent="0.25">
      <c r="A143" t="s">
        <v>114</v>
      </c>
      <c r="B143">
        <v>30</v>
      </c>
      <c r="C143">
        <v>57</v>
      </c>
      <c r="D143">
        <v>107</v>
      </c>
      <c r="E143">
        <v>430</v>
      </c>
      <c r="F143">
        <v>636</v>
      </c>
      <c r="G143">
        <v>855</v>
      </c>
      <c r="H143" s="2">
        <v>1532</v>
      </c>
      <c r="I143" s="2">
        <v>1419</v>
      </c>
      <c r="J143" s="2">
        <v>1199</v>
      </c>
      <c r="K143" s="2">
        <v>1048</v>
      </c>
      <c r="L143" s="2">
        <v>1513</v>
      </c>
      <c r="M143" s="2">
        <v>3460</v>
      </c>
      <c r="N143" s="2">
        <v>5020</v>
      </c>
      <c r="O143" s="2">
        <v>5515.66</v>
      </c>
      <c r="P143" s="2">
        <v>6429.45</v>
      </c>
      <c r="Q143" s="2">
        <v>8563.8700000000008</v>
      </c>
      <c r="R143" s="2">
        <v>16333.81</v>
      </c>
      <c r="S143" s="2">
        <v>17231.91</v>
      </c>
      <c r="T143" s="2">
        <v>21289.74</v>
      </c>
    </row>
    <row r="144" spans="1:20" x14ac:dyDescent="0.25">
      <c r="A144" t="s">
        <v>298</v>
      </c>
      <c r="B144">
        <v>37</v>
      </c>
      <c r="C144">
        <v>78</v>
      </c>
      <c r="D144">
        <v>99</v>
      </c>
      <c r="E144">
        <v>186</v>
      </c>
      <c r="F144">
        <v>220</v>
      </c>
      <c r="G144">
        <v>286</v>
      </c>
      <c r="H144">
        <v>490</v>
      </c>
      <c r="I144">
        <v>398</v>
      </c>
      <c r="J144">
        <v>362</v>
      </c>
      <c r="K144">
        <v>338</v>
      </c>
      <c r="L144">
        <v>448</v>
      </c>
      <c r="M144" s="2">
        <v>1546</v>
      </c>
      <c r="N144" s="2">
        <v>1704</v>
      </c>
      <c r="O144" s="2">
        <v>1905.27</v>
      </c>
      <c r="P144" s="2">
        <v>2198.75</v>
      </c>
      <c r="Q144" s="2">
        <v>2851.32</v>
      </c>
      <c r="R144" s="2">
        <v>3640.12</v>
      </c>
      <c r="S144" s="2">
        <v>6331.72</v>
      </c>
      <c r="T144" s="2">
        <v>7822.74</v>
      </c>
    </row>
    <row r="145" spans="1:20" x14ac:dyDescent="0.25">
      <c r="A145" t="s">
        <v>126</v>
      </c>
      <c r="B145">
        <v>10</v>
      </c>
      <c r="C145">
        <v>18</v>
      </c>
      <c r="D145">
        <v>26</v>
      </c>
      <c r="E145">
        <v>48</v>
      </c>
      <c r="F145">
        <v>64</v>
      </c>
      <c r="G145">
        <v>86</v>
      </c>
      <c r="H145">
        <v>163</v>
      </c>
      <c r="I145">
        <v>159</v>
      </c>
      <c r="J145">
        <v>143</v>
      </c>
      <c r="K145">
        <v>147</v>
      </c>
      <c r="L145">
        <v>210</v>
      </c>
      <c r="M145">
        <v>664</v>
      </c>
      <c r="N145">
        <v>844</v>
      </c>
      <c r="O145">
        <v>927.9</v>
      </c>
      <c r="P145" s="2">
        <v>1208.6500000000001</v>
      </c>
      <c r="Q145" s="2">
        <v>1717.55</v>
      </c>
      <c r="R145" s="2">
        <v>2841.04</v>
      </c>
      <c r="S145" s="2">
        <v>3152.5</v>
      </c>
      <c r="T145" s="2">
        <v>3894.87</v>
      </c>
    </row>
    <row r="146" spans="1:20" x14ac:dyDescent="0.25">
      <c r="A146" t="s">
        <v>2193</v>
      </c>
    </row>
    <row r="147" spans="1:20" x14ac:dyDescent="0.25">
      <c r="A147" t="s">
        <v>1238</v>
      </c>
      <c r="B147">
        <v>61</v>
      </c>
      <c r="C147">
        <v>249</v>
      </c>
      <c r="D147">
        <v>484</v>
      </c>
      <c r="E147">
        <v>763</v>
      </c>
      <c r="F147" s="2">
        <v>2511</v>
      </c>
      <c r="G147" s="2">
        <v>3004</v>
      </c>
      <c r="H147" s="2">
        <v>3314</v>
      </c>
      <c r="I147" s="2">
        <v>3819</v>
      </c>
      <c r="J147" s="2">
        <v>3427</v>
      </c>
      <c r="K147" s="2">
        <v>2847</v>
      </c>
      <c r="L147" s="2">
        <v>1853</v>
      </c>
      <c r="M147" s="2">
        <v>6023</v>
      </c>
      <c r="N147" s="2">
        <v>6031</v>
      </c>
      <c r="O147" s="2">
        <v>6112.76</v>
      </c>
      <c r="P147" s="2">
        <v>6788.99</v>
      </c>
      <c r="Q147" s="2">
        <v>7960.04</v>
      </c>
      <c r="R147" s="2">
        <v>14890.87</v>
      </c>
      <c r="S147" s="2">
        <v>34267.589999999997</v>
      </c>
      <c r="T147" s="2">
        <v>41881.589999999997</v>
      </c>
    </row>
    <row r="148" spans="1:20" x14ac:dyDescent="0.25">
      <c r="A148" t="s">
        <v>2194</v>
      </c>
      <c r="B148">
        <v>3</v>
      </c>
      <c r="C148">
        <v>162</v>
      </c>
      <c r="D148">
        <v>144</v>
      </c>
      <c r="E148">
        <v>57</v>
      </c>
      <c r="F148">
        <v>19</v>
      </c>
      <c r="G148">
        <v>20</v>
      </c>
      <c r="H148">
        <v>77</v>
      </c>
      <c r="I148">
        <v>35</v>
      </c>
      <c r="J148">
        <v>17</v>
      </c>
      <c r="K148">
        <v>5</v>
      </c>
      <c r="L148">
        <v>4</v>
      </c>
      <c r="M148">
        <v>254</v>
      </c>
      <c r="N148">
        <v>76</v>
      </c>
      <c r="O148">
        <v>50.15</v>
      </c>
      <c r="P148">
        <v>72.349999999999994</v>
      </c>
      <c r="Q148">
        <v>97.01</v>
      </c>
      <c r="R148">
        <v>48</v>
      </c>
      <c r="S148">
        <v>48</v>
      </c>
      <c r="T148">
        <v>48</v>
      </c>
    </row>
    <row r="149" spans="1:20" x14ac:dyDescent="0.25">
      <c r="A149" t="s">
        <v>120</v>
      </c>
      <c r="B149">
        <v>-10</v>
      </c>
      <c r="C149">
        <v>49</v>
      </c>
      <c r="D149">
        <v>-80</v>
      </c>
      <c r="E149">
        <v>420</v>
      </c>
      <c r="F149">
        <v>-307</v>
      </c>
      <c r="G149" s="2">
        <v>-8662</v>
      </c>
      <c r="H149" s="2">
        <v>-1678</v>
      </c>
      <c r="I149" s="2">
        <v>-1881</v>
      </c>
      <c r="J149" s="2">
        <v>-1686</v>
      </c>
      <c r="K149" s="2">
        <v>-1314</v>
      </c>
      <c r="L149" s="2">
        <v>-1610</v>
      </c>
      <c r="M149" s="2">
        <v>-4377</v>
      </c>
      <c r="N149" s="2">
        <v>-7988</v>
      </c>
      <c r="O149" s="2">
        <v>-4478.79</v>
      </c>
      <c r="P149" s="2">
        <v>-4426.22</v>
      </c>
      <c r="Q149" s="2">
        <v>-4650.46</v>
      </c>
      <c r="R149" s="2">
        <v>-2800</v>
      </c>
      <c r="S149" s="2">
        <v>-2800</v>
      </c>
      <c r="T149" s="2">
        <v>-2800</v>
      </c>
    </row>
    <row r="150" spans="1:20" x14ac:dyDescent="0.25">
      <c r="A150" t="s">
        <v>2195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29</v>
      </c>
      <c r="I150">
        <v>297</v>
      </c>
      <c r="J150">
        <v>299</v>
      </c>
      <c r="K150">
        <v>272</v>
      </c>
      <c r="L150">
        <v>0</v>
      </c>
      <c r="M150">
        <v>0</v>
      </c>
      <c r="N150">
        <v>0</v>
      </c>
    </row>
    <row r="151" spans="1:20" x14ac:dyDescent="0.25">
      <c r="A151" t="s">
        <v>131</v>
      </c>
    </row>
    <row r="152" spans="1:20" x14ac:dyDescent="0.25">
      <c r="A152" t="s">
        <v>2196</v>
      </c>
      <c r="B152">
        <v>23</v>
      </c>
      <c r="C152">
        <v>284</v>
      </c>
      <c r="D152">
        <v>155</v>
      </c>
      <c r="E152">
        <v>191</v>
      </c>
      <c r="F152">
        <v>127</v>
      </c>
      <c r="G152">
        <v>194</v>
      </c>
      <c r="H152">
        <v>275</v>
      </c>
      <c r="I152">
        <v>411</v>
      </c>
      <c r="J152">
        <v>120</v>
      </c>
      <c r="K152">
        <v>115</v>
      </c>
      <c r="L152">
        <v>252</v>
      </c>
      <c r="M152">
        <v>549</v>
      </c>
      <c r="N152">
        <v>216</v>
      </c>
      <c r="O152">
        <v>3.63</v>
      </c>
      <c r="P152">
        <v>464.37</v>
      </c>
      <c r="Q152">
        <v>777.63</v>
      </c>
      <c r="R152">
        <v>14</v>
      </c>
    </row>
    <row r="153" spans="1:20" x14ac:dyDescent="0.25">
      <c r="A153" t="s">
        <v>2197</v>
      </c>
      <c r="B153">
        <v>3</v>
      </c>
      <c r="C153">
        <v>7</v>
      </c>
      <c r="D153">
        <v>3</v>
      </c>
      <c r="E153">
        <v>1</v>
      </c>
      <c r="F153">
        <v>1</v>
      </c>
      <c r="G153">
        <v>18</v>
      </c>
      <c r="H153">
        <v>18</v>
      </c>
      <c r="I153">
        <v>12</v>
      </c>
      <c r="J153">
        <v>12</v>
      </c>
      <c r="K153">
        <v>13</v>
      </c>
      <c r="M153">
        <v>9</v>
      </c>
      <c r="N153">
        <v>0</v>
      </c>
    </row>
    <row r="154" spans="1:20" x14ac:dyDescent="0.25">
      <c r="A154" t="s">
        <v>747</v>
      </c>
      <c r="G154">
        <v>-3</v>
      </c>
      <c r="H154">
        <v>-145</v>
      </c>
      <c r="I154">
        <v>-31</v>
      </c>
      <c r="J154">
        <v>-99</v>
      </c>
      <c r="K154">
        <v>169</v>
      </c>
      <c r="L154">
        <v>-11</v>
      </c>
      <c r="M154">
        <v>12</v>
      </c>
      <c r="N154">
        <v>17</v>
      </c>
      <c r="O154">
        <v>10</v>
      </c>
      <c r="P154">
        <v>40</v>
      </c>
      <c r="Q154">
        <v>51</v>
      </c>
    </row>
    <row r="155" spans="1:20" x14ac:dyDescent="0.25">
      <c r="A155" t="s">
        <v>17</v>
      </c>
    </row>
    <row r="156" spans="1:20" x14ac:dyDescent="0.25">
      <c r="A156" t="s">
        <v>176</v>
      </c>
    </row>
    <row r="157" spans="1:20" x14ac:dyDescent="0.25">
      <c r="A157" t="s">
        <v>2198</v>
      </c>
      <c r="B157">
        <v>2.31</v>
      </c>
      <c r="C157">
        <v>2.4900000000000002</v>
      </c>
      <c r="D157">
        <v>2.59</v>
      </c>
      <c r="E157">
        <v>1.8</v>
      </c>
      <c r="F157">
        <v>2.37</v>
      </c>
      <c r="G157">
        <v>1.23</v>
      </c>
      <c r="H157">
        <v>0.76</v>
      </c>
      <c r="I157">
        <v>0.81</v>
      </c>
      <c r="J157">
        <v>0.82</v>
      </c>
      <c r="K157">
        <v>0.8</v>
      </c>
      <c r="L157">
        <v>0.9</v>
      </c>
      <c r="M157">
        <v>0.92</v>
      </c>
      <c r="N157">
        <v>1.0900000000000001</v>
      </c>
      <c r="O157">
        <v>3.6</v>
      </c>
      <c r="P157">
        <v>4.7300000000000004</v>
      </c>
      <c r="Q157">
        <v>3.11</v>
      </c>
    </row>
    <row r="158" spans="1:20" x14ac:dyDescent="0.25">
      <c r="A158" t="s">
        <v>17</v>
      </c>
    </row>
    <row r="159" spans="1:20" x14ac:dyDescent="0.25">
      <c r="A159" t="s">
        <v>134</v>
      </c>
    </row>
    <row r="160" spans="1:20" x14ac:dyDescent="0.25">
      <c r="A160" t="s">
        <v>135</v>
      </c>
    </row>
    <row r="161" spans="1:20" x14ac:dyDescent="0.25">
      <c r="A161" t="s">
        <v>136</v>
      </c>
      <c r="B161" s="2">
        <v>1818</v>
      </c>
      <c r="C161" s="2">
        <v>3835</v>
      </c>
      <c r="D161" s="2">
        <v>3759</v>
      </c>
      <c r="E161" s="2">
        <v>7125</v>
      </c>
      <c r="F161" s="2">
        <v>15823</v>
      </c>
      <c r="G161" s="2">
        <v>9107</v>
      </c>
      <c r="H161" s="2">
        <v>9917</v>
      </c>
      <c r="I161" s="2">
        <v>11895</v>
      </c>
      <c r="J161" s="2">
        <v>16586</v>
      </c>
      <c r="K161" s="2">
        <v>18504</v>
      </c>
      <c r="L161" s="2">
        <v>20847</v>
      </c>
      <c r="M161" s="2">
        <v>19595</v>
      </c>
      <c r="N161" s="2">
        <v>31573</v>
      </c>
      <c r="O161" s="2">
        <v>68492.509999999995</v>
      </c>
      <c r="P161" s="2">
        <v>137179.85999999999</v>
      </c>
      <c r="Q161" s="2">
        <v>249976.07</v>
      </c>
      <c r="R161" s="2">
        <v>527900.76</v>
      </c>
      <c r="S161" s="2">
        <v>787777.37</v>
      </c>
      <c r="T161" s="2">
        <v>1026690.17</v>
      </c>
    </row>
    <row r="162" spans="1:20" x14ac:dyDescent="0.25">
      <c r="A162" t="s">
        <v>536</v>
      </c>
      <c r="B162">
        <v>985</v>
      </c>
      <c r="C162" s="2">
        <v>1604</v>
      </c>
      <c r="D162" s="2">
        <v>1822</v>
      </c>
      <c r="E162" s="2">
        <v>3097</v>
      </c>
      <c r="F162" s="2">
        <v>11204</v>
      </c>
      <c r="G162" s="2">
        <v>4292</v>
      </c>
      <c r="H162" s="2">
        <v>5055</v>
      </c>
      <c r="I162" s="2">
        <v>7618</v>
      </c>
      <c r="J162" s="2">
        <v>12163</v>
      </c>
      <c r="K162" s="2">
        <v>12416</v>
      </c>
      <c r="L162" s="2">
        <v>14189</v>
      </c>
      <c r="M162" s="2">
        <v>9348</v>
      </c>
      <c r="N162" s="2">
        <v>16178</v>
      </c>
      <c r="O162" s="2">
        <v>38095.910000000003</v>
      </c>
      <c r="P162" s="2">
        <v>94664.59</v>
      </c>
      <c r="Q162" s="2">
        <v>190497.7</v>
      </c>
      <c r="R162" s="2">
        <v>345034.59</v>
      </c>
      <c r="S162" s="2">
        <v>529961.59</v>
      </c>
      <c r="T162" s="2">
        <v>919300.99</v>
      </c>
    </row>
    <row r="163" spans="1:20" x14ac:dyDescent="0.25">
      <c r="A163" t="s">
        <v>141</v>
      </c>
      <c r="B163">
        <v>418</v>
      </c>
      <c r="C163">
        <v>782</v>
      </c>
      <c r="D163" s="2">
        <v>1019</v>
      </c>
      <c r="E163" s="2">
        <v>2181</v>
      </c>
      <c r="F163" s="2">
        <v>2448</v>
      </c>
      <c r="G163" s="2">
        <v>3325</v>
      </c>
      <c r="H163" s="2">
        <v>3259</v>
      </c>
      <c r="I163" s="2">
        <v>2297</v>
      </c>
      <c r="J163" s="2">
        <v>2071</v>
      </c>
      <c r="K163" s="2">
        <v>2958</v>
      </c>
      <c r="L163" s="2">
        <v>3154</v>
      </c>
      <c r="M163" s="2">
        <v>4416</v>
      </c>
      <c r="N163" s="2">
        <v>7145</v>
      </c>
      <c r="O163" s="2">
        <v>14506.84</v>
      </c>
      <c r="P163" s="2">
        <v>22038.32</v>
      </c>
      <c r="Q163" s="2">
        <v>34781.800000000003</v>
      </c>
      <c r="R163" s="2">
        <v>50976.47</v>
      </c>
      <c r="S163" s="2">
        <v>61806.01</v>
      </c>
      <c r="T163" s="2">
        <v>74601.88</v>
      </c>
    </row>
    <row r="164" spans="1:20" x14ac:dyDescent="0.25">
      <c r="A164" t="s">
        <v>340</v>
      </c>
      <c r="B164">
        <v>285</v>
      </c>
      <c r="C164">
        <v>519</v>
      </c>
      <c r="D164">
        <v>524</v>
      </c>
      <c r="E164" s="2">
        <v>1400</v>
      </c>
      <c r="F164" s="2">
        <v>1447</v>
      </c>
      <c r="G164" s="2">
        <v>1124</v>
      </c>
      <c r="H164">
        <v>874</v>
      </c>
      <c r="I164" s="2">
        <v>1003</v>
      </c>
      <c r="J164" s="2">
        <v>1297</v>
      </c>
      <c r="K164" s="2">
        <v>1925</v>
      </c>
      <c r="L164" s="2">
        <v>1898</v>
      </c>
      <c r="M164" s="2">
        <v>1760</v>
      </c>
      <c r="N164" s="2">
        <v>2270</v>
      </c>
      <c r="O164" s="2">
        <v>5513.19</v>
      </c>
      <c r="P164" s="2">
        <v>8463.5400000000009</v>
      </c>
      <c r="Q164" s="2">
        <v>13160.67</v>
      </c>
      <c r="R164" s="2">
        <v>17679</v>
      </c>
      <c r="S164" s="2">
        <v>21342.55</v>
      </c>
      <c r="T164" s="2">
        <v>26171.22</v>
      </c>
    </row>
    <row r="165" spans="1:20" x14ac:dyDescent="0.25">
      <c r="A165" t="s">
        <v>145</v>
      </c>
      <c r="B165">
        <v>130</v>
      </c>
      <c r="C165">
        <v>930</v>
      </c>
      <c r="D165">
        <v>394</v>
      </c>
      <c r="E165">
        <v>447</v>
      </c>
      <c r="F165">
        <v>724</v>
      </c>
      <c r="G165">
        <v>366</v>
      </c>
      <c r="H165">
        <v>729</v>
      </c>
      <c r="I165">
        <v>977</v>
      </c>
      <c r="J165" s="2">
        <v>1055</v>
      </c>
      <c r="K165" s="2">
        <v>1205</v>
      </c>
      <c r="L165" s="2">
        <v>1606</v>
      </c>
      <c r="M165" s="2">
        <v>4071</v>
      </c>
      <c r="N165" s="2">
        <v>5980</v>
      </c>
      <c r="O165" s="2">
        <v>9090.43</v>
      </c>
      <c r="P165" s="2">
        <v>10521.82</v>
      </c>
      <c r="Q165" s="2">
        <v>12429.2</v>
      </c>
      <c r="R165" s="2">
        <v>9645.4500000000007</v>
      </c>
      <c r="S165" s="2">
        <v>10481.15</v>
      </c>
      <c r="T165" s="2">
        <v>13755.06</v>
      </c>
    </row>
    <row r="166" spans="1:20" x14ac:dyDescent="0.25">
      <c r="A166" t="s">
        <v>146</v>
      </c>
      <c r="B166" s="2">
        <v>1597</v>
      </c>
      <c r="C166" s="2">
        <v>6656</v>
      </c>
      <c r="D166" s="2">
        <v>6756</v>
      </c>
      <c r="E166" s="2">
        <v>42841</v>
      </c>
      <c r="F166" s="2">
        <v>38595</v>
      </c>
      <c r="G166" s="2">
        <v>41017</v>
      </c>
      <c r="H166" s="2">
        <v>57576</v>
      </c>
      <c r="I166" s="2">
        <v>64038</v>
      </c>
      <c r="J166" s="2">
        <v>58984</v>
      </c>
      <c r="K166" s="2">
        <v>54745</v>
      </c>
      <c r="L166" s="2">
        <v>52014</v>
      </c>
      <c r="M166" s="2">
        <v>146050</v>
      </c>
      <c r="N166" s="2">
        <v>139519</v>
      </c>
      <c r="O166" s="2">
        <v>134782.42000000001</v>
      </c>
      <c r="P166" s="2">
        <v>129987.68</v>
      </c>
      <c r="Q166" s="2">
        <v>127157.51</v>
      </c>
    </row>
    <row r="167" spans="1:20" x14ac:dyDescent="0.25">
      <c r="A167" t="s">
        <v>307</v>
      </c>
      <c r="B167">
        <v>661</v>
      </c>
      <c r="C167" s="2">
        <v>1158</v>
      </c>
      <c r="D167" s="2">
        <v>1460</v>
      </c>
      <c r="E167" s="2">
        <v>2509</v>
      </c>
      <c r="F167" s="2">
        <v>2599</v>
      </c>
      <c r="G167" s="2">
        <v>2635</v>
      </c>
      <c r="H167" s="2">
        <v>2565</v>
      </c>
      <c r="I167" s="2">
        <v>2509</v>
      </c>
      <c r="J167" s="2">
        <v>2348</v>
      </c>
      <c r="K167" s="2">
        <v>2223</v>
      </c>
      <c r="L167" s="2">
        <v>2154</v>
      </c>
      <c r="M167" s="2">
        <v>2521</v>
      </c>
      <c r="N167" s="2">
        <v>2530</v>
      </c>
      <c r="O167" s="2">
        <v>3418.69</v>
      </c>
      <c r="P167" s="2">
        <v>4442.18</v>
      </c>
      <c r="Q167" s="2">
        <v>6032.51</v>
      </c>
      <c r="R167" s="2">
        <v>7814.63</v>
      </c>
      <c r="S167" s="2">
        <v>10368.93</v>
      </c>
      <c r="T167" s="2">
        <v>11013.42</v>
      </c>
    </row>
    <row r="168" spans="1:20" x14ac:dyDescent="0.25">
      <c r="A168" t="s">
        <v>312</v>
      </c>
      <c r="B168">
        <v>883</v>
      </c>
      <c r="C168" s="2">
        <v>5213</v>
      </c>
      <c r="D168" s="2">
        <v>4951</v>
      </c>
      <c r="E168" s="2">
        <v>39800</v>
      </c>
      <c r="F168" s="2">
        <v>35538</v>
      </c>
      <c r="G168" s="2">
        <v>37675</v>
      </c>
      <c r="H168" s="2">
        <v>54268</v>
      </c>
      <c r="I168" s="2">
        <v>60229</v>
      </c>
      <c r="J168" s="2">
        <v>54824</v>
      </c>
      <c r="K168" s="2">
        <v>50725</v>
      </c>
      <c r="L168" s="2">
        <v>47520</v>
      </c>
      <c r="M168" s="2">
        <v>138456</v>
      </c>
      <c r="N168" s="2">
        <v>130074</v>
      </c>
      <c r="O168" s="2">
        <v>123362.94</v>
      </c>
      <c r="P168" s="2">
        <v>118052.6</v>
      </c>
      <c r="Q168" s="2">
        <v>115099</v>
      </c>
    </row>
    <row r="169" spans="1:20" x14ac:dyDescent="0.25">
      <c r="A169" t="s">
        <v>152</v>
      </c>
      <c r="B169">
        <v>391</v>
      </c>
      <c r="C169" s="2">
        <v>1596</v>
      </c>
      <c r="D169" s="2">
        <v>1674</v>
      </c>
      <c r="E169" s="2">
        <v>24732</v>
      </c>
      <c r="F169" s="2">
        <v>24706</v>
      </c>
      <c r="G169" s="2">
        <v>26913</v>
      </c>
      <c r="H169" s="2">
        <v>36714</v>
      </c>
      <c r="I169" s="2">
        <v>43447</v>
      </c>
      <c r="J169" s="2">
        <v>43450</v>
      </c>
      <c r="K169" s="2">
        <v>43614</v>
      </c>
      <c r="L169" s="2">
        <v>43653</v>
      </c>
      <c r="M169" s="2">
        <v>97873</v>
      </c>
      <c r="N169" s="2">
        <v>97801</v>
      </c>
      <c r="O169" s="2">
        <v>97255.57</v>
      </c>
      <c r="P169" s="2">
        <v>96535.18</v>
      </c>
      <c r="Q169" s="2">
        <v>95275.49</v>
      </c>
      <c r="R169" s="2">
        <v>104401</v>
      </c>
      <c r="S169" s="2">
        <v>106601</v>
      </c>
      <c r="T169" s="2">
        <v>97801</v>
      </c>
    </row>
    <row r="170" spans="1:20" x14ac:dyDescent="0.25">
      <c r="A170" t="s">
        <v>151</v>
      </c>
      <c r="B170">
        <v>492</v>
      </c>
      <c r="C170" s="2">
        <v>3617</v>
      </c>
      <c r="D170" s="2">
        <v>3277</v>
      </c>
      <c r="E170" s="2">
        <v>15068</v>
      </c>
      <c r="F170" s="2">
        <v>10832</v>
      </c>
      <c r="G170" s="2">
        <v>10762</v>
      </c>
      <c r="H170" s="2">
        <v>17554</v>
      </c>
      <c r="I170" s="2">
        <v>16782</v>
      </c>
      <c r="J170" s="2">
        <v>11374</v>
      </c>
      <c r="K170" s="2">
        <v>7111</v>
      </c>
      <c r="L170" s="2">
        <v>3867</v>
      </c>
      <c r="M170" s="2">
        <v>40583</v>
      </c>
      <c r="N170" s="2">
        <v>32273</v>
      </c>
      <c r="O170" s="2">
        <v>25559.759999999998</v>
      </c>
      <c r="P170" s="2">
        <v>21081.33</v>
      </c>
      <c r="Q170" s="2">
        <v>17168.349999999999</v>
      </c>
      <c r="R170" s="2">
        <v>28180.29</v>
      </c>
      <c r="S170" s="2">
        <v>30516.77</v>
      </c>
      <c r="T170" s="2">
        <v>7178.6</v>
      </c>
    </row>
    <row r="171" spans="1:20" x14ac:dyDescent="0.25">
      <c r="A171" t="s">
        <v>708</v>
      </c>
      <c r="B171">
        <v>936</v>
      </c>
      <c r="C171" s="2">
        <v>5498</v>
      </c>
      <c r="D171" s="2">
        <v>5296</v>
      </c>
      <c r="E171" s="2">
        <v>40332</v>
      </c>
      <c r="F171" s="2">
        <v>35996</v>
      </c>
      <c r="G171" s="2">
        <v>38382</v>
      </c>
      <c r="H171" s="2">
        <v>55011</v>
      </c>
      <c r="I171" s="2">
        <v>60940</v>
      </c>
      <c r="J171" s="2">
        <v>56048</v>
      </c>
      <c r="K171" s="2">
        <v>52522</v>
      </c>
      <c r="L171" s="2">
        <v>49397</v>
      </c>
      <c r="M171" s="2">
        <v>142204</v>
      </c>
      <c r="N171" s="2">
        <v>135671</v>
      </c>
      <c r="O171" s="2">
        <v>130462</v>
      </c>
      <c r="P171" s="2">
        <v>121997.67</v>
      </c>
      <c r="Q171" s="2">
        <v>119275</v>
      </c>
    </row>
    <row r="172" spans="1:20" x14ac:dyDescent="0.25">
      <c r="A172" t="s">
        <v>154</v>
      </c>
      <c r="B172">
        <v>53</v>
      </c>
      <c r="C172">
        <v>285</v>
      </c>
      <c r="D172">
        <v>345</v>
      </c>
      <c r="E172">
        <v>532</v>
      </c>
      <c r="F172">
        <v>458</v>
      </c>
      <c r="G172">
        <v>707</v>
      </c>
      <c r="H172">
        <v>743</v>
      </c>
      <c r="I172" s="2">
        <v>1300</v>
      </c>
      <c r="J172" s="2">
        <v>1812</v>
      </c>
      <c r="K172" s="2">
        <v>1797</v>
      </c>
      <c r="L172" s="2">
        <v>2340</v>
      </c>
      <c r="M172" s="2">
        <v>5073</v>
      </c>
      <c r="N172" s="2">
        <v>6915</v>
      </c>
      <c r="O172" s="2">
        <v>8549.99</v>
      </c>
      <c r="P172" s="2">
        <v>8962.34</v>
      </c>
      <c r="Q172" s="2">
        <v>9929.33</v>
      </c>
      <c r="R172" s="2">
        <v>12558</v>
      </c>
      <c r="S172" s="2">
        <v>14269.65</v>
      </c>
      <c r="T172" s="2">
        <v>23469.37</v>
      </c>
    </row>
    <row r="173" spans="1:20" x14ac:dyDescent="0.25">
      <c r="A173" t="s">
        <v>155</v>
      </c>
      <c r="B173" s="2">
        <v>3415</v>
      </c>
      <c r="C173" s="2">
        <v>10376</v>
      </c>
      <c r="D173" s="2">
        <v>10515</v>
      </c>
      <c r="E173" s="2">
        <v>49966</v>
      </c>
      <c r="F173" s="2">
        <v>54418</v>
      </c>
      <c r="G173" s="2">
        <v>50124</v>
      </c>
      <c r="H173" s="2">
        <v>67493</v>
      </c>
      <c r="I173" s="2">
        <v>75933</v>
      </c>
      <c r="J173" s="2">
        <v>75570</v>
      </c>
      <c r="K173" s="2">
        <v>73249</v>
      </c>
      <c r="L173" s="2">
        <v>72861</v>
      </c>
      <c r="M173" s="2">
        <v>165645</v>
      </c>
      <c r="N173" s="2">
        <v>171092</v>
      </c>
      <c r="O173" s="2">
        <v>202902.62</v>
      </c>
      <c r="P173" s="2">
        <v>266801.57</v>
      </c>
      <c r="Q173" s="2">
        <v>375501.06</v>
      </c>
      <c r="R173" s="2">
        <v>581946.07999999996</v>
      </c>
      <c r="S173" s="2">
        <v>789396.05</v>
      </c>
      <c r="T173" s="2">
        <v>1166152.56</v>
      </c>
    </row>
    <row r="174" spans="1:20" x14ac:dyDescent="0.25">
      <c r="A174" t="s">
        <v>17</v>
      </c>
    </row>
    <row r="175" spans="1:20" x14ac:dyDescent="0.25">
      <c r="A175" t="s">
        <v>156</v>
      </c>
    </row>
    <row r="176" spans="1:20" x14ac:dyDescent="0.25">
      <c r="A176" t="s">
        <v>157</v>
      </c>
      <c r="B176">
        <v>414</v>
      </c>
      <c r="C176" s="2">
        <v>1016</v>
      </c>
      <c r="D176" s="2">
        <v>1119</v>
      </c>
      <c r="E176" s="2">
        <v>3078</v>
      </c>
      <c r="F176" s="2">
        <v>2529</v>
      </c>
      <c r="G176" s="2">
        <v>2338</v>
      </c>
      <c r="H176" s="2">
        <v>6899</v>
      </c>
      <c r="I176" s="2">
        <v>6371</v>
      </c>
      <c r="J176" s="2">
        <v>6281</v>
      </c>
      <c r="K176" s="2">
        <v>7052</v>
      </c>
      <c r="L176" s="2">
        <v>7405</v>
      </c>
      <c r="M176" s="2">
        <v>16697</v>
      </c>
      <c r="N176" s="2">
        <v>18514</v>
      </c>
      <c r="O176" s="2">
        <v>22647.65</v>
      </c>
      <c r="P176" s="2">
        <v>27272.21</v>
      </c>
      <c r="Q176" s="2">
        <v>34741.65</v>
      </c>
      <c r="R176" s="2">
        <v>73971.55</v>
      </c>
      <c r="S176" s="2">
        <v>93841.89</v>
      </c>
      <c r="T176" s="2">
        <v>158602.35999999999</v>
      </c>
    </row>
    <row r="177" spans="1:20" x14ac:dyDescent="0.25">
      <c r="A177" t="s">
        <v>158</v>
      </c>
      <c r="B177">
        <v>278</v>
      </c>
      <c r="C177">
        <v>515</v>
      </c>
      <c r="D177">
        <v>617</v>
      </c>
      <c r="E177" s="2">
        <v>1261</v>
      </c>
      <c r="F177" s="2">
        <v>1105</v>
      </c>
      <c r="G177">
        <v>811</v>
      </c>
      <c r="H177">
        <v>855</v>
      </c>
      <c r="I177">
        <v>836</v>
      </c>
      <c r="J177" s="2">
        <v>1086</v>
      </c>
      <c r="K177">
        <v>998</v>
      </c>
      <c r="L177" s="2">
        <v>1210</v>
      </c>
      <c r="M177" s="2">
        <v>1662</v>
      </c>
      <c r="N177" s="2">
        <v>1560</v>
      </c>
      <c r="O177" s="2">
        <v>4328.1400000000003</v>
      </c>
      <c r="P177" s="2">
        <v>6963.83</v>
      </c>
      <c r="Q177" s="2">
        <v>11371.99</v>
      </c>
      <c r="R177" s="2">
        <v>14320.04</v>
      </c>
      <c r="S177" s="2">
        <v>22429.87</v>
      </c>
      <c r="T177" s="2">
        <v>14131.74</v>
      </c>
    </row>
    <row r="178" spans="1:20" x14ac:dyDescent="0.25">
      <c r="A178" t="s">
        <v>2199</v>
      </c>
      <c r="B178">
        <v>89</v>
      </c>
      <c r="C178">
        <v>219</v>
      </c>
      <c r="D178">
        <v>250</v>
      </c>
      <c r="E178">
        <v>517</v>
      </c>
      <c r="F178">
        <v>626</v>
      </c>
      <c r="G178">
        <v>715</v>
      </c>
      <c r="H178">
        <v>641</v>
      </c>
      <c r="I178">
        <v>877</v>
      </c>
      <c r="J178" s="2">
        <v>1066</v>
      </c>
      <c r="K178" s="2">
        <v>1202</v>
      </c>
      <c r="L178">
        <v>935</v>
      </c>
      <c r="M178" s="2">
        <v>1971</v>
      </c>
      <c r="N178" s="2">
        <v>2129</v>
      </c>
      <c r="O178" s="2">
        <v>2129.0700000000002</v>
      </c>
      <c r="P178" s="2">
        <v>2698.86</v>
      </c>
      <c r="Q178" s="2">
        <v>3938.05</v>
      </c>
      <c r="R178" s="2">
        <v>9816.94</v>
      </c>
      <c r="S178" s="2">
        <v>11441.9</v>
      </c>
      <c r="T178" s="2">
        <v>26745.95</v>
      </c>
    </row>
    <row r="179" spans="1:20" x14ac:dyDescent="0.25">
      <c r="A179" t="s">
        <v>313</v>
      </c>
      <c r="B179">
        <v>0</v>
      </c>
      <c r="C179">
        <v>46</v>
      </c>
      <c r="D179">
        <v>46</v>
      </c>
      <c r="E179">
        <v>454</v>
      </c>
      <c r="F179">
        <v>117</v>
      </c>
      <c r="G179">
        <v>0</v>
      </c>
      <c r="H179" s="2">
        <v>2787</v>
      </c>
      <c r="I179">
        <v>827</v>
      </c>
      <c r="J179">
        <v>290</v>
      </c>
      <c r="K179">
        <v>440</v>
      </c>
      <c r="L179" s="2">
        <v>1608</v>
      </c>
      <c r="M179" s="2">
        <v>1271</v>
      </c>
      <c r="N179" s="2">
        <v>3152</v>
      </c>
      <c r="O179" s="2">
        <v>2366.06</v>
      </c>
      <c r="P179" s="2">
        <v>2371.7600000000002</v>
      </c>
      <c r="Q179" s="2">
        <v>2378.06</v>
      </c>
      <c r="R179" s="2">
        <v>2675.6</v>
      </c>
      <c r="S179" s="2">
        <v>2675.6</v>
      </c>
      <c r="T179" s="2">
        <v>3099.2</v>
      </c>
    </row>
    <row r="180" spans="1:20" x14ac:dyDescent="0.25">
      <c r="A180" t="s">
        <v>418</v>
      </c>
      <c r="B180">
        <v>136</v>
      </c>
      <c r="C180">
        <v>455</v>
      </c>
      <c r="D180">
        <v>456</v>
      </c>
      <c r="E180" s="2">
        <v>1363</v>
      </c>
      <c r="F180" s="2">
        <v>1307</v>
      </c>
      <c r="G180" s="2">
        <v>1527</v>
      </c>
      <c r="H180" s="2">
        <v>3257</v>
      </c>
      <c r="I180" s="2">
        <v>4608</v>
      </c>
      <c r="J180" s="2">
        <v>4822</v>
      </c>
      <c r="K180" s="2">
        <v>5614</v>
      </c>
      <c r="L180" s="2">
        <v>4527</v>
      </c>
      <c r="M180" s="2">
        <v>13557</v>
      </c>
      <c r="N180" s="2">
        <v>13658</v>
      </c>
      <c r="O180" s="2">
        <v>14653.16</v>
      </c>
      <c r="P180" s="2">
        <v>14912.7</v>
      </c>
      <c r="Q180" s="2">
        <v>15383.95</v>
      </c>
    </row>
    <row r="181" spans="1:20" x14ac:dyDescent="0.25">
      <c r="A181" t="s">
        <v>314</v>
      </c>
      <c r="B181">
        <v>47</v>
      </c>
      <c r="C181">
        <v>236</v>
      </c>
      <c r="D181">
        <v>206</v>
      </c>
      <c r="E181">
        <v>846</v>
      </c>
      <c r="F181">
        <v>681</v>
      </c>
      <c r="G181">
        <v>812</v>
      </c>
      <c r="H181" s="2">
        <v>2616</v>
      </c>
      <c r="I181" s="2">
        <v>3831</v>
      </c>
      <c r="J181" s="2">
        <v>3839</v>
      </c>
      <c r="K181" s="2">
        <v>4412</v>
      </c>
      <c r="L181" s="2">
        <v>3652</v>
      </c>
      <c r="M181" s="2">
        <v>11793</v>
      </c>
      <c r="N181" s="2">
        <v>11673</v>
      </c>
      <c r="O181" s="2">
        <v>14303.25</v>
      </c>
      <c r="P181" s="2">
        <v>16076.71</v>
      </c>
      <c r="Q181" s="2">
        <v>19934.02</v>
      </c>
      <c r="R181" s="2">
        <v>45385.45</v>
      </c>
      <c r="S181" s="2">
        <v>52349.57</v>
      </c>
      <c r="T181" s="2">
        <v>114625.48</v>
      </c>
    </row>
    <row r="182" spans="1:20" x14ac:dyDescent="0.25">
      <c r="A182" t="s">
        <v>164</v>
      </c>
      <c r="B182">
        <v>115</v>
      </c>
      <c r="C182" s="2">
        <v>6232</v>
      </c>
      <c r="D182" s="2">
        <v>4682</v>
      </c>
      <c r="E182" s="2">
        <v>25012</v>
      </c>
      <c r="F182" s="2">
        <v>28703</v>
      </c>
      <c r="G182" s="2">
        <v>21129</v>
      </c>
      <c r="H182" s="2">
        <v>35624</v>
      </c>
      <c r="I182" s="2">
        <v>45661</v>
      </c>
      <c r="J182" s="2">
        <v>44300</v>
      </c>
      <c r="K182" s="2">
        <v>43488</v>
      </c>
      <c r="L182" s="2">
        <v>41468</v>
      </c>
      <c r="M182" s="2">
        <v>81270</v>
      </c>
      <c r="N182" s="2">
        <v>71286</v>
      </c>
      <c r="O182" s="2">
        <v>66115.039999999994</v>
      </c>
      <c r="P182" s="2">
        <v>58638.43</v>
      </c>
      <c r="Q182" s="2">
        <v>51698.99</v>
      </c>
    </row>
    <row r="183" spans="1:20" x14ac:dyDescent="0.25">
      <c r="A183" t="s">
        <v>315</v>
      </c>
      <c r="B183">
        <v>0</v>
      </c>
      <c r="C183" s="2">
        <v>5462</v>
      </c>
      <c r="D183" s="2">
        <v>3826</v>
      </c>
      <c r="E183" s="2">
        <v>13188</v>
      </c>
      <c r="F183" s="2">
        <v>17431</v>
      </c>
      <c r="G183" s="2">
        <v>17493</v>
      </c>
      <c r="H183" s="2">
        <v>30011</v>
      </c>
      <c r="I183" s="2">
        <v>40187</v>
      </c>
      <c r="J183" s="2">
        <v>39401</v>
      </c>
      <c r="K183" s="2">
        <v>39075</v>
      </c>
      <c r="L183" s="2">
        <v>37617</v>
      </c>
      <c r="M183" s="2">
        <v>66282</v>
      </c>
      <c r="N183" s="2">
        <v>61984</v>
      </c>
      <c r="O183" s="2">
        <v>56051.67</v>
      </c>
      <c r="P183" s="2">
        <v>49182.14</v>
      </c>
      <c r="Q183" s="2">
        <v>42861.67</v>
      </c>
      <c r="R183" s="2">
        <v>61984</v>
      </c>
      <c r="S183" s="2">
        <v>61984</v>
      </c>
      <c r="T183" s="2">
        <v>61984</v>
      </c>
    </row>
    <row r="184" spans="1:20" x14ac:dyDescent="0.25">
      <c r="A184" t="s">
        <v>502</v>
      </c>
      <c r="B184">
        <v>53</v>
      </c>
      <c r="C184">
        <v>263</v>
      </c>
      <c r="D184">
        <v>381</v>
      </c>
      <c r="E184" s="2">
        <v>11293</v>
      </c>
      <c r="F184" s="2">
        <v>11272</v>
      </c>
      <c r="G184" s="2">
        <v>3636</v>
      </c>
      <c r="H184" s="2">
        <v>5613</v>
      </c>
      <c r="I184" s="2">
        <v>5426</v>
      </c>
      <c r="J184" s="2">
        <v>4860</v>
      </c>
      <c r="K184" s="2">
        <v>4413</v>
      </c>
      <c r="L184" s="2">
        <v>3847</v>
      </c>
      <c r="M184" s="2">
        <v>14975</v>
      </c>
      <c r="N184" s="2">
        <v>9302</v>
      </c>
      <c r="O184" s="2">
        <v>10291.780000000001</v>
      </c>
      <c r="P184" s="2">
        <v>10343.06</v>
      </c>
      <c r="Q184" s="2">
        <v>10398.94</v>
      </c>
      <c r="R184" s="2">
        <v>15076.66</v>
      </c>
      <c r="S184" s="2">
        <v>17199.43</v>
      </c>
      <c r="T184" s="2">
        <v>29106.34</v>
      </c>
    </row>
    <row r="185" spans="1:20" x14ac:dyDescent="0.25">
      <c r="A185" t="s">
        <v>167</v>
      </c>
      <c r="B185">
        <v>529</v>
      </c>
      <c r="C185" s="2">
        <v>7248</v>
      </c>
      <c r="D185" s="2">
        <v>5801</v>
      </c>
      <c r="E185" s="2">
        <v>28090</v>
      </c>
      <c r="F185" s="2">
        <v>31232</v>
      </c>
      <c r="G185" s="2">
        <v>23467</v>
      </c>
      <c r="H185" s="2">
        <v>42523</v>
      </c>
      <c r="I185" s="2">
        <v>52032</v>
      </c>
      <c r="J185" s="2">
        <v>50581</v>
      </c>
      <c r="K185" s="2">
        <v>50540</v>
      </c>
      <c r="L185" s="2">
        <v>48873</v>
      </c>
      <c r="M185" s="2">
        <v>97967</v>
      </c>
      <c r="N185" s="2">
        <v>89800</v>
      </c>
      <c r="O185" s="2">
        <v>89646.42</v>
      </c>
      <c r="P185" s="2">
        <v>88232.320000000007</v>
      </c>
      <c r="Q185" s="2">
        <v>90364.43</v>
      </c>
      <c r="R185" s="2">
        <v>145087.14000000001</v>
      </c>
      <c r="S185" s="2">
        <v>162710.88</v>
      </c>
      <c r="T185" s="2">
        <v>250363.7</v>
      </c>
    </row>
    <row r="186" spans="1:20" x14ac:dyDescent="0.25">
      <c r="A186" t="s">
        <v>170</v>
      </c>
      <c r="B186" s="2">
        <v>2886</v>
      </c>
      <c r="C186" s="2">
        <v>3243</v>
      </c>
      <c r="D186" s="2">
        <v>4714</v>
      </c>
      <c r="E186" s="2">
        <v>18892</v>
      </c>
      <c r="F186" s="2">
        <v>20285</v>
      </c>
      <c r="G186" s="2">
        <v>26657</v>
      </c>
      <c r="H186" s="2">
        <v>24970</v>
      </c>
      <c r="I186" s="2">
        <v>23901</v>
      </c>
      <c r="J186" s="2">
        <v>24989</v>
      </c>
      <c r="K186" s="2">
        <v>22709</v>
      </c>
      <c r="L186" s="2">
        <v>23988</v>
      </c>
      <c r="M186" s="2">
        <v>67678</v>
      </c>
      <c r="N186" s="2">
        <v>81292</v>
      </c>
      <c r="O186" s="2">
        <v>113264.08</v>
      </c>
      <c r="P186" s="2">
        <v>178538.69</v>
      </c>
      <c r="Q186" s="2">
        <v>284326.7</v>
      </c>
      <c r="R186" s="2">
        <v>442689.25</v>
      </c>
      <c r="S186" s="2">
        <v>626603.32999999996</v>
      </c>
      <c r="T186" s="2">
        <v>915544</v>
      </c>
    </row>
    <row r="187" spans="1:20" x14ac:dyDescent="0.25">
      <c r="A187" t="s">
        <v>2200</v>
      </c>
      <c r="E187" s="2">
        <v>19241</v>
      </c>
      <c r="F187" s="2">
        <v>20505</v>
      </c>
      <c r="G187" s="2">
        <v>23285</v>
      </c>
      <c r="H187" s="2">
        <v>25081</v>
      </c>
      <c r="I187" s="2">
        <v>23982</v>
      </c>
      <c r="J187" s="2">
        <v>24330</v>
      </c>
      <c r="K187" s="2">
        <v>21159</v>
      </c>
      <c r="L187" s="2">
        <v>21099</v>
      </c>
      <c r="O187" s="2">
        <v>81802.89</v>
      </c>
      <c r="P187" s="2">
        <v>93422.16</v>
      </c>
      <c r="Q187" s="2">
        <v>92971.13</v>
      </c>
      <c r="R187" s="2">
        <v>133192.03</v>
      </c>
      <c r="S187" s="2">
        <v>159908.17000000001</v>
      </c>
      <c r="T187" s="2">
        <v>192915.52</v>
      </c>
    </row>
    <row r="188" spans="1:20" x14ac:dyDescent="0.25">
      <c r="A188" t="s">
        <v>171</v>
      </c>
      <c r="B188" s="2">
        <v>1587</v>
      </c>
      <c r="C188" s="2">
        <v>2009</v>
      </c>
      <c r="D188" s="2">
        <v>2547</v>
      </c>
      <c r="E188">
        <v>0.4</v>
      </c>
      <c r="F188">
        <v>0.41</v>
      </c>
      <c r="G188">
        <v>0.41</v>
      </c>
      <c r="H188">
        <v>0.41</v>
      </c>
      <c r="I188">
        <v>0.41</v>
      </c>
      <c r="J188">
        <v>0.41</v>
      </c>
      <c r="K188">
        <v>0.42</v>
      </c>
      <c r="L188">
        <v>0.41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</row>
    <row r="189" spans="1:20" x14ac:dyDescent="0.25">
      <c r="A189" t="s">
        <v>174</v>
      </c>
      <c r="B189">
        <v>-6</v>
      </c>
      <c r="C189">
        <v>-50</v>
      </c>
      <c r="D189">
        <v>-73</v>
      </c>
      <c r="E189">
        <v>-134</v>
      </c>
      <c r="F189">
        <v>-91</v>
      </c>
      <c r="G189">
        <v>-115</v>
      </c>
      <c r="H189">
        <v>-140</v>
      </c>
      <c r="I189">
        <v>-108</v>
      </c>
      <c r="J189">
        <v>-116</v>
      </c>
      <c r="K189">
        <v>-54</v>
      </c>
      <c r="L189">
        <v>207</v>
      </c>
      <c r="M189">
        <v>207</v>
      </c>
      <c r="N189">
        <v>218</v>
      </c>
      <c r="O189">
        <v>204.4</v>
      </c>
      <c r="P189">
        <v>204.4</v>
      </c>
      <c r="Q189">
        <v>204.5</v>
      </c>
      <c r="R189">
        <v>208</v>
      </c>
      <c r="S189">
        <v>208</v>
      </c>
      <c r="T189">
        <v>208</v>
      </c>
    </row>
    <row r="190" spans="1:20" x14ac:dyDescent="0.25">
      <c r="A190" t="s">
        <v>173</v>
      </c>
      <c r="B190" s="2">
        <v>1305</v>
      </c>
      <c r="C190" s="2">
        <v>1284</v>
      </c>
      <c r="D190" s="2">
        <v>2240</v>
      </c>
      <c r="E190">
        <v>-215</v>
      </c>
      <c r="F190">
        <v>-129</v>
      </c>
      <c r="G190" s="2">
        <v>3487</v>
      </c>
      <c r="H190">
        <v>0</v>
      </c>
      <c r="I190">
        <v>0</v>
      </c>
      <c r="J190">
        <v>748</v>
      </c>
      <c r="K190" s="2">
        <v>1604</v>
      </c>
      <c r="L190" s="2">
        <v>2682</v>
      </c>
      <c r="M190">
        <v>0</v>
      </c>
      <c r="N190" s="2">
        <v>9761</v>
      </c>
      <c r="O190" s="2">
        <v>33736.89</v>
      </c>
      <c r="P190" s="2">
        <v>95870.97</v>
      </c>
      <c r="Q190" s="2">
        <v>203107.75</v>
      </c>
      <c r="R190" s="2">
        <v>347371.62</v>
      </c>
      <c r="S190" s="2">
        <v>513230.19</v>
      </c>
      <c r="T190" s="2">
        <v>722415.15</v>
      </c>
    </row>
    <row r="191" spans="1:20" x14ac:dyDescent="0.25">
      <c r="A191" t="s">
        <v>326</v>
      </c>
      <c r="B191" s="2">
        <v>3415</v>
      </c>
      <c r="C191" s="2">
        <v>10376</v>
      </c>
      <c r="D191" s="2">
        <v>10515</v>
      </c>
      <c r="E191" s="2">
        <v>49966</v>
      </c>
      <c r="F191" s="2">
        <v>54418</v>
      </c>
      <c r="G191" s="2">
        <v>50124</v>
      </c>
      <c r="H191" s="2">
        <v>67493</v>
      </c>
      <c r="I191" s="2">
        <v>75933</v>
      </c>
      <c r="J191" s="2">
        <v>75570</v>
      </c>
      <c r="K191" s="2">
        <v>73249</v>
      </c>
      <c r="L191" s="2">
        <v>72861</v>
      </c>
      <c r="M191" s="2">
        <v>165645</v>
      </c>
      <c r="N191" s="2">
        <v>171092</v>
      </c>
      <c r="O191" s="2">
        <v>202902.62</v>
      </c>
      <c r="P191" s="2">
        <v>266801.57</v>
      </c>
      <c r="Q191" s="2">
        <v>375501.06</v>
      </c>
      <c r="R191" s="2">
        <v>581946.07999999996</v>
      </c>
      <c r="S191" s="2">
        <v>789396.05</v>
      </c>
      <c r="T191" s="2">
        <v>1166152.56</v>
      </c>
    </row>
    <row r="192" spans="1:20" x14ac:dyDescent="0.25">
      <c r="A192" t="s">
        <v>17</v>
      </c>
    </row>
    <row r="193" spans="1:20" x14ac:dyDescent="0.25">
      <c r="A193" t="s">
        <v>176</v>
      </c>
    </row>
    <row r="194" spans="1:20" x14ac:dyDescent="0.25">
      <c r="A194" t="s">
        <v>611</v>
      </c>
      <c r="B194">
        <v>61.54</v>
      </c>
      <c r="C194">
        <v>66.680000000000007</v>
      </c>
      <c r="D194">
        <v>54.35</v>
      </c>
      <c r="E194">
        <v>59.96</v>
      </c>
      <c r="F194">
        <v>50.53</v>
      </c>
      <c r="G194">
        <v>59.17</v>
      </c>
      <c r="H194">
        <v>52.5</v>
      </c>
      <c r="I194">
        <v>35</v>
      </c>
      <c r="J194">
        <v>27.46</v>
      </c>
      <c r="K194">
        <v>32.43</v>
      </c>
      <c r="L194">
        <v>32.049999999999997</v>
      </c>
      <c r="M194">
        <v>31.77</v>
      </c>
      <c r="N194">
        <v>40.71</v>
      </c>
      <c r="O194">
        <v>50.81</v>
      </c>
      <c r="P194">
        <v>47.84</v>
      </c>
      <c r="Q194">
        <v>48.94</v>
      </c>
      <c r="R194">
        <v>440.43</v>
      </c>
      <c r="S194">
        <v>299.89999999999998</v>
      </c>
      <c r="T194">
        <v>55.52</v>
      </c>
    </row>
    <row r="195" spans="1:20" x14ac:dyDescent="0.25">
      <c r="A195" t="s">
        <v>812</v>
      </c>
      <c r="B195">
        <v>6.64</v>
      </c>
      <c r="C195">
        <v>7.12</v>
      </c>
      <c r="D195">
        <v>7.58</v>
      </c>
      <c r="E195">
        <v>8.2799999999999994</v>
      </c>
      <c r="F195">
        <v>7.62</v>
      </c>
      <c r="G195">
        <v>7.22</v>
      </c>
      <c r="H195">
        <v>6.86</v>
      </c>
      <c r="I195">
        <v>8.6</v>
      </c>
      <c r="J195">
        <v>12.57</v>
      </c>
      <c r="K195">
        <v>13.2</v>
      </c>
      <c r="L195">
        <v>11.72</v>
      </c>
      <c r="M195">
        <v>13.63</v>
      </c>
      <c r="N195">
        <v>11.05</v>
      </c>
      <c r="O195">
        <v>6.28</v>
      </c>
      <c r="P195">
        <v>6.97</v>
      </c>
      <c r="Q195">
        <v>7.62</v>
      </c>
    </row>
    <row r="196" spans="1:20" x14ac:dyDescent="0.25">
      <c r="A196" t="s">
        <v>327</v>
      </c>
      <c r="B196">
        <v>0.8</v>
      </c>
      <c r="C196">
        <v>0.62</v>
      </c>
      <c r="D196">
        <v>0.65</v>
      </c>
      <c r="E196">
        <v>0.44</v>
      </c>
      <c r="F196">
        <v>0.34</v>
      </c>
      <c r="G196">
        <v>0.4</v>
      </c>
      <c r="H196">
        <v>0.38</v>
      </c>
      <c r="I196">
        <v>0.33</v>
      </c>
      <c r="J196">
        <v>0.36</v>
      </c>
      <c r="K196">
        <v>0.45</v>
      </c>
      <c r="L196">
        <v>0.49</v>
      </c>
      <c r="M196">
        <v>0.43</v>
      </c>
      <c r="N196">
        <v>0.38</v>
      </c>
      <c r="O196">
        <v>0.57999999999999996</v>
      </c>
      <c r="P196">
        <v>0.81</v>
      </c>
      <c r="Q196">
        <v>0.91</v>
      </c>
    </row>
    <row r="197" spans="1:20" x14ac:dyDescent="0.25">
      <c r="A197" t="s">
        <v>505</v>
      </c>
      <c r="B197">
        <v>-984</v>
      </c>
      <c r="C197" s="2">
        <v>3905</v>
      </c>
      <c r="D197" s="2">
        <v>2050</v>
      </c>
      <c r="E197" s="2">
        <v>10545</v>
      </c>
      <c r="F197" s="2">
        <v>6344</v>
      </c>
      <c r="G197" s="2">
        <v>13201</v>
      </c>
      <c r="H197" s="2">
        <v>27743</v>
      </c>
      <c r="I197" s="2">
        <v>34071</v>
      </c>
      <c r="J197" s="2">
        <v>28110</v>
      </c>
      <c r="K197" s="2">
        <v>27562</v>
      </c>
      <c r="L197" s="2">
        <v>25459</v>
      </c>
      <c r="M197" s="2">
        <v>59568</v>
      </c>
      <c r="N197" s="2">
        <v>50283</v>
      </c>
      <c r="O197" s="2">
        <v>21958.32</v>
      </c>
      <c r="P197" s="2">
        <v>-45208.24</v>
      </c>
      <c r="Q197" s="2">
        <v>-141438.51999999999</v>
      </c>
    </row>
    <row r="198" spans="1:20" x14ac:dyDescent="0.25">
      <c r="A198" t="s">
        <v>2201</v>
      </c>
      <c r="B198">
        <v>7.0000000000000007E-2</v>
      </c>
      <c r="C198">
        <v>62.95</v>
      </c>
      <c r="D198">
        <v>45.1</v>
      </c>
      <c r="E198">
        <v>38.409999999999997</v>
      </c>
      <c r="F198">
        <v>43.08</v>
      </c>
      <c r="G198">
        <v>39.619999999999997</v>
      </c>
      <c r="H198">
        <v>56.78</v>
      </c>
      <c r="I198">
        <v>63.56</v>
      </c>
      <c r="J198">
        <v>61.71</v>
      </c>
      <c r="K198">
        <v>63.5</v>
      </c>
      <c r="L198">
        <v>62.3</v>
      </c>
      <c r="M198">
        <v>50.45</v>
      </c>
      <c r="N198">
        <v>44.98</v>
      </c>
      <c r="O198">
        <v>33.5</v>
      </c>
      <c r="P198">
        <v>21.77</v>
      </c>
      <c r="Q198">
        <v>14.19</v>
      </c>
    </row>
    <row r="199" spans="1:20" x14ac:dyDescent="0.25">
      <c r="A199" t="s">
        <v>186</v>
      </c>
      <c r="B199">
        <v>4.3899999999999997</v>
      </c>
      <c r="C199">
        <v>3.77</v>
      </c>
      <c r="D199">
        <v>3.36</v>
      </c>
      <c r="E199">
        <v>2.31</v>
      </c>
      <c r="F199">
        <v>6.26</v>
      </c>
      <c r="G199">
        <v>3.9</v>
      </c>
      <c r="H199">
        <v>1.44</v>
      </c>
      <c r="I199">
        <v>1.87</v>
      </c>
      <c r="J199">
        <v>2.64</v>
      </c>
      <c r="K199">
        <v>2.62</v>
      </c>
      <c r="L199">
        <v>2.82</v>
      </c>
      <c r="M199">
        <v>1.17</v>
      </c>
      <c r="N199">
        <v>1.71</v>
      </c>
      <c r="O199">
        <v>2.99</v>
      </c>
      <c r="P199">
        <v>5.29</v>
      </c>
      <c r="Q199">
        <v>7.96</v>
      </c>
      <c r="R199">
        <v>9.0500000000000007</v>
      </c>
      <c r="S199">
        <v>9.7899999999999991</v>
      </c>
      <c r="T199">
        <v>6.47</v>
      </c>
    </row>
    <row r="200" spans="1:20" x14ac:dyDescent="0.25">
      <c r="A200" t="s">
        <v>757</v>
      </c>
      <c r="B200">
        <v>3.39</v>
      </c>
      <c r="C200">
        <v>2.35</v>
      </c>
      <c r="D200">
        <v>2.54</v>
      </c>
      <c r="E200">
        <v>1.71</v>
      </c>
      <c r="F200">
        <v>5.4</v>
      </c>
      <c r="G200">
        <v>3.26</v>
      </c>
      <c r="H200">
        <v>1.21</v>
      </c>
      <c r="I200">
        <v>1.56</v>
      </c>
      <c r="J200">
        <v>2.27</v>
      </c>
      <c r="K200">
        <v>2.1800000000000002</v>
      </c>
      <c r="L200">
        <v>2.34</v>
      </c>
      <c r="M200">
        <v>0.82</v>
      </c>
      <c r="N200">
        <v>1.26</v>
      </c>
      <c r="O200">
        <v>2.44</v>
      </c>
      <c r="P200">
        <v>5.63</v>
      </c>
      <c r="Q200">
        <v>9.9700000000000006</v>
      </c>
      <c r="R200">
        <v>4.66</v>
      </c>
      <c r="S200">
        <v>5.65</v>
      </c>
      <c r="T200">
        <v>5.8</v>
      </c>
    </row>
    <row r="201" spans="1:20" x14ac:dyDescent="0.25">
      <c r="A201" t="s">
        <v>333</v>
      </c>
      <c r="B201" s="2">
        <v>1405</v>
      </c>
      <c r="C201" s="2">
        <v>2819</v>
      </c>
      <c r="D201" s="2">
        <v>2640</v>
      </c>
      <c r="E201" s="2">
        <v>4047</v>
      </c>
      <c r="F201" s="2">
        <v>13294</v>
      </c>
      <c r="G201" s="2">
        <v>6769</v>
      </c>
      <c r="H201" s="2">
        <v>3018</v>
      </c>
      <c r="I201" s="2">
        <v>5524</v>
      </c>
      <c r="J201" s="2">
        <v>10305</v>
      </c>
      <c r="K201" s="2">
        <v>11452</v>
      </c>
      <c r="L201" s="2">
        <v>13442</v>
      </c>
      <c r="M201" s="2">
        <v>2898</v>
      </c>
      <c r="N201" s="2">
        <v>13059</v>
      </c>
      <c r="O201" s="2">
        <v>45776.11</v>
      </c>
      <c r="P201" s="2">
        <v>117611.1</v>
      </c>
      <c r="Q201" s="2">
        <v>226692.75</v>
      </c>
      <c r="R201" s="2">
        <v>453929.21</v>
      </c>
      <c r="S201" s="2">
        <v>693935.48</v>
      </c>
      <c r="T201" s="2">
        <v>868087.81</v>
      </c>
    </row>
    <row r="202" spans="1:20" x14ac:dyDescent="0.25">
      <c r="A202" t="s">
        <v>178</v>
      </c>
    </row>
    <row r="203" spans="1:20" x14ac:dyDescent="0.25">
      <c r="A203" t="s">
        <v>179</v>
      </c>
      <c r="B203">
        <v>17.59</v>
      </c>
      <c r="C203">
        <v>3.81</v>
      </c>
      <c r="D203">
        <v>13.06</v>
      </c>
      <c r="E203">
        <v>-5.75</v>
      </c>
      <c r="F203">
        <v>3.24</v>
      </c>
      <c r="G203">
        <v>23.45</v>
      </c>
      <c r="H203">
        <v>4.63</v>
      </c>
      <c r="I203">
        <v>4.13</v>
      </c>
      <c r="J203">
        <v>8.89</v>
      </c>
      <c r="K203">
        <v>15.45</v>
      </c>
      <c r="L203">
        <v>19.28</v>
      </c>
      <c r="M203">
        <v>4.9400000000000004</v>
      </c>
      <c r="N203">
        <v>13.74</v>
      </c>
      <c r="O203">
        <v>26.65</v>
      </c>
      <c r="P203">
        <v>34.67</v>
      </c>
      <c r="Q203">
        <v>41.22</v>
      </c>
      <c r="R203">
        <v>32.4</v>
      </c>
      <c r="S203">
        <v>30.28</v>
      </c>
      <c r="T203">
        <v>21.77</v>
      </c>
    </row>
    <row r="204" spans="1:20" x14ac:dyDescent="0.25">
      <c r="A204" t="s">
        <v>180</v>
      </c>
      <c r="B204">
        <v>20.81</v>
      </c>
      <c r="C204">
        <v>8.58</v>
      </c>
      <c r="D204">
        <v>34.28</v>
      </c>
      <c r="E204">
        <v>-14.73</v>
      </c>
      <c r="F204">
        <v>8.64</v>
      </c>
      <c r="G204">
        <v>52.23</v>
      </c>
      <c r="H204">
        <v>11.26</v>
      </c>
      <c r="I204">
        <v>12.87</v>
      </c>
      <c r="J204">
        <v>31.09</v>
      </c>
      <c r="K204">
        <v>51.06</v>
      </c>
      <c r="L204">
        <v>60.31</v>
      </c>
      <c r="M204">
        <v>12.86</v>
      </c>
      <c r="N204">
        <v>31.05</v>
      </c>
      <c r="O204">
        <v>56.44</v>
      </c>
      <c r="P204">
        <v>60.2</v>
      </c>
      <c r="Q204">
        <v>61.11</v>
      </c>
      <c r="R204">
        <v>76</v>
      </c>
      <c r="S204">
        <v>76</v>
      </c>
      <c r="T204">
        <v>76</v>
      </c>
    </row>
    <row r="205" spans="1:20" x14ac:dyDescent="0.25">
      <c r="A205" t="s">
        <v>424</v>
      </c>
      <c r="B205">
        <v>1.1599999999999999</v>
      </c>
      <c r="C205">
        <v>1.28</v>
      </c>
      <c r="D205">
        <v>1.71</v>
      </c>
      <c r="E205">
        <v>4.74</v>
      </c>
      <c r="F205">
        <v>4.96</v>
      </c>
      <c r="G205">
        <v>6.53</v>
      </c>
      <c r="H205">
        <v>5.22</v>
      </c>
      <c r="I205">
        <v>4.95</v>
      </c>
      <c r="J205">
        <v>5.15</v>
      </c>
      <c r="K205">
        <v>5.43</v>
      </c>
      <c r="L205">
        <v>5.79</v>
      </c>
      <c r="M205">
        <v>14.44</v>
      </c>
      <c r="N205">
        <v>17.149999999999999</v>
      </c>
      <c r="O205">
        <v>23.62</v>
      </c>
      <c r="P205">
        <v>38.47</v>
      </c>
      <c r="Q205">
        <v>62.59</v>
      </c>
      <c r="R205">
        <v>128.38999999999999</v>
      </c>
      <c r="S205">
        <v>172.42</v>
      </c>
      <c r="T205">
        <v>187.34</v>
      </c>
    </row>
    <row r="206" spans="1:20" x14ac:dyDescent="0.25">
      <c r="A206" t="s">
        <v>814</v>
      </c>
      <c r="B206">
        <v>0.8</v>
      </c>
      <c r="C206">
        <v>-0.77</v>
      </c>
      <c r="D206">
        <v>-0.09</v>
      </c>
      <c r="E206">
        <v>-5.25</v>
      </c>
      <c r="F206">
        <v>-3.73</v>
      </c>
      <c r="G206">
        <v>-2.7</v>
      </c>
      <c r="H206">
        <v>-8.1199999999999992</v>
      </c>
      <c r="I206">
        <v>-9.84</v>
      </c>
      <c r="J206">
        <v>-8.1300000000000008</v>
      </c>
      <c r="K206">
        <v>-6.7</v>
      </c>
      <c r="L206">
        <v>-5.68</v>
      </c>
      <c r="M206">
        <v>-15.1</v>
      </c>
      <c r="N206">
        <v>-10.29</v>
      </c>
      <c r="O206">
        <v>-2.1</v>
      </c>
      <c r="P206">
        <v>14.05</v>
      </c>
      <c r="R206">
        <v>147.63999999999999</v>
      </c>
      <c r="S206">
        <v>176.62</v>
      </c>
    </row>
    <row r="207" spans="1:20" x14ac:dyDescent="0.25">
      <c r="A207" t="s">
        <v>17</v>
      </c>
    </row>
    <row r="208" spans="1:20" x14ac:dyDescent="0.25">
      <c r="A208" t="s">
        <v>188</v>
      </c>
    </row>
    <row r="209" spans="1:20" x14ac:dyDescent="0.25">
      <c r="A209" t="s">
        <v>189</v>
      </c>
    </row>
    <row r="210" spans="1:20" x14ac:dyDescent="0.25">
      <c r="A210" t="s">
        <v>121</v>
      </c>
      <c r="B210">
        <v>552</v>
      </c>
      <c r="C210">
        <v>309</v>
      </c>
      <c r="D210" s="2">
        <v>1391</v>
      </c>
      <c r="E210" s="2">
        <v>-1627</v>
      </c>
      <c r="F210" s="2">
        <v>1900</v>
      </c>
      <c r="G210" s="2">
        <v>12629</v>
      </c>
      <c r="H210" s="2">
        <v>2707</v>
      </c>
      <c r="I210" s="2">
        <v>2664</v>
      </c>
      <c r="J210" s="2">
        <v>6437</v>
      </c>
      <c r="K210" s="2">
        <v>11495</v>
      </c>
      <c r="L210" s="2">
        <v>14082</v>
      </c>
      <c r="M210" s="2">
        <v>5895</v>
      </c>
      <c r="N210" s="2">
        <v>23126</v>
      </c>
      <c r="O210" s="2">
        <v>45344.26</v>
      </c>
      <c r="P210" s="2">
        <v>80062</v>
      </c>
      <c r="Q210" s="2">
        <v>138665.38</v>
      </c>
      <c r="R210" s="2">
        <v>189012</v>
      </c>
      <c r="S210" s="2">
        <v>229242.33</v>
      </c>
      <c r="T210" s="2">
        <v>223599</v>
      </c>
    </row>
    <row r="211" spans="1:20" x14ac:dyDescent="0.25">
      <c r="A211" t="s">
        <v>190</v>
      </c>
      <c r="B211">
        <v>187</v>
      </c>
      <c r="C211">
        <v>625</v>
      </c>
      <c r="D211">
        <v>962</v>
      </c>
      <c r="E211" s="2">
        <v>3042</v>
      </c>
      <c r="F211" s="2">
        <v>4737</v>
      </c>
      <c r="G211" s="2">
        <v>4081</v>
      </c>
      <c r="H211" s="2">
        <v>5808</v>
      </c>
      <c r="I211" s="2">
        <v>6905</v>
      </c>
      <c r="J211" s="2">
        <v>6041</v>
      </c>
      <c r="K211" s="2">
        <v>4984</v>
      </c>
      <c r="L211" s="2">
        <v>3835</v>
      </c>
      <c r="M211" s="2">
        <v>10010</v>
      </c>
      <c r="N211" s="2">
        <v>8775</v>
      </c>
      <c r="O211" s="2">
        <v>8069.5</v>
      </c>
      <c r="P211" s="2">
        <v>8203.4699999999993</v>
      </c>
      <c r="Q211" s="2">
        <v>8530.36</v>
      </c>
      <c r="R211" s="2">
        <v>12192.02</v>
      </c>
    </row>
    <row r="212" spans="1:20" x14ac:dyDescent="0.25">
      <c r="A212" t="s">
        <v>191</v>
      </c>
      <c r="B212">
        <v>102</v>
      </c>
      <c r="C212">
        <v>164</v>
      </c>
      <c r="D212">
        <v>229</v>
      </c>
      <c r="E212">
        <v>402</v>
      </c>
      <c r="F212">
        <v>451</v>
      </c>
      <c r="G212">
        <v>515</v>
      </c>
      <c r="H212">
        <v>569</v>
      </c>
      <c r="I212">
        <v>570</v>
      </c>
      <c r="J212">
        <v>539</v>
      </c>
      <c r="K212">
        <v>529</v>
      </c>
      <c r="L212">
        <v>502</v>
      </c>
      <c r="M212">
        <v>593</v>
      </c>
      <c r="N212">
        <v>574</v>
      </c>
      <c r="O212">
        <v>670.32</v>
      </c>
      <c r="P212">
        <v>949.94</v>
      </c>
      <c r="Q212" s="2">
        <v>1319.11</v>
      </c>
      <c r="R212" s="2">
        <v>1940.61</v>
      </c>
      <c r="S212" s="2">
        <v>1580.19</v>
      </c>
      <c r="T212" s="2">
        <v>2641.47</v>
      </c>
    </row>
    <row r="213" spans="1:20" x14ac:dyDescent="0.25">
      <c r="A213" t="s">
        <v>192</v>
      </c>
      <c r="B213">
        <v>85</v>
      </c>
      <c r="C213">
        <v>446</v>
      </c>
      <c r="D213">
        <v>733</v>
      </c>
      <c r="E213" s="2">
        <v>2636</v>
      </c>
      <c r="F213" s="2">
        <v>4275</v>
      </c>
      <c r="G213" s="2">
        <v>3545</v>
      </c>
      <c r="H213" s="2">
        <v>5212</v>
      </c>
      <c r="I213" s="2">
        <v>6220</v>
      </c>
      <c r="J213" s="2">
        <v>5403</v>
      </c>
      <c r="K213" s="2">
        <v>4359</v>
      </c>
      <c r="L213" s="2">
        <v>3247</v>
      </c>
      <c r="M213" s="2">
        <v>3244</v>
      </c>
      <c r="N213" s="2">
        <v>8062</v>
      </c>
      <c r="O213" s="2">
        <v>7838.94</v>
      </c>
      <c r="P213" s="2">
        <v>7335.7</v>
      </c>
      <c r="Q213" s="2">
        <v>6659.37</v>
      </c>
      <c r="R213" s="2">
        <v>4340.8900000000003</v>
      </c>
      <c r="S213" s="2">
        <v>2995.27</v>
      </c>
      <c r="T213" s="2">
        <v>2043.71</v>
      </c>
    </row>
    <row r="214" spans="1:20" x14ac:dyDescent="0.25">
      <c r="A214" t="s">
        <v>2202</v>
      </c>
      <c r="B214">
        <v>-22</v>
      </c>
      <c r="C214">
        <v>-92</v>
      </c>
      <c r="D214">
        <v>-220</v>
      </c>
      <c r="E214">
        <v>365</v>
      </c>
      <c r="F214">
        <v>-173</v>
      </c>
      <c r="G214" s="2">
        <v>-8270</v>
      </c>
      <c r="H214">
        <v>-934</v>
      </c>
      <c r="I214" s="2">
        <v>-1142</v>
      </c>
      <c r="J214">
        <v>-809</v>
      </c>
      <c r="K214">
        <v>-34</v>
      </c>
      <c r="L214">
        <v>-501</v>
      </c>
      <c r="M214" s="2">
        <v>1965</v>
      </c>
      <c r="N214" s="2">
        <v>-4008</v>
      </c>
      <c r="O214" s="2">
        <v>-1051</v>
      </c>
      <c r="P214">
        <v>14</v>
      </c>
      <c r="Q214">
        <v>14</v>
      </c>
    </row>
    <row r="215" spans="1:20" x14ac:dyDescent="0.25">
      <c r="A215" t="s">
        <v>335</v>
      </c>
      <c r="B215">
        <v>77</v>
      </c>
      <c r="C215">
        <v>153</v>
      </c>
      <c r="D215">
        <v>232</v>
      </c>
      <c r="E215">
        <v>664</v>
      </c>
      <c r="F215">
        <v>920</v>
      </c>
      <c r="G215" s="2">
        <v>1227</v>
      </c>
      <c r="H215" s="2">
        <v>2185</v>
      </c>
      <c r="I215" s="2">
        <v>1976</v>
      </c>
      <c r="J215" s="2">
        <v>1704</v>
      </c>
      <c r="K215" s="2">
        <v>1533</v>
      </c>
      <c r="L215" s="2">
        <v>2171</v>
      </c>
      <c r="M215" s="2">
        <v>5670</v>
      </c>
      <c r="N215" s="2">
        <v>7568</v>
      </c>
      <c r="O215" s="2">
        <v>8548.0499999999993</v>
      </c>
      <c r="P215" s="2">
        <v>9913.32</v>
      </c>
      <c r="Q215" s="2">
        <v>13104.09</v>
      </c>
      <c r="R215" s="2">
        <v>17901.98</v>
      </c>
      <c r="S215" s="2">
        <v>26716.14</v>
      </c>
      <c r="T215" s="2">
        <v>33007.35</v>
      </c>
    </row>
    <row r="216" spans="1:20" x14ac:dyDescent="0.25">
      <c r="A216" t="s">
        <v>2203</v>
      </c>
      <c r="B216">
        <v>-12</v>
      </c>
      <c r="C216">
        <v>-10</v>
      </c>
      <c r="D216">
        <v>109</v>
      </c>
      <c r="E216">
        <v>656</v>
      </c>
      <c r="F216">
        <v>7</v>
      </c>
      <c r="G216">
        <v>37</v>
      </c>
      <c r="H216">
        <v>-63</v>
      </c>
      <c r="I216">
        <v>56</v>
      </c>
      <c r="J216">
        <v>-17</v>
      </c>
      <c r="K216">
        <v>299</v>
      </c>
      <c r="L216">
        <v>141</v>
      </c>
      <c r="M216">
        <v>831</v>
      </c>
      <c r="N216">
        <v>438</v>
      </c>
      <c r="O216">
        <v>365.38</v>
      </c>
      <c r="P216">
        <v>320</v>
      </c>
      <c r="Q216">
        <v>320</v>
      </c>
      <c r="R216">
        <v>640</v>
      </c>
    </row>
    <row r="217" spans="1:20" x14ac:dyDescent="0.25">
      <c r="A217" t="s">
        <v>2204</v>
      </c>
      <c r="D217">
        <v>77</v>
      </c>
      <c r="F217">
        <v>71</v>
      </c>
      <c r="G217">
        <v>21</v>
      </c>
      <c r="H217">
        <v>133</v>
      </c>
      <c r="I217">
        <v>44</v>
      </c>
      <c r="J217">
        <v>38</v>
      </c>
      <c r="K217">
        <v>13</v>
      </c>
    </row>
    <row r="218" spans="1:20" x14ac:dyDescent="0.25">
      <c r="A218" t="s">
        <v>2205</v>
      </c>
    </row>
    <row r="219" spans="1:20" x14ac:dyDescent="0.25">
      <c r="A219" t="s">
        <v>141</v>
      </c>
      <c r="B219">
        <v>-26</v>
      </c>
      <c r="C219">
        <v>-70</v>
      </c>
      <c r="D219">
        <v>-187</v>
      </c>
      <c r="E219">
        <v>-491</v>
      </c>
      <c r="F219">
        <v>-267</v>
      </c>
      <c r="G219">
        <v>-652</v>
      </c>
      <c r="H219">
        <v>486</v>
      </c>
      <c r="I219">
        <v>981</v>
      </c>
      <c r="J219">
        <v>210</v>
      </c>
      <c r="K219">
        <v>-870</v>
      </c>
      <c r="L219">
        <v>-187</v>
      </c>
      <c r="M219" s="2">
        <v>2327</v>
      </c>
      <c r="N219" s="2">
        <v>-2717</v>
      </c>
      <c r="O219" s="2">
        <v>-7923.69</v>
      </c>
      <c r="P219" s="2">
        <v>-7206.08</v>
      </c>
      <c r="Q219" s="2">
        <v>-15358.87</v>
      </c>
      <c r="R219" s="2">
        <v>-11967.51</v>
      </c>
      <c r="S219" s="2">
        <v>-12975.31</v>
      </c>
      <c r="T219" s="2">
        <v>-14973.25</v>
      </c>
    </row>
    <row r="220" spans="1:20" x14ac:dyDescent="0.25">
      <c r="A220" t="s">
        <v>340</v>
      </c>
      <c r="B220">
        <v>-55</v>
      </c>
      <c r="C220">
        <v>193</v>
      </c>
      <c r="D220">
        <v>62</v>
      </c>
      <c r="E220">
        <v>996</v>
      </c>
      <c r="F220">
        <v>-39</v>
      </c>
      <c r="G220">
        <v>417</v>
      </c>
      <c r="H220">
        <v>250</v>
      </c>
      <c r="I220">
        <v>-31</v>
      </c>
      <c r="J220">
        <v>-294</v>
      </c>
      <c r="K220">
        <v>-627</v>
      </c>
      <c r="L220">
        <v>27</v>
      </c>
      <c r="M220">
        <v>150</v>
      </c>
      <c r="N220">
        <v>-510</v>
      </c>
      <c r="O220" s="2">
        <v>-3457.84</v>
      </c>
      <c r="P220" s="2">
        <v>-3223.27</v>
      </c>
      <c r="Q220" s="2">
        <v>-7073.13</v>
      </c>
      <c r="R220" s="2">
        <v>-4954.92</v>
      </c>
      <c r="S220" s="2">
        <v>-4317.32</v>
      </c>
      <c r="T220" s="2">
        <v>-5058.97</v>
      </c>
    </row>
    <row r="221" spans="1:20" x14ac:dyDescent="0.25">
      <c r="A221" t="s">
        <v>158</v>
      </c>
      <c r="B221">
        <v>22</v>
      </c>
      <c r="C221">
        <v>13</v>
      </c>
      <c r="D221">
        <v>29</v>
      </c>
      <c r="E221">
        <v>33</v>
      </c>
      <c r="F221">
        <v>-97</v>
      </c>
      <c r="G221">
        <v>-325</v>
      </c>
      <c r="H221">
        <v>-42</v>
      </c>
      <c r="I221">
        <v>-3</v>
      </c>
      <c r="J221">
        <v>243</v>
      </c>
      <c r="K221">
        <v>-79</v>
      </c>
      <c r="L221">
        <v>209</v>
      </c>
      <c r="M221">
        <v>121</v>
      </c>
      <c r="N221">
        <v>-118</v>
      </c>
      <c r="O221" s="2">
        <v>2654.78</v>
      </c>
      <c r="P221" s="2">
        <v>2499.0500000000002</v>
      </c>
      <c r="Q221" s="2">
        <v>5102.95</v>
      </c>
      <c r="R221" s="2">
        <v>4906.08</v>
      </c>
      <c r="S221" s="2">
        <v>11281.25</v>
      </c>
      <c r="T221" s="2">
        <v>2731.7</v>
      </c>
    </row>
    <row r="222" spans="1:20" x14ac:dyDescent="0.25">
      <c r="A222" t="s">
        <v>160</v>
      </c>
      <c r="B222">
        <v>32</v>
      </c>
      <c r="C222">
        <v>20</v>
      </c>
      <c r="D222">
        <v>8</v>
      </c>
      <c r="E222">
        <v>163</v>
      </c>
      <c r="F222">
        <v>109</v>
      </c>
      <c r="G222">
        <v>6</v>
      </c>
      <c r="H222">
        <v>-294</v>
      </c>
      <c r="I222">
        <v>217</v>
      </c>
      <c r="J222">
        <v>186</v>
      </c>
      <c r="K222">
        <v>136</v>
      </c>
      <c r="L222">
        <v>-279</v>
      </c>
      <c r="M222">
        <v>78</v>
      </c>
      <c r="N222">
        <v>300</v>
      </c>
      <c r="O222">
        <v>-178.06</v>
      </c>
      <c r="P222">
        <v>887.41</v>
      </c>
      <c r="Q222" s="2">
        <v>1881.33</v>
      </c>
      <c r="R222" s="2">
        <v>1268.44</v>
      </c>
      <c r="S222" s="2">
        <v>3249.92</v>
      </c>
      <c r="T222" s="2">
        <v>5368.14</v>
      </c>
    </row>
    <row r="223" spans="1:20" x14ac:dyDescent="0.25">
      <c r="A223" t="s">
        <v>2132</v>
      </c>
      <c r="B223">
        <v>-43</v>
      </c>
      <c r="C223">
        <v>261</v>
      </c>
      <c r="D223">
        <v>12</v>
      </c>
      <c r="E223">
        <v>-98</v>
      </c>
      <c r="F223">
        <v>-490</v>
      </c>
      <c r="G223">
        <v>369</v>
      </c>
      <c r="H223">
        <v>-283</v>
      </c>
      <c r="I223">
        <v>331</v>
      </c>
      <c r="J223">
        <v>-177</v>
      </c>
      <c r="K223">
        <v>222</v>
      </c>
      <c r="L223">
        <v>-628</v>
      </c>
      <c r="M223" s="2">
        <v>-5323</v>
      </c>
      <c r="N223" s="2">
        <v>-1837</v>
      </c>
      <c r="O223" s="2">
        <v>-2883</v>
      </c>
      <c r="P223">
        <v>0</v>
      </c>
      <c r="Q223">
        <v>0</v>
      </c>
    </row>
    <row r="224" spans="1:20" x14ac:dyDescent="0.25">
      <c r="A224" t="s">
        <v>1929</v>
      </c>
      <c r="B224">
        <v>1</v>
      </c>
      <c r="C224">
        <v>-166</v>
      </c>
      <c r="D224">
        <v>40</v>
      </c>
      <c r="E224">
        <v>-120</v>
      </c>
      <c r="F224">
        <v>-202</v>
      </c>
      <c r="G224">
        <v>-771</v>
      </c>
      <c r="H224">
        <v>-301</v>
      </c>
      <c r="I224">
        <v>-402</v>
      </c>
      <c r="J224">
        <v>-295</v>
      </c>
      <c r="K224">
        <v>-436</v>
      </c>
      <c r="L224">
        <v>-785</v>
      </c>
      <c r="M224" s="2">
        <v>-1990</v>
      </c>
      <c r="N224" s="2">
        <v>-3618</v>
      </c>
      <c r="O224">
        <v>914.19</v>
      </c>
      <c r="P224">
        <v>-671.72</v>
      </c>
      <c r="Q224" s="2">
        <v>-2287.5100000000002</v>
      </c>
      <c r="R224">
        <v>676.45</v>
      </c>
      <c r="S224">
        <v>822.23</v>
      </c>
      <c r="T224">
        <v>999.42</v>
      </c>
    </row>
    <row r="225" spans="1:20" x14ac:dyDescent="0.25">
      <c r="A225" t="s">
        <v>204</v>
      </c>
      <c r="B225">
        <v>722</v>
      </c>
      <c r="C225" s="2">
        <v>1175</v>
      </c>
      <c r="D225" s="2">
        <v>2318</v>
      </c>
      <c r="E225" s="2">
        <v>3411</v>
      </c>
      <c r="F225" s="2">
        <v>6551</v>
      </c>
      <c r="G225" s="2">
        <v>8880</v>
      </c>
      <c r="H225" s="2">
        <v>9697</v>
      </c>
      <c r="I225" s="2">
        <v>12061</v>
      </c>
      <c r="J225" s="2">
        <v>13764</v>
      </c>
      <c r="K225" s="2">
        <v>16736</v>
      </c>
      <c r="L225" s="2">
        <v>18085</v>
      </c>
      <c r="M225" s="2">
        <v>19962</v>
      </c>
      <c r="N225" s="2">
        <v>27537</v>
      </c>
      <c r="O225" s="2">
        <v>52413.67</v>
      </c>
      <c r="P225" s="2">
        <v>88135.99</v>
      </c>
      <c r="Q225" s="2">
        <v>142016.12</v>
      </c>
      <c r="R225" s="2">
        <v>205466.93</v>
      </c>
      <c r="S225" s="2">
        <v>266798.71000000002</v>
      </c>
      <c r="T225" s="2">
        <v>270604.59000000003</v>
      </c>
    </row>
    <row r="226" spans="1:20" x14ac:dyDescent="0.25">
      <c r="A226" t="s">
        <v>17</v>
      </c>
    </row>
    <row r="227" spans="1:20" x14ac:dyDescent="0.25">
      <c r="A227" t="s">
        <v>205</v>
      </c>
    </row>
    <row r="228" spans="1:20" x14ac:dyDescent="0.25">
      <c r="A228" t="s">
        <v>516</v>
      </c>
      <c r="B228">
        <v>-414</v>
      </c>
      <c r="C228" s="2">
        <v>-5961</v>
      </c>
      <c r="D228">
        <v>-394</v>
      </c>
      <c r="E228" s="2">
        <v>-10055</v>
      </c>
      <c r="F228">
        <v>-40</v>
      </c>
      <c r="G228" s="2">
        <v>-4800</v>
      </c>
      <c r="H228" s="2">
        <v>-16033</v>
      </c>
      <c r="I228" s="2">
        <v>-10872</v>
      </c>
      <c r="J228">
        <v>-8</v>
      </c>
      <c r="K228">
        <v>-246</v>
      </c>
      <c r="L228">
        <v>-53</v>
      </c>
      <c r="M228" s="2">
        <v>-25978</v>
      </c>
      <c r="N228">
        <v>0</v>
      </c>
      <c r="O228">
        <v>0</v>
      </c>
      <c r="P228">
        <v>0</v>
      </c>
      <c r="Q228">
        <v>0</v>
      </c>
    </row>
    <row r="229" spans="1:20" x14ac:dyDescent="0.25">
      <c r="A229" t="s">
        <v>1798</v>
      </c>
      <c r="B229">
        <v>-15</v>
      </c>
      <c r="C229">
        <v>0</v>
      </c>
      <c r="D229">
        <v>-14</v>
      </c>
      <c r="E229">
        <v>-58</v>
      </c>
      <c r="F229">
        <v>-207</v>
      </c>
      <c r="G229">
        <v>-249</v>
      </c>
      <c r="H229">
        <v>-5</v>
      </c>
      <c r="I229">
        <v>0</v>
      </c>
      <c r="J229">
        <v>0</v>
      </c>
      <c r="K229">
        <v>-200</v>
      </c>
      <c r="L229">
        <v>-346</v>
      </c>
      <c r="M229">
        <v>-175</v>
      </c>
      <c r="N229">
        <v>-597</v>
      </c>
      <c r="O229">
        <v>-772.67</v>
      </c>
      <c r="P229">
        <v>-200</v>
      </c>
      <c r="Q229">
        <v>-200</v>
      </c>
    </row>
    <row r="230" spans="1:20" x14ac:dyDescent="0.25">
      <c r="A230" t="s">
        <v>206</v>
      </c>
      <c r="B230">
        <v>-236</v>
      </c>
      <c r="C230">
        <v>-409</v>
      </c>
      <c r="D230">
        <v>-593</v>
      </c>
      <c r="E230">
        <v>-723</v>
      </c>
      <c r="F230" s="2">
        <v>-1069</v>
      </c>
      <c r="G230">
        <v>-635</v>
      </c>
      <c r="H230">
        <v>-432</v>
      </c>
      <c r="I230">
        <v>-463</v>
      </c>
      <c r="J230">
        <v>-443</v>
      </c>
      <c r="K230">
        <v>-424</v>
      </c>
      <c r="L230">
        <v>-452</v>
      </c>
      <c r="M230">
        <v>-548</v>
      </c>
      <c r="N230">
        <v>-623</v>
      </c>
      <c r="O230" s="2">
        <v>-1825.61</v>
      </c>
      <c r="P230" s="2">
        <v>-2895.52</v>
      </c>
      <c r="Q230" s="2">
        <v>-3132</v>
      </c>
      <c r="R230" s="2">
        <v>-4319.6000000000004</v>
      </c>
      <c r="S230" s="2">
        <v>-4134.67</v>
      </c>
      <c r="T230" s="2">
        <v>-4838</v>
      </c>
    </row>
    <row r="231" spans="1:20" x14ac:dyDescent="0.25">
      <c r="A231" t="s">
        <v>61</v>
      </c>
      <c r="B231">
        <v>9.3699999999999992</v>
      </c>
      <c r="C231">
        <v>9.58</v>
      </c>
      <c r="D231">
        <v>8.69</v>
      </c>
      <c r="E231">
        <v>5.46</v>
      </c>
      <c r="F231">
        <v>6.06</v>
      </c>
      <c r="G231">
        <v>3.05</v>
      </c>
      <c r="H231">
        <v>1.91</v>
      </c>
      <c r="I231">
        <v>1.94</v>
      </c>
      <c r="J231">
        <v>1.61</v>
      </c>
      <c r="K231">
        <v>1.28</v>
      </c>
      <c r="L231">
        <v>1.26</v>
      </c>
      <c r="M231">
        <v>1.06</v>
      </c>
      <c r="N231">
        <v>0.98</v>
      </c>
      <c r="O231">
        <v>1.54</v>
      </c>
      <c r="P231">
        <v>1.73</v>
      </c>
      <c r="Q231">
        <v>1.19</v>
      </c>
      <c r="R231">
        <v>1.1399999999999999</v>
      </c>
      <c r="S231">
        <v>1</v>
      </c>
      <c r="T231">
        <v>1</v>
      </c>
    </row>
    <row r="232" spans="1:20" x14ac:dyDescent="0.25">
      <c r="A232" t="s">
        <v>2206</v>
      </c>
      <c r="B232">
        <v>13</v>
      </c>
      <c r="C232">
        <v>35</v>
      </c>
      <c r="D232">
        <v>0</v>
      </c>
      <c r="E232">
        <v>104</v>
      </c>
      <c r="F232">
        <v>200</v>
      </c>
      <c r="G232">
        <v>0</v>
      </c>
      <c r="H232">
        <v>0</v>
      </c>
      <c r="I232">
        <v>0</v>
      </c>
      <c r="J232">
        <v>169</v>
      </c>
      <c r="K232">
        <v>200</v>
      </c>
      <c r="L232">
        <v>228</v>
      </c>
      <c r="M232" s="2">
        <v>3641</v>
      </c>
      <c r="N232">
        <v>248</v>
      </c>
      <c r="O232">
        <v>285.89</v>
      </c>
      <c r="P232">
        <v>66.67</v>
      </c>
      <c r="Q232">
        <v>66.67</v>
      </c>
    </row>
    <row r="233" spans="1:20" x14ac:dyDescent="0.25">
      <c r="A233" t="s">
        <v>346</v>
      </c>
      <c r="C233">
        <v>0</v>
      </c>
      <c r="D233">
        <v>0</v>
      </c>
      <c r="E233">
        <v>-11</v>
      </c>
      <c r="F233">
        <v>-9</v>
      </c>
      <c r="G233">
        <v>-2</v>
      </c>
      <c r="H233">
        <v>3</v>
      </c>
      <c r="I233">
        <v>-4</v>
      </c>
      <c r="J233">
        <v>-8</v>
      </c>
      <c r="K233">
        <v>3</v>
      </c>
      <c r="L233">
        <v>-66</v>
      </c>
      <c r="M233">
        <v>-10</v>
      </c>
      <c r="N233">
        <v>92</v>
      </c>
      <c r="O233">
        <v>11.7</v>
      </c>
      <c r="P233">
        <v>0</v>
      </c>
      <c r="Q233">
        <v>0</v>
      </c>
    </row>
    <row r="234" spans="1:20" x14ac:dyDescent="0.25">
      <c r="A234" t="s">
        <v>213</v>
      </c>
      <c r="B234">
        <v>-652</v>
      </c>
      <c r="C234" s="2">
        <v>-5885</v>
      </c>
      <c r="D234">
        <v>-241</v>
      </c>
      <c r="E234" s="2">
        <v>-9840</v>
      </c>
      <c r="F234">
        <v>-674</v>
      </c>
      <c r="G234" s="2">
        <v>-4674</v>
      </c>
      <c r="H234" s="2">
        <v>-15422</v>
      </c>
      <c r="I234" s="2">
        <v>-11109</v>
      </c>
      <c r="J234">
        <v>-245</v>
      </c>
      <c r="K234">
        <v>-667</v>
      </c>
      <c r="L234">
        <v>-689</v>
      </c>
      <c r="M234" s="2">
        <v>-23070</v>
      </c>
      <c r="N234">
        <v>-580</v>
      </c>
      <c r="O234" s="2">
        <v>-2322.1</v>
      </c>
      <c r="P234" s="2">
        <v>-3112.43</v>
      </c>
      <c r="Q234" s="2">
        <v>-3275.55</v>
      </c>
      <c r="R234" s="2">
        <v>-5238.58</v>
      </c>
      <c r="S234" s="2">
        <v>-4719.7299999999996</v>
      </c>
      <c r="T234" s="2">
        <v>-4837.6400000000003</v>
      </c>
    </row>
    <row r="235" spans="1:20" x14ac:dyDescent="0.25">
      <c r="A235" t="s">
        <v>17</v>
      </c>
    </row>
    <row r="236" spans="1:20" x14ac:dyDescent="0.25">
      <c r="A236" t="s">
        <v>214</v>
      </c>
    </row>
    <row r="237" spans="1:20" x14ac:dyDescent="0.25">
      <c r="A237" t="s">
        <v>347</v>
      </c>
      <c r="B237">
        <v>-198</v>
      </c>
      <c r="C237">
        <v>-284</v>
      </c>
      <c r="D237">
        <v>-408</v>
      </c>
      <c r="E237">
        <v>-750</v>
      </c>
      <c r="F237" s="2">
        <v>-1745</v>
      </c>
      <c r="G237" s="2">
        <v>-2998</v>
      </c>
      <c r="H237" s="2">
        <v>-4235</v>
      </c>
      <c r="I237" s="2">
        <v>-5534</v>
      </c>
      <c r="J237" s="2">
        <v>-6212</v>
      </c>
      <c r="K237" s="2">
        <v>-7032</v>
      </c>
      <c r="L237" s="2">
        <v>-7645</v>
      </c>
      <c r="M237" s="2">
        <v>-9814</v>
      </c>
      <c r="N237" s="2">
        <v>-11142</v>
      </c>
      <c r="O237" s="2">
        <v>-12404.13</v>
      </c>
      <c r="P237" s="2">
        <v>-14295.72</v>
      </c>
      <c r="Q237" s="2">
        <v>-16309.8</v>
      </c>
      <c r="R237" s="2">
        <v>-14864.07</v>
      </c>
      <c r="S237" s="2">
        <v>-15270.2</v>
      </c>
      <c r="T237" s="2">
        <v>-12368</v>
      </c>
    </row>
    <row r="238" spans="1:20" x14ac:dyDescent="0.25">
      <c r="A238" t="s">
        <v>763</v>
      </c>
      <c r="B238">
        <v>0</v>
      </c>
      <c r="C238" s="2">
        <v>5588</v>
      </c>
      <c r="D238" s="2">
        <v>-1817</v>
      </c>
      <c r="E238" s="2">
        <v>8193</v>
      </c>
      <c r="F238" s="2">
        <v>3742</v>
      </c>
      <c r="G238">
        <v>-973</v>
      </c>
      <c r="H238" s="2">
        <v>13234</v>
      </c>
      <c r="I238" s="2">
        <v>7703</v>
      </c>
      <c r="J238" s="2">
        <v>-1591</v>
      </c>
      <c r="K238">
        <v>-426</v>
      </c>
      <c r="L238">
        <v>-403</v>
      </c>
      <c r="M238" s="2">
        <v>20346</v>
      </c>
      <c r="N238" s="2">
        <v>-2812</v>
      </c>
      <c r="O238" s="2">
        <v>-8401.81</v>
      </c>
      <c r="P238" s="2">
        <v>-10706.92</v>
      </c>
      <c r="Q238" s="2">
        <v>-12345.78</v>
      </c>
      <c r="R238" s="2">
        <v>-16256</v>
      </c>
    </row>
    <row r="239" spans="1:20" x14ac:dyDescent="0.25">
      <c r="A239" t="s">
        <v>928</v>
      </c>
      <c r="B239">
        <v>-95</v>
      </c>
      <c r="C239">
        <v>-12</v>
      </c>
      <c r="D239">
        <v>0</v>
      </c>
      <c r="E239">
        <v>0</v>
      </c>
      <c r="F239">
        <v>0</v>
      </c>
      <c r="G239" s="2">
        <v>-7314</v>
      </c>
      <c r="H239" s="2">
        <v>-5435</v>
      </c>
      <c r="I239">
        <v>0</v>
      </c>
      <c r="J239">
        <v>0</v>
      </c>
      <c r="K239" s="2">
        <v>-7000</v>
      </c>
      <c r="L239" s="2">
        <v>-5824</v>
      </c>
      <c r="M239" s="2">
        <v>-7176</v>
      </c>
      <c r="N239" s="2">
        <v>-2450</v>
      </c>
      <c r="O239" s="2">
        <v>-9443.75</v>
      </c>
      <c r="P239" s="2">
        <v>-10141.67</v>
      </c>
      <c r="Q239" s="2">
        <v>-16210</v>
      </c>
    </row>
    <row r="240" spans="1:20" x14ac:dyDescent="0.25">
      <c r="A240" t="s">
        <v>215</v>
      </c>
      <c r="B240">
        <v>101</v>
      </c>
      <c r="C240">
        <v>124</v>
      </c>
      <c r="D240">
        <v>241</v>
      </c>
      <c r="E240">
        <v>295</v>
      </c>
      <c r="F240">
        <v>257</v>
      </c>
      <c r="G240">
        <v>212</v>
      </c>
      <c r="H240">
        <v>253</v>
      </c>
      <c r="I240">
        <v>276</v>
      </c>
      <c r="J240">
        <v>170</v>
      </c>
      <c r="K240">
        <v>114</v>
      </c>
      <c r="L240">
        <v>122</v>
      </c>
      <c r="M240">
        <v>190</v>
      </c>
      <c r="N240">
        <v>221</v>
      </c>
      <c r="O240">
        <v>113</v>
      </c>
      <c r="P240">
        <v>0</v>
      </c>
      <c r="Q240">
        <v>0</v>
      </c>
    </row>
    <row r="241" spans="1:20" x14ac:dyDescent="0.25">
      <c r="A241" t="s">
        <v>2207</v>
      </c>
      <c r="B241">
        <v>0</v>
      </c>
      <c r="C241" s="2">
        <v>4600</v>
      </c>
      <c r="D241">
        <v>0</v>
      </c>
      <c r="E241" s="2">
        <v>19510</v>
      </c>
      <c r="F241" s="2">
        <v>17426</v>
      </c>
      <c r="G241">
        <v>0</v>
      </c>
      <c r="H241" s="2">
        <v>30034</v>
      </c>
      <c r="I241" s="2">
        <v>26517</v>
      </c>
      <c r="J241" s="2">
        <v>9904</v>
      </c>
      <c r="K241" s="2">
        <v>1935</v>
      </c>
      <c r="L241">
        <v>0</v>
      </c>
      <c r="M241" s="2">
        <v>39954</v>
      </c>
      <c r="N241" s="2">
        <v>15666</v>
      </c>
      <c r="O241" s="2">
        <v>3988</v>
      </c>
      <c r="P241">
        <v>133.33000000000001</v>
      </c>
      <c r="Q241">
        <v>133.33000000000001</v>
      </c>
    </row>
    <row r="242" spans="1:20" x14ac:dyDescent="0.25">
      <c r="A242" t="s">
        <v>713</v>
      </c>
      <c r="B242">
        <v>0</v>
      </c>
      <c r="C242">
        <v>-12</v>
      </c>
      <c r="D242" s="2">
        <v>-1817</v>
      </c>
      <c r="E242" s="2">
        <v>-11317</v>
      </c>
      <c r="F242" s="2">
        <v>-13684</v>
      </c>
      <c r="G242">
        <v>-973</v>
      </c>
      <c r="H242" s="2">
        <v>-16800</v>
      </c>
      <c r="I242" s="2">
        <v>-18814</v>
      </c>
      <c r="J242" s="2">
        <v>-11495</v>
      </c>
      <c r="K242" s="2">
        <v>-2361</v>
      </c>
      <c r="L242">
        <v>-403</v>
      </c>
      <c r="M242" s="2">
        <v>-19608</v>
      </c>
      <c r="N242" s="2">
        <v>-18478</v>
      </c>
      <c r="O242" s="2">
        <v>-11510.4</v>
      </c>
      <c r="P242" s="2">
        <v>-10122</v>
      </c>
      <c r="Q242" s="2">
        <v>-10212</v>
      </c>
    </row>
    <row r="243" spans="1:20" x14ac:dyDescent="0.25">
      <c r="A243" t="s">
        <v>563</v>
      </c>
      <c r="B243">
        <v>-95</v>
      </c>
      <c r="C243">
        <v>-12</v>
      </c>
      <c r="D243">
        <v>0</v>
      </c>
      <c r="E243">
        <v>0</v>
      </c>
      <c r="F243">
        <v>0</v>
      </c>
      <c r="G243" s="2">
        <v>-7314</v>
      </c>
      <c r="H243" s="2">
        <v>-6407</v>
      </c>
      <c r="I243">
        <v>-765</v>
      </c>
      <c r="J243" s="2">
        <v>-1299</v>
      </c>
      <c r="K243" s="2">
        <v>-8455</v>
      </c>
      <c r="L243" s="2">
        <v>-7685</v>
      </c>
      <c r="M243" s="2">
        <v>-12392</v>
      </c>
      <c r="N243" s="2">
        <v>-6310</v>
      </c>
      <c r="O243" s="2">
        <v>-9385.9599999999991</v>
      </c>
      <c r="P243" s="2">
        <v>-13727.36</v>
      </c>
      <c r="Q243" s="2">
        <v>-20870.78</v>
      </c>
      <c r="R243" s="2">
        <v>-16000</v>
      </c>
    </row>
    <row r="244" spans="1:20" x14ac:dyDescent="0.25">
      <c r="A244" t="s">
        <v>2208</v>
      </c>
      <c r="H244">
        <v>-972</v>
      </c>
      <c r="I244">
        <v>-765</v>
      </c>
      <c r="J244" s="2">
        <v>-1299</v>
      </c>
      <c r="K244" s="2">
        <v>-1455</v>
      </c>
      <c r="L244" s="2">
        <v>-1861</v>
      </c>
      <c r="M244" s="2">
        <v>-5216</v>
      </c>
      <c r="N244" s="2">
        <v>-3860</v>
      </c>
      <c r="P244">
        <v>0</v>
      </c>
    </row>
    <row r="245" spans="1:20" x14ac:dyDescent="0.25">
      <c r="A245" t="s">
        <v>522</v>
      </c>
      <c r="B245">
        <v>6</v>
      </c>
      <c r="C245">
        <v>-126</v>
      </c>
      <c r="D245">
        <v>0</v>
      </c>
      <c r="E245">
        <v>-123</v>
      </c>
      <c r="F245">
        <v>-24</v>
      </c>
      <c r="G245">
        <v>-45</v>
      </c>
      <c r="H245">
        <v>-36</v>
      </c>
      <c r="I245">
        <v>-69</v>
      </c>
      <c r="J245">
        <v>-42</v>
      </c>
      <c r="K245">
        <v>-17</v>
      </c>
      <c r="L245">
        <v>-12</v>
      </c>
      <c r="M245">
        <v>-63</v>
      </c>
      <c r="N245">
        <v>-84</v>
      </c>
      <c r="O245">
        <v>-45</v>
      </c>
      <c r="P245">
        <v>-6</v>
      </c>
      <c r="Q245">
        <v>-6</v>
      </c>
      <c r="R245">
        <v>-24</v>
      </c>
    </row>
    <row r="246" spans="1:20" x14ac:dyDescent="0.25">
      <c r="A246" t="s">
        <v>218</v>
      </c>
      <c r="B246">
        <v>-169</v>
      </c>
      <c r="C246" s="2">
        <v>5329</v>
      </c>
      <c r="D246" s="2">
        <v>-1859</v>
      </c>
      <c r="E246" s="2">
        <v>7704</v>
      </c>
      <c r="F246" s="2">
        <v>2230</v>
      </c>
      <c r="G246" s="2">
        <v>-11118</v>
      </c>
      <c r="H246" s="2">
        <v>6488</v>
      </c>
      <c r="I246" s="2">
        <v>1611</v>
      </c>
      <c r="J246" s="2">
        <v>-8974</v>
      </c>
      <c r="K246" s="2">
        <v>-15816</v>
      </c>
      <c r="L246" s="2">
        <v>-15623</v>
      </c>
      <c r="M246" s="2">
        <v>-1733</v>
      </c>
      <c r="N246" s="2">
        <v>-20127</v>
      </c>
      <c r="O246" s="2">
        <v>-28929.279999999999</v>
      </c>
      <c r="P246" s="2">
        <v>-29854.240000000002</v>
      </c>
      <c r="Q246" s="2">
        <v>-34710.03</v>
      </c>
      <c r="R246" s="2">
        <v>-29110.57</v>
      </c>
      <c r="S246" s="2">
        <v>-19495.2</v>
      </c>
      <c r="T246" s="2">
        <v>-12368</v>
      </c>
    </row>
    <row r="247" spans="1:20" x14ac:dyDescent="0.25">
      <c r="A247" t="s">
        <v>17</v>
      </c>
    </row>
    <row r="248" spans="1:20" x14ac:dyDescent="0.25">
      <c r="A248" t="s">
        <v>176</v>
      </c>
    </row>
    <row r="249" spans="1:20" x14ac:dyDescent="0.25">
      <c r="A249" t="s">
        <v>220</v>
      </c>
      <c r="B249">
        <v>-99</v>
      </c>
      <c r="C249">
        <v>619</v>
      </c>
      <c r="D249">
        <v>218</v>
      </c>
      <c r="E249" s="2">
        <v>1275</v>
      </c>
      <c r="F249" s="2">
        <v>8107</v>
      </c>
      <c r="G249" s="2">
        <v>-6912</v>
      </c>
      <c r="H249">
        <v>763</v>
      </c>
      <c r="I249" s="2">
        <v>2563</v>
      </c>
      <c r="J249" s="2">
        <v>4545</v>
      </c>
      <c r="K249">
        <v>253</v>
      </c>
      <c r="L249" s="2">
        <v>1773</v>
      </c>
      <c r="M249" s="2">
        <v>-4841</v>
      </c>
      <c r="N249" s="2">
        <v>6830</v>
      </c>
      <c r="O249" s="2">
        <v>21434.959999999999</v>
      </c>
      <c r="P249" s="2">
        <v>59412.59</v>
      </c>
      <c r="Q249" s="2">
        <v>106901.1</v>
      </c>
      <c r="R249" s="2">
        <v>171012.37</v>
      </c>
      <c r="S249" s="2">
        <v>242583.78</v>
      </c>
      <c r="T249" s="2">
        <v>253398.95</v>
      </c>
    </row>
    <row r="250" spans="1:20" x14ac:dyDescent="0.25">
      <c r="A250" t="s">
        <v>221</v>
      </c>
      <c r="B250" s="2">
        <v>1084</v>
      </c>
      <c r="C250">
        <v>985</v>
      </c>
      <c r="D250" s="2">
        <v>1604</v>
      </c>
      <c r="E250" s="2">
        <v>1822</v>
      </c>
      <c r="F250" s="2">
        <v>3097</v>
      </c>
      <c r="G250" s="2">
        <v>11204</v>
      </c>
      <c r="H250" s="2">
        <v>4292</v>
      </c>
      <c r="I250" s="2">
        <v>5055</v>
      </c>
      <c r="J250" s="2">
        <v>7618</v>
      </c>
      <c r="K250" s="2">
        <v>12163</v>
      </c>
      <c r="L250" s="2">
        <v>12416</v>
      </c>
      <c r="M250" s="2">
        <v>14189</v>
      </c>
      <c r="N250" s="2">
        <v>9348</v>
      </c>
      <c r="O250" s="2">
        <v>19937.21</v>
      </c>
      <c r="P250" s="2">
        <v>45823.45</v>
      </c>
      <c r="Q250" s="2">
        <v>117420.88</v>
      </c>
      <c r="R250" s="2">
        <v>396685.44</v>
      </c>
      <c r="S250" s="2">
        <v>444097.86</v>
      </c>
      <c r="T250" s="2">
        <v>665902.04</v>
      </c>
    </row>
    <row r="251" spans="1:20" x14ac:dyDescent="0.25">
      <c r="A251" t="s">
        <v>222</v>
      </c>
      <c r="B251">
        <v>985</v>
      </c>
      <c r="C251" s="2">
        <v>1604</v>
      </c>
      <c r="D251" s="2">
        <v>1822</v>
      </c>
      <c r="E251" s="2">
        <v>3097</v>
      </c>
      <c r="F251" s="2">
        <v>11204</v>
      </c>
      <c r="G251" s="2">
        <v>4292</v>
      </c>
      <c r="H251" s="2">
        <v>5055</v>
      </c>
      <c r="I251" s="2">
        <v>7618</v>
      </c>
      <c r="J251" s="2">
        <v>12163</v>
      </c>
      <c r="K251" s="2">
        <v>12416</v>
      </c>
      <c r="L251" s="2">
        <v>14189</v>
      </c>
      <c r="M251" s="2">
        <v>9348</v>
      </c>
      <c r="N251" s="2">
        <v>16178</v>
      </c>
      <c r="O251" s="2">
        <v>38095.910000000003</v>
      </c>
      <c r="P251" s="2">
        <v>94664.59</v>
      </c>
      <c r="Q251" s="2">
        <v>190497.7</v>
      </c>
      <c r="R251" s="2">
        <v>345034.59</v>
      </c>
      <c r="S251" s="2">
        <v>529961.59</v>
      </c>
      <c r="T251" s="2">
        <v>919300.99</v>
      </c>
    </row>
    <row r="252" spans="1:20" x14ac:dyDescent="0.25">
      <c r="A252" t="s">
        <v>178</v>
      </c>
    </row>
    <row r="253" spans="1:20" x14ac:dyDescent="0.25">
      <c r="A253" t="s">
        <v>224</v>
      </c>
      <c r="B253">
        <v>0.28999999999999998</v>
      </c>
      <c r="C253">
        <v>0.44</v>
      </c>
      <c r="D253">
        <v>0.82</v>
      </c>
      <c r="E253">
        <v>0.89</v>
      </c>
      <c r="F253">
        <v>1.56</v>
      </c>
      <c r="G253">
        <v>2.06</v>
      </c>
      <c r="H253">
        <v>2.31</v>
      </c>
      <c r="I253">
        <v>2.86</v>
      </c>
      <c r="J253">
        <v>3.21</v>
      </c>
      <c r="K253">
        <v>3.96</v>
      </c>
      <c r="L253">
        <v>4.24</v>
      </c>
      <c r="M253">
        <v>4.18</v>
      </c>
      <c r="N253">
        <v>5.67</v>
      </c>
      <c r="O253">
        <v>14.4</v>
      </c>
      <c r="P253">
        <v>19.29</v>
      </c>
      <c r="Q253">
        <v>33.1</v>
      </c>
      <c r="R253">
        <v>37.65</v>
      </c>
      <c r="S253">
        <v>44.45</v>
      </c>
      <c r="T253">
        <v>55.37</v>
      </c>
    </row>
    <row r="254" spans="1:20" x14ac:dyDescent="0.25">
      <c r="A254" t="s">
        <v>225</v>
      </c>
      <c r="B254">
        <v>486</v>
      </c>
      <c r="C254">
        <v>766</v>
      </c>
      <c r="D254" s="2">
        <v>1725</v>
      </c>
      <c r="E254" s="2">
        <v>2688</v>
      </c>
      <c r="F254" s="2">
        <v>5482</v>
      </c>
      <c r="G254" s="2">
        <v>8245</v>
      </c>
      <c r="H254" s="2">
        <v>9265</v>
      </c>
      <c r="I254" s="2">
        <v>11598</v>
      </c>
      <c r="J254" s="2">
        <v>13321</v>
      </c>
      <c r="K254" s="2">
        <v>16312</v>
      </c>
      <c r="L254" s="2">
        <v>17633</v>
      </c>
      <c r="M254" s="2">
        <v>19414</v>
      </c>
      <c r="N254" s="2">
        <v>26914</v>
      </c>
      <c r="O254" s="2">
        <v>49541.26</v>
      </c>
      <c r="P254" s="2">
        <v>87178.79</v>
      </c>
      <c r="Q254" s="2">
        <v>139654.87</v>
      </c>
      <c r="R254" s="2">
        <v>207384.28</v>
      </c>
      <c r="S254" s="2">
        <v>310867.24</v>
      </c>
    </row>
    <row r="255" spans="1:20" x14ac:dyDescent="0.25">
      <c r="A255" t="s">
        <v>61</v>
      </c>
      <c r="B255">
        <v>19.29</v>
      </c>
      <c r="C255">
        <v>17.940000000000001</v>
      </c>
      <c r="D255">
        <v>25.28</v>
      </c>
      <c r="E255">
        <v>20.3</v>
      </c>
      <c r="F255">
        <v>31.08</v>
      </c>
      <c r="G255">
        <v>39.549999999999997</v>
      </c>
      <c r="H255">
        <v>41</v>
      </c>
      <c r="I255">
        <v>48.55</v>
      </c>
      <c r="J255">
        <v>48.53</v>
      </c>
      <c r="K255">
        <v>49.13</v>
      </c>
      <c r="L255">
        <v>49.23</v>
      </c>
      <c r="M255">
        <v>37.64</v>
      </c>
      <c r="N255">
        <v>42.13</v>
      </c>
      <c r="O255">
        <v>46.47</v>
      </c>
      <c r="P255">
        <v>49.75</v>
      </c>
      <c r="Q255">
        <v>46.36</v>
      </c>
      <c r="R255">
        <v>52</v>
      </c>
      <c r="S255">
        <v>56.28</v>
      </c>
    </row>
    <row r="256" spans="1:20" x14ac:dyDescent="0.25">
      <c r="A256" t="s">
        <v>615</v>
      </c>
      <c r="B256">
        <v>0.19</v>
      </c>
      <c r="C256">
        <v>0.28999999999999998</v>
      </c>
      <c r="D256">
        <v>0.61</v>
      </c>
      <c r="E256">
        <v>0.7</v>
      </c>
      <c r="F256">
        <v>1.3</v>
      </c>
      <c r="G256">
        <v>1.91</v>
      </c>
      <c r="H256">
        <v>2.21</v>
      </c>
      <c r="I256">
        <v>2.75</v>
      </c>
      <c r="J256">
        <v>3.11</v>
      </c>
      <c r="K256">
        <v>3.86</v>
      </c>
      <c r="L256">
        <v>4.13</v>
      </c>
      <c r="M256">
        <v>4.0599999999999996</v>
      </c>
      <c r="N256">
        <v>5.55</v>
      </c>
      <c r="O256">
        <v>9.7100000000000009</v>
      </c>
      <c r="P256">
        <v>17.72</v>
      </c>
      <c r="Q256">
        <v>25.6</v>
      </c>
      <c r="R256">
        <v>41.42</v>
      </c>
      <c r="S256">
        <v>65.2</v>
      </c>
    </row>
    <row r="257" spans="1:1" x14ac:dyDescent="0.25">
      <c r="A257" t="s">
        <v>17</v>
      </c>
    </row>
    <row r="258" spans="1:1" x14ac:dyDescent="0.25">
      <c r="A258" t="s">
        <v>231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7EFF-2D21-4615-AD3D-94ABA33B46DA}">
  <dimension ref="A1:U347"/>
  <sheetViews>
    <sheetView workbookViewId="0">
      <selection sqref="A1:U347"/>
    </sheetView>
  </sheetViews>
  <sheetFormatPr defaultRowHeight="15" x14ac:dyDescent="0.25"/>
  <sheetData>
    <row r="1" spans="1:21" x14ac:dyDescent="0.25">
      <c r="A1" t="s">
        <v>2209</v>
      </c>
    </row>
    <row r="2" spans="1:21" x14ac:dyDescent="0.25">
      <c r="A2" t="s">
        <v>2210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1405</v>
      </c>
      <c r="B6">
        <v>0.24</v>
      </c>
      <c r="C6">
        <v>0.34</v>
      </c>
      <c r="D6">
        <v>0.37</v>
      </c>
      <c r="E6">
        <v>0.4</v>
      </c>
      <c r="F6">
        <v>0.43</v>
      </c>
      <c r="G6">
        <v>0.45</v>
      </c>
      <c r="H6">
        <v>0.43</v>
      </c>
      <c r="I6">
        <v>0.68</v>
      </c>
      <c r="J6">
        <v>0.82</v>
      </c>
      <c r="K6">
        <v>1.32</v>
      </c>
      <c r="L6">
        <v>1.04</v>
      </c>
      <c r="M6">
        <v>1.41</v>
      </c>
      <c r="N6">
        <v>2.13</v>
      </c>
      <c r="O6">
        <v>3.36</v>
      </c>
      <c r="P6">
        <v>4.41</v>
      </c>
      <c r="Q6">
        <v>5.54</v>
      </c>
      <c r="R6">
        <v>6.16</v>
      </c>
      <c r="S6">
        <v>7.03</v>
      </c>
    </row>
    <row r="7" spans="1:21" x14ac:dyDescent="0.25">
      <c r="A7" t="s">
        <v>16</v>
      </c>
      <c r="B7" s="2">
        <v>20109.900000000001</v>
      </c>
      <c r="C7" s="2">
        <v>25165.61</v>
      </c>
      <c r="D7" s="2">
        <v>26570</v>
      </c>
      <c r="E7" s="2">
        <v>29419.53</v>
      </c>
      <c r="F7" s="2">
        <v>32133.11</v>
      </c>
      <c r="G7" s="2">
        <v>34234.089999999997</v>
      </c>
      <c r="H7" s="2">
        <v>34634.76</v>
      </c>
      <c r="I7" s="2">
        <v>45486.94</v>
      </c>
      <c r="J7" s="2">
        <v>56834.9</v>
      </c>
      <c r="K7" s="2">
        <v>75985.83</v>
      </c>
      <c r="L7" s="2">
        <v>69358.11</v>
      </c>
      <c r="M7" s="2">
        <v>90105.8</v>
      </c>
      <c r="N7" s="2">
        <v>122555.47</v>
      </c>
      <c r="O7" s="2">
        <v>170159.68</v>
      </c>
      <c r="P7" s="2">
        <v>229557.83</v>
      </c>
      <c r="Q7" s="2">
        <v>287917.57</v>
      </c>
      <c r="R7" s="2">
        <v>323219.46999999997</v>
      </c>
      <c r="S7" s="2">
        <v>381529.14</v>
      </c>
    </row>
    <row r="8" spans="1:21" x14ac:dyDescent="0.25">
      <c r="A8" t="s">
        <v>17</v>
      </c>
    </row>
    <row r="9" spans="1:21" x14ac:dyDescent="0.25">
      <c r="A9" t="s">
        <v>2211</v>
      </c>
      <c r="B9">
        <v>15.67</v>
      </c>
      <c r="C9">
        <v>8.26</v>
      </c>
      <c r="D9">
        <v>8.76</v>
      </c>
      <c r="E9">
        <v>9.61</v>
      </c>
      <c r="F9">
        <v>10.45</v>
      </c>
      <c r="G9">
        <v>10.75</v>
      </c>
      <c r="H9">
        <v>10.07</v>
      </c>
      <c r="I9">
        <v>12.4</v>
      </c>
      <c r="J9">
        <v>14.18</v>
      </c>
      <c r="K9">
        <v>15.25</v>
      </c>
      <c r="L9">
        <v>12</v>
      </c>
      <c r="M9">
        <v>12.91</v>
      </c>
      <c r="N9">
        <v>15.02</v>
      </c>
      <c r="O9">
        <v>17.649999999999999</v>
      </c>
      <c r="P9">
        <v>19.7</v>
      </c>
      <c r="Q9">
        <v>21.36</v>
      </c>
      <c r="R9">
        <v>25.36</v>
      </c>
      <c r="S9">
        <v>27.73</v>
      </c>
    </row>
    <row r="10" spans="1:21" x14ac:dyDescent="0.25">
      <c r="A10" t="s">
        <v>2212</v>
      </c>
      <c r="B10">
        <v>43.3</v>
      </c>
      <c r="C10">
        <v>62.88</v>
      </c>
      <c r="D10">
        <v>56.51</v>
      </c>
      <c r="E10">
        <v>37.659999999999997</v>
      </c>
      <c r="F10">
        <v>55.88</v>
      </c>
      <c r="G10">
        <v>70.61</v>
      </c>
      <c r="H10">
        <v>52.47</v>
      </c>
      <c r="I10">
        <v>80.03</v>
      </c>
      <c r="J10">
        <v>91.79</v>
      </c>
      <c r="K10">
        <v>88.17</v>
      </c>
      <c r="L10">
        <v>92.86</v>
      </c>
      <c r="M10">
        <v>82.96</v>
      </c>
      <c r="N10">
        <v>68.83</v>
      </c>
      <c r="O10">
        <v>78.13</v>
      </c>
      <c r="P10">
        <v>76.94</v>
      </c>
      <c r="Q10">
        <v>74.27</v>
      </c>
      <c r="R10">
        <v>80.47</v>
      </c>
      <c r="S10">
        <v>77.67</v>
      </c>
    </row>
    <row r="11" spans="1:21" x14ac:dyDescent="0.25">
      <c r="A11" t="s">
        <v>17</v>
      </c>
    </row>
    <row r="12" spans="1:21" x14ac:dyDescent="0.25">
      <c r="A12" t="s">
        <v>1072</v>
      </c>
      <c r="F12">
        <v>50.62</v>
      </c>
      <c r="G12">
        <v>48.27</v>
      </c>
      <c r="H12">
        <v>46.05</v>
      </c>
      <c r="I12">
        <v>53.1</v>
      </c>
      <c r="J12">
        <v>51.63</v>
      </c>
      <c r="K12">
        <v>59.56</v>
      </c>
      <c r="L12">
        <v>54.4</v>
      </c>
      <c r="M12">
        <v>56.1</v>
      </c>
      <c r="N12">
        <v>59.9</v>
      </c>
      <c r="O12">
        <v>66.17</v>
      </c>
      <c r="P12">
        <v>66.17</v>
      </c>
      <c r="Q12">
        <v>65.94</v>
      </c>
      <c r="R12">
        <v>63.77</v>
      </c>
      <c r="S12">
        <v>63.42</v>
      </c>
    </row>
    <row r="13" spans="1:21" x14ac:dyDescent="0.25">
      <c r="A13" t="s">
        <v>721</v>
      </c>
      <c r="B13" s="2">
        <v>1620.79</v>
      </c>
      <c r="C13" s="2">
        <v>1874.83</v>
      </c>
      <c r="D13" s="2">
        <v>2064.64</v>
      </c>
      <c r="E13" s="2">
        <v>2209.9499999999998</v>
      </c>
      <c r="F13" s="2">
        <v>2654.04</v>
      </c>
      <c r="G13" s="2">
        <v>2850.83</v>
      </c>
      <c r="H13" s="2">
        <v>2959.17</v>
      </c>
      <c r="I13" s="2">
        <v>3718.63</v>
      </c>
      <c r="J13" s="2">
        <v>4465.92</v>
      </c>
      <c r="K13" s="2">
        <v>5479.77</v>
      </c>
      <c r="L13" s="2">
        <v>5851.25</v>
      </c>
      <c r="M13" s="2">
        <v>6356.6</v>
      </c>
      <c r="N13" s="2">
        <v>7928.75</v>
      </c>
      <c r="O13" s="2">
        <v>10175.23</v>
      </c>
      <c r="P13" s="2">
        <v>13505.32</v>
      </c>
      <c r="Q13" s="2">
        <v>16183.41</v>
      </c>
      <c r="R13" s="2">
        <v>19577.310000000001</v>
      </c>
      <c r="S13" s="2">
        <v>21981.49</v>
      </c>
    </row>
    <row r="14" spans="1:21" x14ac:dyDescent="0.25">
      <c r="A14" t="s">
        <v>91</v>
      </c>
      <c r="F14" s="2">
        <v>12675.07</v>
      </c>
      <c r="G14" s="2">
        <v>12732.27</v>
      </c>
      <c r="H14" s="2">
        <v>12064.11</v>
      </c>
      <c r="I14" s="2">
        <v>19250.45</v>
      </c>
      <c r="J14" s="2">
        <v>23271.47</v>
      </c>
      <c r="K14" s="2">
        <v>37634.89</v>
      </c>
      <c r="L14" s="2">
        <v>29564.720000000001</v>
      </c>
      <c r="M14" s="2">
        <v>41158.25</v>
      </c>
      <c r="N14" s="2">
        <v>62293.39</v>
      </c>
      <c r="O14" s="2">
        <v>98942.71</v>
      </c>
      <c r="P14" s="2">
        <v>133162.04</v>
      </c>
      <c r="Q14" s="2">
        <v>165911.01</v>
      </c>
      <c r="R14" s="2">
        <v>149060.09</v>
      </c>
      <c r="S14" s="2">
        <v>172595.84</v>
      </c>
    </row>
    <row r="15" spans="1:21" x14ac:dyDescent="0.25">
      <c r="A15" t="s">
        <v>92</v>
      </c>
      <c r="B15">
        <v>35.08</v>
      </c>
      <c r="C15">
        <v>38.79</v>
      </c>
      <c r="D15">
        <v>37.94</v>
      </c>
      <c r="E15">
        <v>39.869999999999997</v>
      </c>
      <c r="F15">
        <v>39.450000000000003</v>
      </c>
      <c r="G15">
        <v>37.19</v>
      </c>
      <c r="H15">
        <v>34.83</v>
      </c>
      <c r="I15">
        <v>42.32</v>
      </c>
      <c r="J15">
        <v>40.94</v>
      </c>
      <c r="K15">
        <v>49.53</v>
      </c>
      <c r="L15">
        <v>42.63</v>
      </c>
      <c r="M15">
        <v>45.68</v>
      </c>
      <c r="N15">
        <v>50.83</v>
      </c>
      <c r="O15">
        <v>58.31</v>
      </c>
      <c r="P15">
        <v>58.25</v>
      </c>
      <c r="Q15">
        <v>58.22</v>
      </c>
      <c r="R15">
        <v>54.42</v>
      </c>
      <c r="S15">
        <v>54.62</v>
      </c>
    </row>
    <row r="16" spans="1:21" x14ac:dyDescent="0.25">
      <c r="A16" t="s">
        <v>93</v>
      </c>
      <c r="B16" s="2">
        <v>5260.76</v>
      </c>
      <c r="C16" s="2">
        <v>6606.46</v>
      </c>
      <c r="D16" s="2">
        <v>7008.88</v>
      </c>
      <c r="E16" s="2">
        <v>6946.58</v>
      </c>
      <c r="F16" s="2">
        <v>8552.07</v>
      </c>
      <c r="G16" s="2">
        <v>9709.4699999999993</v>
      </c>
      <c r="H16" s="2">
        <v>9286.27</v>
      </c>
      <c r="I16" s="2">
        <v>11266.82</v>
      </c>
      <c r="J16" s="2">
        <v>15123.14</v>
      </c>
      <c r="K16" s="2">
        <v>14676.12</v>
      </c>
      <c r="L16" s="2">
        <v>17075.05</v>
      </c>
      <c r="M16" s="2">
        <v>20634.23</v>
      </c>
      <c r="N16" s="2">
        <v>22139.37</v>
      </c>
      <c r="O16" s="2">
        <v>25283.63</v>
      </c>
      <c r="P16" s="2">
        <v>31865.8</v>
      </c>
      <c r="Q16" s="2">
        <v>39934.22</v>
      </c>
      <c r="R16" s="2">
        <v>48751.24</v>
      </c>
      <c r="S16" s="2">
        <v>58428.26</v>
      </c>
    </row>
    <row r="17" spans="1:19" x14ac:dyDescent="0.25">
      <c r="A17" t="s">
        <v>277</v>
      </c>
      <c r="F17" s="2">
        <v>21084.240000000002</v>
      </c>
      <c r="G17" s="2">
        <v>22295</v>
      </c>
      <c r="H17" s="2">
        <v>21350.37</v>
      </c>
      <c r="I17" s="2">
        <v>30517.26</v>
      </c>
      <c r="J17" s="2">
        <v>38394.61</v>
      </c>
      <c r="L17" s="2">
        <v>46639.77</v>
      </c>
      <c r="M17" s="2">
        <v>61792.480000000003</v>
      </c>
      <c r="N17" s="2">
        <v>84432.75</v>
      </c>
      <c r="O17" s="2">
        <v>125237.17</v>
      </c>
      <c r="P17" s="2">
        <v>168284.11</v>
      </c>
      <c r="Q17" s="2">
        <v>211554.41</v>
      </c>
      <c r="R17" s="2">
        <v>232750.51</v>
      </c>
      <c r="S17" s="2">
        <v>272570.69</v>
      </c>
    </row>
    <row r="18" spans="1:19" x14ac:dyDescent="0.25">
      <c r="A18" t="s">
        <v>100</v>
      </c>
      <c r="F18" s="2">
        <v>13022.68</v>
      </c>
      <c r="G18" s="2">
        <v>13193.17</v>
      </c>
      <c r="H18" s="2">
        <v>12619.05</v>
      </c>
      <c r="I18" s="2">
        <v>19861.580000000002</v>
      </c>
      <c r="J18" s="2">
        <v>23742.12</v>
      </c>
      <c r="K18" s="2">
        <v>38403.910000000003</v>
      </c>
      <c r="L18" s="2">
        <v>31416.18</v>
      </c>
      <c r="M18" s="2">
        <v>43766.68</v>
      </c>
      <c r="N18" s="2">
        <v>65690.03</v>
      </c>
      <c r="O18" s="2">
        <v>105281.97</v>
      </c>
      <c r="P18" s="2">
        <v>139410.89000000001</v>
      </c>
      <c r="Q18" s="2">
        <v>174642.27</v>
      </c>
      <c r="R18" s="2">
        <v>195650.06</v>
      </c>
      <c r="S18" s="2">
        <v>224042.12</v>
      </c>
    </row>
    <row r="19" spans="1:19" x14ac:dyDescent="0.25">
      <c r="A19" t="s">
        <v>528</v>
      </c>
      <c r="B19" s="2">
        <v>6337.45</v>
      </c>
      <c r="C19" s="2">
        <v>8706.24</v>
      </c>
      <c r="D19" s="2">
        <v>9657.02</v>
      </c>
      <c r="E19" s="2">
        <v>10373.450000000001</v>
      </c>
      <c r="F19" s="2">
        <v>11279.62</v>
      </c>
      <c r="G19" s="2">
        <v>11653.86</v>
      </c>
      <c r="H19" s="2">
        <v>11175.98</v>
      </c>
      <c r="I19" s="2">
        <v>17589.63</v>
      </c>
      <c r="J19" s="2">
        <v>21358.11</v>
      </c>
      <c r="K19" s="2">
        <v>34119.08</v>
      </c>
      <c r="L19" s="2">
        <v>26902.74</v>
      </c>
      <c r="M19" s="2">
        <v>36526.25</v>
      </c>
      <c r="N19" s="2">
        <v>55272.56</v>
      </c>
      <c r="O19" s="2">
        <v>86486.54</v>
      </c>
      <c r="P19" s="2">
        <v>114566.1</v>
      </c>
      <c r="Q19" s="2">
        <v>143019.78</v>
      </c>
      <c r="R19" s="2">
        <v>157295.97</v>
      </c>
      <c r="S19" s="2">
        <v>187996.14</v>
      </c>
    </row>
    <row r="20" spans="1:19" x14ac:dyDescent="0.25">
      <c r="A20" t="s">
        <v>17</v>
      </c>
    </row>
    <row r="21" spans="1:19" x14ac:dyDescent="0.25">
      <c r="A21" t="s">
        <v>281</v>
      </c>
      <c r="B21">
        <v>0.1</v>
      </c>
      <c r="C21">
        <v>0.15</v>
      </c>
      <c r="D21">
        <v>0.19</v>
      </c>
      <c r="E21">
        <v>0.22</v>
      </c>
      <c r="F21">
        <v>0.26</v>
      </c>
      <c r="G21">
        <v>0.27</v>
      </c>
      <c r="H21">
        <v>0.31</v>
      </c>
      <c r="I21">
        <v>0.34</v>
      </c>
      <c r="J21">
        <v>0.39</v>
      </c>
      <c r="K21">
        <v>0.37</v>
      </c>
      <c r="L21">
        <v>0.42</v>
      </c>
      <c r="M21">
        <v>0.53</v>
      </c>
      <c r="N21">
        <v>0.71</v>
      </c>
      <c r="O21">
        <v>0.82</v>
      </c>
      <c r="P21">
        <v>1.01</v>
      </c>
      <c r="Q21">
        <v>1.18</v>
      </c>
      <c r="R21">
        <v>1.32</v>
      </c>
      <c r="S21">
        <v>1.54</v>
      </c>
    </row>
    <row r="22" spans="1:19" x14ac:dyDescent="0.25">
      <c r="A22" t="s">
        <v>17</v>
      </c>
    </row>
    <row r="23" spans="1:19" x14ac:dyDescent="0.25">
      <c r="A23" t="s">
        <v>242</v>
      </c>
      <c r="B23" s="2">
        <v>-9687.2099999999991</v>
      </c>
      <c r="C23" s="2">
        <v>-9519.17</v>
      </c>
      <c r="D23" s="2">
        <v>-8111.73</v>
      </c>
      <c r="E23" s="2">
        <v>-10180.969999999999</v>
      </c>
      <c r="F23" s="2">
        <v>-10867.93</v>
      </c>
      <c r="G23" s="2">
        <v>-10474.01</v>
      </c>
      <c r="H23" s="2">
        <v>-14903.58</v>
      </c>
      <c r="I23" s="2">
        <v>-17228.04</v>
      </c>
      <c r="J23" s="2">
        <v>-30045.99</v>
      </c>
      <c r="K23" s="2">
        <v>-36339.089999999997</v>
      </c>
      <c r="L23" s="2">
        <v>-30474.35</v>
      </c>
      <c r="M23" s="2">
        <v>-29762.46</v>
      </c>
      <c r="N23" s="2">
        <v>-40939.57</v>
      </c>
      <c r="O23" s="2">
        <v>-61487.85</v>
      </c>
      <c r="P23" s="2">
        <v>-74788.34</v>
      </c>
      <c r="Q23" s="2">
        <v>-86278.11</v>
      </c>
      <c r="R23" s="2">
        <v>-89197.79</v>
      </c>
      <c r="S23" s="2">
        <v>-109188.63</v>
      </c>
    </row>
    <row r="24" spans="1:19" x14ac:dyDescent="0.25">
      <c r="A24" t="s">
        <v>17</v>
      </c>
    </row>
    <row r="25" spans="1:19" x14ac:dyDescent="0.25">
      <c r="A25" t="s">
        <v>37</v>
      </c>
    </row>
    <row r="26" spans="1:19" x14ac:dyDescent="0.25">
      <c r="A26" t="s">
        <v>17</v>
      </c>
    </row>
    <row r="27" spans="1:19" x14ac:dyDescent="0.25">
      <c r="A27" t="s">
        <v>38</v>
      </c>
    </row>
    <row r="28" spans="1:19" x14ac:dyDescent="0.25">
      <c r="A28" t="s">
        <v>2213</v>
      </c>
      <c r="B28">
        <v>16.45</v>
      </c>
      <c r="C28">
        <v>8.18</v>
      </c>
      <c r="D28">
        <v>9.5</v>
      </c>
      <c r="E28">
        <v>10.5</v>
      </c>
      <c r="F28">
        <v>11.5</v>
      </c>
      <c r="G28">
        <v>12.5</v>
      </c>
      <c r="H28">
        <v>12.5</v>
      </c>
      <c r="I28">
        <v>12.5</v>
      </c>
      <c r="J28">
        <v>13.5</v>
      </c>
      <c r="K28">
        <v>15.5</v>
      </c>
      <c r="L28">
        <v>16.5</v>
      </c>
      <c r="M28">
        <v>16.5</v>
      </c>
      <c r="N28">
        <v>17.5</v>
      </c>
      <c r="O28">
        <v>17.670000000000002</v>
      </c>
      <c r="P28">
        <v>19.37</v>
      </c>
      <c r="Q28">
        <v>21.49</v>
      </c>
      <c r="R28">
        <v>25.99</v>
      </c>
      <c r="S28">
        <v>28.24</v>
      </c>
    </row>
    <row r="29" spans="1:19" x14ac:dyDescent="0.25">
      <c r="A29" t="s">
        <v>2214</v>
      </c>
      <c r="O29" s="2">
        <v>2235000</v>
      </c>
      <c r="P29" s="2">
        <v>2400000</v>
      </c>
      <c r="Q29" s="2">
        <v>2400000</v>
      </c>
      <c r="R29" s="2">
        <v>2865000</v>
      </c>
      <c r="S29" s="2">
        <v>2850000</v>
      </c>
    </row>
    <row r="30" spans="1:19" x14ac:dyDescent="0.25">
      <c r="A30" t="s">
        <v>2215</v>
      </c>
      <c r="O30" s="2">
        <v>1800000</v>
      </c>
      <c r="P30" s="2">
        <v>1800000</v>
      </c>
      <c r="Q30" s="2">
        <v>1800000</v>
      </c>
      <c r="R30" s="2">
        <v>1800000</v>
      </c>
      <c r="S30" s="2">
        <v>1800000</v>
      </c>
    </row>
    <row r="31" spans="1:19" x14ac:dyDescent="0.25">
      <c r="A31" t="s">
        <v>2216</v>
      </c>
      <c r="O31" s="2">
        <v>1920000</v>
      </c>
      <c r="P31" s="2">
        <v>1920000</v>
      </c>
      <c r="Q31" s="2">
        <v>1900000</v>
      </c>
      <c r="R31" s="2">
        <v>1900000</v>
      </c>
      <c r="S31" s="2">
        <v>1900000</v>
      </c>
    </row>
    <row r="32" spans="1:19" x14ac:dyDescent="0.25">
      <c r="A32" t="s">
        <v>2217</v>
      </c>
    </row>
    <row r="33" spans="1:19" x14ac:dyDescent="0.25">
      <c r="A33" t="s">
        <v>2218</v>
      </c>
    </row>
    <row r="34" spans="1:19" x14ac:dyDescent="0.25">
      <c r="A34" t="s">
        <v>2219</v>
      </c>
    </row>
    <row r="35" spans="1:19" x14ac:dyDescent="0.25">
      <c r="A35" t="s">
        <v>2220</v>
      </c>
      <c r="O35" s="2">
        <v>1080000</v>
      </c>
      <c r="P35" s="2">
        <v>1080000</v>
      </c>
      <c r="Q35" s="2">
        <v>1080000</v>
      </c>
      <c r="R35" s="2">
        <v>1080000</v>
      </c>
      <c r="S35" s="2">
        <v>1080000</v>
      </c>
    </row>
    <row r="36" spans="1:19" x14ac:dyDescent="0.25">
      <c r="A36" t="s">
        <v>2221</v>
      </c>
      <c r="O36" s="2">
        <v>1280000</v>
      </c>
      <c r="P36" s="2">
        <v>1280000</v>
      </c>
      <c r="Q36" s="2">
        <v>1280000</v>
      </c>
      <c r="R36" s="2">
        <v>1280000</v>
      </c>
      <c r="S36" s="2">
        <v>1280000</v>
      </c>
    </row>
    <row r="37" spans="1:19" x14ac:dyDescent="0.25">
      <c r="A37" t="s">
        <v>2222</v>
      </c>
      <c r="O37" s="2">
        <v>640000</v>
      </c>
      <c r="P37" s="2">
        <v>640000</v>
      </c>
      <c r="Q37" s="2">
        <v>640000</v>
      </c>
      <c r="R37" s="2">
        <v>640000</v>
      </c>
      <c r="S37" s="2">
        <v>640000</v>
      </c>
    </row>
    <row r="38" spans="1:19" x14ac:dyDescent="0.25">
      <c r="A38" t="s">
        <v>2223</v>
      </c>
      <c r="O38" s="2">
        <v>1091768</v>
      </c>
      <c r="P38" s="2">
        <v>1091768</v>
      </c>
      <c r="Q38" s="2">
        <v>1091768</v>
      </c>
      <c r="R38" s="2">
        <v>1091768</v>
      </c>
      <c r="S38" s="2">
        <v>1091768</v>
      </c>
    </row>
    <row r="39" spans="1:19" x14ac:dyDescent="0.25">
      <c r="A39" t="s">
        <v>2224</v>
      </c>
      <c r="O39" s="2">
        <v>1773428</v>
      </c>
      <c r="P39" s="2">
        <v>1773428</v>
      </c>
      <c r="Q39" s="2">
        <v>1773428</v>
      </c>
      <c r="R39" s="2">
        <v>1780000</v>
      </c>
      <c r="S39" s="2">
        <v>1780000</v>
      </c>
    </row>
    <row r="40" spans="1:19" x14ac:dyDescent="0.25">
      <c r="A40" t="s">
        <v>2225</v>
      </c>
    </row>
    <row r="41" spans="1:19" x14ac:dyDescent="0.25">
      <c r="A41" t="s">
        <v>17</v>
      </c>
    </row>
    <row r="42" spans="1:19" x14ac:dyDescent="0.25">
      <c r="A42" t="s">
        <v>2226</v>
      </c>
      <c r="B42">
        <v>92.4</v>
      </c>
      <c r="C42">
        <v>100.4</v>
      </c>
      <c r="O42">
        <v>95.81</v>
      </c>
      <c r="P42">
        <v>98.07</v>
      </c>
      <c r="Q42">
        <v>98.38</v>
      </c>
      <c r="R42">
        <v>96.41</v>
      </c>
      <c r="S42">
        <v>96.45</v>
      </c>
    </row>
    <row r="43" spans="1:19" x14ac:dyDescent="0.25">
      <c r="A43" t="s">
        <v>2214</v>
      </c>
      <c r="O43">
        <v>115.79</v>
      </c>
      <c r="P43">
        <v>119.56</v>
      </c>
      <c r="Q43">
        <v>110.72</v>
      </c>
      <c r="R43">
        <v>106.25</v>
      </c>
      <c r="S43">
        <v>106.25</v>
      </c>
    </row>
    <row r="44" spans="1:19" x14ac:dyDescent="0.25">
      <c r="A44" t="s">
        <v>2216</v>
      </c>
      <c r="O44">
        <v>85.18</v>
      </c>
      <c r="P44">
        <v>86.25</v>
      </c>
      <c r="Q44">
        <v>90.63</v>
      </c>
    </row>
    <row r="45" spans="1:19" x14ac:dyDescent="0.25">
      <c r="A45" t="s">
        <v>2217</v>
      </c>
      <c r="O45">
        <v>83.14</v>
      </c>
      <c r="P45">
        <v>80</v>
      </c>
      <c r="Q45">
        <v>81.25</v>
      </c>
    </row>
    <row r="46" spans="1:19" x14ac:dyDescent="0.25">
      <c r="A46" t="s">
        <v>2218</v>
      </c>
      <c r="O46">
        <v>90.44</v>
      </c>
      <c r="P46">
        <v>100</v>
      </c>
      <c r="Q46">
        <v>100</v>
      </c>
    </row>
    <row r="47" spans="1:19" x14ac:dyDescent="0.25">
      <c r="A47" t="s">
        <v>2219</v>
      </c>
      <c r="O47">
        <v>98.93</v>
      </c>
      <c r="P47">
        <v>112.04</v>
      </c>
      <c r="Q47">
        <v>127.34</v>
      </c>
    </row>
    <row r="48" spans="1:19" x14ac:dyDescent="0.25">
      <c r="A48" t="s">
        <v>2220</v>
      </c>
      <c r="O48">
        <v>82.41</v>
      </c>
      <c r="P48">
        <v>80.83</v>
      </c>
      <c r="Q48">
        <v>79</v>
      </c>
      <c r="R48">
        <v>88</v>
      </c>
      <c r="S48">
        <v>88</v>
      </c>
    </row>
    <row r="49" spans="1:19" x14ac:dyDescent="0.25">
      <c r="A49" t="s">
        <v>2221</v>
      </c>
    </row>
    <row r="50" spans="1:19" x14ac:dyDescent="0.25">
      <c r="A50" t="s">
        <v>2222</v>
      </c>
    </row>
    <row r="51" spans="1:19" x14ac:dyDescent="0.25">
      <c r="A51" t="s">
        <v>2223</v>
      </c>
      <c r="O51">
        <v>84.5</v>
      </c>
      <c r="P51">
        <v>80</v>
      </c>
      <c r="Q51">
        <v>78</v>
      </c>
      <c r="R51">
        <v>78</v>
      </c>
      <c r="S51">
        <v>78</v>
      </c>
    </row>
    <row r="52" spans="1:19" x14ac:dyDescent="0.25">
      <c r="A52" t="s">
        <v>2224</v>
      </c>
      <c r="O52">
        <v>86.25</v>
      </c>
      <c r="P52">
        <v>80</v>
      </c>
      <c r="Q52">
        <v>78</v>
      </c>
      <c r="R52">
        <v>78</v>
      </c>
      <c r="S52">
        <v>78</v>
      </c>
    </row>
    <row r="53" spans="1:19" x14ac:dyDescent="0.25">
      <c r="A53" t="s">
        <v>2225</v>
      </c>
      <c r="O53">
        <v>80</v>
      </c>
      <c r="P53">
        <v>80</v>
      </c>
      <c r="Q53">
        <v>70</v>
      </c>
      <c r="R53">
        <v>70</v>
      </c>
      <c r="S53">
        <v>70</v>
      </c>
    </row>
    <row r="54" spans="1:19" x14ac:dyDescent="0.25">
      <c r="A54" t="s">
        <v>17</v>
      </c>
    </row>
    <row r="55" spans="1:19" x14ac:dyDescent="0.25">
      <c r="A55" t="s">
        <v>2211</v>
      </c>
      <c r="B55">
        <v>15.67</v>
      </c>
      <c r="C55">
        <v>8.26</v>
      </c>
      <c r="D55">
        <v>8.76</v>
      </c>
      <c r="E55">
        <v>9.61</v>
      </c>
      <c r="F55">
        <v>10.45</v>
      </c>
      <c r="G55">
        <v>10.75</v>
      </c>
      <c r="H55">
        <v>10.07</v>
      </c>
      <c r="I55">
        <v>12.4</v>
      </c>
      <c r="J55">
        <v>14.18</v>
      </c>
      <c r="K55">
        <v>15.25</v>
      </c>
      <c r="L55">
        <v>12</v>
      </c>
      <c r="M55">
        <v>12.91</v>
      </c>
      <c r="N55">
        <v>15.02</v>
      </c>
      <c r="O55">
        <v>17.649999999999999</v>
      </c>
      <c r="P55">
        <v>19.7</v>
      </c>
      <c r="Q55">
        <v>21.36</v>
      </c>
      <c r="R55">
        <v>25.36</v>
      </c>
      <c r="S55">
        <v>27.73</v>
      </c>
    </row>
    <row r="56" spans="1:19" x14ac:dyDescent="0.25">
      <c r="A56" t="s">
        <v>2214</v>
      </c>
      <c r="O56" s="2">
        <v>1983.49</v>
      </c>
      <c r="P56" s="2">
        <v>2701.83</v>
      </c>
      <c r="Q56" s="2">
        <v>3154.83</v>
      </c>
    </row>
    <row r="57" spans="1:19" x14ac:dyDescent="0.25">
      <c r="A57" t="s">
        <v>2215</v>
      </c>
      <c r="O57" s="2">
        <v>1903.28</v>
      </c>
      <c r="P57" s="2">
        <v>1683</v>
      </c>
      <c r="Q57" s="2">
        <v>1620</v>
      </c>
      <c r="R57" s="2">
        <v>1800</v>
      </c>
      <c r="S57" s="2">
        <v>1800</v>
      </c>
    </row>
    <row r="58" spans="1:19" x14ac:dyDescent="0.25">
      <c r="A58" t="s">
        <v>2216</v>
      </c>
      <c r="O58" s="2">
        <v>1573.82</v>
      </c>
      <c r="P58" s="2">
        <v>1552.5</v>
      </c>
      <c r="Q58" s="2">
        <v>1552.5</v>
      </c>
    </row>
    <row r="59" spans="1:19" x14ac:dyDescent="0.25">
      <c r="A59" t="s">
        <v>2217</v>
      </c>
      <c r="O59">
        <v>997.63</v>
      </c>
      <c r="P59">
        <v>960</v>
      </c>
      <c r="Q59">
        <v>975</v>
      </c>
    </row>
    <row r="60" spans="1:19" x14ac:dyDescent="0.25">
      <c r="A60" t="s">
        <v>2218</v>
      </c>
      <c r="O60">
        <v>32.26</v>
      </c>
      <c r="P60">
        <v>35.11</v>
      </c>
      <c r="Q60">
        <v>33.44</v>
      </c>
    </row>
    <row r="61" spans="1:19" x14ac:dyDescent="0.25">
      <c r="A61" t="s">
        <v>2219</v>
      </c>
      <c r="O61" s="2">
        <v>2169.2800000000002</v>
      </c>
      <c r="P61" s="2">
        <v>2215.13</v>
      </c>
      <c r="Q61" s="2">
        <v>2425.5</v>
      </c>
    </row>
    <row r="62" spans="1:19" x14ac:dyDescent="0.25">
      <c r="A62" t="s">
        <v>2220</v>
      </c>
      <c r="O62">
        <v>987.64</v>
      </c>
      <c r="P62" s="2">
        <v>1019</v>
      </c>
      <c r="Q62">
        <v>969.3</v>
      </c>
      <c r="R62">
        <v>885.6</v>
      </c>
      <c r="S62">
        <v>885.6</v>
      </c>
    </row>
    <row r="63" spans="1:19" x14ac:dyDescent="0.25">
      <c r="A63" t="s">
        <v>2221</v>
      </c>
      <c r="O63" s="2">
        <v>2417.7600000000002</v>
      </c>
      <c r="P63" s="2">
        <v>2415.11</v>
      </c>
      <c r="Q63" s="2">
        <v>2378.38</v>
      </c>
    </row>
    <row r="64" spans="1:19" x14ac:dyDescent="0.25">
      <c r="A64" t="s">
        <v>2222</v>
      </c>
      <c r="O64">
        <v>755.59</v>
      </c>
      <c r="P64">
        <v>737.33</v>
      </c>
      <c r="Q64">
        <v>751.73</v>
      </c>
    </row>
    <row r="65" spans="1:19" x14ac:dyDescent="0.25">
      <c r="A65" t="s">
        <v>2223</v>
      </c>
      <c r="O65" s="2">
        <v>1368.62</v>
      </c>
      <c r="P65" s="2">
        <v>1406.2</v>
      </c>
      <c r="Q65" s="2">
        <v>1406.2</v>
      </c>
    </row>
    <row r="66" spans="1:19" x14ac:dyDescent="0.25">
      <c r="A66" t="s">
        <v>2224</v>
      </c>
      <c r="O66" s="2">
        <v>1668.02</v>
      </c>
      <c r="P66" s="2">
        <v>1569.6</v>
      </c>
      <c r="Q66" s="2">
        <v>1551.8</v>
      </c>
      <c r="R66" s="2">
        <v>1388.4</v>
      </c>
      <c r="S66" s="2">
        <v>1388.4</v>
      </c>
    </row>
    <row r="67" spans="1:19" x14ac:dyDescent="0.25">
      <c r="A67" t="s">
        <v>2227</v>
      </c>
      <c r="O67">
        <v>72.89</v>
      </c>
    </row>
    <row r="68" spans="1:19" x14ac:dyDescent="0.25">
      <c r="A68" t="s">
        <v>17</v>
      </c>
    </row>
    <row r="69" spans="1:19" x14ac:dyDescent="0.25">
      <c r="A69" t="s">
        <v>2228</v>
      </c>
      <c r="O69" s="2">
        <v>8826.1</v>
      </c>
      <c r="P69" s="2">
        <v>10857.73</v>
      </c>
      <c r="Q69" s="2">
        <v>12699.85</v>
      </c>
      <c r="R69" s="2">
        <v>16295.56</v>
      </c>
      <c r="S69" s="2">
        <v>17920.63</v>
      </c>
    </row>
    <row r="70" spans="1:19" x14ac:dyDescent="0.25">
      <c r="A70" t="s">
        <v>2214</v>
      </c>
      <c r="O70" s="2">
        <v>23153.97</v>
      </c>
      <c r="P70" s="2">
        <v>26609.31</v>
      </c>
      <c r="Q70" s="2">
        <v>28205.87</v>
      </c>
    </row>
    <row r="71" spans="1:19" x14ac:dyDescent="0.25">
      <c r="A71" t="s">
        <v>2215</v>
      </c>
      <c r="O71" s="2">
        <v>23236.3</v>
      </c>
      <c r="P71" s="2">
        <v>22811.23</v>
      </c>
      <c r="Q71" s="2">
        <v>22478.41</v>
      </c>
      <c r="R71" s="2">
        <v>24041.85</v>
      </c>
      <c r="S71" s="2">
        <v>22839.759999999998</v>
      </c>
    </row>
    <row r="72" spans="1:19" x14ac:dyDescent="0.25">
      <c r="A72" t="s">
        <v>2216</v>
      </c>
      <c r="O72" s="2">
        <v>10522.08</v>
      </c>
      <c r="P72" s="2">
        <v>10532.27</v>
      </c>
      <c r="Q72" s="2">
        <v>10065.39</v>
      </c>
    </row>
    <row r="73" spans="1:19" x14ac:dyDescent="0.25">
      <c r="A73" t="s">
        <v>2217</v>
      </c>
      <c r="O73" s="2">
        <v>7893.04</v>
      </c>
      <c r="P73" s="2">
        <v>8090.36</v>
      </c>
      <c r="Q73" s="2">
        <v>7685.84</v>
      </c>
    </row>
    <row r="74" spans="1:19" x14ac:dyDescent="0.25">
      <c r="A74" t="s">
        <v>2218</v>
      </c>
      <c r="O74" s="2">
        <v>4490.84</v>
      </c>
      <c r="P74" s="2">
        <v>4603.1099999999997</v>
      </c>
      <c r="Q74" s="2">
        <v>4511.04</v>
      </c>
    </row>
    <row r="75" spans="1:19" x14ac:dyDescent="0.25">
      <c r="A75" t="s">
        <v>2219</v>
      </c>
      <c r="O75" s="2">
        <v>3595.4</v>
      </c>
      <c r="P75" s="2">
        <v>3631.08</v>
      </c>
      <c r="Q75" s="2">
        <v>3721.86</v>
      </c>
    </row>
    <row r="76" spans="1:19" x14ac:dyDescent="0.25">
      <c r="A76" t="s">
        <v>2220</v>
      </c>
      <c r="O76" s="2">
        <v>3385.44</v>
      </c>
      <c r="P76" s="2">
        <v>3316.58</v>
      </c>
      <c r="Q76" s="2">
        <v>3280.8</v>
      </c>
      <c r="R76" s="2">
        <v>2864.63</v>
      </c>
      <c r="S76" s="2">
        <v>2721.4</v>
      </c>
    </row>
    <row r="77" spans="1:19" x14ac:dyDescent="0.25">
      <c r="A77" t="s">
        <v>2221</v>
      </c>
      <c r="O77" s="2">
        <v>1904.23</v>
      </c>
      <c r="P77" s="2">
        <v>1951.83</v>
      </c>
      <c r="Q77" s="2">
        <v>2000.63</v>
      </c>
    </row>
    <row r="78" spans="1:19" x14ac:dyDescent="0.25">
      <c r="A78" t="s">
        <v>2222</v>
      </c>
      <c r="O78" s="2">
        <v>1482.93</v>
      </c>
      <c r="P78" s="2">
        <v>1408.78</v>
      </c>
      <c r="Q78" s="2">
        <v>1338.34</v>
      </c>
    </row>
    <row r="79" spans="1:19" x14ac:dyDescent="0.25">
      <c r="A79" t="s">
        <v>2223</v>
      </c>
      <c r="O79" s="2">
        <v>1257.1099999999999</v>
      </c>
      <c r="P79" s="2">
        <v>1219.51</v>
      </c>
      <c r="Q79" s="2">
        <v>1192.6500000000001</v>
      </c>
      <c r="R79">
        <v>978.22</v>
      </c>
      <c r="S79">
        <v>930.18</v>
      </c>
    </row>
    <row r="80" spans="1:19" x14ac:dyDescent="0.25">
      <c r="A80" t="s">
        <v>2224</v>
      </c>
      <c r="O80" s="2">
        <v>2491.7800000000002</v>
      </c>
      <c r="P80" s="2">
        <v>2361.4</v>
      </c>
      <c r="Q80" s="2">
        <v>2245.44</v>
      </c>
      <c r="R80" s="2">
        <v>2135.1799999999998</v>
      </c>
      <c r="S80" s="2">
        <v>2030.32</v>
      </c>
    </row>
    <row r="81" spans="1:19" x14ac:dyDescent="0.25">
      <c r="A81" t="s">
        <v>2227</v>
      </c>
      <c r="O81">
        <v>880.41</v>
      </c>
      <c r="P81">
        <v>836.39</v>
      </c>
      <c r="Q81">
        <v>794.57</v>
      </c>
    </row>
    <row r="82" spans="1:19" x14ac:dyDescent="0.25">
      <c r="A82" t="s">
        <v>17</v>
      </c>
    </row>
    <row r="83" spans="1:19" x14ac:dyDescent="0.25">
      <c r="A83" t="s">
        <v>58</v>
      </c>
    </row>
    <row r="84" spans="1:19" x14ac:dyDescent="0.25">
      <c r="A84" t="s">
        <v>16</v>
      </c>
    </row>
    <row r="85" spans="1:19" x14ac:dyDescent="0.25">
      <c r="A85" t="s">
        <v>2229</v>
      </c>
      <c r="B85" s="2">
        <v>20096.13</v>
      </c>
      <c r="C85" s="2">
        <v>25142.99</v>
      </c>
      <c r="D85" s="2">
        <v>26544.58</v>
      </c>
      <c r="E85" s="2">
        <v>29419.53</v>
      </c>
      <c r="F85" s="2">
        <v>28751.15</v>
      </c>
      <c r="G85" s="2">
        <v>30245.47</v>
      </c>
      <c r="H85" s="2">
        <v>30016.69</v>
      </c>
      <c r="I85" s="2">
        <v>40025.51</v>
      </c>
      <c r="J85" s="2">
        <v>50314.41</v>
      </c>
      <c r="K85" s="2">
        <v>66855.17</v>
      </c>
      <c r="L85" s="2">
        <v>60399.56</v>
      </c>
      <c r="M85" s="2">
        <v>78280.38</v>
      </c>
      <c r="N85" s="2">
        <v>105293.79</v>
      </c>
      <c r="O85" s="2">
        <v>144383.32</v>
      </c>
      <c r="P85" s="2">
        <v>190559.92</v>
      </c>
      <c r="Q85" s="2">
        <v>236247.72</v>
      </c>
      <c r="R85" s="2">
        <v>277409.83</v>
      </c>
      <c r="S85" s="2">
        <v>316380.23</v>
      </c>
    </row>
    <row r="86" spans="1:19" x14ac:dyDescent="0.25">
      <c r="A86" t="s">
        <v>2230</v>
      </c>
    </row>
    <row r="87" spans="1:19" x14ac:dyDescent="0.25">
      <c r="A87" t="s">
        <v>76</v>
      </c>
    </row>
    <row r="88" spans="1:19" x14ac:dyDescent="0.25">
      <c r="A88" t="s">
        <v>2231</v>
      </c>
      <c r="L88" s="2">
        <v>3466.57</v>
      </c>
      <c r="M88" s="2">
        <v>14306.13</v>
      </c>
      <c r="N88" s="2">
        <v>25557.78</v>
      </c>
      <c r="O88" s="2">
        <v>43600.959999999999</v>
      </c>
      <c r="P88" s="2">
        <v>64606.3</v>
      </c>
      <c r="Q88" s="2">
        <v>75853.27</v>
      </c>
      <c r="R88" s="2">
        <v>70279.22</v>
      </c>
      <c r="S88" s="2">
        <v>66415.7</v>
      </c>
    </row>
    <row r="89" spans="1:19" x14ac:dyDescent="0.25">
      <c r="A89" t="s">
        <v>76</v>
      </c>
      <c r="L89">
        <v>6</v>
      </c>
      <c r="M89">
        <v>18</v>
      </c>
      <c r="N89">
        <v>24</v>
      </c>
      <c r="O89">
        <v>29.94</v>
      </c>
      <c r="P89">
        <v>33.03</v>
      </c>
      <c r="Q89">
        <v>30.81</v>
      </c>
      <c r="R89">
        <v>28.78</v>
      </c>
      <c r="S89">
        <v>26.94</v>
      </c>
    </row>
    <row r="90" spans="1:19" x14ac:dyDescent="0.25">
      <c r="A90" t="s">
        <v>2232</v>
      </c>
      <c r="I90" s="2">
        <v>3088.53</v>
      </c>
      <c r="J90" s="2">
        <v>9392.19</v>
      </c>
      <c r="K90" s="2">
        <v>17073.8</v>
      </c>
      <c r="L90" s="2">
        <v>20190.759999999998</v>
      </c>
      <c r="M90" s="2">
        <v>26814.639999999999</v>
      </c>
      <c r="N90" s="2">
        <v>37963.29</v>
      </c>
      <c r="O90" s="2">
        <v>44547.09</v>
      </c>
      <c r="P90" s="2">
        <v>44199.03</v>
      </c>
      <c r="Q90" s="2">
        <v>44187.98</v>
      </c>
      <c r="R90" s="2">
        <v>43253.37</v>
      </c>
      <c r="S90" s="2">
        <v>41090.699999999997</v>
      </c>
    </row>
    <row r="91" spans="1:19" x14ac:dyDescent="0.25">
      <c r="A91" t="s">
        <v>76</v>
      </c>
      <c r="I91">
        <v>8</v>
      </c>
      <c r="J91">
        <v>19</v>
      </c>
      <c r="K91">
        <v>26</v>
      </c>
      <c r="L91">
        <v>33</v>
      </c>
      <c r="M91">
        <v>34</v>
      </c>
      <c r="N91">
        <v>36</v>
      </c>
      <c r="O91">
        <v>29.51</v>
      </c>
      <c r="P91">
        <v>21.28</v>
      </c>
      <c r="Q91">
        <v>17.21</v>
      </c>
      <c r="R91">
        <v>15.45</v>
      </c>
      <c r="S91">
        <v>13.43</v>
      </c>
    </row>
    <row r="92" spans="1:19" x14ac:dyDescent="0.25">
      <c r="A92" t="s">
        <v>2233</v>
      </c>
      <c r="L92" s="2">
        <v>11462.83</v>
      </c>
      <c r="M92" s="2">
        <v>12975.54</v>
      </c>
      <c r="N92" s="2">
        <v>14776.54</v>
      </c>
      <c r="O92" s="2">
        <v>16542.36</v>
      </c>
      <c r="P92" s="2">
        <v>18171.02</v>
      </c>
      <c r="Q92" s="2">
        <v>18885.95</v>
      </c>
      <c r="R92" s="2">
        <v>13965.84</v>
      </c>
      <c r="S92" s="2">
        <v>13144.32</v>
      </c>
    </row>
    <row r="93" spans="1:19" x14ac:dyDescent="0.25">
      <c r="A93" t="s">
        <v>76</v>
      </c>
      <c r="L93">
        <v>19</v>
      </c>
      <c r="M93">
        <v>17</v>
      </c>
      <c r="N93">
        <v>14</v>
      </c>
      <c r="O93">
        <v>10.72</v>
      </c>
      <c r="P93">
        <v>8.92</v>
      </c>
      <c r="Q93">
        <v>7.82</v>
      </c>
      <c r="R93">
        <v>7.43</v>
      </c>
      <c r="S93">
        <v>6.62</v>
      </c>
    </row>
    <row r="94" spans="1:19" x14ac:dyDescent="0.25">
      <c r="A94" t="s">
        <v>2234</v>
      </c>
      <c r="G94" s="2">
        <v>6218.74</v>
      </c>
      <c r="H94" s="2">
        <v>6043.39</v>
      </c>
      <c r="I94" s="2">
        <v>6723.55</v>
      </c>
      <c r="J94" s="2">
        <v>6840.54</v>
      </c>
      <c r="K94" s="2">
        <v>8677.85</v>
      </c>
      <c r="L94" s="2">
        <v>6137.95</v>
      </c>
      <c r="M94" s="2">
        <v>6300.62</v>
      </c>
      <c r="N94" s="2">
        <v>6940.82</v>
      </c>
      <c r="O94" s="2">
        <v>8377.0499999999993</v>
      </c>
      <c r="P94" s="2">
        <v>9172.08</v>
      </c>
      <c r="Q94" s="2">
        <v>9875.94</v>
      </c>
    </row>
    <row r="95" spans="1:19" x14ac:dyDescent="0.25">
      <c r="A95" t="s">
        <v>76</v>
      </c>
      <c r="H95">
        <v>20</v>
      </c>
      <c r="I95">
        <v>17</v>
      </c>
      <c r="J95">
        <v>14</v>
      </c>
      <c r="K95">
        <v>13</v>
      </c>
      <c r="L95">
        <v>10</v>
      </c>
      <c r="M95">
        <v>8</v>
      </c>
      <c r="O95">
        <v>5.59</v>
      </c>
      <c r="P95">
        <v>4.3099999999999996</v>
      </c>
      <c r="Q95">
        <v>3.5</v>
      </c>
      <c r="R95">
        <v>2.89</v>
      </c>
      <c r="S95">
        <v>2.73</v>
      </c>
    </row>
    <row r="96" spans="1:19" x14ac:dyDescent="0.25">
      <c r="A96" t="s">
        <v>2235</v>
      </c>
      <c r="G96">
        <v>783.89</v>
      </c>
      <c r="H96">
        <v>308.67</v>
      </c>
      <c r="I96">
        <v>287.02999999999997</v>
      </c>
      <c r="J96">
        <v>202.96</v>
      </c>
      <c r="K96">
        <v>297.14999999999998</v>
      </c>
      <c r="L96">
        <v>332.36</v>
      </c>
      <c r="M96">
        <v>126.93</v>
      </c>
      <c r="N96">
        <v>138.51</v>
      </c>
      <c r="O96">
        <v>149.63999999999999</v>
      </c>
      <c r="P96">
        <v>148.68</v>
      </c>
      <c r="Q96">
        <v>148.68</v>
      </c>
    </row>
    <row r="97" spans="1:19" x14ac:dyDescent="0.25">
      <c r="A97" t="s">
        <v>76</v>
      </c>
      <c r="H97">
        <v>1</v>
      </c>
      <c r="I97">
        <v>1</v>
      </c>
      <c r="J97">
        <v>0</v>
      </c>
      <c r="L97">
        <v>1</v>
      </c>
      <c r="M97">
        <v>0</v>
      </c>
      <c r="O97">
        <v>0.1</v>
      </c>
      <c r="P97">
        <v>0.08</v>
      </c>
      <c r="Q97">
        <v>0.06</v>
      </c>
    </row>
    <row r="98" spans="1:19" x14ac:dyDescent="0.25">
      <c r="A98" t="s">
        <v>2236</v>
      </c>
      <c r="G98" s="2">
        <v>5922.35</v>
      </c>
      <c r="H98" s="2">
        <v>4841.7700000000004</v>
      </c>
      <c r="I98" s="2">
        <v>5073.18</v>
      </c>
      <c r="J98" s="2">
        <v>5480.29</v>
      </c>
      <c r="K98" s="2">
        <v>6934.78</v>
      </c>
      <c r="L98" s="2">
        <v>5997.38</v>
      </c>
      <c r="M98" s="2">
        <v>5857.65</v>
      </c>
      <c r="N98" s="2">
        <v>7243.65</v>
      </c>
      <c r="O98" s="2">
        <v>8489.5300000000007</v>
      </c>
      <c r="P98" s="2">
        <v>9789.4</v>
      </c>
      <c r="Q98" s="2">
        <v>10789.87</v>
      </c>
      <c r="R98" s="2">
        <v>6870.53</v>
      </c>
      <c r="S98" s="2">
        <v>6527</v>
      </c>
    </row>
    <row r="99" spans="1:19" x14ac:dyDescent="0.25">
      <c r="A99" t="s">
        <v>76</v>
      </c>
      <c r="C99">
        <v>33</v>
      </c>
      <c r="D99">
        <v>28</v>
      </c>
      <c r="E99">
        <v>26</v>
      </c>
      <c r="F99">
        <v>23</v>
      </c>
      <c r="G99">
        <v>20</v>
      </c>
      <c r="H99">
        <v>16</v>
      </c>
      <c r="I99">
        <v>13</v>
      </c>
      <c r="J99">
        <v>11</v>
      </c>
      <c r="K99">
        <v>10</v>
      </c>
      <c r="L99">
        <v>10</v>
      </c>
      <c r="M99">
        <v>7</v>
      </c>
      <c r="N99">
        <v>7</v>
      </c>
      <c r="O99">
        <v>5.47</v>
      </c>
      <c r="P99">
        <v>4.8899999999999997</v>
      </c>
      <c r="Q99">
        <v>4.63</v>
      </c>
      <c r="R99">
        <v>4.08</v>
      </c>
      <c r="S99">
        <v>3.85</v>
      </c>
    </row>
    <row r="100" spans="1:19" x14ac:dyDescent="0.25">
      <c r="A100" t="s">
        <v>2237</v>
      </c>
      <c r="G100" s="2">
        <v>3378.73</v>
      </c>
      <c r="H100" s="2">
        <v>3022.21</v>
      </c>
      <c r="I100" s="2">
        <v>3504.33</v>
      </c>
      <c r="J100" s="2">
        <v>3702.55</v>
      </c>
      <c r="K100" s="2">
        <v>4885.1499999999996</v>
      </c>
      <c r="L100" s="2">
        <v>3679.04</v>
      </c>
      <c r="M100" s="2">
        <v>3376.84</v>
      </c>
      <c r="N100" s="2">
        <v>3075.35</v>
      </c>
      <c r="O100" s="2">
        <v>3167.35</v>
      </c>
      <c r="P100" s="2">
        <v>3543.73</v>
      </c>
      <c r="Q100" s="2">
        <v>3779.08</v>
      </c>
      <c r="R100" s="2">
        <v>2534.48</v>
      </c>
      <c r="S100" s="2">
        <v>2407.7600000000002</v>
      </c>
    </row>
    <row r="101" spans="1:19" x14ac:dyDescent="0.25">
      <c r="A101" t="s">
        <v>76</v>
      </c>
      <c r="C101">
        <v>17</v>
      </c>
      <c r="D101">
        <v>14</v>
      </c>
      <c r="E101">
        <v>14</v>
      </c>
      <c r="F101">
        <v>12</v>
      </c>
      <c r="G101">
        <v>11</v>
      </c>
      <c r="H101">
        <v>10</v>
      </c>
      <c r="I101">
        <v>9</v>
      </c>
      <c r="J101">
        <v>7</v>
      </c>
      <c r="K101">
        <v>7</v>
      </c>
      <c r="L101">
        <v>6</v>
      </c>
      <c r="M101">
        <v>4</v>
      </c>
      <c r="N101">
        <v>3</v>
      </c>
      <c r="O101">
        <v>2.2400000000000002</v>
      </c>
      <c r="P101">
        <v>2.34</v>
      </c>
      <c r="Q101">
        <v>2.15</v>
      </c>
      <c r="R101">
        <v>2.0499999999999998</v>
      </c>
      <c r="S101">
        <v>1.98</v>
      </c>
    </row>
    <row r="102" spans="1:19" x14ac:dyDescent="0.25">
      <c r="A102" t="s">
        <v>2238</v>
      </c>
      <c r="G102" s="2">
        <v>2526.46</v>
      </c>
      <c r="H102" s="2">
        <v>2241.58</v>
      </c>
      <c r="I102" s="2">
        <v>2079.52</v>
      </c>
      <c r="J102" s="2">
        <v>2379.77</v>
      </c>
      <c r="K102" s="2">
        <v>3131.16</v>
      </c>
      <c r="L102" s="2">
        <v>3446.69</v>
      </c>
      <c r="M102" s="2">
        <v>2899.02</v>
      </c>
      <c r="N102" s="2">
        <v>3873.82</v>
      </c>
      <c r="O102" s="2">
        <v>4893.09</v>
      </c>
      <c r="P102" s="2">
        <v>4844.3</v>
      </c>
      <c r="Q102" s="2">
        <v>5071.54</v>
      </c>
      <c r="R102" s="2">
        <v>4323.96</v>
      </c>
      <c r="S102" s="2">
        <v>4111.62</v>
      </c>
    </row>
    <row r="103" spans="1:19" x14ac:dyDescent="0.25">
      <c r="A103" t="s">
        <v>76</v>
      </c>
      <c r="C103">
        <v>13</v>
      </c>
      <c r="D103">
        <v>12</v>
      </c>
      <c r="E103">
        <v>11</v>
      </c>
      <c r="F103">
        <v>10</v>
      </c>
      <c r="G103">
        <v>8</v>
      </c>
      <c r="H103">
        <v>8</v>
      </c>
      <c r="I103">
        <v>5</v>
      </c>
      <c r="J103">
        <v>5</v>
      </c>
      <c r="K103">
        <v>5</v>
      </c>
      <c r="L103">
        <v>6</v>
      </c>
      <c r="M103">
        <v>4</v>
      </c>
      <c r="N103">
        <v>4</v>
      </c>
      <c r="O103">
        <v>3.33</v>
      </c>
      <c r="P103">
        <v>2.75</v>
      </c>
      <c r="Q103">
        <v>2.4900000000000002</v>
      </c>
      <c r="R103">
        <v>2.81</v>
      </c>
      <c r="S103">
        <v>2.72</v>
      </c>
    </row>
    <row r="104" spans="1:19" x14ac:dyDescent="0.25">
      <c r="A104" t="s">
        <v>2239</v>
      </c>
    </row>
    <row r="105" spans="1:19" x14ac:dyDescent="0.25">
      <c r="A105" t="s">
        <v>76</v>
      </c>
    </row>
    <row r="106" spans="1:19" x14ac:dyDescent="0.25">
      <c r="A106" t="s">
        <v>2240</v>
      </c>
    </row>
    <row r="107" spans="1:19" x14ac:dyDescent="0.25">
      <c r="A107" t="s">
        <v>76</v>
      </c>
    </row>
    <row r="108" spans="1:19" x14ac:dyDescent="0.25">
      <c r="A108" t="s">
        <v>2241</v>
      </c>
      <c r="B108">
        <v>13.77</v>
      </c>
      <c r="C108">
        <v>22.62</v>
      </c>
      <c r="D108">
        <v>25.43</v>
      </c>
      <c r="E108">
        <v>0</v>
      </c>
      <c r="F108" s="2">
        <v>3381.95</v>
      </c>
      <c r="G108" s="2">
        <v>3988.62</v>
      </c>
      <c r="H108" s="2">
        <v>4618.08</v>
      </c>
      <c r="I108" s="2">
        <v>5461.42</v>
      </c>
      <c r="J108" s="2">
        <v>6520.31</v>
      </c>
      <c r="K108" s="2">
        <v>9130.66</v>
      </c>
      <c r="L108" s="2">
        <v>8958.5499999999993</v>
      </c>
      <c r="M108" s="2">
        <v>11825.4</v>
      </c>
      <c r="N108" s="2">
        <v>17261.810000000001</v>
      </c>
      <c r="O108" s="2">
        <v>25126.92</v>
      </c>
      <c r="P108" s="2">
        <v>38025.050000000003</v>
      </c>
      <c r="Q108" s="2">
        <v>50570.21</v>
      </c>
      <c r="R108" s="2">
        <v>59283.1</v>
      </c>
      <c r="S108" s="2">
        <v>68305.460000000006</v>
      </c>
    </row>
    <row r="109" spans="1:19" x14ac:dyDescent="0.25">
      <c r="A109" t="s">
        <v>17</v>
      </c>
    </row>
    <row r="110" spans="1:19" x14ac:dyDescent="0.25">
      <c r="A110" t="s">
        <v>16</v>
      </c>
    </row>
    <row r="111" spans="1:19" x14ac:dyDescent="0.25">
      <c r="A111" t="s">
        <v>2242</v>
      </c>
      <c r="G111" s="2">
        <v>11347.83</v>
      </c>
      <c r="H111" s="2">
        <v>10222.969999999999</v>
      </c>
      <c r="I111" s="2">
        <v>14937.87</v>
      </c>
      <c r="J111" s="2">
        <v>21044.48</v>
      </c>
      <c r="K111" s="2">
        <v>31294.77</v>
      </c>
      <c r="L111" s="2">
        <v>29991.54</v>
      </c>
      <c r="M111" s="2">
        <v>45978.66</v>
      </c>
      <c r="N111" s="2">
        <v>70557.14</v>
      </c>
      <c r="O111" s="2">
        <v>109370.29</v>
      </c>
      <c r="P111" s="2">
        <v>155343.26999999999</v>
      </c>
      <c r="Q111" s="2">
        <v>194365.93</v>
      </c>
      <c r="R111" s="2">
        <v>226152.27</v>
      </c>
      <c r="S111" s="2">
        <v>254041.73</v>
      </c>
    </row>
    <row r="112" spans="1:19" x14ac:dyDescent="0.25">
      <c r="A112" t="s">
        <v>61</v>
      </c>
      <c r="H112">
        <v>32</v>
      </c>
      <c r="I112">
        <v>33</v>
      </c>
      <c r="J112">
        <v>37</v>
      </c>
      <c r="K112">
        <v>41</v>
      </c>
      <c r="L112">
        <v>43</v>
      </c>
      <c r="M112">
        <v>51</v>
      </c>
      <c r="N112">
        <v>58</v>
      </c>
      <c r="O112">
        <v>62.79</v>
      </c>
      <c r="P112">
        <v>66.489999999999995</v>
      </c>
      <c r="Q112">
        <v>68.819999999999993</v>
      </c>
      <c r="R112">
        <v>72.91</v>
      </c>
      <c r="S112">
        <v>73.53</v>
      </c>
    </row>
    <row r="113" spans="1:19" x14ac:dyDescent="0.25">
      <c r="A113" t="s">
        <v>2243</v>
      </c>
      <c r="G113" s="2">
        <v>15481.32</v>
      </c>
      <c r="H113" s="2">
        <v>16949.03</v>
      </c>
      <c r="I113" s="2">
        <v>21917.32</v>
      </c>
      <c r="J113" s="2">
        <v>24886.57</v>
      </c>
      <c r="K113" s="2">
        <v>29834.57</v>
      </c>
      <c r="L113" s="2">
        <v>26146.080000000002</v>
      </c>
      <c r="M113" s="2">
        <v>31291.79</v>
      </c>
      <c r="N113" s="2">
        <v>35740.31</v>
      </c>
      <c r="O113" s="2">
        <v>40580.26</v>
      </c>
      <c r="P113" s="2">
        <v>43991.06</v>
      </c>
      <c r="Q113" s="2">
        <v>48111.51</v>
      </c>
      <c r="R113" s="2">
        <v>53736.97</v>
      </c>
      <c r="S113" s="2">
        <v>57919.93</v>
      </c>
    </row>
    <row r="114" spans="1:19" x14ac:dyDescent="0.25">
      <c r="A114" t="s">
        <v>61</v>
      </c>
      <c r="H114">
        <v>45</v>
      </c>
      <c r="I114">
        <v>48</v>
      </c>
      <c r="J114">
        <v>44</v>
      </c>
      <c r="K114">
        <v>39</v>
      </c>
      <c r="L114">
        <v>38</v>
      </c>
      <c r="M114">
        <v>35</v>
      </c>
      <c r="N114">
        <v>29</v>
      </c>
      <c r="O114">
        <v>23.66</v>
      </c>
      <c r="P114">
        <v>19.72</v>
      </c>
      <c r="Q114">
        <v>17.27</v>
      </c>
      <c r="R114">
        <v>17.260000000000002</v>
      </c>
      <c r="S114">
        <v>16.670000000000002</v>
      </c>
    </row>
    <row r="115" spans="1:19" x14ac:dyDescent="0.25">
      <c r="A115" t="s">
        <v>2244</v>
      </c>
      <c r="G115" s="2">
        <v>2160.35</v>
      </c>
      <c r="H115" s="2">
        <v>2794.86</v>
      </c>
      <c r="I115" s="2">
        <v>3748.14</v>
      </c>
      <c r="J115" s="2">
        <v>4762.05</v>
      </c>
      <c r="K115" s="2">
        <v>6582.45</v>
      </c>
      <c r="L115" s="2">
        <v>5195</v>
      </c>
      <c r="M115" s="2">
        <v>5152.8599999999997</v>
      </c>
      <c r="N115" s="2">
        <v>6146.89</v>
      </c>
      <c r="O115" s="2">
        <v>8321.42</v>
      </c>
      <c r="P115" s="2">
        <v>9941.42</v>
      </c>
      <c r="Q115" s="2">
        <v>11812.53</v>
      </c>
      <c r="R115" s="2">
        <v>14058.52</v>
      </c>
      <c r="S115" s="2">
        <v>15786.02</v>
      </c>
    </row>
    <row r="116" spans="1:19" x14ac:dyDescent="0.25">
      <c r="A116" t="s">
        <v>61</v>
      </c>
      <c r="H116">
        <v>8</v>
      </c>
      <c r="I116">
        <v>8</v>
      </c>
      <c r="J116">
        <v>8</v>
      </c>
      <c r="K116">
        <v>9</v>
      </c>
      <c r="L116">
        <v>8</v>
      </c>
      <c r="M116">
        <v>6</v>
      </c>
      <c r="N116">
        <v>5</v>
      </c>
      <c r="O116">
        <v>4.9400000000000004</v>
      </c>
      <c r="P116">
        <v>4.55</v>
      </c>
      <c r="Q116">
        <v>4.6500000000000004</v>
      </c>
      <c r="R116">
        <v>4.53</v>
      </c>
      <c r="S116">
        <v>4.5599999999999996</v>
      </c>
    </row>
    <row r="117" spans="1:19" x14ac:dyDescent="0.25">
      <c r="A117" t="s">
        <v>780</v>
      </c>
      <c r="G117" s="2">
        <v>1716.22</v>
      </c>
      <c r="H117" s="2">
        <v>1550.96</v>
      </c>
      <c r="I117" s="2">
        <v>1506.92</v>
      </c>
      <c r="J117" s="2">
        <v>2401.56</v>
      </c>
      <c r="K117" s="2">
        <v>3906.24</v>
      </c>
      <c r="L117" s="2">
        <v>4288.22</v>
      </c>
      <c r="M117" s="2">
        <v>4337.42</v>
      </c>
      <c r="N117" s="2">
        <v>6005.98</v>
      </c>
      <c r="O117" s="2">
        <v>7002.49</v>
      </c>
      <c r="P117" s="2">
        <v>8598.2000000000007</v>
      </c>
      <c r="Q117" s="2">
        <v>10309.49</v>
      </c>
      <c r="R117" s="2">
        <v>9692.1299999999992</v>
      </c>
      <c r="S117" s="2">
        <v>10661.34</v>
      </c>
    </row>
    <row r="118" spans="1:19" x14ac:dyDescent="0.25">
      <c r="A118" t="s">
        <v>61</v>
      </c>
      <c r="H118">
        <v>5</v>
      </c>
      <c r="I118">
        <v>3</v>
      </c>
      <c r="J118">
        <v>4</v>
      </c>
      <c r="K118">
        <v>5</v>
      </c>
      <c r="L118">
        <v>6</v>
      </c>
      <c r="M118">
        <v>5</v>
      </c>
      <c r="N118">
        <v>5</v>
      </c>
      <c r="O118">
        <v>4.0599999999999996</v>
      </c>
      <c r="P118">
        <v>3.84</v>
      </c>
      <c r="Q118">
        <v>3.79</v>
      </c>
      <c r="R118">
        <v>3.13</v>
      </c>
      <c r="S118">
        <v>3.09</v>
      </c>
    </row>
    <row r="119" spans="1:19" x14ac:dyDescent="0.25">
      <c r="A119" t="s">
        <v>2245</v>
      </c>
      <c r="G119" s="2">
        <v>1940.6</v>
      </c>
      <c r="H119" s="2">
        <v>1739.32</v>
      </c>
      <c r="I119" s="2">
        <v>1852.95</v>
      </c>
      <c r="J119" s="2">
        <v>1989.85</v>
      </c>
      <c r="K119" s="2">
        <v>1884.93</v>
      </c>
      <c r="L119" s="2">
        <v>1507.96</v>
      </c>
      <c r="M119" s="2">
        <v>1493.11</v>
      </c>
      <c r="N119" s="2">
        <v>1544.28</v>
      </c>
      <c r="O119" s="2">
        <v>1534.45</v>
      </c>
      <c r="P119" s="2">
        <v>1621.87</v>
      </c>
      <c r="Q119" s="2">
        <v>1649.13</v>
      </c>
    </row>
    <row r="120" spans="1:19" x14ac:dyDescent="0.25">
      <c r="A120" t="s">
        <v>61</v>
      </c>
      <c r="G120">
        <v>9</v>
      </c>
      <c r="H120">
        <v>6</v>
      </c>
      <c r="I120">
        <v>4</v>
      </c>
      <c r="J120">
        <v>4</v>
      </c>
      <c r="K120">
        <v>3</v>
      </c>
      <c r="L120">
        <v>2</v>
      </c>
      <c r="M120">
        <v>1</v>
      </c>
      <c r="N120">
        <v>1</v>
      </c>
      <c r="O120">
        <v>0.91</v>
      </c>
      <c r="P120">
        <v>0.76</v>
      </c>
      <c r="Q120">
        <v>0.67</v>
      </c>
      <c r="R120">
        <v>0.64</v>
      </c>
      <c r="S120">
        <v>0.62</v>
      </c>
    </row>
    <row r="121" spans="1:19" x14ac:dyDescent="0.25">
      <c r="A121" t="s">
        <v>2241</v>
      </c>
      <c r="G121" s="2">
        <v>1587.78</v>
      </c>
      <c r="H121" s="2">
        <v>1377.63</v>
      </c>
      <c r="I121" s="2">
        <v>1523.74</v>
      </c>
      <c r="J121" s="2">
        <v>1750.21</v>
      </c>
      <c r="K121" s="2">
        <v>2482.87</v>
      </c>
      <c r="L121" s="2">
        <v>2229.3000000000002</v>
      </c>
      <c r="M121" s="2">
        <v>1851.95</v>
      </c>
      <c r="N121" s="2">
        <v>2561.0100000000002</v>
      </c>
      <c r="O121" s="2">
        <v>3134.54</v>
      </c>
      <c r="P121" s="2">
        <v>3738.97</v>
      </c>
      <c r="Q121" s="2">
        <v>4293.3500000000004</v>
      </c>
      <c r="R121" s="2">
        <v>4718.41</v>
      </c>
      <c r="S121" s="2">
        <v>5251.51</v>
      </c>
    </row>
    <row r="122" spans="1:19" x14ac:dyDescent="0.25">
      <c r="A122" t="s">
        <v>61</v>
      </c>
      <c r="H122">
        <v>4</v>
      </c>
      <c r="I122">
        <v>4</v>
      </c>
      <c r="J122">
        <v>3</v>
      </c>
      <c r="K122">
        <v>3</v>
      </c>
      <c r="L122">
        <v>3</v>
      </c>
      <c r="M122">
        <v>2</v>
      </c>
      <c r="N122">
        <v>2</v>
      </c>
      <c r="O122">
        <v>1.83</v>
      </c>
      <c r="P122">
        <v>1.67</v>
      </c>
      <c r="Q122">
        <v>1.6</v>
      </c>
      <c r="R122">
        <v>1.53</v>
      </c>
      <c r="S122">
        <v>1.52</v>
      </c>
    </row>
    <row r="123" spans="1:19" x14ac:dyDescent="0.25">
      <c r="A123" t="s">
        <v>17</v>
      </c>
    </row>
    <row r="124" spans="1:19" x14ac:dyDescent="0.25">
      <c r="A124" t="s">
        <v>51</v>
      </c>
    </row>
    <row r="125" spans="1:19" x14ac:dyDescent="0.25">
      <c r="A125" t="s">
        <v>2246</v>
      </c>
      <c r="G125" s="2">
        <v>2710.94</v>
      </c>
      <c r="H125" s="2">
        <v>8077.72</v>
      </c>
      <c r="I125" s="2">
        <v>13410.39</v>
      </c>
      <c r="J125" s="2">
        <v>15767.17</v>
      </c>
      <c r="K125" s="2">
        <v>17962.04</v>
      </c>
      <c r="L125" s="2">
        <v>11462.09</v>
      </c>
    </row>
    <row r="126" spans="1:19" x14ac:dyDescent="0.25">
      <c r="A126" t="s">
        <v>2247</v>
      </c>
      <c r="G126">
        <v>9</v>
      </c>
      <c r="H126">
        <v>27</v>
      </c>
      <c r="I126">
        <v>33</v>
      </c>
      <c r="J126">
        <v>31</v>
      </c>
      <c r="K126">
        <v>27</v>
      </c>
      <c r="L126">
        <v>19</v>
      </c>
    </row>
    <row r="127" spans="1:19" x14ac:dyDescent="0.25">
      <c r="A127" t="s">
        <v>2248</v>
      </c>
      <c r="G127" s="2">
        <v>3219.03</v>
      </c>
      <c r="H127">
        <v>753.12</v>
      </c>
      <c r="I127">
        <v>115.59</v>
      </c>
      <c r="J127">
        <v>23.63</v>
      </c>
      <c r="K127">
        <v>0.83</v>
      </c>
      <c r="L127">
        <v>0.75</v>
      </c>
    </row>
    <row r="128" spans="1:19" x14ac:dyDescent="0.25">
      <c r="A128" t="s">
        <v>2249</v>
      </c>
      <c r="F128">
        <v>10</v>
      </c>
      <c r="G128">
        <v>11</v>
      </c>
      <c r="H128">
        <v>3</v>
      </c>
      <c r="I128">
        <v>0</v>
      </c>
      <c r="O128">
        <v>0.08</v>
      </c>
      <c r="P128">
        <v>0.06</v>
      </c>
      <c r="Q128">
        <v>0.04</v>
      </c>
    </row>
    <row r="129" spans="1:19" x14ac:dyDescent="0.25">
      <c r="A129" t="s">
        <v>2250</v>
      </c>
      <c r="G129" s="2">
        <v>1216.46</v>
      </c>
      <c r="H129">
        <v>829.44</v>
      </c>
      <c r="I129">
        <v>997.89</v>
      </c>
      <c r="J129" s="2">
        <v>1155.03</v>
      </c>
      <c r="K129" s="2">
        <v>1348.75</v>
      </c>
      <c r="L129">
        <v>822.71</v>
      </c>
      <c r="M129">
        <v>669.63</v>
      </c>
      <c r="N129">
        <v>687.21</v>
      </c>
      <c r="O129" s="2">
        <v>1204.77</v>
      </c>
      <c r="P129" s="2">
        <v>1385.3</v>
      </c>
      <c r="Q129" s="2">
        <v>1482.89</v>
      </c>
      <c r="R129" s="2">
        <v>1036.4000000000001</v>
      </c>
      <c r="S129">
        <v>985.51</v>
      </c>
    </row>
    <row r="130" spans="1:19" x14ac:dyDescent="0.25">
      <c r="A130" t="s">
        <v>2251</v>
      </c>
      <c r="C130">
        <v>7</v>
      </c>
      <c r="D130">
        <v>7</v>
      </c>
      <c r="E130">
        <v>5</v>
      </c>
      <c r="F130">
        <v>4</v>
      </c>
      <c r="G130">
        <v>4</v>
      </c>
      <c r="H130">
        <v>3</v>
      </c>
      <c r="I130">
        <v>2</v>
      </c>
      <c r="J130">
        <v>2</v>
      </c>
      <c r="K130">
        <v>2</v>
      </c>
      <c r="L130">
        <v>1</v>
      </c>
      <c r="M130">
        <v>1</v>
      </c>
      <c r="N130">
        <v>1</v>
      </c>
      <c r="O130">
        <v>0.51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t="s">
        <v>2252</v>
      </c>
      <c r="G131">
        <v>686.28</v>
      </c>
      <c r="H131">
        <v>742.79</v>
      </c>
      <c r="I131" s="2">
        <v>1127.52</v>
      </c>
      <c r="J131" s="2">
        <v>1452.13</v>
      </c>
      <c r="K131" s="2">
        <v>1946.47</v>
      </c>
      <c r="L131" s="2">
        <v>1512.76</v>
      </c>
      <c r="M131" s="2">
        <v>1632.65</v>
      </c>
      <c r="N131" s="2">
        <v>1571.62</v>
      </c>
      <c r="O131" s="2">
        <v>1396.1</v>
      </c>
      <c r="P131" s="2">
        <v>1469.72</v>
      </c>
      <c r="Q131" s="2">
        <v>1519.3</v>
      </c>
      <c r="R131" s="2">
        <v>1082.5</v>
      </c>
      <c r="S131">
        <v>791.36</v>
      </c>
    </row>
    <row r="132" spans="1:19" x14ac:dyDescent="0.25">
      <c r="A132" t="s">
        <v>2253</v>
      </c>
      <c r="C132">
        <v>3</v>
      </c>
      <c r="D132">
        <v>2</v>
      </c>
      <c r="E132">
        <v>2</v>
      </c>
      <c r="F132">
        <v>3</v>
      </c>
      <c r="G132">
        <v>2</v>
      </c>
      <c r="H132">
        <v>2</v>
      </c>
      <c r="I132">
        <v>3</v>
      </c>
      <c r="J132">
        <v>3</v>
      </c>
      <c r="K132">
        <v>3</v>
      </c>
      <c r="L132">
        <v>2</v>
      </c>
      <c r="M132">
        <v>2</v>
      </c>
      <c r="N132">
        <v>1</v>
      </c>
      <c r="O132">
        <v>1</v>
      </c>
      <c r="P132">
        <v>1.07</v>
      </c>
      <c r="Q132">
        <v>1.22</v>
      </c>
      <c r="R132">
        <v>0.92</v>
      </c>
      <c r="S132">
        <v>0.85</v>
      </c>
    </row>
    <row r="133" spans="1:19" x14ac:dyDescent="0.25">
      <c r="A133" t="s">
        <v>2254</v>
      </c>
      <c r="G133" s="2">
        <v>2694.41</v>
      </c>
      <c r="H133" s="2">
        <v>2510.7199999999998</v>
      </c>
      <c r="I133" s="2">
        <v>2921.22</v>
      </c>
      <c r="J133" s="2">
        <v>3104.16</v>
      </c>
      <c r="K133" s="2">
        <v>3711.24</v>
      </c>
      <c r="L133" s="2">
        <v>2778.97</v>
      </c>
      <c r="M133" s="2">
        <v>2826.69</v>
      </c>
      <c r="N133" s="2">
        <v>2840.83</v>
      </c>
      <c r="O133" s="2">
        <v>2951.64</v>
      </c>
      <c r="P133" s="2">
        <v>3073.51</v>
      </c>
      <c r="Q133" s="2">
        <v>3187.36</v>
      </c>
      <c r="R133" s="2">
        <v>2961.64</v>
      </c>
      <c r="S133" s="2">
        <v>2816.2</v>
      </c>
    </row>
    <row r="134" spans="1:19" x14ac:dyDescent="0.25">
      <c r="A134" t="s">
        <v>2255</v>
      </c>
      <c r="C134">
        <v>13</v>
      </c>
      <c r="D134">
        <v>12</v>
      </c>
      <c r="E134">
        <v>10</v>
      </c>
      <c r="F134">
        <v>10</v>
      </c>
      <c r="G134">
        <v>9</v>
      </c>
      <c r="H134">
        <v>8</v>
      </c>
      <c r="I134">
        <v>7</v>
      </c>
      <c r="J134">
        <v>6</v>
      </c>
      <c r="K134">
        <v>6</v>
      </c>
      <c r="L134">
        <v>5</v>
      </c>
      <c r="M134">
        <v>4</v>
      </c>
      <c r="N134">
        <v>3</v>
      </c>
      <c r="O134">
        <v>2.0499999999999998</v>
      </c>
      <c r="P134">
        <v>1.85</v>
      </c>
      <c r="Q134">
        <v>1.67</v>
      </c>
      <c r="R134">
        <v>1.47</v>
      </c>
      <c r="S134">
        <v>1.37</v>
      </c>
    </row>
    <row r="135" spans="1:19" x14ac:dyDescent="0.25">
      <c r="A135" t="s">
        <v>2256</v>
      </c>
      <c r="G135">
        <v>888.19</v>
      </c>
      <c r="H135">
        <v>645.29</v>
      </c>
      <c r="I135">
        <v>696.78</v>
      </c>
      <c r="J135">
        <v>813.99</v>
      </c>
      <c r="K135">
        <v>885.94</v>
      </c>
      <c r="L135">
        <v>571.53</v>
      </c>
      <c r="M135">
        <v>494.03</v>
      </c>
      <c r="N135">
        <v>624.36</v>
      </c>
      <c r="O135">
        <v>673.5</v>
      </c>
      <c r="P135" s="2">
        <v>6307.73</v>
      </c>
      <c r="Q135" s="2">
        <v>20491.259999999998</v>
      </c>
      <c r="R135" s="2">
        <v>43893.07</v>
      </c>
      <c r="S135" s="2">
        <v>61963.24</v>
      </c>
    </row>
    <row r="136" spans="1:19" x14ac:dyDescent="0.25">
      <c r="A136" t="s">
        <v>2257</v>
      </c>
      <c r="C136">
        <v>5</v>
      </c>
      <c r="D136">
        <v>5</v>
      </c>
      <c r="E136">
        <v>4</v>
      </c>
      <c r="F136">
        <v>3</v>
      </c>
      <c r="G136">
        <v>3</v>
      </c>
      <c r="H136">
        <v>2</v>
      </c>
      <c r="I136">
        <v>2</v>
      </c>
      <c r="J136">
        <v>2</v>
      </c>
      <c r="K136">
        <v>1</v>
      </c>
      <c r="L136">
        <v>1</v>
      </c>
      <c r="M136">
        <v>1</v>
      </c>
      <c r="N136">
        <v>0</v>
      </c>
      <c r="O136">
        <v>0.74</v>
      </c>
      <c r="P136">
        <v>1.71</v>
      </c>
      <c r="Q136">
        <v>3.56</v>
      </c>
      <c r="R136">
        <v>2.5299999999999998</v>
      </c>
      <c r="S136">
        <v>3.04</v>
      </c>
    </row>
    <row r="137" spans="1:19" x14ac:dyDescent="0.25">
      <c r="A137" t="s">
        <v>17</v>
      </c>
    </row>
    <row r="138" spans="1:19" x14ac:dyDescent="0.25">
      <c r="A138" t="s">
        <v>72</v>
      </c>
    </row>
    <row r="139" spans="1:19" x14ac:dyDescent="0.25">
      <c r="A139" t="s">
        <v>16</v>
      </c>
    </row>
    <row r="140" spans="1:19" x14ac:dyDescent="0.25">
      <c r="A140" t="s">
        <v>736</v>
      </c>
      <c r="B140" s="2">
        <v>2497.65</v>
      </c>
      <c r="C140" s="2">
        <v>2931.45</v>
      </c>
      <c r="D140" s="2">
        <v>2840.32</v>
      </c>
      <c r="E140" s="2">
        <v>3943.43</v>
      </c>
      <c r="F140" s="2">
        <v>2962.96</v>
      </c>
      <c r="G140" s="2">
        <v>2597.44</v>
      </c>
      <c r="H140" s="2">
        <v>2727.29</v>
      </c>
      <c r="I140" s="2">
        <v>4384.22</v>
      </c>
      <c r="J140" s="2">
        <v>7302.58</v>
      </c>
      <c r="K140" s="2">
        <v>7064.3</v>
      </c>
      <c r="L140" s="2">
        <v>4805.5200000000004</v>
      </c>
      <c r="M140" s="2">
        <v>8418.5300000000007</v>
      </c>
      <c r="N140" s="2">
        <v>9634.61</v>
      </c>
    </row>
    <row r="141" spans="1:19" x14ac:dyDescent="0.25">
      <c r="A141" t="s">
        <v>73</v>
      </c>
      <c r="B141" s="2">
        <v>14257.1</v>
      </c>
      <c r="C141" s="2">
        <v>17319.650000000001</v>
      </c>
      <c r="D141" s="2">
        <v>17847.79</v>
      </c>
      <c r="E141" s="2">
        <v>18943.03</v>
      </c>
      <c r="F141" s="2">
        <v>20413.39</v>
      </c>
      <c r="G141" s="2">
        <v>21003.03</v>
      </c>
      <c r="H141" s="2">
        <v>20545.27</v>
      </c>
      <c r="I141" s="2">
        <v>27779.82</v>
      </c>
      <c r="J141" s="2">
        <v>36376.04</v>
      </c>
      <c r="K141" s="2">
        <v>50122.47</v>
      </c>
      <c r="L141" s="2">
        <v>45201.919999999998</v>
      </c>
      <c r="M141" s="2">
        <v>62023.81</v>
      </c>
      <c r="N141" s="2">
        <v>91205.69</v>
      </c>
    </row>
    <row r="142" spans="1:19" x14ac:dyDescent="0.25">
      <c r="A142" t="s">
        <v>585</v>
      </c>
      <c r="G142" s="2">
        <v>5834.52</v>
      </c>
      <c r="H142" s="2">
        <v>6736.11</v>
      </c>
      <c r="I142" s="2">
        <v>7940.3</v>
      </c>
      <c r="J142" s="2">
        <v>5891.51</v>
      </c>
      <c r="K142" s="2">
        <v>8228.91</v>
      </c>
      <c r="L142" s="2">
        <v>8571.49</v>
      </c>
      <c r="M142" s="2">
        <v>10325.68</v>
      </c>
      <c r="N142" s="2">
        <v>10537.34</v>
      </c>
    </row>
    <row r="143" spans="1:19" x14ac:dyDescent="0.25">
      <c r="A143" t="s">
        <v>586</v>
      </c>
      <c r="G143" s="2">
        <v>1929.17</v>
      </c>
      <c r="H143" s="2">
        <v>1860.22</v>
      </c>
      <c r="I143" s="2">
        <v>2149.92</v>
      </c>
      <c r="J143" s="2">
        <v>2575</v>
      </c>
      <c r="K143" s="2">
        <v>3997.48</v>
      </c>
      <c r="L143" s="2">
        <v>4237.46</v>
      </c>
      <c r="M143" s="2">
        <v>4490.49</v>
      </c>
      <c r="N143" s="2">
        <v>4839.99</v>
      </c>
    </row>
    <row r="144" spans="1:19" x14ac:dyDescent="0.25">
      <c r="A144" t="s">
        <v>475</v>
      </c>
      <c r="C144" s="2">
        <v>1543.2</v>
      </c>
      <c r="D144" s="2">
        <v>1797.54</v>
      </c>
      <c r="E144" s="2">
        <v>1801.36</v>
      </c>
      <c r="F144" s="2">
        <v>2253.17</v>
      </c>
      <c r="G144" s="2">
        <v>2358.73</v>
      </c>
      <c r="H144" s="2">
        <v>2187.14</v>
      </c>
      <c r="I144" s="2">
        <v>2384.75</v>
      </c>
      <c r="J144" s="2">
        <v>3186.86</v>
      </c>
      <c r="K144" s="2">
        <v>4154.1499999999996</v>
      </c>
      <c r="L144" s="2">
        <v>3765.05</v>
      </c>
      <c r="M144" s="2">
        <v>3199.16</v>
      </c>
      <c r="N144" s="2">
        <v>4072.82</v>
      </c>
    </row>
    <row r="145" spans="1:19" x14ac:dyDescent="0.25">
      <c r="A145" t="s">
        <v>2258</v>
      </c>
      <c r="B145">
        <v>62.14</v>
      </c>
      <c r="C145">
        <v>74.98</v>
      </c>
      <c r="D145">
        <v>187.64</v>
      </c>
      <c r="E145">
        <v>172.38</v>
      </c>
      <c r="F145">
        <v>110.25</v>
      </c>
      <c r="G145">
        <v>511.21</v>
      </c>
      <c r="H145">
        <v>578.73</v>
      </c>
      <c r="I145">
        <v>847.92</v>
      </c>
      <c r="J145" s="2">
        <v>1502.73</v>
      </c>
      <c r="K145" s="2">
        <v>2418.52</v>
      </c>
      <c r="L145" s="2">
        <v>2776.66</v>
      </c>
      <c r="M145" s="2">
        <v>1648.12</v>
      </c>
      <c r="N145" s="2">
        <v>2265.16</v>
      </c>
    </row>
    <row r="146" spans="1:19" x14ac:dyDescent="0.25">
      <c r="A146" t="s">
        <v>17</v>
      </c>
    </row>
    <row r="147" spans="1:19" x14ac:dyDescent="0.25">
      <c r="A147" t="s">
        <v>51</v>
      </c>
    </row>
    <row r="148" spans="1:19" x14ac:dyDescent="0.25">
      <c r="A148" t="s">
        <v>60</v>
      </c>
    </row>
    <row r="149" spans="1:19" x14ac:dyDescent="0.25">
      <c r="A149" t="s">
        <v>861</v>
      </c>
      <c r="B149" s="2">
        <v>1904.25</v>
      </c>
      <c r="C149" s="2">
        <v>3296.33</v>
      </c>
      <c r="D149" s="2">
        <v>3896.71</v>
      </c>
      <c r="E149" s="2">
        <v>4559.3100000000004</v>
      </c>
      <c r="F149" s="2">
        <v>6393.34</v>
      </c>
    </row>
    <row r="150" spans="1:19" x14ac:dyDescent="0.25">
      <c r="A150" t="s">
        <v>17</v>
      </c>
    </row>
    <row r="151" spans="1:19" x14ac:dyDescent="0.25">
      <c r="A151" t="s">
        <v>79</v>
      </c>
    </row>
    <row r="152" spans="1:19" x14ac:dyDescent="0.25">
      <c r="A152" t="s">
        <v>80</v>
      </c>
      <c r="B152" s="2">
        <v>20109.900000000001</v>
      </c>
      <c r="C152" s="2">
        <v>25165.61</v>
      </c>
      <c r="D152" s="2">
        <v>26570</v>
      </c>
      <c r="E152" s="2">
        <v>29419.53</v>
      </c>
      <c r="F152" s="2">
        <v>32133.11</v>
      </c>
      <c r="G152" s="2">
        <v>34234.089999999997</v>
      </c>
      <c r="H152" s="2">
        <v>34634.76</v>
      </c>
      <c r="I152" s="2">
        <v>45486.94</v>
      </c>
      <c r="J152" s="2">
        <v>56834.9</v>
      </c>
      <c r="K152" s="2">
        <v>75985.83</v>
      </c>
      <c r="L152" s="2">
        <v>69358.11</v>
      </c>
      <c r="M152" s="2">
        <v>90105.8</v>
      </c>
      <c r="N152" s="2">
        <v>122555.47</v>
      </c>
      <c r="O152" s="2">
        <v>170159.68</v>
      </c>
      <c r="P152" s="2">
        <v>229557.83</v>
      </c>
      <c r="Q152" s="2">
        <v>287917.57</v>
      </c>
      <c r="R152" s="2">
        <v>323219.46999999997</v>
      </c>
      <c r="S152" s="2">
        <v>381529.14</v>
      </c>
    </row>
    <row r="153" spans="1:19" x14ac:dyDescent="0.25">
      <c r="A153" t="s">
        <v>17</v>
      </c>
    </row>
    <row r="154" spans="1:19" x14ac:dyDescent="0.25">
      <c r="A154" t="s">
        <v>82</v>
      </c>
      <c r="B154" s="2">
        <v>10646.65</v>
      </c>
      <c r="C154" s="2">
        <v>12704.25</v>
      </c>
      <c r="D154" s="2">
        <v>13642.64</v>
      </c>
      <c r="E154" s="2">
        <v>14682.98</v>
      </c>
      <c r="F154" s="2">
        <v>15865.93</v>
      </c>
      <c r="G154" s="2">
        <v>17709.900000000001</v>
      </c>
      <c r="H154" s="2">
        <v>18686.310000000001</v>
      </c>
      <c r="I154" s="2">
        <v>21333.85</v>
      </c>
      <c r="J154" s="2">
        <v>27492.57</v>
      </c>
      <c r="K154" s="2">
        <v>30729.3</v>
      </c>
      <c r="L154" s="2">
        <v>31655.33</v>
      </c>
      <c r="M154" s="2">
        <v>39536.300000000003</v>
      </c>
      <c r="N154" s="2">
        <v>49155.4</v>
      </c>
      <c r="O154" s="2">
        <v>56897.01</v>
      </c>
      <c r="P154" s="2">
        <v>76899.899999999994</v>
      </c>
      <c r="Q154" s="2">
        <v>95555.4</v>
      </c>
      <c r="R154" s="2">
        <v>116543.96</v>
      </c>
      <c r="S154" s="2">
        <v>136588.85</v>
      </c>
    </row>
    <row r="155" spans="1:19" x14ac:dyDescent="0.25">
      <c r="A155" t="s">
        <v>83</v>
      </c>
      <c r="B155">
        <v>52.94</v>
      </c>
      <c r="C155">
        <v>50.48</v>
      </c>
      <c r="D155">
        <v>51.35</v>
      </c>
      <c r="E155">
        <v>49.91</v>
      </c>
      <c r="F155">
        <v>49.38</v>
      </c>
      <c r="G155">
        <v>51.73</v>
      </c>
      <c r="H155">
        <v>53.95</v>
      </c>
      <c r="I155">
        <v>46.9</v>
      </c>
      <c r="J155">
        <v>48.37</v>
      </c>
      <c r="K155">
        <v>40.44</v>
      </c>
      <c r="L155">
        <v>45.64</v>
      </c>
      <c r="M155">
        <v>43.88</v>
      </c>
      <c r="N155">
        <v>40.11</v>
      </c>
      <c r="O155">
        <v>34.78</v>
      </c>
      <c r="P155">
        <v>33.07</v>
      </c>
      <c r="Q155">
        <v>33.130000000000003</v>
      </c>
    </row>
    <row r="156" spans="1:19" x14ac:dyDescent="0.25">
      <c r="A156" t="s">
        <v>84</v>
      </c>
      <c r="B156" s="2">
        <v>9463.24</v>
      </c>
      <c r="C156" s="2">
        <v>12461.36</v>
      </c>
      <c r="D156" s="2">
        <v>12927.36</v>
      </c>
      <c r="E156" s="2">
        <v>14736.54</v>
      </c>
      <c r="F156" s="2">
        <v>16267.18</v>
      </c>
      <c r="G156" s="2">
        <v>16524.2</v>
      </c>
      <c r="H156" s="2">
        <v>15948.46</v>
      </c>
      <c r="I156" s="2">
        <v>24153.08</v>
      </c>
      <c r="J156" s="2">
        <v>29342.15</v>
      </c>
      <c r="K156" s="2">
        <v>45256.53</v>
      </c>
      <c r="L156" s="2">
        <v>37702.78</v>
      </c>
      <c r="M156" s="2">
        <v>50569.49</v>
      </c>
      <c r="N156" s="2">
        <v>73400.2</v>
      </c>
      <c r="O156" s="2">
        <v>113216.95</v>
      </c>
      <c r="P156" s="2">
        <v>151116.04999999999</v>
      </c>
      <c r="Q156" s="2">
        <v>184866.16</v>
      </c>
      <c r="R156" s="2">
        <v>195924.44</v>
      </c>
      <c r="S156" s="2">
        <v>226369.09</v>
      </c>
    </row>
    <row r="157" spans="1:19" x14ac:dyDescent="0.25">
      <c r="A157" t="s">
        <v>85</v>
      </c>
      <c r="F157">
        <v>50.62</v>
      </c>
      <c r="G157">
        <v>48.27</v>
      </c>
      <c r="H157">
        <v>46.05</v>
      </c>
      <c r="I157">
        <v>53.1</v>
      </c>
      <c r="J157">
        <v>51.63</v>
      </c>
      <c r="K157">
        <v>59.56</v>
      </c>
      <c r="L157">
        <v>54.4</v>
      </c>
      <c r="M157">
        <v>56.1</v>
      </c>
      <c r="N157">
        <v>59.9</v>
      </c>
      <c r="O157">
        <v>66.17</v>
      </c>
      <c r="P157">
        <v>66.17</v>
      </c>
      <c r="Q157">
        <v>65.94</v>
      </c>
      <c r="R157">
        <v>63.77</v>
      </c>
      <c r="S157">
        <v>63.42</v>
      </c>
    </row>
    <row r="158" spans="1:19" x14ac:dyDescent="0.25">
      <c r="A158" t="s">
        <v>17</v>
      </c>
    </row>
    <row r="159" spans="1:19" x14ac:dyDescent="0.25">
      <c r="A159" t="s">
        <v>275</v>
      </c>
      <c r="B159" s="2">
        <v>2409.6999999999998</v>
      </c>
      <c r="C159" s="2">
        <v>2700.83</v>
      </c>
      <c r="D159" s="2">
        <v>2873.12</v>
      </c>
      <c r="E159" s="2">
        <v>3007.97</v>
      </c>
      <c r="F159" s="2">
        <v>3592.11</v>
      </c>
      <c r="G159" s="2">
        <v>3791.92</v>
      </c>
      <c r="H159" s="2">
        <v>3884.35</v>
      </c>
      <c r="I159" s="2">
        <v>4903.8500000000004</v>
      </c>
      <c r="J159" s="2">
        <v>6075.96</v>
      </c>
      <c r="K159" s="2">
        <v>7621.94</v>
      </c>
      <c r="L159" s="2">
        <v>8138.3</v>
      </c>
      <c r="M159" s="2">
        <v>9412.16</v>
      </c>
      <c r="N159" s="2">
        <v>11106.82</v>
      </c>
      <c r="O159" s="2">
        <v>13841.67</v>
      </c>
      <c r="P159" s="2">
        <v>18325.27</v>
      </c>
      <c r="Q159" s="2">
        <v>22110.73</v>
      </c>
      <c r="R159" s="2">
        <v>25613.99</v>
      </c>
      <c r="S159" s="2">
        <v>28733.71</v>
      </c>
    </row>
    <row r="160" spans="1:19" x14ac:dyDescent="0.25">
      <c r="A160" t="s">
        <v>83</v>
      </c>
      <c r="B160">
        <v>11.98</v>
      </c>
      <c r="C160">
        <v>10.73</v>
      </c>
      <c r="D160">
        <v>10.81</v>
      </c>
      <c r="E160">
        <v>10.220000000000001</v>
      </c>
      <c r="F160">
        <v>11.18</v>
      </c>
      <c r="G160">
        <v>11.08</v>
      </c>
      <c r="H160">
        <v>11.22</v>
      </c>
      <c r="I160">
        <v>10.78</v>
      </c>
      <c r="J160">
        <v>10.69</v>
      </c>
      <c r="K160">
        <v>10.029999999999999</v>
      </c>
      <c r="L160">
        <v>11.73</v>
      </c>
      <c r="M160">
        <v>10.45</v>
      </c>
      <c r="N160">
        <v>9.06</v>
      </c>
      <c r="O160">
        <v>8.1300000000000008</v>
      </c>
      <c r="P160">
        <v>7.84</v>
      </c>
      <c r="Q160">
        <v>7.74</v>
      </c>
      <c r="R160">
        <v>8.1</v>
      </c>
      <c r="S160">
        <v>7.86</v>
      </c>
    </row>
    <row r="161" spans="1:19" x14ac:dyDescent="0.25">
      <c r="A161" t="s">
        <v>683</v>
      </c>
      <c r="B161" s="2">
        <v>1620.79</v>
      </c>
      <c r="C161" s="2">
        <v>1874.83</v>
      </c>
      <c r="D161" s="2">
        <v>2064.64</v>
      </c>
      <c r="E161" s="2">
        <v>2209.9499999999998</v>
      </c>
      <c r="F161" s="2">
        <v>2654.04</v>
      </c>
      <c r="G161" s="2">
        <v>2850.83</v>
      </c>
      <c r="H161" s="2">
        <v>2959.17</v>
      </c>
      <c r="I161" s="2">
        <v>3718.63</v>
      </c>
      <c r="J161" s="2">
        <v>4465.92</v>
      </c>
      <c r="K161" s="2">
        <v>5479.77</v>
      </c>
      <c r="L161" s="2">
        <v>5851.25</v>
      </c>
      <c r="M161" s="2">
        <v>6356.6</v>
      </c>
      <c r="N161" s="2">
        <v>7928.75</v>
      </c>
      <c r="O161" s="2">
        <v>10175.23</v>
      </c>
      <c r="P161" s="2">
        <v>13505.32</v>
      </c>
      <c r="Q161" s="2">
        <v>16183.41</v>
      </c>
      <c r="R161" s="2">
        <v>19577.310000000001</v>
      </c>
      <c r="S161" s="2">
        <v>21981.49</v>
      </c>
    </row>
    <row r="162" spans="1:19" x14ac:dyDescent="0.25">
      <c r="A162" t="s">
        <v>61</v>
      </c>
      <c r="B162">
        <v>8.06</v>
      </c>
      <c r="C162">
        <v>7.45</v>
      </c>
      <c r="D162">
        <v>7.77</v>
      </c>
      <c r="E162">
        <v>7.51</v>
      </c>
      <c r="F162">
        <v>8.26</v>
      </c>
      <c r="G162">
        <v>8.33</v>
      </c>
      <c r="H162">
        <v>8.5399999999999991</v>
      </c>
      <c r="I162">
        <v>8.18</v>
      </c>
      <c r="J162">
        <v>7.86</v>
      </c>
      <c r="K162">
        <v>7.21</v>
      </c>
      <c r="L162">
        <v>8.44</v>
      </c>
      <c r="M162">
        <v>7.05</v>
      </c>
      <c r="N162">
        <v>6.47</v>
      </c>
      <c r="O162">
        <v>5.99</v>
      </c>
      <c r="P162">
        <v>5.89</v>
      </c>
      <c r="Q162">
        <v>5.82</v>
      </c>
      <c r="R162">
        <v>6.02</v>
      </c>
      <c r="S162">
        <v>5.69</v>
      </c>
    </row>
    <row r="163" spans="1:19" x14ac:dyDescent="0.25">
      <c r="A163" t="s">
        <v>2259</v>
      </c>
      <c r="B163">
        <v>789.71</v>
      </c>
      <c r="C163">
        <v>792.46</v>
      </c>
      <c r="D163">
        <v>722.04</v>
      </c>
      <c r="E163">
        <v>797.5</v>
      </c>
      <c r="F163">
        <v>893.17</v>
      </c>
      <c r="G163">
        <v>871.35</v>
      </c>
      <c r="H163">
        <v>909.12</v>
      </c>
      <c r="I163" s="2">
        <v>1208.1300000000001</v>
      </c>
      <c r="J163" s="2">
        <v>1592.82</v>
      </c>
      <c r="K163" s="2">
        <v>2129.5</v>
      </c>
      <c r="L163" s="2">
        <v>2292.87</v>
      </c>
      <c r="M163" s="2">
        <v>3016.34</v>
      </c>
      <c r="N163" s="2">
        <v>3192.46</v>
      </c>
      <c r="O163" s="2">
        <v>3799.2</v>
      </c>
      <c r="P163" s="2">
        <v>4939.92</v>
      </c>
      <c r="Q163" s="2">
        <v>5988.22</v>
      </c>
      <c r="R163" s="2">
        <v>7183.15</v>
      </c>
      <c r="S163" s="2">
        <v>8118.6</v>
      </c>
    </row>
    <row r="164" spans="1:19" x14ac:dyDescent="0.25">
      <c r="A164" t="s">
        <v>61</v>
      </c>
      <c r="B164">
        <v>3.92</v>
      </c>
      <c r="C164">
        <v>3.28</v>
      </c>
      <c r="D164">
        <v>3.04</v>
      </c>
      <c r="E164">
        <v>2.71</v>
      </c>
      <c r="F164">
        <v>2.92</v>
      </c>
      <c r="G164">
        <v>2.75</v>
      </c>
      <c r="H164">
        <v>2.67</v>
      </c>
      <c r="I164">
        <v>2.61</v>
      </c>
      <c r="J164">
        <v>2.83</v>
      </c>
      <c r="K164">
        <v>2.82</v>
      </c>
      <c r="L164">
        <v>3.3</v>
      </c>
      <c r="M164">
        <v>3.39</v>
      </c>
      <c r="N164">
        <v>2.59</v>
      </c>
      <c r="O164">
        <v>2.21</v>
      </c>
      <c r="P164">
        <v>2.17</v>
      </c>
      <c r="Q164">
        <v>2.1</v>
      </c>
      <c r="R164">
        <v>2.2200000000000002</v>
      </c>
      <c r="S164">
        <v>2.23</v>
      </c>
    </row>
    <row r="165" spans="1:19" x14ac:dyDescent="0.25">
      <c r="A165" t="s">
        <v>1958</v>
      </c>
      <c r="B165">
        <v>152.13</v>
      </c>
      <c r="C165">
        <v>167.84</v>
      </c>
      <c r="D165">
        <v>178.44</v>
      </c>
      <c r="E165">
        <v>183.13</v>
      </c>
      <c r="F165">
        <v>196.34</v>
      </c>
      <c r="G165">
        <v>198.73</v>
      </c>
      <c r="H165">
        <v>205.5</v>
      </c>
      <c r="I165">
        <v>241.58</v>
      </c>
      <c r="J165">
        <v>270.62</v>
      </c>
      <c r="K165">
        <v>332.97</v>
      </c>
      <c r="L165">
        <v>339.8</v>
      </c>
      <c r="M165">
        <v>409.19</v>
      </c>
      <c r="N165">
        <v>544.34</v>
      </c>
      <c r="O165">
        <v>632.98</v>
      </c>
      <c r="P165">
        <v>877.58</v>
      </c>
      <c r="Q165">
        <v>983.24</v>
      </c>
      <c r="R165" s="2">
        <v>1135.04</v>
      </c>
      <c r="S165" s="2">
        <v>1251.78</v>
      </c>
    </row>
    <row r="166" spans="1:19" x14ac:dyDescent="0.25">
      <c r="A166" t="s">
        <v>2260</v>
      </c>
      <c r="B166">
        <v>637.58000000000004</v>
      </c>
      <c r="C166">
        <v>624.63</v>
      </c>
      <c r="D166">
        <v>543.6</v>
      </c>
      <c r="E166">
        <v>614.36</v>
      </c>
      <c r="F166">
        <v>696.83</v>
      </c>
      <c r="G166">
        <v>672.61</v>
      </c>
      <c r="H166">
        <v>703.62</v>
      </c>
      <c r="I166">
        <v>966.54</v>
      </c>
      <c r="J166" s="2">
        <v>1322.2</v>
      </c>
      <c r="K166" s="2">
        <v>1796.52</v>
      </c>
      <c r="L166" s="2">
        <v>1953.07</v>
      </c>
      <c r="M166" s="2">
        <v>2607.15</v>
      </c>
      <c r="N166" s="2">
        <v>2648.13</v>
      </c>
      <c r="O166" s="2">
        <v>3143.75</v>
      </c>
      <c r="P166" s="2">
        <v>4277.1000000000004</v>
      </c>
      <c r="Q166" s="2">
        <v>4883.95</v>
      </c>
      <c r="R166" s="2">
        <v>5247.74</v>
      </c>
      <c r="S166" s="2">
        <v>5787.49</v>
      </c>
    </row>
    <row r="167" spans="1:19" x14ac:dyDescent="0.25">
      <c r="A167" t="s">
        <v>2241</v>
      </c>
      <c r="B167">
        <v>1.59</v>
      </c>
      <c r="C167">
        <v>-33.06</v>
      </c>
      <c r="D167">
        <v>-59.24</v>
      </c>
      <c r="E167">
        <v>0.93</v>
      </c>
      <c r="F167">
        <v>-44.89</v>
      </c>
      <c r="G167">
        <v>-69.75</v>
      </c>
      <c r="H167">
        <v>-16.059999999999999</v>
      </c>
      <c r="I167">
        <v>24.12</v>
      </c>
      <c r="J167">
        <v>-11.94</v>
      </c>
      <c r="K167">
        <v>-12.37</v>
      </c>
      <c r="L167">
        <v>6.05</v>
      </c>
      <c r="M167">
        <v>-38.299999999999997</v>
      </c>
      <c r="N167">
        <v>14.39</v>
      </c>
      <c r="O167">
        <v>254.73</v>
      </c>
      <c r="P167">
        <v>261.2</v>
      </c>
      <c r="Q167">
        <v>299.86</v>
      </c>
      <c r="R167">
        <v>240.89</v>
      </c>
      <c r="S167">
        <v>252.93</v>
      </c>
    </row>
    <row r="168" spans="1:19" x14ac:dyDescent="0.25">
      <c r="A168" t="s">
        <v>17</v>
      </c>
    </row>
    <row r="169" spans="1:19" x14ac:dyDescent="0.25">
      <c r="A169" t="s">
        <v>91</v>
      </c>
      <c r="F169" s="2">
        <v>12675.07</v>
      </c>
      <c r="G169" s="2">
        <v>12732.27</v>
      </c>
      <c r="H169" s="2">
        <v>12064.11</v>
      </c>
      <c r="I169" s="2">
        <v>19250.45</v>
      </c>
      <c r="J169" s="2">
        <v>23271.47</v>
      </c>
      <c r="K169" s="2">
        <v>37634.89</v>
      </c>
      <c r="L169" s="2">
        <v>29564.720000000001</v>
      </c>
      <c r="M169" s="2">
        <v>41158.25</v>
      </c>
      <c r="N169" s="2">
        <v>62293.39</v>
      </c>
      <c r="O169" s="2">
        <v>98942.71</v>
      </c>
      <c r="P169" s="2">
        <v>133162.04</v>
      </c>
      <c r="Q169" s="2">
        <v>165911.01</v>
      </c>
      <c r="R169" s="2">
        <v>149060.09</v>
      </c>
      <c r="S169" s="2">
        <v>172595.84</v>
      </c>
    </row>
    <row r="170" spans="1:19" x14ac:dyDescent="0.25">
      <c r="A170" t="s">
        <v>92</v>
      </c>
      <c r="B170">
        <v>35.08</v>
      </c>
      <c r="C170">
        <v>38.79</v>
      </c>
      <c r="D170">
        <v>37.94</v>
      </c>
      <c r="E170">
        <v>39.869999999999997</v>
      </c>
      <c r="F170">
        <v>39.450000000000003</v>
      </c>
      <c r="G170">
        <v>37.19</v>
      </c>
      <c r="H170">
        <v>34.83</v>
      </c>
      <c r="I170">
        <v>42.32</v>
      </c>
      <c r="J170">
        <v>40.94</v>
      </c>
      <c r="K170">
        <v>49.53</v>
      </c>
      <c r="L170">
        <v>42.63</v>
      </c>
      <c r="M170">
        <v>45.68</v>
      </c>
      <c r="N170">
        <v>50.83</v>
      </c>
      <c r="O170">
        <v>58.31</v>
      </c>
      <c r="P170">
        <v>58.25</v>
      </c>
      <c r="Q170">
        <v>58.22</v>
      </c>
      <c r="R170">
        <v>54.42</v>
      </c>
      <c r="S170">
        <v>54.62</v>
      </c>
    </row>
    <row r="171" spans="1:19" x14ac:dyDescent="0.25">
      <c r="A171" t="s">
        <v>2261</v>
      </c>
      <c r="B171">
        <v>0.27</v>
      </c>
      <c r="C171">
        <v>0.38</v>
      </c>
      <c r="D171">
        <v>0.39</v>
      </c>
      <c r="E171">
        <v>0.45</v>
      </c>
      <c r="F171">
        <v>0.49</v>
      </c>
      <c r="G171">
        <v>0.49</v>
      </c>
      <c r="H171">
        <v>0.47</v>
      </c>
      <c r="I171">
        <v>0.74</v>
      </c>
      <c r="J171">
        <v>0.9</v>
      </c>
      <c r="K171">
        <v>1.45</v>
      </c>
      <c r="L171">
        <v>1.1399999999999999</v>
      </c>
      <c r="M171">
        <v>1.59</v>
      </c>
      <c r="N171">
        <v>2.4</v>
      </c>
      <c r="O171">
        <v>3.87</v>
      </c>
      <c r="P171">
        <v>5.42</v>
      </c>
      <c r="Q171">
        <v>7.07</v>
      </c>
    </row>
    <row r="172" spans="1:19" x14ac:dyDescent="0.25">
      <c r="A172" t="s">
        <v>17</v>
      </c>
    </row>
    <row r="173" spans="1:19" x14ac:dyDescent="0.25">
      <c r="A173" t="s">
        <v>93</v>
      </c>
      <c r="B173" s="2">
        <v>5260.76</v>
      </c>
      <c r="C173" s="2">
        <v>6606.46</v>
      </c>
      <c r="D173" s="2">
        <v>7008.88</v>
      </c>
      <c r="E173" s="2">
        <v>6946.58</v>
      </c>
      <c r="F173" s="2">
        <v>8552.07</v>
      </c>
      <c r="G173" s="2">
        <v>9709.4699999999993</v>
      </c>
      <c r="H173" s="2">
        <v>9286.27</v>
      </c>
      <c r="I173" s="2">
        <v>11266.82</v>
      </c>
      <c r="J173" s="2">
        <v>15123.14</v>
      </c>
      <c r="K173" s="2">
        <v>14676.12</v>
      </c>
      <c r="L173" s="2">
        <v>17075.05</v>
      </c>
      <c r="M173" s="2">
        <v>20634.23</v>
      </c>
      <c r="N173" s="2">
        <v>22139.37</v>
      </c>
      <c r="O173" s="2">
        <v>25283.63</v>
      </c>
      <c r="P173" s="2">
        <v>31865.8</v>
      </c>
      <c r="Q173" s="2">
        <v>39934.22</v>
      </c>
      <c r="R173" s="2">
        <v>48751.24</v>
      </c>
      <c r="S173" s="2">
        <v>58428.26</v>
      </c>
    </row>
    <row r="174" spans="1:19" x14ac:dyDescent="0.25">
      <c r="A174" t="s">
        <v>83</v>
      </c>
      <c r="B174">
        <v>26.16</v>
      </c>
      <c r="C174">
        <v>26.25</v>
      </c>
      <c r="D174">
        <v>26.38</v>
      </c>
      <c r="E174">
        <v>23.61</v>
      </c>
      <c r="F174">
        <v>26.61</v>
      </c>
      <c r="G174">
        <v>28.36</v>
      </c>
      <c r="H174">
        <v>26.81</v>
      </c>
      <c r="I174">
        <v>24.77</v>
      </c>
      <c r="J174">
        <v>26.61</v>
      </c>
      <c r="K174">
        <v>19.309999999999999</v>
      </c>
      <c r="L174">
        <v>24.62</v>
      </c>
      <c r="M174">
        <v>22.9</v>
      </c>
      <c r="N174">
        <v>18.059999999999999</v>
      </c>
      <c r="O174">
        <v>14.96</v>
      </c>
      <c r="P174">
        <v>14.73</v>
      </c>
      <c r="Q174">
        <v>15.78</v>
      </c>
      <c r="R174">
        <v>15.61</v>
      </c>
    </row>
    <row r="175" spans="1:19" x14ac:dyDescent="0.25">
      <c r="A175" t="s">
        <v>2262</v>
      </c>
      <c r="B175" s="2">
        <v>5186.59</v>
      </c>
      <c r="C175" s="2">
        <v>6520.48</v>
      </c>
      <c r="D175" s="2">
        <v>6908.01</v>
      </c>
      <c r="E175" s="2">
        <v>6830.4</v>
      </c>
      <c r="F175" s="2">
        <v>8409.17</v>
      </c>
      <c r="G175" s="2">
        <v>9562.7199999999993</v>
      </c>
      <c r="H175" s="2">
        <v>9024.23</v>
      </c>
      <c r="I175" s="2">
        <v>11266.82</v>
      </c>
      <c r="J175" s="2">
        <v>15123.14</v>
      </c>
      <c r="K175" s="2">
        <v>14676.12</v>
      </c>
      <c r="L175" s="2">
        <v>17075.05</v>
      </c>
      <c r="M175" s="2">
        <v>20634.23</v>
      </c>
      <c r="N175" s="2">
        <v>22139.37</v>
      </c>
      <c r="O175" s="2">
        <v>25283.63</v>
      </c>
      <c r="P175" s="2">
        <v>31865.8</v>
      </c>
      <c r="Q175" s="2">
        <v>39934.22</v>
      </c>
      <c r="R175" s="2">
        <v>48751.24</v>
      </c>
      <c r="S175" s="2">
        <v>58428.26</v>
      </c>
    </row>
    <row r="176" spans="1:19" x14ac:dyDescent="0.25">
      <c r="A176" t="s">
        <v>61</v>
      </c>
      <c r="B176">
        <v>25.79</v>
      </c>
      <c r="C176">
        <v>25.91</v>
      </c>
      <c r="D176">
        <v>26</v>
      </c>
      <c r="E176">
        <v>23.22</v>
      </c>
      <c r="F176">
        <v>26.17</v>
      </c>
      <c r="G176">
        <v>27.93</v>
      </c>
      <c r="H176">
        <v>26.3</v>
      </c>
      <c r="I176">
        <v>24.23</v>
      </c>
      <c r="J176">
        <v>26.09</v>
      </c>
      <c r="K176">
        <v>18.93</v>
      </c>
      <c r="L176">
        <v>24.19</v>
      </c>
      <c r="M176">
        <v>22.58</v>
      </c>
      <c r="N176">
        <v>17.84</v>
      </c>
    </row>
    <row r="177" spans="1:19" x14ac:dyDescent="0.25">
      <c r="A177" t="s">
        <v>396</v>
      </c>
      <c r="B177">
        <v>74.17</v>
      </c>
      <c r="C177">
        <v>85.99</v>
      </c>
      <c r="D177">
        <v>100.87</v>
      </c>
      <c r="E177">
        <v>116.18</v>
      </c>
      <c r="F177">
        <v>142.9</v>
      </c>
      <c r="G177">
        <v>146.74</v>
      </c>
      <c r="H177">
        <v>177.14</v>
      </c>
      <c r="I177">
        <v>244.08</v>
      </c>
      <c r="J177">
        <v>293.83999999999997</v>
      </c>
      <c r="K177">
        <v>293.89</v>
      </c>
      <c r="L177">
        <v>297.05</v>
      </c>
      <c r="M177">
        <v>285.98</v>
      </c>
      <c r="N177">
        <v>270.67</v>
      </c>
      <c r="O177">
        <v>306.48</v>
      </c>
      <c r="P177">
        <v>353.83</v>
      </c>
      <c r="Q177">
        <v>429.34</v>
      </c>
      <c r="R177">
        <v>658.3</v>
      </c>
      <c r="S177">
        <v>791.52</v>
      </c>
    </row>
    <row r="178" spans="1:19" x14ac:dyDescent="0.25">
      <c r="A178" t="s">
        <v>277</v>
      </c>
      <c r="F178" s="2">
        <v>21084.240000000002</v>
      </c>
      <c r="G178" s="2">
        <v>22295</v>
      </c>
      <c r="H178" s="2">
        <v>21350.37</v>
      </c>
      <c r="I178" s="2">
        <v>30517.26</v>
      </c>
      <c r="J178" s="2">
        <v>38394.61</v>
      </c>
      <c r="L178" s="2">
        <v>46639.77</v>
      </c>
      <c r="M178" s="2">
        <v>61792.480000000003</v>
      </c>
      <c r="N178" s="2">
        <v>84432.75</v>
      </c>
      <c r="O178" s="2">
        <v>125237.17</v>
      </c>
      <c r="P178" s="2">
        <v>168284.11</v>
      </c>
      <c r="Q178" s="2">
        <v>211554.41</v>
      </c>
      <c r="R178" s="2">
        <v>232750.51</v>
      </c>
      <c r="S178" s="2">
        <v>272570.69</v>
      </c>
    </row>
    <row r="179" spans="1:19" x14ac:dyDescent="0.25">
      <c r="A179" t="s">
        <v>83</v>
      </c>
      <c r="B179">
        <v>61.24</v>
      </c>
      <c r="C179">
        <v>65.040000000000006</v>
      </c>
      <c r="D179">
        <v>64.319999999999993</v>
      </c>
      <c r="E179">
        <v>63.48</v>
      </c>
      <c r="F179">
        <v>66.06</v>
      </c>
      <c r="G179">
        <v>65.55</v>
      </c>
      <c r="H179">
        <v>61.64</v>
      </c>
      <c r="I179">
        <v>67.09</v>
      </c>
      <c r="J179">
        <v>67.55</v>
      </c>
      <c r="K179">
        <v>68.84</v>
      </c>
      <c r="L179">
        <v>67.239999999999995</v>
      </c>
      <c r="M179">
        <v>68.58</v>
      </c>
      <c r="N179">
        <v>68.89</v>
      </c>
      <c r="O179">
        <v>73.63</v>
      </c>
      <c r="P179">
        <v>72.69</v>
      </c>
      <c r="Q179">
        <v>72.900000000000006</v>
      </c>
      <c r="R179">
        <v>70.64</v>
      </c>
      <c r="S179">
        <v>71.489999999999995</v>
      </c>
    </row>
    <row r="180" spans="1:19" x14ac:dyDescent="0.25">
      <c r="A180" t="s">
        <v>17</v>
      </c>
    </row>
    <row r="181" spans="1:19" x14ac:dyDescent="0.25">
      <c r="A181" t="s">
        <v>95</v>
      </c>
      <c r="B181">
        <v>-204.05</v>
      </c>
      <c r="C181">
        <v>-204.81</v>
      </c>
      <c r="D181">
        <v>-957</v>
      </c>
      <c r="E181">
        <v>-248.33</v>
      </c>
      <c r="F181">
        <v>-347.61</v>
      </c>
      <c r="G181">
        <v>-460.89</v>
      </c>
      <c r="H181">
        <v>-554.95000000000005</v>
      </c>
      <c r="I181">
        <v>-612.35</v>
      </c>
      <c r="J181">
        <v>-475.93</v>
      </c>
      <c r="K181">
        <v>-769.32</v>
      </c>
      <c r="L181" s="2">
        <v>-1851.7</v>
      </c>
      <c r="M181" s="2">
        <v>-2609.34</v>
      </c>
      <c r="N181" s="2">
        <v>-3396.73</v>
      </c>
      <c r="O181" s="2">
        <v>-5738.81</v>
      </c>
      <c r="P181" s="2">
        <v>-4339.9399999999996</v>
      </c>
      <c r="Q181" s="2">
        <v>-5204.07</v>
      </c>
      <c r="R181" s="2">
        <v>-6351.97</v>
      </c>
      <c r="S181" s="2">
        <v>-8060.31</v>
      </c>
    </row>
    <row r="182" spans="1:19" x14ac:dyDescent="0.25">
      <c r="A182" t="s">
        <v>392</v>
      </c>
      <c r="B182">
        <v>27.31</v>
      </c>
      <c r="C182">
        <v>16.68</v>
      </c>
      <c r="D182">
        <v>-29.58</v>
      </c>
      <c r="E182">
        <v>-93.46</v>
      </c>
      <c r="F182">
        <v>-201.67</v>
      </c>
      <c r="G182">
        <v>-386.43</v>
      </c>
      <c r="H182">
        <v>-418.81</v>
      </c>
      <c r="I182">
        <v>-235.61</v>
      </c>
      <c r="J182">
        <v>-10.55</v>
      </c>
      <c r="K182">
        <v>-358.21</v>
      </c>
      <c r="L182" s="2">
        <v>-1549.5</v>
      </c>
      <c r="M182" s="2">
        <v>-2388.39</v>
      </c>
      <c r="N182" s="2">
        <v>-3004.12</v>
      </c>
      <c r="O182" s="2">
        <v>-2949.67</v>
      </c>
      <c r="P182" s="2">
        <v>-3338.24</v>
      </c>
      <c r="Q182" s="2">
        <v>-4294.83</v>
      </c>
      <c r="R182" s="2">
        <v>-4304.26</v>
      </c>
      <c r="S182" s="2">
        <v>-5134.2299999999996</v>
      </c>
    </row>
    <row r="183" spans="1:19" x14ac:dyDescent="0.25">
      <c r="A183" t="s">
        <v>398</v>
      </c>
      <c r="B183">
        <v>61.84</v>
      </c>
      <c r="C183">
        <v>90.09</v>
      </c>
      <c r="D183">
        <v>130.07</v>
      </c>
      <c r="E183">
        <v>196.07</v>
      </c>
      <c r="F183">
        <v>311.14999999999998</v>
      </c>
      <c r="G183">
        <v>487.7</v>
      </c>
      <c r="H183">
        <v>524.04</v>
      </c>
      <c r="I183">
        <v>306.3</v>
      </c>
      <c r="J183">
        <v>204.39</v>
      </c>
      <c r="K183">
        <v>752.58</v>
      </c>
      <c r="L183" s="2">
        <v>1934.5</v>
      </c>
      <c r="M183" s="2">
        <v>2715.13</v>
      </c>
      <c r="N183" s="2">
        <v>3402.14</v>
      </c>
      <c r="O183" s="2">
        <v>3942.87</v>
      </c>
      <c r="P183" s="2">
        <v>4478.6099999999997</v>
      </c>
      <c r="Q183" s="2">
        <v>6004.29</v>
      </c>
      <c r="R183" s="2">
        <v>9837.8700000000008</v>
      </c>
      <c r="S183" s="2">
        <v>14538.76</v>
      </c>
    </row>
    <row r="184" spans="1:19" x14ac:dyDescent="0.25">
      <c r="A184" t="s">
        <v>484</v>
      </c>
      <c r="B184">
        <v>89.15</v>
      </c>
      <c r="C184">
        <v>106.77</v>
      </c>
      <c r="D184">
        <v>100.49</v>
      </c>
      <c r="E184">
        <v>102.61</v>
      </c>
      <c r="F184">
        <v>109.48</v>
      </c>
      <c r="G184">
        <v>101.27</v>
      </c>
      <c r="H184">
        <v>105.23</v>
      </c>
      <c r="I184">
        <v>70.7</v>
      </c>
      <c r="J184">
        <v>193.85</v>
      </c>
      <c r="K184">
        <v>394.38</v>
      </c>
      <c r="L184">
        <v>384.99</v>
      </c>
      <c r="M184">
        <v>326.74</v>
      </c>
      <c r="N184">
        <v>398.01</v>
      </c>
      <c r="O184">
        <v>292.13</v>
      </c>
      <c r="P184">
        <v>315.79000000000002</v>
      </c>
      <c r="Q184">
        <v>341.06</v>
      </c>
    </row>
    <row r="185" spans="1:19" x14ac:dyDescent="0.25">
      <c r="A185" t="s">
        <v>1417</v>
      </c>
      <c r="B185">
        <v>133.79</v>
      </c>
      <c r="C185">
        <v>130.33000000000001</v>
      </c>
      <c r="D185">
        <v>130.16</v>
      </c>
      <c r="E185">
        <v>108.49</v>
      </c>
      <c r="F185">
        <v>98.16</v>
      </c>
      <c r="G185">
        <v>101.49</v>
      </c>
      <c r="H185">
        <v>92.07</v>
      </c>
      <c r="I185">
        <v>122.03</v>
      </c>
      <c r="J185">
        <v>200.61</v>
      </c>
      <c r="K185">
        <v>261.75</v>
      </c>
      <c r="L185">
        <v>149.36000000000001</v>
      </c>
      <c r="M185">
        <v>151.9</v>
      </c>
      <c r="N185">
        <v>176.85</v>
      </c>
      <c r="O185">
        <v>177.4</v>
      </c>
      <c r="P185">
        <v>190.17</v>
      </c>
      <c r="Q185">
        <v>197.76</v>
      </c>
      <c r="R185">
        <v>182.79</v>
      </c>
      <c r="S185">
        <v>182.79</v>
      </c>
    </row>
    <row r="186" spans="1:19" x14ac:dyDescent="0.25">
      <c r="A186" t="s">
        <v>2263</v>
      </c>
      <c r="B186">
        <v>-133.79</v>
      </c>
      <c r="C186">
        <v>-130.33000000000001</v>
      </c>
      <c r="D186">
        <v>-130.16</v>
      </c>
      <c r="E186">
        <v>-108.49</v>
      </c>
      <c r="F186">
        <v>-98.16</v>
      </c>
      <c r="G186">
        <v>-101.49</v>
      </c>
      <c r="H186">
        <v>-92.07</v>
      </c>
      <c r="I186">
        <v>-122.03</v>
      </c>
      <c r="J186">
        <v>-200.61</v>
      </c>
      <c r="K186">
        <v>-261.75</v>
      </c>
      <c r="L186">
        <v>-149.36000000000001</v>
      </c>
      <c r="M186">
        <v>-151.9</v>
      </c>
      <c r="N186">
        <v>-176.85</v>
      </c>
      <c r="O186">
        <v>-167.08</v>
      </c>
      <c r="P186">
        <v>-181.22</v>
      </c>
      <c r="Q186">
        <v>-209.49</v>
      </c>
      <c r="R186">
        <v>-229.36</v>
      </c>
      <c r="S186">
        <v>-207.08</v>
      </c>
    </row>
    <row r="187" spans="1:19" x14ac:dyDescent="0.25">
      <c r="A187" t="s">
        <v>485</v>
      </c>
      <c r="B187">
        <v>-70.900000000000006</v>
      </c>
      <c r="C187">
        <v>-7.0000000000000007E-2</v>
      </c>
      <c r="D187">
        <v>-699.52</v>
      </c>
      <c r="E187">
        <v>-6.08</v>
      </c>
      <c r="F187">
        <v>-43</v>
      </c>
      <c r="G187">
        <v>113.2</v>
      </c>
      <c r="H187">
        <v>37.26</v>
      </c>
      <c r="I187">
        <v>-366.91</v>
      </c>
      <c r="J187">
        <v>224.39</v>
      </c>
      <c r="K187">
        <v>1.86</v>
      </c>
      <c r="L187">
        <v>-239</v>
      </c>
      <c r="M187">
        <v>242.3</v>
      </c>
      <c r="N187">
        <v>229.26</v>
      </c>
    </row>
    <row r="188" spans="1:19" x14ac:dyDescent="0.25">
      <c r="A188" t="s">
        <v>2264</v>
      </c>
      <c r="B188">
        <v>-9.6199999999999992</v>
      </c>
      <c r="C188">
        <v>-69.650000000000006</v>
      </c>
      <c r="D188">
        <v>-78.17</v>
      </c>
      <c r="E188">
        <v>-36.04</v>
      </c>
      <c r="G188">
        <v>-80.92</v>
      </c>
      <c r="H188">
        <v>-67.819999999999993</v>
      </c>
      <c r="I188">
        <v>112.19</v>
      </c>
      <c r="J188">
        <v>-489.17</v>
      </c>
      <c r="K188">
        <v>-151.22999999999999</v>
      </c>
      <c r="L188">
        <v>86.16</v>
      </c>
      <c r="M188">
        <v>-311.33999999999997</v>
      </c>
      <c r="N188">
        <v>-445.02</v>
      </c>
      <c r="O188">
        <v>-431.08</v>
      </c>
      <c r="P188" s="2">
        <v>-1273.55</v>
      </c>
    </row>
    <row r="189" spans="1:19" x14ac:dyDescent="0.25">
      <c r="A189" t="s">
        <v>100</v>
      </c>
      <c r="F189" s="2">
        <v>13022.68</v>
      </c>
      <c r="G189" s="2">
        <v>13193.17</v>
      </c>
      <c r="H189" s="2">
        <v>12619.05</v>
      </c>
      <c r="I189" s="2">
        <v>19861.580000000002</v>
      </c>
      <c r="J189" s="2">
        <v>23742.12</v>
      </c>
      <c r="K189" s="2">
        <v>38403.910000000003</v>
      </c>
      <c r="L189" s="2">
        <v>31416.18</v>
      </c>
      <c r="M189" s="2">
        <v>43766.68</v>
      </c>
      <c r="N189" s="2">
        <v>65690.03</v>
      </c>
      <c r="O189" s="2">
        <v>105281.97</v>
      </c>
      <c r="P189" s="2">
        <v>139410.89000000001</v>
      </c>
      <c r="Q189" s="2">
        <v>174642.27</v>
      </c>
      <c r="R189" s="2">
        <v>195650.06</v>
      </c>
      <c r="S189" s="2">
        <v>224042.12</v>
      </c>
    </row>
    <row r="190" spans="1:19" x14ac:dyDescent="0.25">
      <c r="A190" t="s">
        <v>83</v>
      </c>
      <c r="B190">
        <v>36.090000000000003</v>
      </c>
      <c r="C190">
        <v>39.6</v>
      </c>
      <c r="D190">
        <v>41.54</v>
      </c>
      <c r="E190">
        <v>40.72</v>
      </c>
      <c r="F190">
        <v>40.53</v>
      </c>
      <c r="G190">
        <v>38.54</v>
      </c>
      <c r="H190">
        <v>36.43</v>
      </c>
      <c r="I190">
        <v>43.66</v>
      </c>
      <c r="J190">
        <v>41.77</v>
      </c>
      <c r="K190">
        <v>50.54</v>
      </c>
      <c r="L190">
        <v>45.3</v>
      </c>
      <c r="M190">
        <v>48.57</v>
      </c>
      <c r="N190">
        <v>53.6</v>
      </c>
      <c r="O190">
        <v>61.6</v>
      </c>
      <c r="P190">
        <v>60.6</v>
      </c>
      <c r="Q190">
        <v>60.26</v>
      </c>
      <c r="R190">
        <v>57.97</v>
      </c>
      <c r="S190">
        <v>57.94</v>
      </c>
    </row>
    <row r="191" spans="1:19" x14ac:dyDescent="0.25">
      <c r="A191" t="s">
        <v>17</v>
      </c>
    </row>
    <row r="192" spans="1:19" x14ac:dyDescent="0.25">
      <c r="A192" t="s">
        <v>101</v>
      </c>
      <c r="B192">
        <v>925.23</v>
      </c>
      <c r="C192" s="2">
        <v>1264.02</v>
      </c>
      <c r="D192" s="2">
        <v>1381.98</v>
      </c>
      <c r="E192" s="2">
        <v>1602.08</v>
      </c>
      <c r="F192" s="2">
        <v>1741.9</v>
      </c>
      <c r="G192" s="2">
        <v>1537.53</v>
      </c>
      <c r="H192" s="2">
        <v>1440.49</v>
      </c>
      <c r="I192" s="2">
        <v>2262.6799999999998</v>
      </c>
      <c r="J192" s="2">
        <v>2364.92</v>
      </c>
      <c r="K192" s="2">
        <v>4272.3999999999996</v>
      </c>
      <c r="L192" s="2">
        <v>4536.8599999999997</v>
      </c>
      <c r="M192" s="2">
        <v>7266.44</v>
      </c>
      <c r="N192" s="2">
        <v>10497.55</v>
      </c>
      <c r="O192" s="2">
        <v>18162.43</v>
      </c>
      <c r="P192" s="2">
        <v>23668.880000000001</v>
      </c>
      <c r="Q192" s="2">
        <v>29078.2</v>
      </c>
      <c r="R192" s="2">
        <v>33699.74</v>
      </c>
      <c r="S192" s="2">
        <v>38600.42</v>
      </c>
    </row>
    <row r="193" spans="1:19" x14ac:dyDescent="0.25">
      <c r="A193" t="s">
        <v>102</v>
      </c>
      <c r="B193">
        <v>12.75</v>
      </c>
      <c r="C193">
        <v>12.68</v>
      </c>
      <c r="D193">
        <v>12.52</v>
      </c>
      <c r="E193">
        <v>13.37</v>
      </c>
      <c r="F193">
        <v>13.38</v>
      </c>
      <c r="G193">
        <v>11.65</v>
      </c>
      <c r="H193">
        <v>11.42</v>
      </c>
      <c r="I193">
        <v>11.39</v>
      </c>
      <c r="J193">
        <v>9.9600000000000009</v>
      </c>
      <c r="K193">
        <v>11.12</v>
      </c>
      <c r="L193">
        <v>14.44</v>
      </c>
      <c r="M193">
        <v>16.600000000000001</v>
      </c>
      <c r="N193">
        <v>15.98</v>
      </c>
      <c r="O193">
        <v>17.05</v>
      </c>
      <c r="P193">
        <v>16.829999999999998</v>
      </c>
      <c r="Q193">
        <v>16.87</v>
      </c>
      <c r="R193">
        <v>17.170000000000002</v>
      </c>
      <c r="S193">
        <v>17.11</v>
      </c>
    </row>
    <row r="194" spans="1:19" x14ac:dyDescent="0.25">
      <c r="A194" t="s">
        <v>17</v>
      </c>
    </row>
    <row r="195" spans="1:19" x14ac:dyDescent="0.25">
      <c r="A195" t="s">
        <v>1422</v>
      </c>
      <c r="B195" s="2">
        <v>6333.15</v>
      </c>
      <c r="C195" s="2">
        <v>8701.7900000000009</v>
      </c>
      <c r="D195" s="2">
        <v>9656.4599999999991</v>
      </c>
      <c r="E195" s="2">
        <v>10376.280000000001</v>
      </c>
      <c r="F195" s="2">
        <v>11280.79</v>
      </c>
      <c r="G195" s="2">
        <v>11655.64</v>
      </c>
      <c r="H195" s="2">
        <v>11178.57</v>
      </c>
      <c r="I195" s="2">
        <v>17598.91</v>
      </c>
      <c r="J195" s="2">
        <v>21377.200000000001</v>
      </c>
      <c r="K195" s="2">
        <v>34131.51</v>
      </c>
      <c r="L195" s="2">
        <v>26879.31</v>
      </c>
      <c r="M195" s="2">
        <v>36500.230000000003</v>
      </c>
      <c r="N195" s="2">
        <v>55192.57</v>
      </c>
      <c r="O195" s="2">
        <v>86759.79</v>
      </c>
      <c r="P195" s="2">
        <v>115275.92</v>
      </c>
      <c r="Q195" s="2">
        <v>143365.54999999999</v>
      </c>
      <c r="R195" s="2">
        <v>165973.42000000001</v>
      </c>
      <c r="S195" s="2">
        <v>195386.49</v>
      </c>
    </row>
    <row r="196" spans="1:19" x14ac:dyDescent="0.25">
      <c r="A196" t="s">
        <v>105</v>
      </c>
      <c r="B196">
        <v>-4.3099999999999996</v>
      </c>
      <c r="C196">
        <v>-3.89</v>
      </c>
      <c r="D196">
        <v>-0.56000000000000005</v>
      </c>
      <c r="E196">
        <v>2.83</v>
      </c>
      <c r="F196">
        <v>1.1599999999999999</v>
      </c>
      <c r="G196">
        <v>1.78</v>
      </c>
      <c r="H196">
        <v>2.59</v>
      </c>
      <c r="I196">
        <v>9.26</v>
      </c>
      <c r="J196">
        <v>19.09</v>
      </c>
      <c r="K196">
        <v>12.43</v>
      </c>
      <c r="L196">
        <v>-23.43</v>
      </c>
      <c r="M196">
        <v>-26.02</v>
      </c>
      <c r="N196">
        <v>-79.98</v>
      </c>
      <c r="O196">
        <v>4.0599999999999996</v>
      </c>
      <c r="P196">
        <v>-12.49</v>
      </c>
      <c r="Q196">
        <v>-8.2799999999999994</v>
      </c>
      <c r="R196">
        <v>16.52</v>
      </c>
      <c r="S196">
        <v>16.260000000000002</v>
      </c>
    </row>
    <row r="197" spans="1:19" x14ac:dyDescent="0.25">
      <c r="A197" t="s">
        <v>106</v>
      </c>
      <c r="B197" s="2">
        <v>6337.45</v>
      </c>
      <c r="C197" s="2">
        <v>8706.24</v>
      </c>
      <c r="D197" s="2">
        <v>9657.02</v>
      </c>
      <c r="E197" s="2">
        <v>10373.450000000001</v>
      </c>
      <c r="F197" s="2">
        <v>11279.62</v>
      </c>
      <c r="G197" s="2">
        <v>11653.86</v>
      </c>
      <c r="H197" s="2">
        <v>11175.98</v>
      </c>
      <c r="I197" s="2">
        <v>17589.63</v>
      </c>
      <c r="J197" s="2">
        <v>21358.11</v>
      </c>
      <c r="K197" s="2">
        <v>34119.08</v>
      </c>
      <c r="L197" s="2">
        <v>26902.74</v>
      </c>
      <c r="M197" s="2">
        <v>36526.25</v>
      </c>
      <c r="N197" s="2">
        <v>55272.56</v>
      </c>
      <c r="O197" s="2">
        <v>86486.54</v>
      </c>
      <c r="P197" s="2">
        <v>114566.1</v>
      </c>
      <c r="Q197" s="2">
        <v>143019.78</v>
      </c>
      <c r="R197" s="2">
        <v>157295.97</v>
      </c>
      <c r="S197" s="2">
        <v>187996.14</v>
      </c>
    </row>
    <row r="198" spans="1:19" x14ac:dyDescent="0.25">
      <c r="A198" t="s">
        <v>107</v>
      </c>
      <c r="B198">
        <v>31.51</v>
      </c>
      <c r="C198">
        <v>34.590000000000003</v>
      </c>
      <c r="D198">
        <v>36.35</v>
      </c>
      <c r="E198">
        <v>35.26</v>
      </c>
      <c r="F198">
        <v>35.1</v>
      </c>
      <c r="G198">
        <v>34.04</v>
      </c>
      <c r="H198">
        <v>32.270000000000003</v>
      </c>
      <c r="I198">
        <v>38.67</v>
      </c>
      <c r="J198">
        <v>37.58</v>
      </c>
      <c r="K198">
        <v>44.9</v>
      </c>
      <c r="L198">
        <v>38.79</v>
      </c>
      <c r="M198">
        <v>40.54</v>
      </c>
      <c r="N198">
        <v>45.1</v>
      </c>
      <c r="O198">
        <v>50.98</v>
      </c>
      <c r="P198">
        <v>50.08</v>
      </c>
      <c r="Q198">
        <v>50.03</v>
      </c>
      <c r="R198">
        <v>46.98</v>
      </c>
      <c r="S198">
        <v>47.16</v>
      </c>
    </row>
    <row r="199" spans="1:19" x14ac:dyDescent="0.25">
      <c r="A199" t="s">
        <v>17</v>
      </c>
    </row>
    <row r="200" spans="1:19" x14ac:dyDescent="0.25">
      <c r="A200" t="s">
        <v>108</v>
      </c>
      <c r="B200" s="2">
        <v>25927.78</v>
      </c>
      <c r="C200" s="2">
        <v>25929.27</v>
      </c>
      <c r="D200" s="2">
        <v>25930.29</v>
      </c>
      <c r="E200" s="2">
        <v>25930.38</v>
      </c>
      <c r="F200" s="2">
        <v>25930.38</v>
      </c>
      <c r="G200" s="2">
        <v>25930.38</v>
      </c>
      <c r="H200" s="2">
        <v>25930.38</v>
      </c>
      <c r="I200" s="2">
        <v>25930.38</v>
      </c>
      <c r="J200" s="2">
        <v>25930.38</v>
      </c>
      <c r="K200" s="2">
        <v>25929.19</v>
      </c>
      <c r="L200" s="2">
        <v>25929.22</v>
      </c>
      <c r="M200" s="2">
        <v>25927.56</v>
      </c>
      <c r="N200" s="2">
        <v>25928.26</v>
      </c>
      <c r="O200" s="2">
        <v>25931.360000000001</v>
      </c>
      <c r="P200" s="2">
        <v>25931.279999999999</v>
      </c>
      <c r="Q200" s="2">
        <v>25930.79</v>
      </c>
      <c r="R200" s="2">
        <v>20942.900000000001</v>
      </c>
      <c r="S200" s="2">
        <v>20942.099999999999</v>
      </c>
    </row>
    <row r="201" spans="1:19" x14ac:dyDescent="0.25">
      <c r="A201" t="s">
        <v>888</v>
      </c>
      <c r="B201">
        <v>0.24</v>
      </c>
      <c r="C201">
        <v>0.34</v>
      </c>
      <c r="D201">
        <v>0.37</v>
      </c>
      <c r="E201">
        <v>0.4</v>
      </c>
      <c r="F201">
        <v>0.43</v>
      </c>
      <c r="G201">
        <v>0.45</v>
      </c>
      <c r="H201">
        <v>0.43</v>
      </c>
      <c r="I201">
        <v>0.68</v>
      </c>
      <c r="J201">
        <v>0.82</v>
      </c>
      <c r="K201">
        <v>1.32</v>
      </c>
      <c r="L201">
        <v>1.04</v>
      </c>
      <c r="M201">
        <v>1.41</v>
      </c>
      <c r="N201">
        <v>2.13</v>
      </c>
      <c r="O201">
        <v>3.36</v>
      </c>
      <c r="P201">
        <v>4.41</v>
      </c>
      <c r="Q201">
        <v>5.54</v>
      </c>
      <c r="R201">
        <v>6.16</v>
      </c>
      <c r="S201">
        <v>7.03</v>
      </c>
    </row>
    <row r="202" spans="1:19" x14ac:dyDescent="0.25">
      <c r="A202" t="s">
        <v>17</v>
      </c>
    </row>
    <row r="203" spans="1:19" x14ac:dyDescent="0.25">
      <c r="A203" t="s">
        <v>109</v>
      </c>
      <c r="B203" s="2">
        <v>25929.599999999999</v>
      </c>
      <c r="C203" s="2">
        <v>25930.1</v>
      </c>
      <c r="D203" s="2">
        <v>25930.38</v>
      </c>
      <c r="E203" s="2">
        <v>25930.38</v>
      </c>
      <c r="F203" s="2">
        <v>25930.38</v>
      </c>
      <c r="G203" s="2">
        <v>25930.38</v>
      </c>
      <c r="H203" s="2">
        <v>25930.38</v>
      </c>
      <c r="I203" s="2">
        <v>25930.38</v>
      </c>
      <c r="J203" s="2">
        <v>25930.38</v>
      </c>
      <c r="K203" s="2">
        <v>25929.38</v>
      </c>
      <c r="L203" s="2">
        <v>25929.27</v>
      </c>
      <c r="M203" s="2">
        <v>25929.65</v>
      </c>
      <c r="N203" s="2">
        <v>25930.560000000001</v>
      </c>
      <c r="O203" s="2">
        <v>25937.32</v>
      </c>
      <c r="P203" s="2">
        <v>25938.07</v>
      </c>
      <c r="Q203" s="2">
        <v>25939.35</v>
      </c>
      <c r="R203" s="2">
        <v>25945.23</v>
      </c>
      <c r="S203" s="2">
        <v>25948.35</v>
      </c>
    </row>
    <row r="204" spans="1:19" x14ac:dyDescent="0.25">
      <c r="A204" t="s">
        <v>17</v>
      </c>
    </row>
    <row r="205" spans="1:19" x14ac:dyDescent="0.25">
      <c r="A205" t="s">
        <v>487</v>
      </c>
      <c r="B205">
        <v>0.1</v>
      </c>
      <c r="C205">
        <v>0.15</v>
      </c>
      <c r="D205">
        <v>0.19</v>
      </c>
      <c r="E205">
        <v>0.22</v>
      </c>
      <c r="F205">
        <v>0.26</v>
      </c>
      <c r="G205">
        <v>0.27</v>
      </c>
      <c r="H205">
        <v>0.31</v>
      </c>
      <c r="I205">
        <v>0.34</v>
      </c>
      <c r="J205">
        <v>0.39</v>
      </c>
      <c r="K205">
        <v>0.37</v>
      </c>
      <c r="L205">
        <v>0.42</v>
      </c>
      <c r="M205">
        <v>0.53</v>
      </c>
      <c r="N205">
        <v>0.71</v>
      </c>
      <c r="O205">
        <v>0.82</v>
      </c>
      <c r="P205">
        <v>1.01</v>
      </c>
      <c r="Q205">
        <v>1.18</v>
      </c>
      <c r="R205">
        <v>1.32</v>
      </c>
      <c r="S205">
        <v>1.54</v>
      </c>
    </row>
    <row r="206" spans="1:19" x14ac:dyDescent="0.25">
      <c r="A206" t="s">
        <v>1425</v>
      </c>
      <c r="B206">
        <v>41.34</v>
      </c>
      <c r="C206">
        <v>44.22</v>
      </c>
      <c r="D206">
        <v>50.75</v>
      </c>
      <c r="E206">
        <v>54.3</v>
      </c>
      <c r="F206">
        <v>60.46</v>
      </c>
      <c r="G206">
        <v>59.08</v>
      </c>
      <c r="H206">
        <v>71.349999999999994</v>
      </c>
      <c r="I206">
        <v>50.07</v>
      </c>
      <c r="J206">
        <v>47.81</v>
      </c>
      <c r="K206">
        <v>28.06</v>
      </c>
      <c r="L206">
        <v>40.200000000000003</v>
      </c>
      <c r="M206">
        <v>37.57</v>
      </c>
      <c r="N206">
        <v>33.21</v>
      </c>
      <c r="O206">
        <v>24.35</v>
      </c>
      <c r="P206">
        <v>20.99</v>
      </c>
      <c r="Q206">
        <v>20.41</v>
      </c>
      <c r="R206">
        <v>22.31</v>
      </c>
      <c r="S206">
        <v>17.75</v>
      </c>
    </row>
    <row r="207" spans="1:19" x14ac:dyDescent="0.25">
      <c r="A207" t="s">
        <v>1426</v>
      </c>
      <c r="B207" s="2">
        <v>6888.48</v>
      </c>
      <c r="C207" s="2">
        <v>9094.61</v>
      </c>
      <c r="D207" s="2">
        <v>9193.7800000000007</v>
      </c>
      <c r="E207" s="2">
        <v>10030.19</v>
      </c>
      <c r="F207" s="2">
        <v>10332.299999999999</v>
      </c>
      <c r="G207" s="2">
        <v>11980.25</v>
      </c>
      <c r="H207" s="2">
        <v>10793.26</v>
      </c>
      <c r="I207" s="2">
        <v>16559.78</v>
      </c>
      <c r="J207" s="2">
        <v>21085.22</v>
      </c>
      <c r="K207" s="2">
        <v>35548.74</v>
      </c>
      <c r="L207" s="2">
        <v>26646.44</v>
      </c>
      <c r="M207" s="2">
        <v>38785.47</v>
      </c>
      <c r="N207" s="2">
        <v>53450.53</v>
      </c>
      <c r="O207" s="2">
        <v>91133.84</v>
      </c>
      <c r="P207" s="2">
        <v>111422.52</v>
      </c>
      <c r="Q207" s="2">
        <v>126097.76</v>
      </c>
      <c r="R207" s="2">
        <v>126629</v>
      </c>
      <c r="S207" s="2">
        <v>143068.85</v>
      </c>
    </row>
    <row r="208" spans="1:19" x14ac:dyDescent="0.25">
      <c r="A208" t="s">
        <v>17</v>
      </c>
    </row>
    <row r="209" spans="1:19" x14ac:dyDescent="0.25">
      <c r="A209" t="s">
        <v>282</v>
      </c>
    </row>
    <row r="210" spans="1:19" x14ac:dyDescent="0.25">
      <c r="A210" t="s">
        <v>121</v>
      </c>
      <c r="B210" s="2">
        <v>6337.45</v>
      </c>
      <c r="C210" s="2">
        <v>8706.24</v>
      </c>
      <c r="D210" s="2">
        <v>9657.02</v>
      </c>
      <c r="E210" s="2">
        <v>10373.450000000001</v>
      </c>
      <c r="F210" s="2">
        <v>11279.62</v>
      </c>
      <c r="G210" s="2">
        <v>11653.86</v>
      </c>
      <c r="H210" s="2">
        <v>11175.98</v>
      </c>
      <c r="I210" s="2">
        <v>17589.63</v>
      </c>
      <c r="J210" s="2">
        <v>21358.11</v>
      </c>
      <c r="K210" s="2">
        <v>34119.08</v>
      </c>
      <c r="L210" s="2">
        <v>26902.74</v>
      </c>
      <c r="M210" s="2">
        <v>36526.25</v>
      </c>
      <c r="N210" s="2">
        <v>55272.56</v>
      </c>
      <c r="O210" s="2">
        <v>86879.82</v>
      </c>
      <c r="P210" s="2">
        <v>114533.89</v>
      </c>
      <c r="Q210" s="2">
        <v>141677.71</v>
      </c>
      <c r="R210" s="2">
        <v>155854.35999999999</v>
      </c>
      <c r="S210" s="2">
        <v>182824.31</v>
      </c>
    </row>
    <row r="211" spans="1:19" x14ac:dyDescent="0.25">
      <c r="A211" t="s">
        <v>297</v>
      </c>
      <c r="B211">
        <v>0.24</v>
      </c>
      <c r="C211">
        <v>0.34</v>
      </c>
      <c r="D211">
        <v>0.37</v>
      </c>
      <c r="E211">
        <v>0.4</v>
      </c>
      <c r="F211">
        <v>0.43</v>
      </c>
      <c r="G211">
        <v>0.45</v>
      </c>
      <c r="H211">
        <v>0.43</v>
      </c>
      <c r="I211">
        <v>0.68</v>
      </c>
      <c r="J211">
        <v>0.82</v>
      </c>
      <c r="K211">
        <v>1.32</v>
      </c>
      <c r="L211">
        <v>1.04</v>
      </c>
      <c r="M211">
        <v>1.41</v>
      </c>
      <c r="N211">
        <v>2.13</v>
      </c>
      <c r="O211">
        <v>3.35</v>
      </c>
      <c r="P211">
        <v>4.4000000000000004</v>
      </c>
      <c r="Q211">
        <v>5.55</v>
      </c>
      <c r="R211">
        <v>6.16</v>
      </c>
      <c r="S211">
        <v>7.03</v>
      </c>
    </row>
    <row r="212" spans="1:19" x14ac:dyDescent="0.25">
      <c r="A212" t="s">
        <v>17</v>
      </c>
    </row>
    <row r="213" spans="1:19" x14ac:dyDescent="0.25">
      <c r="A213" t="s">
        <v>176</v>
      </c>
    </row>
    <row r="214" spans="1:19" x14ac:dyDescent="0.25">
      <c r="A214" t="s">
        <v>2265</v>
      </c>
      <c r="B214" s="2">
        <v>6158.51</v>
      </c>
      <c r="C214" s="2">
        <v>8527.7000000000007</v>
      </c>
      <c r="D214" s="2">
        <v>8823.82</v>
      </c>
      <c r="E214" s="2">
        <v>10165.23</v>
      </c>
      <c r="F214" s="2">
        <v>10983.57</v>
      </c>
      <c r="G214" s="2">
        <v>11245.94</v>
      </c>
      <c r="H214" s="2">
        <v>10701.28</v>
      </c>
      <c r="I214" s="2">
        <v>17056.43</v>
      </c>
      <c r="J214" s="2">
        <v>20953.96</v>
      </c>
      <c r="K214" s="2">
        <v>33449.75</v>
      </c>
      <c r="L214" s="2">
        <v>25306</v>
      </c>
      <c r="M214" s="2">
        <v>34325.480000000003</v>
      </c>
      <c r="N214" s="2">
        <v>52342.89</v>
      </c>
      <c r="O214" s="2">
        <v>83772.12</v>
      </c>
      <c r="P214" s="2">
        <v>112328.93</v>
      </c>
      <c r="Q214" s="2">
        <v>136483.23000000001</v>
      </c>
      <c r="R214" s="2">
        <v>167067.20000000001</v>
      </c>
      <c r="S214" s="2">
        <v>190484.29</v>
      </c>
    </row>
    <row r="215" spans="1:19" x14ac:dyDescent="0.25">
      <c r="A215" t="s">
        <v>1335</v>
      </c>
      <c r="B215">
        <v>0.47</v>
      </c>
      <c r="C215">
        <v>0.63</v>
      </c>
      <c r="D215">
        <v>0.66</v>
      </c>
      <c r="E215">
        <v>0.72</v>
      </c>
      <c r="F215">
        <v>0.82</v>
      </c>
      <c r="G215">
        <v>0.87</v>
      </c>
      <c r="H215">
        <v>0.82</v>
      </c>
      <c r="I215">
        <v>1.18</v>
      </c>
      <c r="J215">
        <v>1.48</v>
      </c>
      <c r="K215">
        <v>2.02</v>
      </c>
      <c r="L215">
        <v>1.8</v>
      </c>
      <c r="M215">
        <v>2.38</v>
      </c>
      <c r="N215">
        <v>3.26</v>
      </c>
      <c r="O215">
        <v>4.7699999999999996</v>
      </c>
      <c r="P215">
        <v>6.24</v>
      </c>
      <c r="Q215">
        <v>7.5</v>
      </c>
    </row>
    <row r="216" spans="1:19" x14ac:dyDescent="0.25">
      <c r="A216" t="s">
        <v>1902</v>
      </c>
      <c r="B216">
        <v>40.770000000000003</v>
      </c>
      <c r="C216">
        <v>58.38</v>
      </c>
      <c r="D216">
        <v>40.49</v>
      </c>
      <c r="E216">
        <v>61.7</v>
      </c>
      <c r="F216">
        <v>67.760000000000005</v>
      </c>
      <c r="G216">
        <v>5.64</v>
      </c>
      <c r="I216">
        <v>81.12</v>
      </c>
      <c r="J216">
        <v>43.68</v>
      </c>
      <c r="K216">
        <v>78.17</v>
      </c>
      <c r="L216">
        <v>-169.59</v>
      </c>
      <c r="M216">
        <v>61.32</v>
      </c>
      <c r="N216">
        <v>71.819999999999993</v>
      </c>
      <c r="O216">
        <v>82.4</v>
      </c>
      <c r="P216">
        <v>65.150000000000006</v>
      </c>
      <c r="Q216">
        <v>66.98</v>
      </c>
      <c r="R216">
        <v>49.93</v>
      </c>
      <c r="S216">
        <v>64.09</v>
      </c>
    </row>
    <row r="217" spans="1:19" x14ac:dyDescent="0.25">
      <c r="A217" t="s">
        <v>2266</v>
      </c>
      <c r="B217">
        <v>35.450000000000003</v>
      </c>
      <c r="C217">
        <v>39.130000000000003</v>
      </c>
      <c r="D217">
        <v>38.32</v>
      </c>
      <c r="E217">
        <v>40.270000000000003</v>
      </c>
      <c r="F217">
        <v>39.89</v>
      </c>
      <c r="G217">
        <v>37.619999999999997</v>
      </c>
      <c r="H217">
        <v>35.340000000000003</v>
      </c>
      <c r="I217">
        <v>42.85</v>
      </c>
      <c r="J217">
        <v>41.45</v>
      </c>
      <c r="K217">
        <v>49.92</v>
      </c>
      <c r="L217">
        <v>43.05</v>
      </c>
      <c r="M217">
        <v>45.99</v>
      </c>
      <c r="N217">
        <v>51.05</v>
      </c>
      <c r="O217">
        <v>58.17</v>
      </c>
      <c r="P217">
        <v>57.76</v>
      </c>
      <c r="Q217">
        <v>59.08</v>
      </c>
      <c r="R217">
        <v>54</v>
      </c>
      <c r="S217">
        <v>55</v>
      </c>
    </row>
    <row r="218" spans="1:19" x14ac:dyDescent="0.25">
      <c r="A218" t="s">
        <v>2267</v>
      </c>
      <c r="B218">
        <v>-133.79</v>
      </c>
      <c r="C218">
        <v>-130.33000000000001</v>
      </c>
      <c r="D218">
        <v>-130.16</v>
      </c>
      <c r="E218">
        <v>-108.49</v>
      </c>
      <c r="F218">
        <v>-98.16</v>
      </c>
      <c r="G218">
        <v>-101.49</v>
      </c>
      <c r="H218">
        <v>-92.07</v>
      </c>
      <c r="I218">
        <v>-122.03</v>
      </c>
      <c r="J218">
        <v>-200.61</v>
      </c>
      <c r="K218">
        <v>-261.75</v>
      </c>
      <c r="L218">
        <v>-149.36000000000001</v>
      </c>
      <c r="M218">
        <v>-151.9</v>
      </c>
      <c r="N218">
        <v>-176.85</v>
      </c>
      <c r="O218">
        <v>-437.61</v>
      </c>
      <c r="P218">
        <v>-181.38</v>
      </c>
      <c r="Q218">
        <v>-184.3</v>
      </c>
      <c r="R218">
        <v>-154.94999999999999</v>
      </c>
      <c r="S218">
        <v>-154.94999999999999</v>
      </c>
    </row>
    <row r="219" spans="1:19" x14ac:dyDescent="0.25">
      <c r="A219" t="s">
        <v>2268</v>
      </c>
      <c r="B219">
        <v>0.78</v>
      </c>
      <c r="C219">
        <v>0.97</v>
      </c>
      <c r="D219">
        <v>1.02</v>
      </c>
      <c r="E219">
        <v>1.1299999999999999</v>
      </c>
      <c r="F219">
        <v>1.24</v>
      </c>
      <c r="G219">
        <v>1.32</v>
      </c>
      <c r="H219">
        <v>1.34</v>
      </c>
      <c r="I219">
        <v>1.75</v>
      </c>
      <c r="J219">
        <v>2.19</v>
      </c>
      <c r="K219">
        <v>2.93</v>
      </c>
      <c r="L219">
        <v>2.67</v>
      </c>
      <c r="M219">
        <v>3.48</v>
      </c>
      <c r="N219">
        <v>4.7300000000000004</v>
      </c>
      <c r="O219">
        <v>6.57</v>
      </c>
      <c r="P219">
        <v>8.82</v>
      </c>
      <c r="Q219">
        <v>10.8</v>
      </c>
    </row>
    <row r="220" spans="1:19" x14ac:dyDescent="0.25">
      <c r="A220" t="s">
        <v>1390</v>
      </c>
      <c r="B220">
        <v>19.97</v>
      </c>
      <c r="C220">
        <v>17.010000000000002</v>
      </c>
      <c r="D220">
        <v>13.57</v>
      </c>
      <c r="E220">
        <v>9.92</v>
      </c>
      <c r="F220">
        <v>5.69</v>
      </c>
      <c r="G220">
        <v>3.28</v>
      </c>
      <c r="H220">
        <v>2.41</v>
      </c>
      <c r="I220">
        <v>13</v>
      </c>
      <c r="J220">
        <v>22.61</v>
      </c>
      <c r="K220">
        <v>22.69</v>
      </c>
      <c r="L220">
        <v>21.38</v>
      </c>
      <c r="M220">
        <v>18.59</v>
      </c>
      <c r="N220">
        <v>14.52</v>
      </c>
    </row>
    <row r="221" spans="1:19" x14ac:dyDescent="0.25">
      <c r="A221" t="s">
        <v>17</v>
      </c>
    </row>
    <row r="222" spans="1:19" x14ac:dyDescent="0.25">
      <c r="A222" t="s">
        <v>134</v>
      </c>
    </row>
    <row r="223" spans="1:19" x14ac:dyDescent="0.25">
      <c r="A223" t="s">
        <v>135</v>
      </c>
    </row>
    <row r="224" spans="1:19" x14ac:dyDescent="0.25">
      <c r="A224" t="s">
        <v>136</v>
      </c>
      <c r="B224" s="2">
        <v>12022.93</v>
      </c>
      <c r="C224" s="2">
        <v>19816.39</v>
      </c>
      <c r="D224" s="2">
        <v>22686.080000000002</v>
      </c>
      <c r="E224" s="2">
        <v>25244.12</v>
      </c>
      <c r="F224" s="2">
        <v>28892.03</v>
      </c>
      <c r="G224" s="2">
        <v>31092.33</v>
      </c>
      <c r="H224" s="2">
        <v>27502.45</v>
      </c>
      <c r="I224" s="2">
        <v>38876.339999999997</v>
      </c>
      <c r="J224" s="2">
        <v>58071.58</v>
      </c>
      <c r="K224" s="2">
        <v>66803.31</v>
      </c>
      <c r="L224" s="2">
        <v>71749.259999999995</v>
      </c>
      <c r="M224" s="2">
        <v>94179.3</v>
      </c>
      <c r="N224" s="2">
        <v>121503.09</v>
      </c>
      <c r="O224" s="2">
        <v>159912.95000000001</v>
      </c>
      <c r="P224" s="2">
        <v>211660.76</v>
      </c>
      <c r="Q224" s="2">
        <v>280630.46999999997</v>
      </c>
      <c r="R224" s="2">
        <v>362427.72</v>
      </c>
      <c r="S224" s="2">
        <v>470590.07</v>
      </c>
    </row>
    <row r="225" spans="1:19" x14ac:dyDescent="0.25">
      <c r="A225" t="s">
        <v>2269</v>
      </c>
      <c r="B225" s="2">
        <v>8225.27</v>
      </c>
      <c r="C225" s="2">
        <v>13812.53</v>
      </c>
      <c r="D225" s="2">
        <v>17807.38</v>
      </c>
      <c r="E225" s="2">
        <v>19508.939999999999</v>
      </c>
      <c r="F225" s="2">
        <v>21866.26</v>
      </c>
      <c r="G225" s="2">
        <v>22708.74</v>
      </c>
      <c r="H225" s="2">
        <v>19499.28</v>
      </c>
      <c r="I225" s="2">
        <v>28092.18</v>
      </c>
      <c r="J225" s="2">
        <v>42938.61</v>
      </c>
      <c r="K225" s="2">
        <v>50777.39</v>
      </c>
      <c r="L225" s="2">
        <v>55159.11</v>
      </c>
      <c r="M225" s="2">
        <v>73852.820000000007</v>
      </c>
      <c r="N225" s="2">
        <v>97673.25</v>
      </c>
      <c r="O225" s="2">
        <v>129422.17</v>
      </c>
      <c r="P225" s="2">
        <v>170746.95</v>
      </c>
      <c r="Q225" s="2">
        <v>235707.12</v>
      </c>
    </row>
    <row r="226" spans="1:19" x14ac:dyDescent="0.25">
      <c r="A226" t="s">
        <v>139</v>
      </c>
      <c r="B226" s="2">
        <v>8139.52</v>
      </c>
      <c r="C226" s="2">
        <v>11336.67</v>
      </c>
      <c r="D226" s="2">
        <v>17094.490000000002</v>
      </c>
      <c r="E226" s="2">
        <v>16709.05</v>
      </c>
      <c r="F226" s="2">
        <v>18652.07</v>
      </c>
      <c r="G226" s="2">
        <v>18877.78</v>
      </c>
      <c r="H226" s="2">
        <v>15225.37</v>
      </c>
      <c r="I226" s="2">
        <v>23498.77</v>
      </c>
      <c r="J226" s="2">
        <v>38483.42</v>
      </c>
      <c r="K226" s="2">
        <v>43696.51</v>
      </c>
      <c r="L226" s="2">
        <v>47922.42</v>
      </c>
      <c r="M226" s="2">
        <v>64881.99</v>
      </c>
      <c r="N226" s="2">
        <v>88103.64</v>
      </c>
      <c r="O226" s="2">
        <v>108653.56</v>
      </c>
      <c r="P226" s="2">
        <v>156019.01</v>
      </c>
      <c r="Q226" s="2">
        <v>211208.91</v>
      </c>
      <c r="R226" s="2">
        <v>258806.77</v>
      </c>
      <c r="S226" s="2">
        <v>343577.78</v>
      </c>
    </row>
    <row r="227" spans="1:19" x14ac:dyDescent="0.25">
      <c r="A227" t="s">
        <v>2270</v>
      </c>
      <c r="G227" s="2">
        <v>3252.78</v>
      </c>
      <c r="H227" s="2">
        <v>4259.25</v>
      </c>
      <c r="I227" s="2">
        <v>4358.55</v>
      </c>
      <c r="J227" s="2">
        <v>4318.83</v>
      </c>
      <c r="K227" s="2">
        <v>4002.5</v>
      </c>
      <c r="L227" s="2">
        <v>5053.47</v>
      </c>
      <c r="M227" s="2">
        <v>5861.22</v>
      </c>
      <c r="N227" s="2">
        <v>5592.47</v>
      </c>
      <c r="O227" s="2">
        <v>5935.57</v>
      </c>
      <c r="P227" s="2">
        <v>5443.66</v>
      </c>
      <c r="Q227" s="2">
        <v>5446.12</v>
      </c>
    </row>
    <row r="228" spans="1:19" x14ac:dyDescent="0.25">
      <c r="A228" t="s">
        <v>1130</v>
      </c>
      <c r="B228">
        <v>85.75</v>
      </c>
      <c r="C228" s="2">
        <v>2475.86</v>
      </c>
      <c r="D228">
        <v>712.89</v>
      </c>
      <c r="E228" s="2">
        <v>2799.89</v>
      </c>
      <c r="F228" s="2">
        <v>3214.19</v>
      </c>
      <c r="G228" s="2">
        <v>3830.96</v>
      </c>
      <c r="H228" s="2">
        <v>4273.92</v>
      </c>
      <c r="I228" s="2">
        <v>4593.41</v>
      </c>
      <c r="J228" s="2">
        <v>4455.1899999999996</v>
      </c>
      <c r="K228" s="2">
        <v>7080.88</v>
      </c>
      <c r="L228" s="2">
        <v>7236.69</v>
      </c>
      <c r="M228" s="2">
        <v>8970.84</v>
      </c>
      <c r="N228" s="2">
        <v>9569.61</v>
      </c>
      <c r="O228" s="2">
        <v>11488.55</v>
      </c>
      <c r="P228" s="2">
        <v>11791.21</v>
      </c>
      <c r="Q228" s="2">
        <v>12171.98</v>
      </c>
      <c r="R228" s="2">
        <v>14399.41</v>
      </c>
      <c r="S228" s="2">
        <v>15213.67</v>
      </c>
    </row>
    <row r="229" spans="1:19" x14ac:dyDescent="0.25">
      <c r="A229" t="s">
        <v>141</v>
      </c>
      <c r="B229" s="2">
        <v>2403</v>
      </c>
      <c r="C229" s="2">
        <v>3628.72</v>
      </c>
      <c r="D229" s="2">
        <v>2584.11</v>
      </c>
      <c r="E229" s="2">
        <v>3961.84</v>
      </c>
      <c r="F229" s="2">
        <v>4082.8</v>
      </c>
      <c r="G229" s="2">
        <v>4201.93</v>
      </c>
      <c r="H229" s="2">
        <v>4644.13</v>
      </c>
      <c r="I229" s="2">
        <v>5178.37</v>
      </c>
      <c r="J229" s="2">
        <v>7139.77</v>
      </c>
      <c r="K229" s="2">
        <v>7476.49</v>
      </c>
      <c r="L229" s="2">
        <v>6583.37</v>
      </c>
      <c r="M229" s="2">
        <v>8254.49</v>
      </c>
      <c r="N229" s="2">
        <v>8882.49</v>
      </c>
      <c r="O229" s="2">
        <v>16038.48</v>
      </c>
      <c r="P229" s="2">
        <v>18455.11</v>
      </c>
      <c r="Q229" s="2">
        <v>23075.83</v>
      </c>
      <c r="R229" s="2">
        <v>25594.52</v>
      </c>
      <c r="S229" s="2">
        <v>29263.82</v>
      </c>
    </row>
    <row r="230" spans="1:19" x14ac:dyDescent="0.25">
      <c r="A230" t="s">
        <v>340</v>
      </c>
      <c r="B230" s="2">
        <v>1257.5</v>
      </c>
      <c r="C230" s="2">
        <v>2098.0700000000002</v>
      </c>
      <c r="D230" s="2">
        <v>2037.05</v>
      </c>
      <c r="E230" s="2">
        <v>1502.87</v>
      </c>
      <c r="F230" s="2">
        <v>2490.15</v>
      </c>
      <c r="G230" s="2">
        <v>3372.66</v>
      </c>
      <c r="H230" s="2">
        <v>2774.31</v>
      </c>
      <c r="I230" s="2">
        <v>4889.09</v>
      </c>
      <c r="J230" s="2">
        <v>6977.75</v>
      </c>
      <c r="K230" s="2">
        <v>7196.41</v>
      </c>
      <c r="L230" s="2">
        <v>8208.11</v>
      </c>
      <c r="M230" s="2">
        <v>8778.56</v>
      </c>
      <c r="N230" s="2">
        <v>9170.81</v>
      </c>
      <c r="O230" s="2">
        <v>11211.66</v>
      </c>
      <c r="P230" s="2">
        <v>16573.150000000001</v>
      </c>
      <c r="Q230" s="2">
        <v>20642.05</v>
      </c>
      <c r="R230" s="2">
        <v>25839.38</v>
      </c>
      <c r="S230" s="2">
        <v>29228.22</v>
      </c>
    </row>
    <row r="231" spans="1:19" x14ac:dyDescent="0.25">
      <c r="A231" t="s">
        <v>146</v>
      </c>
      <c r="B231" s="2">
        <v>30337.41</v>
      </c>
      <c r="C231" s="2">
        <v>27467.53</v>
      </c>
      <c r="D231" s="2">
        <v>27669.32</v>
      </c>
      <c r="E231" s="2">
        <v>32992.65</v>
      </c>
      <c r="F231" s="2">
        <v>38243.67</v>
      </c>
      <c r="G231" s="2">
        <v>37194.239999999998</v>
      </c>
      <c r="H231" s="2">
        <v>48216.78</v>
      </c>
      <c r="I231" s="2">
        <v>59391.19</v>
      </c>
      <c r="J231" s="2">
        <v>76549.490000000005</v>
      </c>
      <c r="K231" s="2">
        <v>94755.56</v>
      </c>
      <c r="L231" s="2">
        <v>109170.34</v>
      </c>
      <c r="M231" s="2">
        <v>109891.35</v>
      </c>
      <c r="N231" s="2">
        <v>131012.99</v>
      </c>
      <c r="O231" s="2">
        <v>171647.7</v>
      </c>
      <c r="P231" s="2">
        <v>207518.58</v>
      </c>
      <c r="Q231" s="2">
        <v>252427.79</v>
      </c>
      <c r="R231" s="2">
        <v>285397.84000000003</v>
      </c>
      <c r="S231" s="2">
        <v>311596.09999999998</v>
      </c>
    </row>
    <row r="232" spans="1:19" x14ac:dyDescent="0.25">
      <c r="A232" t="s">
        <v>409</v>
      </c>
      <c r="B232" s="2">
        <v>26584.43</v>
      </c>
      <c r="C232" s="2">
        <v>25877.17</v>
      </c>
      <c r="D232" s="2">
        <v>25928.43</v>
      </c>
      <c r="E232" s="2">
        <v>30802.39</v>
      </c>
      <c r="F232" s="2">
        <v>35812.99</v>
      </c>
      <c r="G232" s="2">
        <v>35024.949999999997</v>
      </c>
      <c r="H232" s="2">
        <v>45214.03</v>
      </c>
      <c r="I232" s="2">
        <v>55371.19</v>
      </c>
      <c r="J232" s="2">
        <v>71370.91</v>
      </c>
      <c r="K232" s="2">
        <v>87660.15</v>
      </c>
      <c r="L232" s="2">
        <v>100214.46</v>
      </c>
      <c r="M232" s="2">
        <v>98650.72</v>
      </c>
      <c r="N232" s="2">
        <v>117514.99</v>
      </c>
      <c r="O232" s="2">
        <v>149760.65</v>
      </c>
      <c r="P232" s="2">
        <v>190028.24</v>
      </c>
      <c r="Q232" s="2">
        <v>238499.33</v>
      </c>
      <c r="R232" s="2">
        <v>283768.51</v>
      </c>
      <c r="S232" s="2">
        <v>325383.74</v>
      </c>
    </row>
    <row r="233" spans="1:19" x14ac:dyDescent="0.25">
      <c r="A233" t="s">
        <v>2271</v>
      </c>
      <c r="B233" s="2">
        <v>26584.43</v>
      </c>
      <c r="C233" s="2">
        <v>25877.17</v>
      </c>
      <c r="D233" s="2">
        <v>25928.43</v>
      </c>
      <c r="E233" s="2">
        <v>30802.39</v>
      </c>
      <c r="F233" s="2">
        <v>35812.99</v>
      </c>
      <c r="G233" s="2">
        <v>35024.949999999997</v>
      </c>
      <c r="H233" s="2">
        <v>45790.16</v>
      </c>
      <c r="I233" s="2">
        <v>56358.19</v>
      </c>
      <c r="J233" s="2">
        <v>72553.78</v>
      </c>
      <c r="K233" s="2">
        <v>89024.08</v>
      </c>
      <c r="L233" s="2">
        <v>101536.43</v>
      </c>
      <c r="M233" s="2">
        <v>99874.43</v>
      </c>
      <c r="N233" s="2">
        <v>118912.97</v>
      </c>
      <c r="O233" s="2">
        <v>138318.96</v>
      </c>
      <c r="P233" s="2">
        <v>171568.71</v>
      </c>
    </row>
    <row r="234" spans="1:19" x14ac:dyDescent="0.25">
      <c r="A234" t="s">
        <v>2272</v>
      </c>
      <c r="B234" s="2">
        <v>65135.15</v>
      </c>
      <c r="C234" s="2">
        <v>68488.509999999995</v>
      </c>
      <c r="D234" s="2">
        <v>73433.850000000006</v>
      </c>
      <c r="E234" s="2">
        <v>85613.03</v>
      </c>
      <c r="F234" s="2">
        <v>103832.13</v>
      </c>
      <c r="G234" s="2">
        <v>110192.06</v>
      </c>
      <c r="H234" s="2">
        <v>131371.34</v>
      </c>
      <c r="I234" s="2">
        <v>158589.21</v>
      </c>
      <c r="J234" s="2">
        <v>190434.04</v>
      </c>
      <c r="K234" s="2">
        <v>208407.45</v>
      </c>
      <c r="L234" s="2">
        <v>237384.51</v>
      </c>
      <c r="M234" s="2">
        <v>245498.16</v>
      </c>
      <c r="N234" s="2">
        <v>290628.59999999998</v>
      </c>
      <c r="O234" s="2">
        <v>345427.48</v>
      </c>
      <c r="P234" s="2">
        <v>410898.91</v>
      </c>
      <c r="Q234" s="2">
        <v>479096.26</v>
      </c>
    </row>
    <row r="235" spans="1:19" x14ac:dyDescent="0.25">
      <c r="A235" t="s">
        <v>2273</v>
      </c>
      <c r="B235" s="2">
        <v>7686.33</v>
      </c>
      <c r="C235" s="2">
        <v>8512.85</v>
      </c>
      <c r="D235" s="2">
        <v>9016.84</v>
      </c>
      <c r="E235" s="2">
        <v>9397.27</v>
      </c>
      <c r="F235" s="2">
        <v>12778.73</v>
      </c>
      <c r="G235" s="2">
        <v>13679.81</v>
      </c>
      <c r="H235" s="2">
        <v>14646.16</v>
      </c>
      <c r="I235" s="2">
        <v>18596.52</v>
      </c>
      <c r="J235" s="2">
        <v>20835.36</v>
      </c>
      <c r="K235" s="2">
        <v>20730.14</v>
      </c>
      <c r="L235" s="2">
        <v>26744.45</v>
      </c>
      <c r="M235" s="2">
        <v>29248.79</v>
      </c>
      <c r="N235" s="2">
        <v>37938.15</v>
      </c>
      <c r="O235" s="2">
        <v>42438.11</v>
      </c>
      <c r="P235" s="2">
        <v>44921.87</v>
      </c>
      <c r="Q235" s="2">
        <v>50882.9</v>
      </c>
    </row>
    <row r="236" spans="1:19" x14ac:dyDescent="0.25">
      <c r="A236" t="s">
        <v>2274</v>
      </c>
      <c r="H236">
        <v>576.13</v>
      </c>
      <c r="I236">
        <v>986.99</v>
      </c>
      <c r="J236" s="2">
        <v>1182.8599999999999</v>
      </c>
      <c r="K236" s="2">
        <v>1363.93</v>
      </c>
      <c r="L236" s="2">
        <v>1321.97</v>
      </c>
      <c r="M236" s="2">
        <v>1223.72</v>
      </c>
      <c r="N236" s="2">
        <v>1397.98</v>
      </c>
      <c r="O236" s="2">
        <v>1297.83</v>
      </c>
      <c r="P236" s="2">
        <v>1230.8599999999999</v>
      </c>
      <c r="Q236" s="2">
        <v>1163.8900000000001</v>
      </c>
    </row>
    <row r="237" spans="1:19" x14ac:dyDescent="0.25">
      <c r="A237" t="s">
        <v>900</v>
      </c>
      <c r="B237" s="2">
        <v>38550.720000000001</v>
      </c>
      <c r="C237" s="2">
        <v>42611.33</v>
      </c>
      <c r="D237" s="2">
        <v>47505.42</v>
      </c>
      <c r="E237" s="2">
        <v>54810.63</v>
      </c>
      <c r="F237" s="2">
        <v>68019.14</v>
      </c>
      <c r="G237" s="2">
        <v>75167.11</v>
      </c>
      <c r="H237" s="2">
        <v>85581.17</v>
      </c>
      <c r="I237" s="2">
        <v>102231.02</v>
      </c>
      <c r="J237" s="2">
        <v>117880.27</v>
      </c>
      <c r="K237" s="2">
        <v>119383.37</v>
      </c>
      <c r="L237" s="2">
        <v>135848.07</v>
      </c>
      <c r="M237" s="2">
        <v>145623.73000000001</v>
      </c>
      <c r="N237" s="2">
        <v>171715.63</v>
      </c>
      <c r="O237" s="2">
        <v>192660.04</v>
      </c>
      <c r="P237" s="2">
        <v>215992.72</v>
      </c>
      <c r="Q237" s="2">
        <v>250333.38</v>
      </c>
    </row>
    <row r="238" spans="1:19" x14ac:dyDescent="0.25">
      <c r="A238" t="s">
        <v>411</v>
      </c>
      <c r="H238" s="2">
        <v>1008.74</v>
      </c>
      <c r="I238">
        <v>986.98</v>
      </c>
      <c r="J238" s="2">
        <v>1061.79</v>
      </c>
      <c r="K238" s="2">
        <v>2242.9899999999998</v>
      </c>
      <c r="L238" s="2">
        <v>4233.01</v>
      </c>
      <c r="M238" s="2">
        <v>4544.97</v>
      </c>
      <c r="N238" s="2">
        <v>5486.71</v>
      </c>
      <c r="O238" s="2">
        <v>6055.07</v>
      </c>
      <c r="P238" s="2">
        <v>6178.89</v>
      </c>
      <c r="Q238" s="2">
        <v>6433.17</v>
      </c>
      <c r="R238" s="2">
        <v>7509.82</v>
      </c>
      <c r="S238" s="2">
        <v>7620.27</v>
      </c>
    </row>
    <row r="239" spans="1:19" x14ac:dyDescent="0.25">
      <c r="A239" t="s">
        <v>2275</v>
      </c>
      <c r="G239">
        <v>127.77</v>
      </c>
      <c r="H239">
        <v>137.88999999999999</v>
      </c>
      <c r="I239">
        <v>160.71</v>
      </c>
      <c r="J239">
        <v>212.76</v>
      </c>
      <c r="K239">
        <v>200.43</v>
      </c>
      <c r="L239">
        <v>235.74</v>
      </c>
      <c r="M239">
        <v>238.56</v>
      </c>
      <c r="N239">
        <v>280.02</v>
      </c>
    </row>
    <row r="240" spans="1:19" x14ac:dyDescent="0.25">
      <c r="A240" t="s">
        <v>754</v>
      </c>
      <c r="B240">
        <v>949.67</v>
      </c>
      <c r="C240">
        <v>893.64</v>
      </c>
      <c r="D240">
        <v>731.91</v>
      </c>
      <c r="E240">
        <v>609.51</v>
      </c>
      <c r="F240">
        <v>602.02</v>
      </c>
      <c r="G240">
        <v>583.69000000000005</v>
      </c>
      <c r="H240">
        <v>625.16</v>
      </c>
      <c r="I240">
        <v>670.65</v>
      </c>
      <c r="J240">
        <v>793.65</v>
      </c>
      <c r="K240">
        <v>899.48</v>
      </c>
      <c r="L240">
        <v>968.52</v>
      </c>
      <c r="M240" s="2">
        <v>1141.1600000000001</v>
      </c>
      <c r="N240" s="2">
        <v>1210.6400000000001</v>
      </c>
      <c r="O240" s="2">
        <v>1690.73</v>
      </c>
      <c r="P240" s="2">
        <v>2674.17</v>
      </c>
      <c r="Q240" s="2">
        <v>4324.38</v>
      </c>
    </row>
    <row r="241" spans="1:19" x14ac:dyDescent="0.25">
      <c r="A241" t="s">
        <v>311</v>
      </c>
      <c r="B241">
        <v>242.8</v>
      </c>
      <c r="C241">
        <v>162.52000000000001</v>
      </c>
      <c r="D241">
        <v>193.98</v>
      </c>
      <c r="E241">
        <v>255.35</v>
      </c>
      <c r="F241">
        <v>408.01</v>
      </c>
      <c r="G241">
        <v>549.08000000000004</v>
      </c>
      <c r="H241">
        <v>599.4</v>
      </c>
      <c r="I241">
        <v>923.98</v>
      </c>
      <c r="J241" s="2">
        <v>1776.18</v>
      </c>
      <c r="K241" s="2">
        <v>2251.38</v>
      </c>
      <c r="L241" s="2">
        <v>2098.6799999999998</v>
      </c>
      <c r="M241" s="2">
        <v>2010.94</v>
      </c>
      <c r="N241" s="2">
        <v>2003.45</v>
      </c>
      <c r="O241" s="2">
        <v>2012.91</v>
      </c>
      <c r="P241" s="2">
        <v>2012.91</v>
      </c>
      <c r="Q241" s="2">
        <v>2012.91</v>
      </c>
    </row>
    <row r="242" spans="1:19" x14ac:dyDescent="0.25">
      <c r="A242" t="s">
        <v>312</v>
      </c>
      <c r="B242">
        <v>385.36</v>
      </c>
      <c r="C242">
        <v>427.96</v>
      </c>
      <c r="D242">
        <v>427.32</v>
      </c>
      <c r="E242">
        <v>451.17</v>
      </c>
      <c r="F242">
        <v>477.77</v>
      </c>
      <c r="G242">
        <v>555.48</v>
      </c>
      <c r="H242">
        <v>690.49</v>
      </c>
      <c r="I242">
        <v>917.22</v>
      </c>
      <c r="J242">
        <v>969.2</v>
      </c>
      <c r="K242">
        <v>846.04</v>
      </c>
      <c r="L242">
        <v>744.52</v>
      </c>
      <c r="M242">
        <v>801.49</v>
      </c>
      <c r="N242">
        <v>794.27</v>
      </c>
      <c r="O242">
        <v>790.69</v>
      </c>
      <c r="P242">
        <v>790.45</v>
      </c>
      <c r="Q242">
        <v>788.01</v>
      </c>
      <c r="R242">
        <v>775.9</v>
      </c>
      <c r="S242">
        <v>775.9</v>
      </c>
    </row>
    <row r="243" spans="1:19" x14ac:dyDescent="0.25">
      <c r="A243" t="s">
        <v>152</v>
      </c>
      <c r="B243">
        <v>188.74</v>
      </c>
      <c r="C243">
        <v>186.25</v>
      </c>
      <c r="D243">
        <v>185.46</v>
      </c>
      <c r="E243">
        <v>185.47</v>
      </c>
      <c r="F243">
        <v>190.39</v>
      </c>
      <c r="G243">
        <v>189.34</v>
      </c>
      <c r="H243">
        <v>190.35</v>
      </c>
      <c r="I243">
        <v>193.52</v>
      </c>
      <c r="J243">
        <v>194.38</v>
      </c>
      <c r="K243">
        <v>188.47</v>
      </c>
      <c r="L243">
        <v>189.56</v>
      </c>
      <c r="M243">
        <v>185.13</v>
      </c>
      <c r="N243">
        <v>187.52</v>
      </c>
      <c r="O243">
        <v>184.56</v>
      </c>
      <c r="P243">
        <v>184.56</v>
      </c>
      <c r="Q243">
        <v>185.32</v>
      </c>
    </row>
    <row r="244" spans="1:19" x14ac:dyDescent="0.25">
      <c r="A244" t="s">
        <v>151</v>
      </c>
      <c r="B244">
        <v>196.63</v>
      </c>
      <c r="C244">
        <v>241.72</v>
      </c>
      <c r="D244">
        <v>241.86</v>
      </c>
      <c r="E244">
        <v>265.7</v>
      </c>
      <c r="F244">
        <v>287.38</v>
      </c>
      <c r="G244">
        <v>366.13</v>
      </c>
      <c r="H244">
        <v>500.15</v>
      </c>
      <c r="I244">
        <v>723.7</v>
      </c>
      <c r="J244">
        <v>774.83</v>
      </c>
      <c r="K244">
        <v>657.57</v>
      </c>
      <c r="L244">
        <v>554.96</v>
      </c>
      <c r="M244">
        <v>616.35</v>
      </c>
      <c r="N244">
        <v>606.75</v>
      </c>
      <c r="O244">
        <v>381.19</v>
      </c>
      <c r="P244">
        <v>117.17</v>
      </c>
      <c r="Q244">
        <v>-148.26</v>
      </c>
    </row>
    <row r="245" spans="1:19" x14ac:dyDescent="0.25">
      <c r="A245" t="s">
        <v>2276</v>
      </c>
      <c r="B245">
        <v>133.77000000000001</v>
      </c>
      <c r="C245">
        <v>49.28</v>
      </c>
      <c r="D245">
        <v>56.49</v>
      </c>
      <c r="E245">
        <v>58.91</v>
      </c>
      <c r="F245">
        <v>143.80000000000001</v>
      </c>
      <c r="G245">
        <v>107.32</v>
      </c>
      <c r="H245">
        <v>127.98</v>
      </c>
      <c r="I245">
        <v>204.81</v>
      </c>
      <c r="J245">
        <v>188.52</v>
      </c>
      <c r="K245">
        <v>391.08</v>
      </c>
      <c r="L245">
        <v>557.69000000000005</v>
      </c>
      <c r="M245" s="2">
        <v>2659.51</v>
      </c>
      <c r="N245" s="2">
        <v>3815.58</v>
      </c>
      <c r="O245" s="2">
        <v>8495.5499999999993</v>
      </c>
      <c r="P245" s="2">
        <v>8495.5499999999993</v>
      </c>
      <c r="Q245" s="2">
        <v>8512.83</v>
      </c>
    </row>
    <row r="246" spans="1:19" x14ac:dyDescent="0.25">
      <c r="A246" t="s">
        <v>1440</v>
      </c>
      <c r="B246">
        <v>49.29</v>
      </c>
      <c r="C246">
        <v>38.020000000000003</v>
      </c>
      <c r="D246">
        <v>43.4</v>
      </c>
      <c r="E246">
        <v>46.32</v>
      </c>
      <c r="F246">
        <v>100.55</v>
      </c>
      <c r="G246">
        <v>51.77</v>
      </c>
      <c r="H246">
        <v>58.27</v>
      </c>
      <c r="I246">
        <v>157.01</v>
      </c>
      <c r="J246">
        <v>93.67</v>
      </c>
      <c r="K246">
        <v>245.72</v>
      </c>
      <c r="L246">
        <v>327.33</v>
      </c>
      <c r="M246" s="2">
        <v>2491.91</v>
      </c>
      <c r="N246" s="2">
        <v>3680.54</v>
      </c>
      <c r="O246" s="2">
        <v>16488.23</v>
      </c>
      <c r="P246" s="2">
        <v>10017.93</v>
      </c>
      <c r="Q246" s="2">
        <v>8499.2800000000007</v>
      </c>
      <c r="R246" s="2">
        <v>8652.6</v>
      </c>
      <c r="S246" s="2">
        <v>8652.6</v>
      </c>
    </row>
    <row r="247" spans="1:19" x14ac:dyDescent="0.25">
      <c r="A247" t="s">
        <v>155</v>
      </c>
      <c r="B247" s="2">
        <v>42360.34</v>
      </c>
      <c r="C247" s="2">
        <v>47283.92</v>
      </c>
      <c r="D247" s="2">
        <v>50355.41</v>
      </c>
      <c r="E247" s="2">
        <v>58236.76</v>
      </c>
      <c r="F247" s="2">
        <v>67135.7</v>
      </c>
      <c r="G247" s="2">
        <v>68286.570000000007</v>
      </c>
      <c r="H247" s="2">
        <v>75719.23</v>
      </c>
      <c r="I247" s="2">
        <v>98267.520000000004</v>
      </c>
      <c r="J247" s="2">
        <v>134621.07</v>
      </c>
      <c r="K247" s="2">
        <v>161558.87</v>
      </c>
      <c r="L247" s="2">
        <v>180919.6</v>
      </c>
      <c r="M247" s="2">
        <v>204070.65</v>
      </c>
      <c r="N247" s="2">
        <v>252516.08</v>
      </c>
      <c r="O247" s="2">
        <v>328650.64</v>
      </c>
      <c r="P247" s="2">
        <v>417624.39</v>
      </c>
      <c r="Q247" s="2">
        <v>536167.75</v>
      </c>
      <c r="R247" s="2">
        <v>633336.51</v>
      </c>
      <c r="S247" s="2">
        <v>768378.02</v>
      </c>
    </row>
    <row r="248" spans="1:19" x14ac:dyDescent="0.25">
      <c r="A248" t="s">
        <v>17</v>
      </c>
    </row>
    <row r="249" spans="1:19" x14ac:dyDescent="0.25">
      <c r="A249" t="s">
        <v>156</v>
      </c>
    </row>
    <row r="250" spans="1:19" x14ac:dyDescent="0.25">
      <c r="A250" t="s">
        <v>157</v>
      </c>
      <c r="B250" s="2">
        <v>6364.77</v>
      </c>
      <c r="C250" s="2">
        <v>6357.46</v>
      </c>
      <c r="D250" s="2">
        <v>6447.5</v>
      </c>
      <c r="E250" s="2">
        <v>9824.36</v>
      </c>
      <c r="F250" s="2">
        <v>12090.21</v>
      </c>
      <c r="G250" s="2">
        <v>11125.87</v>
      </c>
      <c r="H250" s="2">
        <v>19750.07</v>
      </c>
      <c r="I250" s="2">
        <v>21967.49</v>
      </c>
      <c r="J250" s="2">
        <v>26721.95</v>
      </c>
      <c r="K250" s="2">
        <v>30726.080000000002</v>
      </c>
      <c r="L250" s="2">
        <v>29876</v>
      </c>
      <c r="M250" s="2">
        <v>38561.69</v>
      </c>
      <c r="N250" s="2">
        <v>46410.21</v>
      </c>
      <c r="O250" s="2">
        <v>56924.7</v>
      </c>
      <c r="P250" s="2">
        <v>62269.94</v>
      </c>
      <c r="Q250" s="2">
        <v>68197.570000000007</v>
      </c>
      <c r="R250" s="2">
        <v>76005.53</v>
      </c>
      <c r="S250" s="2">
        <v>80954.22</v>
      </c>
    </row>
    <row r="251" spans="1:19" x14ac:dyDescent="0.25">
      <c r="A251" t="s">
        <v>158</v>
      </c>
      <c r="B251">
        <v>492.01</v>
      </c>
      <c r="C251">
        <v>691.97</v>
      </c>
      <c r="D251">
        <v>564.32000000000005</v>
      </c>
      <c r="E251">
        <v>804.57</v>
      </c>
      <c r="F251">
        <v>957.65</v>
      </c>
      <c r="G251" s="2">
        <v>1077.52</v>
      </c>
      <c r="H251" s="2">
        <v>1296.23</v>
      </c>
      <c r="I251" s="2">
        <v>1387.75</v>
      </c>
      <c r="J251" s="2">
        <v>1708.67</v>
      </c>
      <c r="K251" s="2">
        <v>1785.84</v>
      </c>
      <c r="L251" s="2">
        <v>1873.6</v>
      </c>
      <c r="M251" s="2">
        <v>2263.54</v>
      </c>
      <c r="N251" s="2">
        <v>2684.32</v>
      </c>
      <c r="O251" s="2">
        <v>3661.4</v>
      </c>
      <c r="P251" s="2">
        <v>4812.71</v>
      </c>
      <c r="Q251" s="2">
        <v>5710.98</v>
      </c>
      <c r="R251" s="2">
        <v>7840.05</v>
      </c>
      <c r="S251" s="2">
        <v>9060.4</v>
      </c>
    </row>
    <row r="252" spans="1:19" x14ac:dyDescent="0.25">
      <c r="A252" t="s">
        <v>1228</v>
      </c>
      <c r="F252" s="2">
        <v>1878.17</v>
      </c>
      <c r="G252" s="2">
        <v>1409.22</v>
      </c>
      <c r="H252" s="2">
        <v>4707.72</v>
      </c>
      <c r="I252" s="2">
        <v>5617.07</v>
      </c>
      <c r="J252" s="2">
        <v>5266.39</v>
      </c>
      <c r="K252" s="2">
        <v>6947.49</v>
      </c>
      <c r="L252" s="2">
        <v>5607.89</v>
      </c>
      <c r="M252" s="2">
        <v>5874.41</v>
      </c>
      <c r="N252" s="2">
        <v>5657.33</v>
      </c>
      <c r="O252" s="2">
        <v>9572.85</v>
      </c>
      <c r="P252" s="2">
        <v>10144.77</v>
      </c>
      <c r="Q252" s="2">
        <v>11080.56</v>
      </c>
      <c r="R252" s="2">
        <v>13489.75</v>
      </c>
      <c r="S252" s="2">
        <v>14714.18</v>
      </c>
    </row>
    <row r="253" spans="1:19" x14ac:dyDescent="0.25">
      <c r="A253" t="s">
        <v>2277</v>
      </c>
      <c r="H253" s="2">
        <v>4334.6499999999996</v>
      </c>
      <c r="I253" s="2">
        <v>4614.96</v>
      </c>
      <c r="J253" s="2">
        <v>5153.47</v>
      </c>
      <c r="K253" s="2">
        <v>4640.8999999999996</v>
      </c>
      <c r="L253" s="2">
        <v>5512.2</v>
      </c>
      <c r="M253" s="2">
        <v>6721.67</v>
      </c>
      <c r="N253" s="2">
        <v>9080.0499999999993</v>
      </c>
      <c r="O253" s="2">
        <v>10704.01</v>
      </c>
      <c r="P253" s="2">
        <v>11246.65</v>
      </c>
      <c r="Q253" s="2">
        <v>12312.58</v>
      </c>
      <c r="R253" s="2">
        <v>15739.38</v>
      </c>
      <c r="S253" s="2">
        <v>17909.66</v>
      </c>
    </row>
    <row r="254" spans="1:19" x14ac:dyDescent="0.25">
      <c r="A254" t="s">
        <v>608</v>
      </c>
      <c r="B254">
        <v>756.73</v>
      </c>
      <c r="C254">
        <v>905.06</v>
      </c>
      <c r="D254">
        <v>999.54</v>
      </c>
      <c r="E254" s="2">
        <v>1244.29</v>
      </c>
      <c r="F254" s="2">
        <v>1128.42</v>
      </c>
      <c r="G254" s="2">
        <v>1273.75</v>
      </c>
      <c r="H254" s="2">
        <v>1085.44</v>
      </c>
      <c r="I254" s="2">
        <v>1918.9</v>
      </c>
      <c r="J254" s="2">
        <v>2155.35</v>
      </c>
      <c r="K254" s="2">
        <v>3931.01</v>
      </c>
      <c r="L254" s="2">
        <v>3234.65</v>
      </c>
      <c r="M254" s="2">
        <v>4496.13</v>
      </c>
      <c r="N254" s="2">
        <v>6440.62</v>
      </c>
      <c r="O254" s="2">
        <v>9799.43</v>
      </c>
      <c r="P254" s="2">
        <v>13405.52</v>
      </c>
      <c r="Q254" s="2">
        <v>17258.669999999998</v>
      </c>
    </row>
    <row r="255" spans="1:19" x14ac:dyDescent="0.25">
      <c r="A255" t="s">
        <v>313</v>
      </c>
      <c r="B255">
        <v>525</v>
      </c>
      <c r="C255" s="2">
        <v>1143.5899999999999</v>
      </c>
      <c r="D255" s="2">
        <v>1913.69</v>
      </c>
      <c r="E255" s="2">
        <v>2965.71</v>
      </c>
      <c r="F255" s="2">
        <v>4117.67</v>
      </c>
      <c r="G255" s="2">
        <v>4039.92</v>
      </c>
      <c r="H255" s="2">
        <v>5101.79</v>
      </c>
      <c r="I255" s="2">
        <v>3309.87</v>
      </c>
      <c r="J255" s="2">
        <v>4396.34</v>
      </c>
      <c r="K255">
        <v>713.21</v>
      </c>
      <c r="L255">
        <v>395.82</v>
      </c>
      <c r="M255" s="2">
        <v>1918.35</v>
      </c>
      <c r="N255" s="2">
        <v>4358.4799999999996</v>
      </c>
      <c r="O255" s="2">
        <v>4947.8100000000004</v>
      </c>
      <c r="P255" s="2">
        <v>4942.3900000000003</v>
      </c>
      <c r="Q255" s="2">
        <v>4971.38</v>
      </c>
      <c r="R255" s="2">
        <v>6163.2</v>
      </c>
      <c r="S255" s="2">
        <v>6608.63</v>
      </c>
    </row>
    <row r="256" spans="1:19" x14ac:dyDescent="0.25">
      <c r="A256" t="s">
        <v>1434</v>
      </c>
      <c r="B256">
        <v>524.70000000000005</v>
      </c>
      <c r="C256" s="2">
        <v>1143.5899999999999</v>
      </c>
      <c r="D256" s="2">
        <v>1199.22</v>
      </c>
      <c r="E256" s="2">
        <v>1789.23</v>
      </c>
      <c r="F256" s="2">
        <v>2149.2600000000002</v>
      </c>
      <c r="G256" s="2">
        <v>2899.7</v>
      </c>
      <c r="H256" s="2">
        <v>3962.56</v>
      </c>
      <c r="I256" s="2">
        <v>3152.26</v>
      </c>
      <c r="J256" s="2">
        <v>4152.68</v>
      </c>
      <c r="K256">
        <v>0</v>
      </c>
      <c r="L256">
        <v>0</v>
      </c>
      <c r="O256">
        <v>0</v>
      </c>
      <c r="P256">
        <v>0</v>
      </c>
    </row>
    <row r="257" spans="1:19" x14ac:dyDescent="0.25">
      <c r="A257" t="s">
        <v>2278</v>
      </c>
      <c r="B257">
        <v>0.3</v>
      </c>
      <c r="C257">
        <v>0</v>
      </c>
      <c r="D257">
        <v>714.47</v>
      </c>
      <c r="E257" s="2">
        <v>1176.48</v>
      </c>
      <c r="F257" s="2">
        <v>1968.41</v>
      </c>
      <c r="G257" s="2">
        <v>1140.22</v>
      </c>
      <c r="H257" s="2">
        <v>1063.17</v>
      </c>
      <c r="I257">
        <v>92.55</v>
      </c>
      <c r="J257">
        <v>165.02</v>
      </c>
      <c r="K257">
        <v>628.49</v>
      </c>
      <c r="L257">
        <v>303.91000000000003</v>
      </c>
      <c r="M257" s="2">
        <v>1825.37</v>
      </c>
      <c r="N257" s="2">
        <v>4358.4799999999996</v>
      </c>
      <c r="O257" s="2">
        <v>5012</v>
      </c>
      <c r="P257" s="2">
        <v>5087.1099999999997</v>
      </c>
      <c r="Q257" s="2">
        <v>5347.16</v>
      </c>
      <c r="R257" s="2">
        <v>5249.22</v>
      </c>
      <c r="S257" s="2">
        <v>5249.22</v>
      </c>
    </row>
    <row r="258" spans="1:19" x14ac:dyDescent="0.25">
      <c r="A258" t="s">
        <v>2279</v>
      </c>
      <c r="H258">
        <v>76.06</v>
      </c>
      <c r="I258">
        <v>65.069999999999993</v>
      </c>
      <c r="J258">
        <v>78.650000000000006</v>
      </c>
      <c r="K258">
        <v>84.72</v>
      </c>
      <c r="L258">
        <v>91.91</v>
      </c>
      <c r="M258">
        <v>92.98</v>
      </c>
    </row>
    <row r="259" spans="1:19" x14ac:dyDescent="0.25">
      <c r="A259" t="s">
        <v>2280</v>
      </c>
      <c r="B259">
        <v>559.87</v>
      </c>
      <c r="C259">
        <v>940.78</v>
      </c>
      <c r="D259">
        <v>841.57</v>
      </c>
      <c r="E259" s="2">
        <v>1129.31</v>
      </c>
      <c r="F259" s="2">
        <v>2210.66</v>
      </c>
      <c r="G259" s="2">
        <v>2017.78</v>
      </c>
      <c r="H259" s="2">
        <v>1884.73</v>
      </c>
      <c r="I259" s="2">
        <v>3121.09</v>
      </c>
      <c r="J259" s="2">
        <v>5863.55</v>
      </c>
      <c r="K259" s="2">
        <v>9540.08</v>
      </c>
      <c r="L259" s="2">
        <v>9701.6299999999992</v>
      </c>
      <c r="M259" s="2">
        <v>13758.09</v>
      </c>
      <c r="N259" s="2">
        <v>24630.03</v>
      </c>
    </row>
    <row r="260" spans="1:19" x14ac:dyDescent="0.25">
      <c r="A260" t="s">
        <v>1440</v>
      </c>
      <c r="B260" s="2">
        <v>5347.76</v>
      </c>
      <c r="C260" s="2">
        <v>4521.91</v>
      </c>
      <c r="D260" s="2">
        <v>3969.5</v>
      </c>
      <c r="E260" s="2">
        <v>6054.08</v>
      </c>
      <c r="F260" s="2">
        <v>7014.88</v>
      </c>
      <c r="G260" s="2">
        <v>6008.43</v>
      </c>
      <c r="H260" s="2">
        <v>13352.05</v>
      </c>
      <c r="I260" s="2">
        <v>17269.87</v>
      </c>
      <c r="J260" s="2">
        <v>20616.939999999999</v>
      </c>
      <c r="K260" s="2">
        <v>28227.03</v>
      </c>
      <c r="L260" s="2">
        <v>27606.59</v>
      </c>
      <c r="M260" s="2">
        <v>34379.800000000003</v>
      </c>
      <c r="N260" s="2">
        <v>39367.410000000003</v>
      </c>
      <c r="O260" s="2">
        <v>47181.98</v>
      </c>
      <c r="P260" s="2">
        <v>50255.82</v>
      </c>
      <c r="Q260" s="2">
        <v>54525.04</v>
      </c>
      <c r="R260" s="2">
        <v>39436.53</v>
      </c>
      <c r="S260" s="2">
        <v>33838.6</v>
      </c>
    </row>
    <row r="261" spans="1:19" x14ac:dyDescent="0.25">
      <c r="A261" t="s">
        <v>164</v>
      </c>
      <c r="B261" s="2">
        <v>7562.88</v>
      </c>
      <c r="C261" s="2">
        <v>7834.23</v>
      </c>
      <c r="D261" s="2">
        <v>6764.27</v>
      </c>
      <c r="E261" s="2">
        <v>5500.13</v>
      </c>
      <c r="F261" s="2">
        <v>3720.87</v>
      </c>
      <c r="G261" s="2">
        <v>2355.2199999999998</v>
      </c>
      <c r="H261" s="2">
        <v>1737.64</v>
      </c>
      <c r="I261" s="2">
        <v>10427.14</v>
      </c>
      <c r="J261" s="2">
        <v>29459.67</v>
      </c>
      <c r="K261" s="2">
        <v>34495.519999999997</v>
      </c>
      <c r="L261" s="2">
        <v>37133.94</v>
      </c>
      <c r="M261" s="2">
        <v>33661.51</v>
      </c>
      <c r="N261" s="2">
        <v>32283.3</v>
      </c>
      <c r="O261" s="2">
        <v>34758.080000000002</v>
      </c>
      <c r="P261" s="2">
        <v>33074.769999999997</v>
      </c>
      <c r="Q261" s="2">
        <v>33224.74</v>
      </c>
      <c r="R261" s="2">
        <v>32512.11</v>
      </c>
      <c r="S261" s="2">
        <v>32723.97</v>
      </c>
    </row>
    <row r="262" spans="1:19" x14ac:dyDescent="0.25">
      <c r="A262" t="s">
        <v>315</v>
      </c>
      <c r="B262" s="2">
        <v>7070.07</v>
      </c>
      <c r="C262" s="2">
        <v>6759.13</v>
      </c>
      <c r="D262" s="2">
        <v>5832.89</v>
      </c>
      <c r="E262" s="2">
        <v>4726.82</v>
      </c>
      <c r="F262" s="2">
        <v>3094.12</v>
      </c>
      <c r="G262" s="2">
        <v>1858.98</v>
      </c>
      <c r="H262">
        <v>839.17</v>
      </c>
      <c r="I262" s="2">
        <v>9114.91</v>
      </c>
      <c r="J262" s="2">
        <v>22164.48</v>
      </c>
      <c r="K262" s="2">
        <v>27305.040000000001</v>
      </c>
      <c r="L262" s="2">
        <v>30029.68</v>
      </c>
      <c r="M262" s="2">
        <v>29227.29</v>
      </c>
      <c r="N262" s="2">
        <v>28522.55</v>
      </c>
      <c r="O262" s="2">
        <v>25055.4</v>
      </c>
      <c r="P262" s="2">
        <v>25281.83</v>
      </c>
      <c r="Q262" s="2">
        <v>24665.46</v>
      </c>
      <c r="R262" s="2">
        <v>26015.09</v>
      </c>
      <c r="S262" s="2">
        <v>26015.09</v>
      </c>
    </row>
    <row r="263" spans="1:19" x14ac:dyDescent="0.25">
      <c r="A263" t="s">
        <v>544</v>
      </c>
      <c r="H263">
        <v>502.89</v>
      </c>
      <c r="I263">
        <v>731.86</v>
      </c>
      <c r="J263">
        <v>750.31</v>
      </c>
      <c r="K263">
        <v>968.55</v>
      </c>
      <c r="L263">
        <v>937.95</v>
      </c>
      <c r="M263">
        <v>876.89</v>
      </c>
      <c r="N263" s="2">
        <v>1005.7</v>
      </c>
      <c r="O263">
        <v>306.41000000000003</v>
      </c>
      <c r="P263">
        <v>306.41000000000003</v>
      </c>
      <c r="Q263">
        <v>306.41000000000003</v>
      </c>
    </row>
    <row r="264" spans="1:19" x14ac:dyDescent="0.25">
      <c r="A264" t="s">
        <v>411</v>
      </c>
      <c r="F264" s="2">
        <v>1401.08</v>
      </c>
      <c r="G264">
        <v>957.42</v>
      </c>
      <c r="H264" s="2">
        <v>1008.74</v>
      </c>
      <c r="I264">
        <v>986.98</v>
      </c>
      <c r="J264" s="2">
        <v>1061.79</v>
      </c>
      <c r="K264" s="2">
        <v>2242.9899999999998</v>
      </c>
    </row>
    <row r="265" spans="1:19" x14ac:dyDescent="0.25">
      <c r="A265" t="s">
        <v>501</v>
      </c>
      <c r="C265">
        <v>6.32</v>
      </c>
      <c r="D265">
        <v>0.95</v>
      </c>
      <c r="E265">
        <v>4.3600000000000003</v>
      </c>
      <c r="F265">
        <v>10.19</v>
      </c>
      <c r="G265">
        <v>7.62</v>
      </c>
      <c r="H265">
        <v>11.51</v>
      </c>
      <c r="I265">
        <v>61.58</v>
      </c>
      <c r="J265">
        <v>67.709999999999994</v>
      </c>
      <c r="K265">
        <v>33.56</v>
      </c>
      <c r="L265">
        <v>1.76</v>
      </c>
      <c r="M265">
        <v>121.63</v>
      </c>
      <c r="N265">
        <v>123.78</v>
      </c>
      <c r="O265">
        <v>119.9</v>
      </c>
      <c r="P265">
        <v>119.9</v>
      </c>
      <c r="Q265">
        <v>120.46</v>
      </c>
    </row>
    <row r="266" spans="1:19" x14ac:dyDescent="0.25">
      <c r="A266" t="s">
        <v>2011</v>
      </c>
      <c r="B266">
        <v>466.79</v>
      </c>
      <c r="C266" s="2">
        <v>1049.74</v>
      </c>
      <c r="D266">
        <v>931.38</v>
      </c>
      <c r="E266">
        <v>773.31</v>
      </c>
      <c r="F266">
        <v>626.76</v>
      </c>
      <c r="G266">
        <v>496.24</v>
      </c>
      <c r="H266">
        <v>395.58</v>
      </c>
      <c r="I266">
        <v>580.38</v>
      </c>
      <c r="J266" s="2">
        <v>6544.88</v>
      </c>
      <c r="K266" s="2">
        <v>6221.92</v>
      </c>
      <c r="L266" s="2">
        <v>6166.3</v>
      </c>
      <c r="M266" s="2">
        <v>3557.33</v>
      </c>
      <c r="N266" s="2">
        <v>2755.05</v>
      </c>
      <c r="O266" s="2">
        <v>4918.62</v>
      </c>
      <c r="P266" s="2">
        <v>4918.34</v>
      </c>
      <c r="Q266" s="2">
        <v>4918.0600000000004</v>
      </c>
    </row>
    <row r="267" spans="1:19" x14ac:dyDescent="0.25">
      <c r="A267" t="s">
        <v>167</v>
      </c>
      <c r="B267" s="2">
        <v>13927.66</v>
      </c>
      <c r="C267" s="2">
        <v>14191.69</v>
      </c>
      <c r="D267" s="2">
        <v>13211.77</v>
      </c>
      <c r="E267" s="2">
        <v>15324.49</v>
      </c>
      <c r="F267" s="2">
        <v>15811.08</v>
      </c>
      <c r="G267" s="2">
        <v>13481.09</v>
      </c>
      <c r="H267" s="2">
        <v>21487.71</v>
      </c>
      <c r="I267" s="2">
        <v>32394.63</v>
      </c>
      <c r="J267" s="2">
        <v>56181.62</v>
      </c>
      <c r="K267" s="2">
        <v>65221.599999999999</v>
      </c>
      <c r="L267" s="2">
        <v>67009.94</v>
      </c>
      <c r="M267" s="2">
        <v>72223.199999999997</v>
      </c>
      <c r="N267" s="2">
        <v>78693.509999999995</v>
      </c>
      <c r="O267" s="2">
        <v>90792.77</v>
      </c>
      <c r="P267" s="2">
        <v>95319.95</v>
      </c>
      <c r="Q267" s="2">
        <v>101722.72</v>
      </c>
      <c r="R267" s="2">
        <v>105468</v>
      </c>
      <c r="S267" s="2">
        <v>110626.73</v>
      </c>
    </row>
    <row r="268" spans="1:19" x14ac:dyDescent="0.25">
      <c r="A268" t="s">
        <v>170</v>
      </c>
      <c r="B268" s="2">
        <v>28432.68</v>
      </c>
      <c r="C268" s="2">
        <v>33092.230000000003</v>
      </c>
      <c r="D268" s="2">
        <v>37143.64</v>
      </c>
      <c r="E268" s="2">
        <v>42912.27</v>
      </c>
      <c r="F268" s="2">
        <v>51324.61</v>
      </c>
      <c r="G268" s="2">
        <v>54805.48</v>
      </c>
      <c r="H268" s="2">
        <v>54231.519999999997</v>
      </c>
      <c r="I268" s="2">
        <v>65872.89</v>
      </c>
      <c r="J268" s="2">
        <v>78439.44</v>
      </c>
      <c r="K268" s="2">
        <v>96337.27</v>
      </c>
      <c r="L268" s="2">
        <v>113909.66</v>
      </c>
      <c r="M268" s="2">
        <v>131847.45000000001</v>
      </c>
      <c r="N268" s="2">
        <v>173822.57</v>
      </c>
      <c r="O268" s="2">
        <v>237547.15</v>
      </c>
      <c r="P268" s="2">
        <v>318566.07</v>
      </c>
      <c r="Q268" s="2">
        <v>434269.25</v>
      </c>
      <c r="R268" s="2">
        <v>534702.78</v>
      </c>
      <c r="S268" s="2">
        <v>671324.96</v>
      </c>
    </row>
    <row r="269" spans="1:19" x14ac:dyDescent="0.25">
      <c r="A269" t="s">
        <v>2062</v>
      </c>
      <c r="B269" s="2">
        <v>28423.73</v>
      </c>
      <c r="C269" s="2">
        <v>33088.199999999997</v>
      </c>
      <c r="D269" s="2">
        <v>37114.39</v>
      </c>
      <c r="E269" s="2">
        <v>42887.48</v>
      </c>
      <c r="F269" s="2">
        <v>51300.95</v>
      </c>
      <c r="G269" s="2">
        <v>54783.31</v>
      </c>
      <c r="H269" s="2">
        <v>54208.6</v>
      </c>
      <c r="I269" s="2">
        <v>65838.55</v>
      </c>
      <c r="J269" s="2">
        <v>78351.03</v>
      </c>
      <c r="K269" s="2">
        <v>95854.5</v>
      </c>
      <c r="L269" s="2">
        <v>113113.39</v>
      </c>
      <c r="M269" s="2">
        <v>130779.18</v>
      </c>
      <c r="N269" s="2">
        <v>172511.16</v>
      </c>
      <c r="O269" s="2">
        <v>238924.37</v>
      </c>
      <c r="P269" s="2">
        <v>329555.87</v>
      </c>
      <c r="Q269" s="2">
        <v>443926.75</v>
      </c>
      <c r="R269" s="2">
        <v>549704.23</v>
      </c>
      <c r="S269" s="2">
        <v>690934.07</v>
      </c>
    </row>
    <row r="270" spans="1:19" x14ac:dyDescent="0.25">
      <c r="A270" t="s">
        <v>2121</v>
      </c>
      <c r="B270" s="2">
        <v>8695.94</v>
      </c>
      <c r="C270" s="2">
        <v>8200.77</v>
      </c>
      <c r="D270" s="2">
        <v>7877.65</v>
      </c>
      <c r="E270" s="2">
        <v>8004.97</v>
      </c>
      <c r="F270" s="2">
        <v>8739.83</v>
      </c>
      <c r="G270" s="2">
        <v>8471.7099999999991</v>
      </c>
      <c r="H270" s="2">
        <v>8669.2999999999993</v>
      </c>
      <c r="I270" s="2">
        <v>9229.92</v>
      </c>
      <c r="J270" s="2">
        <v>9369.94</v>
      </c>
      <c r="K270" s="2">
        <v>8438.01</v>
      </c>
      <c r="L270" s="2">
        <v>8480.31</v>
      </c>
      <c r="M270" s="2">
        <v>7908.19</v>
      </c>
      <c r="N270" s="2">
        <v>8254.58</v>
      </c>
      <c r="O270" s="2">
        <v>8127.99</v>
      </c>
      <c r="P270" s="2">
        <v>8127.98</v>
      </c>
      <c r="Q270" s="2">
        <v>8128</v>
      </c>
      <c r="R270" s="2">
        <v>8241.07</v>
      </c>
      <c r="S270" s="2">
        <v>8241.07</v>
      </c>
    </row>
    <row r="271" spans="1:19" x14ac:dyDescent="0.25">
      <c r="A271" t="s">
        <v>2281</v>
      </c>
      <c r="B271" s="2">
        <v>1873.39</v>
      </c>
      <c r="C271" s="2">
        <v>1770.79</v>
      </c>
      <c r="D271" s="2">
        <v>1710.4</v>
      </c>
      <c r="E271" s="2">
        <v>1737.18</v>
      </c>
      <c r="F271" s="2">
        <v>1897.91</v>
      </c>
      <c r="G271" s="2">
        <v>1839.9</v>
      </c>
      <c r="H271" s="2">
        <v>1883.61</v>
      </c>
      <c r="I271" s="2">
        <v>2005.68</v>
      </c>
      <c r="J271" s="2">
        <v>2340.16</v>
      </c>
      <c r="K271" s="2">
        <v>2256.08</v>
      </c>
      <c r="L271" s="2">
        <v>2285.1</v>
      </c>
      <c r="M271" s="2">
        <v>2234.09</v>
      </c>
      <c r="N271" s="2">
        <v>2337.85</v>
      </c>
      <c r="O271" s="2">
        <v>2047.19</v>
      </c>
      <c r="P271" s="2">
        <v>1813.4</v>
      </c>
      <c r="Q271" s="2">
        <v>1302.4000000000001</v>
      </c>
      <c r="R271">
        <v>-660.63</v>
      </c>
      <c r="S271" s="2">
        <v>-1402.42</v>
      </c>
    </row>
    <row r="272" spans="1:19" x14ac:dyDescent="0.25">
      <c r="A272" t="s">
        <v>2123</v>
      </c>
      <c r="B272" s="2">
        <v>17379.16</v>
      </c>
      <c r="C272" s="2">
        <v>22302.26</v>
      </c>
      <c r="D272" s="2">
        <v>27168.639999999999</v>
      </c>
      <c r="E272" s="2">
        <v>33093.96</v>
      </c>
      <c r="F272" s="2">
        <v>41570.47</v>
      </c>
      <c r="G272" s="2">
        <v>44976.46</v>
      </c>
      <c r="H272" s="2">
        <v>44577.39</v>
      </c>
      <c r="I272" s="2">
        <v>56549.279999999999</v>
      </c>
      <c r="J272" s="2">
        <v>68903.289999999994</v>
      </c>
      <c r="K272" s="2">
        <v>85827.69</v>
      </c>
      <c r="L272" s="2">
        <v>103273.92</v>
      </c>
      <c r="M272" s="2">
        <v>119456.6</v>
      </c>
      <c r="N272" s="2">
        <v>162449.56</v>
      </c>
      <c r="O272" s="2">
        <v>223623.23</v>
      </c>
      <c r="P272" s="2">
        <v>312618.67</v>
      </c>
      <c r="Q272" s="2">
        <v>381548.23</v>
      </c>
      <c r="R272" s="2">
        <v>529752.32999999996</v>
      </c>
      <c r="S272" s="2">
        <v>672805.35</v>
      </c>
    </row>
    <row r="273" spans="1:19" x14ac:dyDescent="0.25">
      <c r="A273" t="s">
        <v>2282</v>
      </c>
      <c r="B273" s="2">
        <v>12844.1</v>
      </c>
      <c r="C273" s="2">
        <v>17518.66</v>
      </c>
      <c r="D273" s="2">
        <v>21771.919999999998</v>
      </c>
      <c r="E273" s="2">
        <v>26663.599999999999</v>
      </c>
      <c r="F273" s="2">
        <v>33423.199999999997</v>
      </c>
      <c r="G273" s="2">
        <v>35079.07</v>
      </c>
      <c r="H273" s="2">
        <v>33817.910000000003</v>
      </c>
      <c r="I273" s="2">
        <v>43969.79</v>
      </c>
      <c r="J273" s="2">
        <v>55517.04</v>
      </c>
      <c r="K273" s="2">
        <v>75600.02</v>
      </c>
      <c r="L273" s="2">
        <v>93098.8</v>
      </c>
      <c r="M273" s="2">
        <v>109968.18</v>
      </c>
      <c r="N273" s="2">
        <v>149767.09</v>
      </c>
      <c r="O273" s="2">
        <v>219049.13</v>
      </c>
      <c r="P273" s="2">
        <v>309825.96999999997</v>
      </c>
      <c r="Q273" s="2">
        <v>422166.22</v>
      </c>
      <c r="R273" s="2">
        <v>513126.95</v>
      </c>
      <c r="S273" s="2">
        <v>636485.87</v>
      </c>
    </row>
    <row r="274" spans="1:19" x14ac:dyDescent="0.25">
      <c r="A274" t="s">
        <v>2124</v>
      </c>
      <c r="B274">
        <v>0</v>
      </c>
      <c r="C274">
        <v>-0.01</v>
      </c>
      <c r="D274">
        <v>-0.02</v>
      </c>
      <c r="E274">
        <v>0</v>
      </c>
      <c r="F274">
        <v>-0.2</v>
      </c>
      <c r="G274">
        <v>0.71</v>
      </c>
      <c r="H274">
        <v>-0.13</v>
      </c>
      <c r="I274">
        <v>0</v>
      </c>
      <c r="J274">
        <v>4.3600000000000003</v>
      </c>
      <c r="K274">
        <v>42.11</v>
      </c>
      <c r="L274">
        <v>36.049999999999997</v>
      </c>
      <c r="M274">
        <v>-12.13</v>
      </c>
      <c r="N274">
        <v>23.91</v>
      </c>
    </row>
    <row r="275" spans="1:19" x14ac:dyDescent="0.25">
      <c r="A275" t="s">
        <v>1235</v>
      </c>
      <c r="B275">
        <v>8.9499999999999993</v>
      </c>
      <c r="C275">
        <v>4.0199999999999996</v>
      </c>
      <c r="D275">
        <v>29.25</v>
      </c>
      <c r="E275">
        <v>24.79</v>
      </c>
      <c r="F275">
        <v>23.66</v>
      </c>
      <c r="G275">
        <v>22.17</v>
      </c>
      <c r="H275">
        <v>22.91</v>
      </c>
      <c r="I275">
        <v>34.340000000000003</v>
      </c>
      <c r="J275">
        <v>88.41</v>
      </c>
      <c r="K275">
        <v>482.77</v>
      </c>
      <c r="L275">
        <v>796.27</v>
      </c>
      <c r="M275" s="2">
        <v>1068.26</v>
      </c>
      <c r="N275" s="2">
        <v>1311.41</v>
      </c>
      <c r="O275" s="2">
        <v>1304.04</v>
      </c>
      <c r="P275" s="2">
        <v>1377.98</v>
      </c>
      <c r="Q275" s="2">
        <v>1528.87</v>
      </c>
      <c r="R275" s="2">
        <v>2867.43</v>
      </c>
      <c r="S275" s="2">
        <v>3510.89</v>
      </c>
    </row>
    <row r="276" spans="1:19" x14ac:dyDescent="0.25">
      <c r="A276" t="s">
        <v>326</v>
      </c>
      <c r="B276" s="2">
        <v>42360.34</v>
      </c>
      <c r="C276" s="2">
        <v>47283.92</v>
      </c>
      <c r="D276" s="2">
        <v>50355.41</v>
      </c>
      <c r="E276" s="2">
        <v>58236.76</v>
      </c>
      <c r="F276" s="2">
        <v>67135.7</v>
      </c>
      <c r="G276" s="2">
        <v>68286.570000000007</v>
      </c>
      <c r="H276" s="2">
        <v>75719.23</v>
      </c>
      <c r="I276" s="2">
        <v>98267.520000000004</v>
      </c>
      <c r="J276" s="2">
        <v>134621.07</v>
      </c>
      <c r="K276" s="2">
        <v>161558.87</v>
      </c>
      <c r="L276" s="2">
        <v>180919.6</v>
      </c>
      <c r="M276" s="2">
        <v>204070.65</v>
      </c>
      <c r="N276" s="2">
        <v>252516.08</v>
      </c>
      <c r="O276" s="2">
        <v>328650.64</v>
      </c>
      <c r="P276" s="2">
        <v>417624.39</v>
      </c>
      <c r="Q276" s="2">
        <v>536167.75</v>
      </c>
      <c r="R276" s="2">
        <v>633336.51</v>
      </c>
      <c r="S276" s="2">
        <v>768378.02</v>
      </c>
    </row>
    <row r="277" spans="1:19" x14ac:dyDescent="0.25">
      <c r="A277" t="s">
        <v>17</v>
      </c>
    </row>
    <row r="278" spans="1:19" x14ac:dyDescent="0.25">
      <c r="A278" t="s">
        <v>176</v>
      </c>
    </row>
    <row r="279" spans="1:19" x14ac:dyDescent="0.25">
      <c r="A279" t="s">
        <v>179</v>
      </c>
      <c r="B279">
        <v>16.920000000000002</v>
      </c>
      <c r="C279">
        <v>19.14</v>
      </c>
      <c r="D279">
        <v>19.45</v>
      </c>
      <c r="E279">
        <v>18.86</v>
      </c>
      <c r="F279">
        <v>17.690000000000001</v>
      </c>
      <c r="G279">
        <v>17.2</v>
      </c>
      <c r="H279">
        <v>15.86</v>
      </c>
      <c r="I279">
        <v>20.61</v>
      </c>
      <c r="J279">
        <v>18.39</v>
      </c>
      <c r="K279">
        <v>23.39</v>
      </c>
      <c r="L279">
        <v>15.98</v>
      </c>
      <c r="M279">
        <v>19.2</v>
      </c>
      <c r="N279">
        <v>23.49</v>
      </c>
      <c r="O279">
        <v>28.75</v>
      </c>
      <c r="P279">
        <v>29.49</v>
      </c>
      <c r="Q279">
        <v>28.67</v>
      </c>
      <c r="R279">
        <v>25.73</v>
      </c>
      <c r="S279">
        <v>24.17</v>
      </c>
    </row>
    <row r="280" spans="1:19" x14ac:dyDescent="0.25">
      <c r="A280" t="s">
        <v>180</v>
      </c>
      <c r="B280">
        <v>24</v>
      </c>
      <c r="C280">
        <v>27.87</v>
      </c>
      <c r="D280">
        <v>27.04</v>
      </c>
      <c r="E280">
        <v>25.6</v>
      </c>
      <c r="F280">
        <v>23.57</v>
      </c>
      <c r="G280">
        <v>21.95</v>
      </c>
      <c r="H280">
        <v>20.94</v>
      </c>
      <c r="I280">
        <v>29.84</v>
      </c>
      <c r="J280">
        <v>29.69</v>
      </c>
      <c r="K280">
        <v>39.76</v>
      </c>
      <c r="L280">
        <v>26.18</v>
      </c>
      <c r="M280">
        <v>30.29</v>
      </c>
      <c r="N280">
        <v>35.39</v>
      </c>
      <c r="O280">
        <v>41.19</v>
      </c>
      <c r="P280">
        <v>40.119999999999997</v>
      </c>
      <c r="Q280">
        <v>36.36</v>
      </c>
      <c r="R280">
        <v>30.95</v>
      </c>
      <c r="S280">
        <v>28.49</v>
      </c>
    </row>
    <row r="281" spans="1:19" x14ac:dyDescent="0.25">
      <c r="A281" t="s">
        <v>611</v>
      </c>
      <c r="B281">
        <v>43.8</v>
      </c>
      <c r="C281">
        <v>54.9</v>
      </c>
      <c r="D281">
        <v>36.81</v>
      </c>
      <c r="E281">
        <v>49.55</v>
      </c>
      <c r="F281">
        <v>45.68</v>
      </c>
      <c r="G281">
        <v>45.51</v>
      </c>
      <c r="H281">
        <v>47.39</v>
      </c>
      <c r="I281">
        <v>39.76</v>
      </c>
      <c r="J281">
        <v>45.43</v>
      </c>
      <c r="K281">
        <v>37.299999999999997</v>
      </c>
      <c r="L281">
        <v>34.1</v>
      </c>
      <c r="M281">
        <v>34.409999999999997</v>
      </c>
      <c r="N281">
        <v>27</v>
      </c>
      <c r="O281">
        <v>30.11</v>
      </c>
      <c r="P281">
        <v>28.15</v>
      </c>
      <c r="Q281">
        <v>30.54</v>
      </c>
      <c r="R281">
        <v>32.6</v>
      </c>
      <c r="S281">
        <v>32.58</v>
      </c>
    </row>
    <row r="282" spans="1:19" x14ac:dyDescent="0.25">
      <c r="A282" t="s">
        <v>2283</v>
      </c>
      <c r="B282">
        <v>39.56</v>
      </c>
      <c r="C282">
        <v>44.59</v>
      </c>
      <c r="D282">
        <v>43.23</v>
      </c>
      <c r="E282">
        <v>41.2</v>
      </c>
      <c r="F282">
        <v>46.8</v>
      </c>
      <c r="G282">
        <v>44.4</v>
      </c>
      <c r="H282">
        <v>45.63</v>
      </c>
      <c r="I282">
        <v>38.86</v>
      </c>
      <c r="J282">
        <v>39.44</v>
      </c>
      <c r="K282">
        <v>34.58</v>
      </c>
      <c r="L282">
        <v>36.58</v>
      </c>
      <c r="M282">
        <v>29.97</v>
      </c>
      <c r="N282">
        <v>26.54</v>
      </c>
      <c r="O282">
        <v>24.84</v>
      </c>
      <c r="P282">
        <v>25.79</v>
      </c>
      <c r="Q282">
        <v>26.47</v>
      </c>
      <c r="R282">
        <v>25.19</v>
      </c>
      <c r="S282">
        <v>25.17</v>
      </c>
    </row>
    <row r="283" spans="1:19" x14ac:dyDescent="0.25">
      <c r="A283" t="s">
        <v>1389</v>
      </c>
      <c r="B283">
        <v>16.850000000000001</v>
      </c>
      <c r="C283">
        <v>16.11</v>
      </c>
      <c r="D283">
        <v>17.02</v>
      </c>
      <c r="E283">
        <v>17.96</v>
      </c>
      <c r="F283">
        <v>19.579999999999998</v>
      </c>
      <c r="G283">
        <v>19.899999999999999</v>
      </c>
      <c r="H283">
        <v>23.51</v>
      </c>
      <c r="I283">
        <v>20.85</v>
      </c>
      <c r="J283">
        <v>19.12</v>
      </c>
      <c r="K283">
        <v>19.760000000000002</v>
      </c>
      <c r="L283">
        <v>20.14</v>
      </c>
      <c r="M283">
        <v>18.420000000000002</v>
      </c>
      <c r="N283">
        <v>18.940000000000001</v>
      </c>
      <c r="O283">
        <v>21</v>
      </c>
      <c r="P283">
        <v>20.27</v>
      </c>
      <c r="Q283">
        <v>20.36</v>
      </c>
      <c r="R283">
        <v>20.52</v>
      </c>
      <c r="S283">
        <v>22.2</v>
      </c>
    </row>
    <row r="284" spans="1:19" x14ac:dyDescent="0.25">
      <c r="A284" t="s">
        <v>506</v>
      </c>
      <c r="B284">
        <v>43.3</v>
      </c>
      <c r="C284">
        <v>62.88</v>
      </c>
      <c r="D284">
        <v>56.51</v>
      </c>
      <c r="E284">
        <v>37.659999999999997</v>
      </c>
      <c r="F284">
        <v>55.88</v>
      </c>
      <c r="G284">
        <v>70.61</v>
      </c>
      <c r="H284">
        <v>52.47</v>
      </c>
      <c r="I284">
        <v>80.03</v>
      </c>
      <c r="J284">
        <v>91.79</v>
      </c>
      <c r="K284">
        <v>88.17</v>
      </c>
      <c r="L284">
        <v>92.86</v>
      </c>
      <c r="M284">
        <v>82.96</v>
      </c>
      <c r="N284">
        <v>68.83</v>
      </c>
      <c r="O284">
        <v>78.13</v>
      </c>
      <c r="P284">
        <v>76.94</v>
      </c>
      <c r="Q284">
        <v>74.27</v>
      </c>
      <c r="R284">
        <v>80.47</v>
      </c>
      <c r="S284">
        <v>77.67</v>
      </c>
    </row>
    <row r="285" spans="1:19" x14ac:dyDescent="0.25">
      <c r="A285" t="s">
        <v>622</v>
      </c>
      <c r="B285">
        <v>43.49</v>
      </c>
      <c r="C285">
        <v>49.21</v>
      </c>
      <c r="D285">
        <v>56.21</v>
      </c>
      <c r="E285">
        <v>44.77</v>
      </c>
      <c r="F285">
        <v>46.35</v>
      </c>
      <c r="G285">
        <v>60.58</v>
      </c>
      <c r="H285">
        <v>58.87</v>
      </c>
      <c r="I285">
        <v>64.19</v>
      </c>
      <c r="J285">
        <v>78.540000000000006</v>
      </c>
      <c r="K285">
        <v>82.58</v>
      </c>
      <c r="L285">
        <v>87.33</v>
      </c>
      <c r="M285">
        <v>77.650000000000006</v>
      </c>
      <c r="N285">
        <v>68.8</v>
      </c>
      <c r="O285">
        <v>71.64</v>
      </c>
      <c r="P285">
        <v>72.489999999999995</v>
      </c>
      <c r="Q285">
        <v>74.34</v>
      </c>
      <c r="R285">
        <v>76.06</v>
      </c>
      <c r="S285">
        <v>76.540000000000006</v>
      </c>
    </row>
    <row r="286" spans="1:19" x14ac:dyDescent="0.25">
      <c r="A286" t="s">
        <v>812</v>
      </c>
      <c r="B286">
        <v>9.23</v>
      </c>
      <c r="C286">
        <v>8.19</v>
      </c>
      <c r="D286">
        <v>8.44</v>
      </c>
      <c r="E286">
        <v>8.8800000000000008</v>
      </c>
      <c r="F286">
        <v>7.8</v>
      </c>
      <c r="G286">
        <v>8.2200000000000006</v>
      </c>
      <c r="H286">
        <v>8</v>
      </c>
      <c r="I286">
        <v>9.42</v>
      </c>
      <c r="J286">
        <v>9.25</v>
      </c>
      <c r="K286">
        <v>10.56</v>
      </c>
      <c r="L286">
        <v>9.98</v>
      </c>
      <c r="M286">
        <v>12.21</v>
      </c>
      <c r="N286">
        <v>13.75</v>
      </c>
      <c r="O286">
        <v>14.14</v>
      </c>
      <c r="P286">
        <v>13.51</v>
      </c>
      <c r="Q286">
        <v>13.38</v>
      </c>
    </row>
    <row r="287" spans="1:19" x14ac:dyDescent="0.25">
      <c r="A287" t="s">
        <v>621</v>
      </c>
      <c r="B287">
        <v>8.39</v>
      </c>
      <c r="C287">
        <v>7.42</v>
      </c>
      <c r="D287">
        <v>6.49</v>
      </c>
      <c r="E287">
        <v>8.18</v>
      </c>
      <c r="F287">
        <v>7.88</v>
      </c>
      <c r="G287">
        <v>6.03</v>
      </c>
      <c r="H287">
        <v>6.2</v>
      </c>
      <c r="I287">
        <v>5.7</v>
      </c>
      <c r="J287">
        <v>4.6500000000000004</v>
      </c>
      <c r="K287">
        <v>4.42</v>
      </c>
      <c r="L287">
        <v>4.18</v>
      </c>
      <c r="M287">
        <v>4.71</v>
      </c>
      <c r="N287">
        <v>5.3</v>
      </c>
      <c r="O287">
        <v>4.29</v>
      </c>
      <c r="P287">
        <v>4.3</v>
      </c>
      <c r="Q287">
        <v>4.3499999999999996</v>
      </c>
      <c r="R287">
        <v>5.01</v>
      </c>
      <c r="S287">
        <v>4.99</v>
      </c>
    </row>
    <row r="288" spans="1:19" x14ac:dyDescent="0.25">
      <c r="A288" t="s">
        <v>327</v>
      </c>
      <c r="B288">
        <v>0.54</v>
      </c>
      <c r="C288">
        <v>0.55000000000000004</v>
      </c>
      <c r="D288">
        <v>0.54</v>
      </c>
      <c r="E288">
        <v>0.53</v>
      </c>
      <c r="F288">
        <v>0.5</v>
      </c>
      <c r="G288">
        <v>0.51</v>
      </c>
      <c r="H288">
        <v>0.49</v>
      </c>
      <c r="I288">
        <v>0.53</v>
      </c>
      <c r="J288">
        <v>0.49</v>
      </c>
      <c r="K288">
        <v>0.52</v>
      </c>
      <c r="L288">
        <v>0.41</v>
      </c>
      <c r="M288">
        <v>0.47</v>
      </c>
      <c r="N288">
        <v>0.52</v>
      </c>
      <c r="O288">
        <v>0.57999999999999996</v>
      </c>
      <c r="P288">
        <v>0.59</v>
      </c>
      <c r="Q288">
        <v>0.56000000000000005</v>
      </c>
      <c r="R288">
        <v>0.56000000000000005</v>
      </c>
      <c r="S288">
        <v>0.51</v>
      </c>
    </row>
    <row r="289" spans="1:19" x14ac:dyDescent="0.25">
      <c r="A289" t="s">
        <v>1714</v>
      </c>
      <c r="B289">
        <v>0.47</v>
      </c>
      <c r="C289">
        <v>0.51</v>
      </c>
      <c r="D289">
        <v>0.51</v>
      </c>
      <c r="E289">
        <v>0.5</v>
      </c>
      <c r="F289">
        <v>0.49</v>
      </c>
      <c r="G289">
        <v>0.49</v>
      </c>
      <c r="H289">
        <v>0.47</v>
      </c>
      <c r="I289">
        <v>0.49</v>
      </c>
      <c r="J289">
        <v>0.43</v>
      </c>
      <c r="K289">
        <v>0.46</v>
      </c>
      <c r="L289">
        <v>0.39</v>
      </c>
      <c r="M289">
        <v>0.43</v>
      </c>
      <c r="N289">
        <v>0.48</v>
      </c>
      <c r="O289">
        <v>0.54</v>
      </c>
      <c r="P289">
        <v>0.57999999999999996</v>
      </c>
      <c r="Q289">
        <v>0.56999999999999995</v>
      </c>
    </row>
    <row r="290" spans="1:19" x14ac:dyDescent="0.25">
      <c r="A290" t="s">
        <v>1442</v>
      </c>
      <c r="B290">
        <v>8.33</v>
      </c>
      <c r="C290">
        <v>6.65</v>
      </c>
      <c r="D290">
        <v>9.92</v>
      </c>
      <c r="E290">
        <v>7.39</v>
      </c>
      <c r="F290">
        <v>7.99</v>
      </c>
      <c r="G290">
        <v>8.02</v>
      </c>
      <c r="H290">
        <v>7.7</v>
      </c>
      <c r="I290">
        <v>9.2100000000000009</v>
      </c>
      <c r="J290">
        <v>8.0299999999999994</v>
      </c>
      <c r="K290">
        <v>9.7899999999999991</v>
      </c>
      <c r="L290">
        <v>10.7</v>
      </c>
      <c r="M290">
        <v>10.64</v>
      </c>
      <c r="N290">
        <v>13.52</v>
      </c>
      <c r="O290">
        <v>12.94</v>
      </c>
      <c r="P290">
        <v>13.41</v>
      </c>
      <c r="Q290">
        <v>13.24</v>
      </c>
    </row>
    <row r="291" spans="1:19" x14ac:dyDescent="0.25">
      <c r="A291" t="s">
        <v>1446</v>
      </c>
      <c r="B291">
        <v>1.42</v>
      </c>
      <c r="C291">
        <v>1.46</v>
      </c>
      <c r="D291">
        <v>1.39</v>
      </c>
      <c r="E291">
        <v>1.36</v>
      </c>
      <c r="F291">
        <v>1.33</v>
      </c>
      <c r="G291">
        <v>1.28</v>
      </c>
      <c r="H291">
        <v>1.32</v>
      </c>
      <c r="I291">
        <v>1.45</v>
      </c>
      <c r="J291">
        <v>1.61</v>
      </c>
      <c r="K291">
        <v>1.7</v>
      </c>
      <c r="L291">
        <v>1.64</v>
      </c>
      <c r="M291">
        <v>1.58</v>
      </c>
      <c r="N291">
        <v>1.51</v>
      </c>
      <c r="O291">
        <v>1.41</v>
      </c>
      <c r="P291">
        <v>1.33</v>
      </c>
      <c r="Q291">
        <v>1.24</v>
      </c>
    </row>
    <row r="292" spans="1:19" x14ac:dyDescent="0.25">
      <c r="A292" t="s">
        <v>811</v>
      </c>
      <c r="B292">
        <v>26.8</v>
      </c>
      <c r="C292">
        <v>23.96</v>
      </c>
      <c r="D292">
        <v>20.86</v>
      </c>
      <c r="E292">
        <v>17.93</v>
      </c>
      <c r="F292">
        <v>14.05</v>
      </c>
      <c r="G292">
        <v>10.76</v>
      </c>
      <c r="H292">
        <v>11.88</v>
      </c>
      <c r="I292">
        <v>19.97</v>
      </c>
      <c r="J292">
        <v>34.82</v>
      </c>
      <c r="K292">
        <v>30.09</v>
      </c>
      <c r="L292">
        <v>27.53</v>
      </c>
      <c r="M292">
        <v>24.29</v>
      </c>
      <c r="N292">
        <v>19.5</v>
      </c>
    </row>
    <row r="293" spans="1:19" x14ac:dyDescent="0.25">
      <c r="A293" t="s">
        <v>609</v>
      </c>
      <c r="B293" s="2">
        <v>7594.77</v>
      </c>
      <c r="C293" s="2">
        <v>7902.71</v>
      </c>
      <c r="D293" s="2">
        <v>7032.11</v>
      </c>
      <c r="E293" s="2">
        <v>6516.05</v>
      </c>
      <c r="F293" s="2">
        <v>7211.79</v>
      </c>
      <c r="G293" s="2">
        <v>5898.9</v>
      </c>
      <c r="H293" s="2">
        <v>5864.89</v>
      </c>
      <c r="I293" s="2">
        <v>12359.71</v>
      </c>
      <c r="J293" s="2">
        <v>26482.18</v>
      </c>
      <c r="K293" s="2">
        <v>27933.53</v>
      </c>
      <c r="L293" s="2">
        <v>30333.59</v>
      </c>
      <c r="M293" s="2">
        <v>31052.66</v>
      </c>
      <c r="N293" s="2">
        <v>32881.03</v>
      </c>
      <c r="O293" s="2">
        <v>29767.79</v>
      </c>
      <c r="P293" s="2">
        <v>31907.11</v>
      </c>
      <c r="Q293" s="2">
        <v>32060.880000000001</v>
      </c>
      <c r="R293" s="2">
        <v>30622.13</v>
      </c>
      <c r="S293" s="2">
        <v>30622.13</v>
      </c>
    </row>
    <row r="294" spans="1:19" x14ac:dyDescent="0.25">
      <c r="A294" t="s">
        <v>186</v>
      </c>
      <c r="B294">
        <v>1.89</v>
      </c>
      <c r="C294">
        <v>3.12</v>
      </c>
      <c r="D294">
        <v>3.52</v>
      </c>
      <c r="E294">
        <v>2.57</v>
      </c>
      <c r="F294">
        <v>2.39</v>
      </c>
      <c r="G294">
        <v>2.79</v>
      </c>
      <c r="H294">
        <v>1.39</v>
      </c>
      <c r="I294">
        <v>1.77</v>
      </c>
      <c r="J294">
        <v>2.17</v>
      </c>
      <c r="K294">
        <v>2.17</v>
      </c>
      <c r="L294">
        <v>2.4</v>
      </c>
      <c r="M294">
        <v>2.44</v>
      </c>
      <c r="N294">
        <v>2.62</v>
      </c>
      <c r="O294">
        <v>2.65</v>
      </c>
      <c r="P294">
        <v>3.2</v>
      </c>
      <c r="Q294">
        <v>4.01</v>
      </c>
      <c r="R294">
        <v>4.7699999999999996</v>
      </c>
      <c r="S294">
        <v>5.81</v>
      </c>
    </row>
    <row r="295" spans="1:19" x14ac:dyDescent="0.25">
      <c r="A295" t="s">
        <v>757</v>
      </c>
      <c r="B295">
        <v>1.67</v>
      </c>
      <c r="C295">
        <v>2.74</v>
      </c>
      <c r="D295">
        <v>3.16</v>
      </c>
      <c r="E295">
        <v>2.39</v>
      </c>
      <c r="F295">
        <v>2.15</v>
      </c>
      <c r="G295">
        <v>2.42</v>
      </c>
      <c r="H295">
        <v>1.22</v>
      </c>
      <c r="I295">
        <v>1.51</v>
      </c>
      <c r="J295">
        <v>1.87</v>
      </c>
      <c r="K295">
        <v>1.9</v>
      </c>
      <c r="L295">
        <v>2.0699999999999998</v>
      </c>
      <c r="M295">
        <v>2.13</v>
      </c>
      <c r="N295">
        <v>2.2999999999999998</v>
      </c>
      <c r="O295">
        <v>2.36</v>
      </c>
      <c r="P295">
        <v>2.83</v>
      </c>
      <c r="Q295">
        <v>3.59</v>
      </c>
      <c r="R295">
        <v>3.55</v>
      </c>
      <c r="S295">
        <v>4.38</v>
      </c>
    </row>
    <row r="296" spans="1:19" x14ac:dyDescent="0.25">
      <c r="A296" t="s">
        <v>813</v>
      </c>
      <c r="B296">
        <v>1.29</v>
      </c>
      <c r="C296">
        <v>2.17</v>
      </c>
      <c r="D296">
        <v>2.76</v>
      </c>
      <c r="E296">
        <v>1.99</v>
      </c>
      <c r="F296">
        <v>1.81</v>
      </c>
      <c r="G296">
        <v>2.04</v>
      </c>
      <c r="H296">
        <v>0.99</v>
      </c>
      <c r="I296">
        <v>1.28</v>
      </c>
      <c r="J296">
        <v>1.61</v>
      </c>
      <c r="K296">
        <v>1.65</v>
      </c>
      <c r="L296">
        <v>1.85</v>
      </c>
      <c r="M296">
        <v>1.92</v>
      </c>
      <c r="N296">
        <v>2.1</v>
      </c>
      <c r="O296">
        <v>2.0099999999999998</v>
      </c>
      <c r="P296">
        <v>2.39</v>
      </c>
      <c r="Q296">
        <v>3</v>
      </c>
      <c r="R296">
        <v>3.55</v>
      </c>
      <c r="S296">
        <v>4.38</v>
      </c>
    </row>
    <row r="297" spans="1:19" x14ac:dyDescent="0.25">
      <c r="A297" t="s">
        <v>333</v>
      </c>
      <c r="B297" s="2">
        <v>5658.15</v>
      </c>
      <c r="C297" s="2">
        <v>13458.93</v>
      </c>
      <c r="D297" s="2">
        <v>16238.58</v>
      </c>
      <c r="E297" s="2">
        <v>15419.75</v>
      </c>
      <c r="F297" s="2">
        <v>16801.82</v>
      </c>
      <c r="G297" s="2">
        <v>19966.46</v>
      </c>
      <c r="H297" s="2">
        <v>7752.38</v>
      </c>
      <c r="I297" s="2">
        <v>16908.84</v>
      </c>
      <c r="J297" s="2">
        <v>31349.63</v>
      </c>
      <c r="K297" s="2">
        <v>36077.230000000003</v>
      </c>
      <c r="L297" s="2">
        <v>41873.26</v>
      </c>
      <c r="M297" s="2">
        <v>55617.61</v>
      </c>
      <c r="N297" s="2">
        <v>75092.88</v>
      </c>
      <c r="O297" s="2">
        <v>110907.79</v>
      </c>
      <c r="P297" s="2">
        <v>153145.91</v>
      </c>
      <c r="Q297" s="2">
        <v>213716.02</v>
      </c>
      <c r="R297" s="2">
        <v>286422.19</v>
      </c>
      <c r="S297" s="2">
        <v>389635.84000000003</v>
      </c>
    </row>
    <row r="298" spans="1:19" x14ac:dyDescent="0.25">
      <c r="A298" t="s">
        <v>1444</v>
      </c>
      <c r="B298">
        <v>0.34</v>
      </c>
      <c r="C298">
        <v>0.32</v>
      </c>
      <c r="D298">
        <v>0.3</v>
      </c>
      <c r="E298">
        <v>0.31</v>
      </c>
      <c r="F298">
        <v>0.34</v>
      </c>
      <c r="G298">
        <v>0.33</v>
      </c>
      <c r="H298">
        <v>0.33</v>
      </c>
      <c r="I298">
        <v>0.36</v>
      </c>
      <c r="J298">
        <v>0.36</v>
      </c>
      <c r="K298">
        <v>0.33</v>
      </c>
      <c r="L298">
        <v>0.33</v>
      </c>
      <c r="M298">
        <v>0.3</v>
      </c>
      <c r="N298">
        <v>0.32</v>
      </c>
    </row>
    <row r="299" spans="1:19" x14ac:dyDescent="0.25">
      <c r="A299" t="s">
        <v>424</v>
      </c>
      <c r="B299">
        <v>1.1000000000000001</v>
      </c>
      <c r="C299">
        <v>1.28</v>
      </c>
      <c r="D299">
        <v>1.43</v>
      </c>
      <c r="E299">
        <v>1.65</v>
      </c>
      <c r="F299">
        <v>1.98</v>
      </c>
      <c r="G299">
        <v>2.11</v>
      </c>
      <c r="H299">
        <v>2.09</v>
      </c>
      <c r="I299">
        <v>2.54</v>
      </c>
      <c r="J299">
        <v>3.02</v>
      </c>
      <c r="K299">
        <v>3.7</v>
      </c>
      <c r="L299">
        <v>4.3600000000000003</v>
      </c>
      <c r="M299">
        <v>5.04</v>
      </c>
      <c r="N299">
        <v>6.65</v>
      </c>
      <c r="O299">
        <v>9.2799999999999994</v>
      </c>
      <c r="P299">
        <v>12.66</v>
      </c>
      <c r="Q299">
        <v>17.45</v>
      </c>
      <c r="R299">
        <v>20.88</v>
      </c>
      <c r="S299">
        <v>25.73</v>
      </c>
    </row>
    <row r="300" spans="1:19" x14ac:dyDescent="0.25">
      <c r="A300" t="s">
        <v>2284</v>
      </c>
      <c r="B300" s="2">
        <v>36053.78</v>
      </c>
      <c r="C300" s="2">
        <v>41020.31</v>
      </c>
      <c r="D300" s="2">
        <v>44890.21</v>
      </c>
      <c r="E300" s="2">
        <v>50604.800000000003</v>
      </c>
      <c r="F300" s="2">
        <v>58536.4</v>
      </c>
      <c r="G300" s="2">
        <v>60704.39</v>
      </c>
      <c r="H300" s="2">
        <v>60675.37</v>
      </c>
      <c r="I300" s="2">
        <v>79029.53</v>
      </c>
      <c r="J300" s="2">
        <v>105750.58</v>
      </c>
      <c r="K300" s="2">
        <v>125324.07</v>
      </c>
      <c r="L300" s="2">
        <v>145273.12</v>
      </c>
      <c r="M300" s="2">
        <v>163869.98000000001</v>
      </c>
      <c r="N300" s="2">
        <v>207709.31</v>
      </c>
    </row>
    <row r="301" spans="1:19" x14ac:dyDescent="0.25">
      <c r="A301" t="s">
        <v>2285</v>
      </c>
      <c r="B301" s="2">
        <v>36584.019999999997</v>
      </c>
      <c r="C301" s="2">
        <v>41784.550000000003</v>
      </c>
      <c r="D301" s="2">
        <v>45711.55</v>
      </c>
      <c r="E301" s="2">
        <v>51612.92</v>
      </c>
      <c r="F301" s="2">
        <v>59282.9</v>
      </c>
      <c r="G301" s="2">
        <v>61436.91</v>
      </c>
      <c r="H301" s="2">
        <v>61183.8</v>
      </c>
      <c r="I301" s="2">
        <v>80094.8</v>
      </c>
      <c r="J301" s="2">
        <v>106210.01</v>
      </c>
      <c r="K301" s="2">
        <v>127048.06</v>
      </c>
      <c r="L301" s="2">
        <v>146428.24</v>
      </c>
      <c r="M301" s="2">
        <v>166490.60999999999</v>
      </c>
      <c r="N301" s="2">
        <v>212285.49</v>
      </c>
    </row>
    <row r="302" spans="1:19" x14ac:dyDescent="0.25">
      <c r="A302" t="s">
        <v>1445</v>
      </c>
      <c r="B302" s="2">
        <v>35995.57</v>
      </c>
      <c r="C302" s="2">
        <v>40926.46</v>
      </c>
      <c r="D302" s="2">
        <v>43907.9</v>
      </c>
      <c r="E302" s="2">
        <v>48412.4</v>
      </c>
      <c r="F302" s="2">
        <v>55045.49</v>
      </c>
      <c r="G302" s="2">
        <v>57160.71</v>
      </c>
      <c r="H302" s="2">
        <v>55969.16</v>
      </c>
      <c r="I302" s="2">
        <v>76300.03</v>
      </c>
      <c r="J302" s="2">
        <v>107899.11</v>
      </c>
      <c r="K302" s="2">
        <v>130832.78</v>
      </c>
      <c r="L302" s="2">
        <v>151043.6</v>
      </c>
      <c r="M302" s="2">
        <v>165508.96</v>
      </c>
      <c r="N302" s="2">
        <v>206105.87</v>
      </c>
      <c r="O302" s="2">
        <v>276129.05</v>
      </c>
      <c r="P302" s="2">
        <v>368898.91</v>
      </c>
      <c r="Q302" s="2">
        <v>476203.72</v>
      </c>
      <c r="R302" s="2">
        <v>557330.98</v>
      </c>
      <c r="S302" s="2">
        <v>687423.8</v>
      </c>
    </row>
    <row r="303" spans="1:19" x14ac:dyDescent="0.25">
      <c r="A303" t="s">
        <v>2286</v>
      </c>
      <c r="B303">
        <v>32.880000000000003</v>
      </c>
      <c r="C303">
        <v>30.01</v>
      </c>
      <c r="D303">
        <v>26.24</v>
      </c>
      <c r="E303">
        <v>26.31</v>
      </c>
      <c r="F303">
        <v>23.55</v>
      </c>
      <c r="G303">
        <v>19.739999999999998</v>
      </c>
      <c r="H303">
        <v>28.38</v>
      </c>
      <c r="I303">
        <v>32.97</v>
      </c>
      <c r="J303">
        <v>41.73</v>
      </c>
      <c r="K303">
        <v>40.369999999999997</v>
      </c>
      <c r="L303">
        <v>37.04</v>
      </c>
      <c r="M303">
        <v>35.39</v>
      </c>
      <c r="N303">
        <v>31.16</v>
      </c>
      <c r="O303">
        <v>27.27</v>
      </c>
      <c r="P303">
        <v>23.1</v>
      </c>
      <c r="Q303">
        <v>13.92</v>
      </c>
    </row>
    <row r="304" spans="1:19" x14ac:dyDescent="0.25">
      <c r="A304" t="s">
        <v>1443</v>
      </c>
      <c r="B304" s="2">
        <v>37732.769999999997</v>
      </c>
      <c r="C304" s="2">
        <v>44822.13</v>
      </c>
      <c r="D304" s="2">
        <v>48819.66</v>
      </c>
      <c r="E304" s="2">
        <v>54296.08</v>
      </c>
      <c r="F304" s="2">
        <v>62686.23</v>
      </c>
      <c r="G304" s="2">
        <v>67711.13</v>
      </c>
      <c r="H304" s="2">
        <v>72002.899999999994</v>
      </c>
      <c r="I304" s="2">
        <v>86993.37</v>
      </c>
      <c r="J304" s="2">
        <v>116444.29</v>
      </c>
      <c r="K304" s="2">
        <v>148089.97</v>
      </c>
      <c r="L304" s="2">
        <v>171239.24</v>
      </c>
      <c r="M304" s="2">
        <v>192495.13</v>
      </c>
      <c r="N304" s="2">
        <v>228293.37</v>
      </c>
      <c r="O304" s="2">
        <v>290583.36</v>
      </c>
      <c r="P304" s="2">
        <v>373137.51</v>
      </c>
      <c r="Q304" s="2">
        <v>476896.07</v>
      </c>
      <c r="R304" s="2">
        <v>584752.13</v>
      </c>
      <c r="S304" s="2">
        <v>700857.27</v>
      </c>
    </row>
    <row r="305" spans="1:19" x14ac:dyDescent="0.25">
      <c r="A305" t="s">
        <v>609</v>
      </c>
      <c r="B305">
        <v>1.34</v>
      </c>
      <c r="C305">
        <v>1.27</v>
      </c>
      <c r="D305">
        <v>0.99</v>
      </c>
      <c r="E305">
        <v>0.67</v>
      </c>
      <c r="I305">
        <v>70.040000000000006</v>
      </c>
      <c r="J305">
        <v>119.58</v>
      </c>
      <c r="K305">
        <v>154.9</v>
      </c>
      <c r="L305">
        <v>143.33000000000001</v>
      </c>
      <c r="M305">
        <v>970.48</v>
      </c>
      <c r="O305" s="2">
        <v>1550.06</v>
      </c>
      <c r="P305" s="2">
        <v>1783.57</v>
      </c>
      <c r="Q305" s="2">
        <v>2164.73</v>
      </c>
    </row>
    <row r="306" spans="1:19" x14ac:dyDescent="0.25">
      <c r="A306" t="s">
        <v>17</v>
      </c>
    </row>
    <row r="307" spans="1:19" x14ac:dyDescent="0.25">
      <c r="A307" t="s">
        <v>188</v>
      </c>
    </row>
    <row r="308" spans="1:19" x14ac:dyDescent="0.25">
      <c r="A308" t="s">
        <v>189</v>
      </c>
    </row>
    <row r="309" spans="1:19" x14ac:dyDescent="0.25">
      <c r="A309" t="s">
        <v>121</v>
      </c>
      <c r="B309" s="2">
        <v>6337.45</v>
      </c>
      <c r="C309" s="2">
        <v>8706.24</v>
      </c>
      <c r="D309" s="2">
        <v>9657.02</v>
      </c>
      <c r="E309" s="2">
        <v>10373.450000000001</v>
      </c>
      <c r="F309" s="2">
        <v>11279.62</v>
      </c>
      <c r="G309" s="2">
        <v>11653.86</v>
      </c>
      <c r="H309" s="2">
        <v>11175.98</v>
      </c>
      <c r="I309" s="2">
        <v>17589.63</v>
      </c>
      <c r="J309" s="2">
        <v>21358.11</v>
      </c>
      <c r="K309" s="2">
        <v>34119.08</v>
      </c>
      <c r="L309" s="2">
        <v>26902.74</v>
      </c>
      <c r="M309" s="2">
        <v>36526.25</v>
      </c>
      <c r="N309" s="2">
        <v>55272.56</v>
      </c>
      <c r="O309" s="2">
        <v>86486.54</v>
      </c>
      <c r="P309" s="2">
        <v>114566.1</v>
      </c>
      <c r="Q309" s="2">
        <v>143019.78</v>
      </c>
      <c r="R309" s="2">
        <v>157295.97</v>
      </c>
      <c r="S309" s="2">
        <v>187996.14</v>
      </c>
    </row>
    <row r="310" spans="1:19" x14ac:dyDescent="0.25">
      <c r="A310" t="s">
        <v>190</v>
      </c>
      <c r="B310" s="2">
        <v>5260.76</v>
      </c>
      <c r="C310" s="2">
        <v>6606.46</v>
      </c>
      <c r="D310" s="2">
        <v>7008.88</v>
      </c>
      <c r="E310" s="2">
        <v>6946.58</v>
      </c>
      <c r="F310" s="2">
        <v>8552.07</v>
      </c>
      <c r="G310" s="2">
        <v>9709.4699999999993</v>
      </c>
      <c r="H310" s="2">
        <v>9286.27</v>
      </c>
      <c r="I310" s="2">
        <v>11266.82</v>
      </c>
      <c r="J310" s="2">
        <v>15123.14</v>
      </c>
      <c r="K310" s="2">
        <v>14676.12</v>
      </c>
      <c r="L310" s="2">
        <v>17075.05</v>
      </c>
      <c r="M310" s="2">
        <v>20634.23</v>
      </c>
      <c r="N310" s="2">
        <v>22139.37</v>
      </c>
      <c r="O310" s="2">
        <v>25283.63</v>
      </c>
      <c r="P310" s="2">
        <v>31865.8</v>
      </c>
      <c r="Q310" s="2">
        <v>39934.22</v>
      </c>
      <c r="R310" s="2">
        <v>48751.24</v>
      </c>
      <c r="S310" s="2">
        <v>58428.26</v>
      </c>
    </row>
    <row r="311" spans="1:19" x14ac:dyDescent="0.25">
      <c r="A311" t="s">
        <v>2287</v>
      </c>
      <c r="B311" s="2">
        <v>5186.59</v>
      </c>
      <c r="C311" s="2">
        <v>6520.48</v>
      </c>
      <c r="D311" s="2">
        <v>6908.01</v>
      </c>
      <c r="E311" s="2">
        <v>6830.4</v>
      </c>
      <c r="F311" s="2">
        <v>8409.17</v>
      </c>
      <c r="G311" s="2">
        <v>9562.7199999999993</v>
      </c>
      <c r="H311" s="2">
        <v>9024.23</v>
      </c>
      <c r="I311" s="2">
        <v>11266.82</v>
      </c>
      <c r="J311" s="2">
        <v>15123.14</v>
      </c>
      <c r="K311" s="2">
        <v>14676.12</v>
      </c>
      <c r="L311" s="2">
        <v>17075.05</v>
      </c>
      <c r="M311" s="2">
        <v>20634.23</v>
      </c>
      <c r="N311" s="2">
        <v>22139.37</v>
      </c>
      <c r="O311" s="2">
        <v>25283.63</v>
      </c>
      <c r="P311" s="2">
        <v>31865.8</v>
      </c>
      <c r="Q311" s="2">
        <v>39934.22</v>
      </c>
      <c r="R311" s="2">
        <v>48751.24</v>
      </c>
      <c r="S311" s="2">
        <v>58428.26</v>
      </c>
    </row>
    <row r="312" spans="1:19" x14ac:dyDescent="0.25">
      <c r="A312" t="s">
        <v>402</v>
      </c>
      <c r="B312">
        <v>74.17</v>
      </c>
      <c r="C312">
        <v>85.99</v>
      </c>
      <c r="D312">
        <v>100.87</v>
      </c>
      <c r="E312">
        <v>116.18</v>
      </c>
      <c r="F312">
        <v>142.9</v>
      </c>
      <c r="G312">
        <v>146.74</v>
      </c>
      <c r="H312">
        <v>177.14</v>
      </c>
      <c r="I312">
        <v>244.08</v>
      </c>
      <c r="J312">
        <v>293.83999999999997</v>
      </c>
      <c r="K312">
        <v>293.89</v>
      </c>
      <c r="L312">
        <v>297.05</v>
      </c>
      <c r="M312">
        <v>285.98</v>
      </c>
      <c r="N312">
        <v>270.67</v>
      </c>
      <c r="O312">
        <v>306.48</v>
      </c>
      <c r="P312">
        <v>353.83</v>
      </c>
      <c r="Q312">
        <v>429.34</v>
      </c>
      <c r="R312">
        <v>658.3</v>
      </c>
      <c r="S312">
        <v>791.52</v>
      </c>
    </row>
    <row r="313" spans="1:19" x14ac:dyDescent="0.25">
      <c r="A313" t="s">
        <v>67</v>
      </c>
      <c r="B313">
        <v>0.18</v>
      </c>
      <c r="C313">
        <v>0</v>
      </c>
      <c r="H313">
        <v>0.09</v>
      </c>
      <c r="I313">
        <v>0.22</v>
      </c>
      <c r="J313">
        <v>0.28000000000000003</v>
      </c>
      <c r="K313">
        <v>10.15</v>
      </c>
      <c r="L313">
        <v>15.5</v>
      </c>
      <c r="M313">
        <v>38.69</v>
      </c>
      <c r="N313">
        <v>40.090000000000003</v>
      </c>
      <c r="O313">
        <v>13.99</v>
      </c>
      <c r="P313">
        <v>13.96</v>
      </c>
      <c r="Q313">
        <v>13.96</v>
      </c>
    </row>
    <row r="314" spans="1:19" x14ac:dyDescent="0.25">
      <c r="A314" t="s">
        <v>551</v>
      </c>
      <c r="B314">
        <v>-192.96</v>
      </c>
      <c r="C314" s="2">
        <v>-1639.98</v>
      </c>
      <c r="D314">
        <v>729.93</v>
      </c>
      <c r="E314">
        <v>-468.82</v>
      </c>
      <c r="F314">
        <v>326.57</v>
      </c>
      <c r="G314" s="2">
        <v>-2044.62</v>
      </c>
      <c r="H314">
        <v>357.26</v>
      </c>
      <c r="I314">
        <v>-935.77</v>
      </c>
      <c r="J314" s="2">
        <v>4765.4799999999996</v>
      </c>
      <c r="K314" s="2">
        <v>4197.12</v>
      </c>
      <c r="L314" s="2">
        <v>-1802.02</v>
      </c>
      <c r="M314">
        <v>463.34</v>
      </c>
      <c r="N314" s="2">
        <v>-3040.21</v>
      </c>
    </row>
    <row r="315" spans="1:19" x14ac:dyDescent="0.25">
      <c r="A315" t="s">
        <v>2288</v>
      </c>
      <c r="C315" s="2">
        <v>-1637.98</v>
      </c>
      <c r="D315">
        <v>731.59</v>
      </c>
      <c r="E315">
        <v>-467.38</v>
      </c>
      <c r="F315">
        <v>328.04</v>
      </c>
      <c r="G315" s="2">
        <v>-2046.62</v>
      </c>
      <c r="H315">
        <v>350.3</v>
      </c>
      <c r="I315">
        <v>-962.44</v>
      </c>
      <c r="J315" s="2">
        <v>4742.74</v>
      </c>
      <c r="K315" s="2">
        <v>4111.91</v>
      </c>
      <c r="L315" s="2">
        <v>-1824.07</v>
      </c>
      <c r="M315">
        <v>415.64</v>
      </c>
      <c r="N315" s="2">
        <v>-3112.98</v>
      </c>
      <c r="O315" s="2">
        <v>-1163.6099999999999</v>
      </c>
      <c r="P315" s="2">
        <v>-1169.71</v>
      </c>
      <c r="Q315" s="2">
        <v>-4057.82</v>
      </c>
      <c r="R315" s="2">
        <v>-19580.63</v>
      </c>
      <c r="S315" s="2">
        <v>-22386.94</v>
      </c>
    </row>
    <row r="316" spans="1:19" x14ac:dyDescent="0.25">
      <c r="A316" t="s">
        <v>2289</v>
      </c>
      <c r="B316">
        <v>4.13</v>
      </c>
      <c r="C316">
        <v>-952.5</v>
      </c>
      <c r="D316">
        <v>-20.64</v>
      </c>
      <c r="E316">
        <v>570.12</v>
      </c>
      <c r="F316">
        <v>-829.39</v>
      </c>
      <c r="G316">
        <v>-974.77</v>
      </c>
      <c r="H316">
        <v>655.47</v>
      </c>
      <c r="I316" s="2">
        <v>-1846.72</v>
      </c>
      <c r="J316" s="2">
        <v>-1996</v>
      </c>
      <c r="K316">
        <v>-941.37</v>
      </c>
      <c r="L316">
        <v>-957.65</v>
      </c>
      <c r="M316" s="2">
        <v>-1147.8900000000001</v>
      </c>
      <c r="N316">
        <v>-7.74</v>
      </c>
      <c r="O316" s="2">
        <v>-4047.89</v>
      </c>
      <c r="P316" s="2">
        <v>-3423.77</v>
      </c>
      <c r="Q316" s="2">
        <v>-3890.57</v>
      </c>
      <c r="R316" s="2">
        <v>-3750.8</v>
      </c>
      <c r="S316" s="2">
        <v>-4049.67</v>
      </c>
    </row>
    <row r="317" spans="1:19" x14ac:dyDescent="0.25">
      <c r="A317" t="s">
        <v>204</v>
      </c>
      <c r="B317" s="2">
        <v>11701.11</v>
      </c>
      <c r="C317" s="2">
        <v>13906.41</v>
      </c>
      <c r="D317" s="2">
        <v>16691.099999999999</v>
      </c>
      <c r="E317" s="2">
        <v>16753.91</v>
      </c>
      <c r="F317" s="2">
        <v>19242.05</v>
      </c>
      <c r="G317" s="2">
        <v>19049.259999999998</v>
      </c>
      <c r="H317" s="2">
        <v>19911.66</v>
      </c>
      <c r="I317" s="2">
        <v>27941.33</v>
      </c>
      <c r="J317" s="2">
        <v>39819.040000000001</v>
      </c>
      <c r="K317" s="2">
        <v>54058.57</v>
      </c>
      <c r="L317" s="2">
        <v>39847.839999999997</v>
      </c>
      <c r="M317" s="2">
        <v>56852.67</v>
      </c>
      <c r="N317" s="2">
        <v>73196.91</v>
      </c>
      <c r="O317" s="2">
        <v>106257.86</v>
      </c>
      <c r="P317" s="2">
        <v>143745.88</v>
      </c>
      <c r="Q317" s="2">
        <v>177571.84</v>
      </c>
      <c r="R317" s="2">
        <v>205068.96</v>
      </c>
      <c r="S317" s="2">
        <v>236827.43</v>
      </c>
    </row>
    <row r="318" spans="1:19" x14ac:dyDescent="0.25">
      <c r="A318" t="s">
        <v>17</v>
      </c>
    </row>
    <row r="319" spans="1:19" x14ac:dyDescent="0.25">
      <c r="A319" t="s">
        <v>205</v>
      </c>
    </row>
    <row r="320" spans="1:19" x14ac:dyDescent="0.25">
      <c r="A320" t="s">
        <v>2290</v>
      </c>
      <c r="B320">
        <v>89.19</v>
      </c>
      <c r="C320">
        <v>127.63</v>
      </c>
      <c r="D320">
        <v>126.75</v>
      </c>
      <c r="E320">
        <v>174.3</v>
      </c>
      <c r="F320">
        <v>144.36000000000001</v>
      </c>
      <c r="G320">
        <v>113.55</v>
      </c>
      <c r="H320">
        <v>66.010000000000005</v>
      </c>
      <c r="I320">
        <v>118.44</v>
      </c>
      <c r="J320">
        <v>89.46</v>
      </c>
      <c r="K320">
        <v>101.24</v>
      </c>
      <c r="L320">
        <v>112.99</v>
      </c>
      <c r="M320">
        <v>109.18</v>
      </c>
      <c r="N320">
        <v>126.76</v>
      </c>
      <c r="O320">
        <v>83.4</v>
      </c>
      <c r="P320">
        <v>99.79</v>
      </c>
      <c r="Q320">
        <v>149.68</v>
      </c>
      <c r="R320">
        <v>156.35</v>
      </c>
      <c r="S320">
        <v>156.35</v>
      </c>
    </row>
    <row r="321" spans="1:21" x14ac:dyDescent="0.25">
      <c r="A321" t="s">
        <v>1448</v>
      </c>
      <c r="B321" s="2">
        <v>-9681.3700000000008</v>
      </c>
      <c r="C321" s="2">
        <v>-9512.56</v>
      </c>
      <c r="D321" s="2">
        <v>-8086</v>
      </c>
      <c r="E321" s="2">
        <v>-10202.92</v>
      </c>
      <c r="F321" s="2">
        <v>-10884.15</v>
      </c>
      <c r="G321" s="2">
        <v>-10467.98</v>
      </c>
      <c r="H321" s="2">
        <v>-14894.28</v>
      </c>
      <c r="I321" s="2">
        <v>-17366.84</v>
      </c>
      <c r="J321" s="2">
        <v>-30074.97</v>
      </c>
      <c r="K321" s="2">
        <v>-36306.080000000002</v>
      </c>
      <c r="L321" s="2">
        <v>-30453.79</v>
      </c>
      <c r="M321" s="2">
        <v>-29734.61</v>
      </c>
      <c r="N321" s="2">
        <v>-40913.919999999998</v>
      </c>
      <c r="O321" s="2">
        <v>-61062.23</v>
      </c>
      <c r="P321" s="2">
        <v>-75040.91</v>
      </c>
      <c r="Q321" s="2">
        <v>-90994.36</v>
      </c>
      <c r="R321" s="2">
        <v>-71572.17</v>
      </c>
      <c r="S321" s="2">
        <v>-72237.5</v>
      </c>
      <c r="T321" s="2">
        <v>-97304.48</v>
      </c>
      <c r="U321" s="2">
        <v>-100240.81</v>
      </c>
    </row>
    <row r="322" spans="1:21" x14ac:dyDescent="0.25">
      <c r="A322" t="s">
        <v>1393</v>
      </c>
      <c r="B322">
        <v>5.85</v>
      </c>
      <c r="C322">
        <v>6.61</v>
      </c>
      <c r="D322">
        <v>25.73</v>
      </c>
      <c r="E322">
        <v>3.04</v>
      </c>
      <c r="F322">
        <v>10.72</v>
      </c>
      <c r="G322">
        <v>6.02</v>
      </c>
      <c r="H322">
        <v>9.3000000000000007</v>
      </c>
      <c r="I322">
        <v>20.61</v>
      </c>
      <c r="J322">
        <v>13.98</v>
      </c>
      <c r="K322">
        <v>33.01</v>
      </c>
      <c r="L322">
        <v>22.58</v>
      </c>
      <c r="M322">
        <v>27.85</v>
      </c>
      <c r="N322">
        <v>25.64</v>
      </c>
      <c r="O322">
        <v>65.78</v>
      </c>
      <c r="P322">
        <v>22.49</v>
      </c>
      <c r="Q322">
        <v>22.49</v>
      </c>
    </row>
    <row r="323" spans="1:21" x14ac:dyDescent="0.25">
      <c r="A323" t="s">
        <v>206</v>
      </c>
      <c r="B323" s="2">
        <v>-9687.2099999999991</v>
      </c>
      <c r="C323" s="2">
        <v>-9519.17</v>
      </c>
      <c r="D323" s="2">
        <v>-8111.73</v>
      </c>
      <c r="E323" s="2">
        <v>-10180.969999999999</v>
      </c>
      <c r="F323" s="2">
        <v>-10867.93</v>
      </c>
      <c r="G323" s="2">
        <v>-10474.01</v>
      </c>
      <c r="H323" s="2">
        <v>-14903.58</v>
      </c>
      <c r="I323" s="2">
        <v>-17228.04</v>
      </c>
      <c r="J323" s="2">
        <v>-30045.99</v>
      </c>
      <c r="K323" s="2">
        <v>-36339.089999999997</v>
      </c>
      <c r="L323" s="2">
        <v>-30474.35</v>
      </c>
      <c r="M323" s="2">
        <v>-29762.46</v>
      </c>
      <c r="N323" s="2">
        <v>-40939.57</v>
      </c>
      <c r="O323" s="2">
        <v>-61487.85</v>
      </c>
      <c r="P323" s="2">
        <v>-74788.34</v>
      </c>
      <c r="Q323" s="2">
        <v>-86278.11</v>
      </c>
      <c r="R323" s="2">
        <v>-89197.79</v>
      </c>
      <c r="S323" s="2">
        <v>-109188.63</v>
      </c>
    </row>
    <row r="324" spans="1:21" x14ac:dyDescent="0.25">
      <c r="A324" t="s">
        <v>69</v>
      </c>
      <c r="B324">
        <v>48.17</v>
      </c>
      <c r="C324">
        <v>37.83</v>
      </c>
      <c r="D324">
        <v>30.53</v>
      </c>
      <c r="E324">
        <v>34.69</v>
      </c>
      <c r="F324">
        <v>33.909999999999997</v>
      </c>
      <c r="G324">
        <v>30.6</v>
      </c>
      <c r="H324">
        <v>43.03</v>
      </c>
      <c r="I324">
        <v>38.229999999999997</v>
      </c>
      <c r="J324">
        <v>52.94</v>
      </c>
      <c r="K324">
        <v>47.82</v>
      </c>
      <c r="L324">
        <v>43.94</v>
      </c>
      <c r="M324">
        <v>33.03</v>
      </c>
      <c r="N324">
        <v>33.4</v>
      </c>
      <c r="O324">
        <v>35.93</v>
      </c>
      <c r="P324">
        <v>34.380000000000003</v>
      </c>
      <c r="Q324">
        <v>32.299999999999997</v>
      </c>
      <c r="R324">
        <v>28.91</v>
      </c>
      <c r="S324">
        <v>25.69</v>
      </c>
      <c r="T324">
        <v>17.100000000000001</v>
      </c>
      <c r="U324">
        <v>13.68</v>
      </c>
    </row>
    <row r="325" spans="1:21" x14ac:dyDescent="0.25">
      <c r="A325" t="s">
        <v>1151</v>
      </c>
      <c r="B325">
        <v>-33.01</v>
      </c>
      <c r="C325">
        <v>114.54</v>
      </c>
      <c r="D325">
        <v>180.22</v>
      </c>
      <c r="E325">
        <v>0</v>
      </c>
      <c r="F325">
        <v>-0.13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-116.4</v>
      </c>
      <c r="N325">
        <v>0</v>
      </c>
    </row>
    <row r="326" spans="1:21" x14ac:dyDescent="0.25">
      <c r="A326" t="s">
        <v>213</v>
      </c>
      <c r="B326" s="2">
        <v>-9466.9</v>
      </c>
      <c r="C326" s="2">
        <v>-9317.2800000000007</v>
      </c>
      <c r="D326" s="2">
        <v>-6843.2</v>
      </c>
      <c r="E326" s="2">
        <v>-12272.58</v>
      </c>
      <c r="F326" s="2">
        <v>-11051.26</v>
      </c>
      <c r="G326" s="2">
        <v>-10430.43</v>
      </c>
      <c r="H326" s="2">
        <v>-14851.13</v>
      </c>
      <c r="I326" s="2">
        <v>-17178.55</v>
      </c>
      <c r="J326" s="2">
        <v>-29944.67</v>
      </c>
      <c r="K326" s="2">
        <v>-39972.620000000003</v>
      </c>
      <c r="L326" s="2">
        <v>-29072.38</v>
      </c>
      <c r="M326" s="2">
        <v>-26924.35</v>
      </c>
      <c r="N326" s="2">
        <v>-36820.639999999999</v>
      </c>
      <c r="O326" s="2">
        <v>-59223.67</v>
      </c>
      <c r="P326" s="2">
        <v>-75570.86</v>
      </c>
      <c r="Q326" s="2">
        <v>-89392.59</v>
      </c>
      <c r="R326" s="2">
        <v>-89850.99</v>
      </c>
      <c r="S326" s="2">
        <v>-98330.01</v>
      </c>
    </row>
    <row r="327" spans="1:21" x14ac:dyDescent="0.25">
      <c r="A327" t="s">
        <v>17</v>
      </c>
    </row>
    <row r="328" spans="1:21" x14ac:dyDescent="0.25">
      <c r="A328" t="s">
        <v>214</v>
      </c>
    </row>
    <row r="329" spans="1:21" x14ac:dyDescent="0.25">
      <c r="A329" t="s">
        <v>347</v>
      </c>
      <c r="B329" s="2">
        <v>-2619.6799999999998</v>
      </c>
      <c r="C329" s="2">
        <v>-2566.2199999999998</v>
      </c>
      <c r="D329" s="2">
        <v>-3675.51</v>
      </c>
      <c r="E329" s="2">
        <v>-4828.54</v>
      </c>
      <c r="F329" s="2">
        <v>-5967.14</v>
      </c>
      <c r="G329" s="2">
        <v>-6884.93</v>
      </c>
      <c r="H329" s="2">
        <v>-8393.51</v>
      </c>
      <c r="I329" s="2">
        <v>-8807.09</v>
      </c>
      <c r="J329" s="2">
        <v>-9516.0300000000007</v>
      </c>
      <c r="K329" s="2">
        <v>-9573.67</v>
      </c>
      <c r="L329" s="2">
        <v>-9359.74</v>
      </c>
      <c r="M329" s="2">
        <v>-11302.66</v>
      </c>
      <c r="N329" s="2">
        <v>-15018.53</v>
      </c>
      <c r="O329" s="2">
        <v>-19245.64</v>
      </c>
      <c r="P329" s="2">
        <v>-24556.67</v>
      </c>
      <c r="Q329" s="2">
        <v>-29535.05</v>
      </c>
      <c r="R329" s="2">
        <v>-44146.74</v>
      </c>
      <c r="S329" s="2">
        <v>-52251.6</v>
      </c>
    </row>
    <row r="330" spans="1:21" x14ac:dyDescent="0.25">
      <c r="A330" t="s">
        <v>763</v>
      </c>
      <c r="B330" s="2">
        <v>3766.1</v>
      </c>
      <c r="C330">
        <v>611.49</v>
      </c>
      <c r="D330">
        <v>97.95</v>
      </c>
      <c r="E330">
        <v>-140.01</v>
      </c>
      <c r="F330">
        <v>-911.85</v>
      </c>
      <c r="G330" s="2">
        <v>-1131.83</v>
      </c>
      <c r="H330">
        <v>-195.07</v>
      </c>
      <c r="I330" s="2">
        <v>5853.18</v>
      </c>
      <c r="J330" s="2">
        <v>14194.16</v>
      </c>
      <c r="K330" s="2">
        <v>2738.65</v>
      </c>
      <c r="L330" s="2">
        <v>2096.7199999999998</v>
      </c>
      <c r="M330" s="2">
        <v>1649.75</v>
      </c>
      <c r="N330" s="2">
        <v>1188.9100000000001</v>
      </c>
    </row>
    <row r="331" spans="1:21" x14ac:dyDescent="0.25">
      <c r="A331" t="s">
        <v>711</v>
      </c>
      <c r="B331" s="2">
        <v>4430.5600000000004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s="2">
        <v>8108.17</v>
      </c>
      <c r="J331" s="2">
        <v>13107.69</v>
      </c>
      <c r="K331" s="2">
        <v>6745.19</v>
      </c>
      <c r="L331" s="2">
        <v>2828.24</v>
      </c>
      <c r="M331" s="2">
        <v>2028.61</v>
      </c>
      <c r="N331" s="2">
        <v>3136.02</v>
      </c>
    </row>
    <row r="332" spans="1:21" x14ac:dyDescent="0.25">
      <c r="A332" t="s">
        <v>2291</v>
      </c>
      <c r="B332">
        <v>-661.42</v>
      </c>
      <c r="C332">
        <v>612.42999999999995</v>
      </c>
      <c r="D332">
        <v>98.87</v>
      </c>
      <c r="E332">
        <v>588.71</v>
      </c>
      <c r="F332">
        <v>341.71</v>
      </c>
      <c r="G332">
        <v>793.99</v>
      </c>
      <c r="H332" s="2">
        <v>1029.49</v>
      </c>
      <c r="I332" s="2">
        <v>-1072.81</v>
      </c>
      <c r="J332" s="2">
        <v>1277.05</v>
      </c>
      <c r="K332" s="2">
        <v>-3757.85</v>
      </c>
      <c r="L332">
        <v>0</v>
      </c>
      <c r="M332">
        <v>0</v>
      </c>
      <c r="N332">
        <v>0</v>
      </c>
      <c r="O332">
        <v>-8.74</v>
      </c>
    </row>
    <row r="333" spans="1:21" x14ac:dyDescent="0.25">
      <c r="A333" t="s">
        <v>711</v>
      </c>
      <c r="B333" s="2">
        <v>4430.5600000000004</v>
      </c>
      <c r="C333">
        <v>0</v>
      </c>
      <c r="I333" s="2">
        <v>8108.17</v>
      </c>
      <c r="J333" s="2">
        <v>13107.69</v>
      </c>
      <c r="K333" s="2">
        <v>6745.19</v>
      </c>
      <c r="L333" s="2">
        <v>2828.24</v>
      </c>
      <c r="M333" s="2">
        <v>2028.61</v>
      </c>
      <c r="N333" s="2">
        <v>3136.02</v>
      </c>
      <c r="O333" s="2">
        <v>1044.5899999999999</v>
      </c>
      <c r="P333" s="2">
        <v>1155.81</v>
      </c>
      <c r="Q333" s="2">
        <v>2311.63</v>
      </c>
    </row>
    <row r="334" spans="1:21" x14ac:dyDescent="0.25">
      <c r="A334" t="s">
        <v>218</v>
      </c>
      <c r="B334" s="2">
        <v>1081.44</v>
      </c>
      <c r="C334" s="2">
        <v>-1066.54</v>
      </c>
      <c r="D334" s="2">
        <v>-3677.1</v>
      </c>
      <c r="E334" s="2">
        <v>-4897.37</v>
      </c>
      <c r="F334" s="2">
        <v>-7090.96</v>
      </c>
      <c r="G334" s="2">
        <v>-8135.57</v>
      </c>
      <c r="H334" s="2">
        <v>-8728.02</v>
      </c>
      <c r="I334" s="2">
        <v>-3009.75</v>
      </c>
      <c r="J334" s="2">
        <v>4891.03</v>
      </c>
      <c r="K334" s="2">
        <v>-6721.04</v>
      </c>
      <c r="L334" s="2">
        <v>-6573.92</v>
      </c>
      <c r="M334" s="2">
        <v>-10781.06</v>
      </c>
      <c r="N334" s="2">
        <v>-14168.01</v>
      </c>
      <c r="O334" s="2">
        <v>-20837.46</v>
      </c>
      <c r="P334" s="2">
        <v>-24066.36</v>
      </c>
      <c r="Q334" s="2">
        <v>-27944.23</v>
      </c>
      <c r="R334" s="2">
        <v>-29755.54</v>
      </c>
      <c r="S334" s="2">
        <v>-32480.41</v>
      </c>
    </row>
    <row r="335" spans="1:21" x14ac:dyDescent="0.25">
      <c r="A335" t="s">
        <v>17</v>
      </c>
    </row>
    <row r="336" spans="1:21" x14ac:dyDescent="0.25">
      <c r="A336" t="s">
        <v>176</v>
      </c>
    </row>
    <row r="337" spans="1:19" x14ac:dyDescent="0.25">
      <c r="A337" t="s">
        <v>219</v>
      </c>
      <c r="B337">
        <v>28.62</v>
      </c>
      <c r="C337">
        <v>298.89999999999998</v>
      </c>
      <c r="D337">
        <v>260.14999999999998</v>
      </c>
      <c r="E337">
        <v>-249.21</v>
      </c>
      <c r="F337">
        <v>-700.81</v>
      </c>
      <c r="G337">
        <v>327.32</v>
      </c>
      <c r="H337">
        <v>-295.02</v>
      </c>
      <c r="I337">
        <v>-798.1</v>
      </c>
      <c r="J337">
        <v>-271.52</v>
      </c>
      <c r="K337" s="2">
        <v>1960.05</v>
      </c>
      <c r="L337">
        <v>-267.55</v>
      </c>
      <c r="M337" s="2">
        <v>1468.37</v>
      </c>
      <c r="N337" s="2">
        <v>-1609</v>
      </c>
      <c r="O337">
        <v>953.27</v>
      </c>
      <c r="P337">
        <v>46.68</v>
      </c>
      <c r="Q337">
        <v>209.69</v>
      </c>
      <c r="R337" s="2">
        <v>3370.36</v>
      </c>
      <c r="S337" s="2">
        <v>3372.64</v>
      </c>
    </row>
    <row r="338" spans="1:19" x14ac:dyDescent="0.25">
      <c r="A338" t="s">
        <v>220</v>
      </c>
      <c r="B338" s="2">
        <v>3344.27</v>
      </c>
      <c r="C338" s="2">
        <v>3821.49</v>
      </c>
      <c r="D338" s="2">
        <v>6430.95</v>
      </c>
      <c r="E338">
        <v>-665.24</v>
      </c>
      <c r="F338">
        <v>399.03</v>
      </c>
      <c r="G338">
        <v>810.58</v>
      </c>
      <c r="H338" s="2">
        <v>-3962.51</v>
      </c>
      <c r="I338" s="2">
        <v>6954.93</v>
      </c>
      <c r="J338" s="2">
        <v>14493.88</v>
      </c>
      <c r="K338" s="2">
        <v>9324.9500000000007</v>
      </c>
      <c r="L338" s="2">
        <v>3933.99</v>
      </c>
      <c r="M338" s="2">
        <v>20615.63</v>
      </c>
      <c r="N338" s="2">
        <v>20599.259999999998</v>
      </c>
      <c r="O338" s="2">
        <v>26709.38</v>
      </c>
      <c r="P338" s="2">
        <v>44210.51</v>
      </c>
      <c r="Q338" s="2">
        <v>61320.41</v>
      </c>
      <c r="R338" s="2">
        <v>63621.64</v>
      </c>
      <c r="S338" s="2">
        <v>77292.03</v>
      </c>
    </row>
    <row r="339" spans="1:19" x14ac:dyDescent="0.25">
      <c r="A339" t="s">
        <v>221</v>
      </c>
      <c r="B339" s="2">
        <v>4830.58</v>
      </c>
      <c r="C339" s="2">
        <v>8006.72</v>
      </c>
      <c r="D339" s="2">
        <v>11293.64</v>
      </c>
      <c r="E339" s="2">
        <v>17463.2</v>
      </c>
      <c r="F339" s="2">
        <v>17793.46</v>
      </c>
      <c r="G339" s="2">
        <v>18366.79</v>
      </c>
      <c r="H339" s="2">
        <v>18703.5</v>
      </c>
      <c r="I339" s="2">
        <v>15467.35</v>
      </c>
      <c r="J339" s="2">
        <v>23636.3</v>
      </c>
      <c r="K339" s="2">
        <v>35745.61</v>
      </c>
      <c r="L339" s="2">
        <v>43083.45</v>
      </c>
      <c r="M339" s="2">
        <v>45621.8</v>
      </c>
      <c r="N339" s="2">
        <v>68456</v>
      </c>
      <c r="O339" s="2">
        <v>87125.46</v>
      </c>
      <c r="P339" s="2">
        <v>111612.46</v>
      </c>
      <c r="Q339" s="2">
        <v>149707.14000000001</v>
      </c>
      <c r="R339" s="2">
        <v>186621.34</v>
      </c>
      <c r="S339" s="2">
        <v>250242.99</v>
      </c>
    </row>
    <row r="340" spans="1:19" x14ac:dyDescent="0.25">
      <c r="A340" t="s">
        <v>222</v>
      </c>
      <c r="B340" s="2">
        <v>8139.52</v>
      </c>
      <c r="C340" s="2">
        <v>11336.67</v>
      </c>
      <c r="D340" s="2">
        <v>17094.490000000002</v>
      </c>
      <c r="E340" s="2">
        <v>16709.05</v>
      </c>
      <c r="F340" s="2">
        <v>18652.07</v>
      </c>
      <c r="G340" s="2">
        <v>18877.78</v>
      </c>
      <c r="H340" s="2">
        <v>15225.37</v>
      </c>
      <c r="I340" s="2">
        <v>23498.77</v>
      </c>
      <c r="J340" s="2">
        <v>38483.42</v>
      </c>
      <c r="K340" s="2">
        <v>43696.51</v>
      </c>
      <c r="L340" s="2">
        <v>47922.42</v>
      </c>
      <c r="M340" s="2">
        <v>64881.99</v>
      </c>
      <c r="N340" s="2">
        <v>88103.64</v>
      </c>
      <c r="O340" s="2">
        <v>108653.56</v>
      </c>
      <c r="P340" s="2">
        <v>156019.01</v>
      </c>
      <c r="Q340" s="2">
        <v>211208.91</v>
      </c>
      <c r="R340" s="2">
        <v>258806.77</v>
      </c>
      <c r="S340" s="2">
        <v>343577.78</v>
      </c>
    </row>
    <row r="341" spans="1:19" x14ac:dyDescent="0.25">
      <c r="A341" t="s">
        <v>178</v>
      </c>
    </row>
    <row r="342" spans="1:19" x14ac:dyDescent="0.25">
      <c r="A342" t="s">
        <v>1052</v>
      </c>
      <c r="B342">
        <v>487.17</v>
      </c>
      <c r="C342">
        <v>987.02</v>
      </c>
      <c r="D342" s="2">
        <v>1289.71</v>
      </c>
      <c r="E342" s="2">
        <v>1425.86</v>
      </c>
      <c r="F342" s="2">
        <v>2091.4899999999998</v>
      </c>
      <c r="G342" s="2">
        <v>1506.22</v>
      </c>
      <c r="H342" s="2">
        <v>1684.63</v>
      </c>
      <c r="I342" s="2">
        <v>1744.49</v>
      </c>
      <c r="J342" s="2">
        <v>2989.5</v>
      </c>
      <c r="K342" s="2">
        <v>2905.36</v>
      </c>
      <c r="L342" s="2">
        <v>5129.5</v>
      </c>
      <c r="M342" s="2">
        <v>5717.1</v>
      </c>
      <c r="N342" s="2">
        <v>8608.61</v>
      </c>
      <c r="O342" s="2">
        <v>16200.52</v>
      </c>
      <c r="P342" s="2">
        <v>21867.13</v>
      </c>
      <c r="Q342" s="2">
        <v>26050.33</v>
      </c>
      <c r="R342" s="2">
        <v>30854.94</v>
      </c>
      <c r="S342" s="2">
        <v>34715.56</v>
      </c>
    </row>
    <row r="343" spans="1:19" x14ac:dyDescent="0.25">
      <c r="A343" t="s">
        <v>2138</v>
      </c>
      <c r="B343">
        <v>60.32</v>
      </c>
      <c r="C343">
        <v>85.07</v>
      </c>
      <c r="D343">
        <v>114.72</v>
      </c>
      <c r="E343">
        <v>197.17</v>
      </c>
      <c r="F343">
        <v>313.17</v>
      </c>
      <c r="G343">
        <v>486.57</v>
      </c>
      <c r="H343">
        <v>546.23</v>
      </c>
      <c r="I343">
        <v>332.01</v>
      </c>
      <c r="J343">
        <v>214.5</v>
      </c>
      <c r="K343">
        <v>606.97</v>
      </c>
      <c r="L343" s="2">
        <v>1793.11</v>
      </c>
      <c r="M343" s="2">
        <v>2379.5500000000002</v>
      </c>
      <c r="N343" s="2">
        <v>3183.85</v>
      </c>
      <c r="O343" s="2">
        <v>2756.5</v>
      </c>
      <c r="P343" s="2">
        <v>3464.08</v>
      </c>
      <c r="Q343" s="2">
        <v>3891.01</v>
      </c>
      <c r="R343" s="2">
        <v>5011.3</v>
      </c>
      <c r="S343" s="2">
        <v>5948.08</v>
      </c>
    </row>
    <row r="344" spans="1:19" x14ac:dyDescent="0.25">
      <c r="A344" t="s">
        <v>225</v>
      </c>
      <c r="B344" s="2">
        <v>2118.58</v>
      </c>
      <c r="C344" s="2">
        <v>4494.6099999999997</v>
      </c>
      <c r="D344" s="2">
        <v>8721.42</v>
      </c>
      <c r="E344" s="2">
        <v>6816.93</v>
      </c>
      <c r="F344" s="2">
        <v>8690.2199999999993</v>
      </c>
      <c r="G344" s="2">
        <v>9068.06</v>
      </c>
      <c r="H344" s="2">
        <v>5503.88</v>
      </c>
      <c r="I344" s="2">
        <v>10943.83</v>
      </c>
      <c r="J344" s="2">
        <v>9896.7900000000009</v>
      </c>
      <c r="K344" s="2">
        <v>18017.580000000002</v>
      </c>
      <c r="L344" s="2">
        <v>10720.61</v>
      </c>
      <c r="M344" s="2">
        <v>28995.18</v>
      </c>
      <c r="N344" s="2">
        <v>34952.480000000003</v>
      </c>
      <c r="O344" s="2">
        <v>46150.07</v>
      </c>
      <c r="P344" s="2">
        <v>69833.09</v>
      </c>
      <c r="Q344" s="2">
        <v>92766.21</v>
      </c>
      <c r="R344" s="2">
        <v>121674.64</v>
      </c>
      <c r="S344" s="2">
        <v>148789.07999999999</v>
      </c>
    </row>
    <row r="345" spans="1:19" x14ac:dyDescent="0.25">
      <c r="A345" t="s">
        <v>767</v>
      </c>
      <c r="B345">
        <v>0.46</v>
      </c>
      <c r="C345">
        <v>0.54</v>
      </c>
      <c r="D345">
        <v>0.65</v>
      </c>
      <c r="E345">
        <v>0.66</v>
      </c>
      <c r="F345">
        <v>0.76</v>
      </c>
      <c r="G345">
        <v>0.75</v>
      </c>
      <c r="H345">
        <v>0.79</v>
      </c>
      <c r="I345">
        <v>1.0900000000000001</v>
      </c>
      <c r="J345">
        <v>1.54</v>
      </c>
      <c r="K345">
        <v>2.1</v>
      </c>
      <c r="L345">
        <v>1.59</v>
      </c>
      <c r="M345">
        <v>2.27</v>
      </c>
      <c r="N345">
        <v>2.93</v>
      </c>
      <c r="O345">
        <v>4.16</v>
      </c>
      <c r="P345">
        <v>5.72</v>
      </c>
      <c r="Q345">
        <v>7.48</v>
      </c>
    </row>
    <row r="346" spans="1:19" x14ac:dyDescent="0.25">
      <c r="A346" t="s">
        <v>17</v>
      </c>
    </row>
    <row r="347" spans="1:19" x14ac:dyDescent="0.25">
      <c r="A347" t="s">
        <v>231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739D-2575-48D9-85A3-B4F63DE3B790}">
  <dimension ref="A1:U289"/>
  <sheetViews>
    <sheetView workbookViewId="0">
      <selection sqref="A1:U289"/>
    </sheetView>
  </sheetViews>
  <sheetFormatPr defaultRowHeight="15" x14ac:dyDescent="0.25"/>
  <sheetData>
    <row r="1" spans="1:21" x14ac:dyDescent="0.25">
      <c r="A1" t="s">
        <v>2292</v>
      </c>
    </row>
    <row r="2" spans="1:21" x14ac:dyDescent="0.25">
      <c r="A2" t="s">
        <v>2293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4.8</v>
      </c>
      <c r="C6">
        <v>1.42</v>
      </c>
      <c r="D6">
        <v>1.0900000000000001</v>
      </c>
      <c r="E6">
        <v>2.36</v>
      </c>
      <c r="F6">
        <v>3.57</v>
      </c>
      <c r="G6">
        <v>-0.21</v>
      </c>
      <c r="H6">
        <v>2.71</v>
      </c>
      <c r="I6">
        <v>2.02</v>
      </c>
      <c r="J6">
        <v>4.5599999999999996</v>
      </c>
      <c r="K6">
        <v>5.21</v>
      </c>
      <c r="L6">
        <v>6.74</v>
      </c>
      <c r="M6">
        <v>7.43</v>
      </c>
      <c r="N6">
        <v>8.3800000000000008</v>
      </c>
      <c r="O6">
        <v>8.75</v>
      </c>
      <c r="P6">
        <v>10.71</v>
      </c>
      <c r="Q6">
        <v>12.4</v>
      </c>
      <c r="R6">
        <v>13.91</v>
      </c>
      <c r="S6">
        <v>16.41</v>
      </c>
    </row>
    <row r="7" spans="1:21" x14ac:dyDescent="0.25">
      <c r="A7" t="s">
        <v>16</v>
      </c>
      <c r="B7" s="2">
        <v>3733.57</v>
      </c>
      <c r="C7" s="2">
        <v>1560.08</v>
      </c>
      <c r="D7" s="2">
        <v>1023.37</v>
      </c>
      <c r="E7" s="2">
        <v>1910.65</v>
      </c>
      <c r="F7" s="2">
        <v>2419.91</v>
      </c>
      <c r="G7" s="2">
        <v>1027.56</v>
      </c>
      <c r="H7" s="2">
        <v>2299.5</v>
      </c>
      <c r="I7" s="2">
        <v>2209.73</v>
      </c>
      <c r="J7" s="2">
        <v>4259.6000000000004</v>
      </c>
      <c r="K7" s="2">
        <v>10510.9</v>
      </c>
      <c r="L7" s="2">
        <v>13579</v>
      </c>
      <c r="M7" s="2">
        <v>16496</v>
      </c>
      <c r="N7" s="2">
        <v>20209</v>
      </c>
      <c r="O7" s="2">
        <v>23053.57</v>
      </c>
      <c r="P7" s="2">
        <v>26897.86</v>
      </c>
      <c r="Q7" s="2">
        <v>30829.75</v>
      </c>
    </row>
    <row r="8" spans="1:21" x14ac:dyDescent="0.25">
      <c r="A8" t="s">
        <v>17</v>
      </c>
    </row>
    <row r="9" spans="1:21" x14ac:dyDescent="0.25">
      <c r="A9" t="s">
        <v>2294</v>
      </c>
      <c r="B9" s="2">
        <v>161177</v>
      </c>
      <c r="C9" s="2">
        <v>159797</v>
      </c>
      <c r="D9" s="2">
        <v>170123</v>
      </c>
      <c r="E9" s="2">
        <v>191688</v>
      </c>
      <c r="F9" s="2">
        <v>248900</v>
      </c>
      <c r="G9" s="2">
        <v>280259</v>
      </c>
      <c r="H9" s="2">
        <v>331000</v>
      </c>
      <c r="I9" s="2">
        <v>455486</v>
      </c>
      <c r="J9" s="2">
        <v>497552</v>
      </c>
      <c r="K9" s="2">
        <v>547647</v>
      </c>
      <c r="L9" s="2">
        <v>650776</v>
      </c>
      <c r="M9" s="2">
        <v>751037</v>
      </c>
      <c r="N9" s="2">
        <v>938406</v>
      </c>
      <c r="O9" s="2">
        <v>1112849.47</v>
      </c>
      <c r="P9" s="2">
        <v>1251575.1599999999</v>
      </c>
      <c r="Q9" s="2">
        <v>1388837.66</v>
      </c>
      <c r="R9" s="2">
        <v>1528791.72</v>
      </c>
    </row>
    <row r="10" spans="1:21" x14ac:dyDescent="0.25">
      <c r="A10" t="s">
        <v>2295</v>
      </c>
      <c r="C10" s="2">
        <v>17821</v>
      </c>
      <c r="D10" s="2">
        <v>23688</v>
      </c>
      <c r="E10" s="2">
        <v>34767</v>
      </c>
      <c r="F10" s="2">
        <v>56520</v>
      </c>
      <c r="G10" s="2">
        <v>59962</v>
      </c>
      <c r="H10" s="2">
        <v>63565</v>
      </c>
      <c r="I10" s="2">
        <v>122702</v>
      </c>
      <c r="J10" s="2">
        <v>67474</v>
      </c>
      <c r="K10" s="2">
        <v>128275</v>
      </c>
      <c r="L10" s="2">
        <v>156982</v>
      </c>
      <c r="M10" s="2">
        <v>152404</v>
      </c>
      <c r="N10" s="2">
        <v>231677</v>
      </c>
      <c r="O10" s="2">
        <v>285054.56</v>
      </c>
      <c r="P10" s="2">
        <v>235589.94</v>
      </c>
      <c r="Q10" s="2">
        <v>247593.76</v>
      </c>
      <c r="R10" s="2">
        <v>255762.43</v>
      </c>
    </row>
    <row r="11" spans="1:21" x14ac:dyDescent="0.25">
      <c r="A11" t="s">
        <v>2296</v>
      </c>
      <c r="C11" s="2">
        <v>-16382</v>
      </c>
      <c r="D11" s="2">
        <v>-8549</v>
      </c>
      <c r="E11" s="2">
        <v>-5420</v>
      </c>
      <c r="F11" s="2">
        <v>-10691</v>
      </c>
      <c r="G11" s="2">
        <v>-11053</v>
      </c>
      <c r="H11" s="2">
        <v>-11442</v>
      </c>
      <c r="I11" s="2">
        <v>-8702</v>
      </c>
      <c r="J11" s="2">
        <v>-25727</v>
      </c>
      <c r="K11" s="2">
        <v>-26626</v>
      </c>
      <c r="L11" s="2">
        <v>-26815</v>
      </c>
      <c r="M11" s="2">
        <v>-23170</v>
      </c>
      <c r="N11" s="2">
        <v>-21889</v>
      </c>
      <c r="O11" s="2">
        <v>-34630.870000000003</v>
      </c>
      <c r="P11" s="2">
        <v>-37762.94</v>
      </c>
      <c r="Q11" s="2">
        <v>-43728.89</v>
      </c>
      <c r="R11" s="2">
        <v>-47596.4</v>
      </c>
    </row>
    <row r="12" spans="1:21" x14ac:dyDescent="0.25">
      <c r="A12" t="s">
        <v>2297</v>
      </c>
      <c r="C12" s="2">
        <v>128714</v>
      </c>
      <c r="D12" s="2">
        <v>138097</v>
      </c>
      <c r="E12" s="2">
        <v>150798</v>
      </c>
      <c r="F12" s="2">
        <v>168965</v>
      </c>
      <c r="G12" s="2">
        <v>214367</v>
      </c>
      <c r="H12" s="2">
        <v>246446</v>
      </c>
      <c r="I12" s="2">
        <v>348674</v>
      </c>
      <c r="J12" s="2">
        <v>369101</v>
      </c>
      <c r="K12" s="2">
        <v>412087</v>
      </c>
      <c r="L12" s="2">
        <v>492952</v>
      </c>
      <c r="M12" s="2">
        <v>568666</v>
      </c>
      <c r="N12" s="2">
        <v>709139</v>
      </c>
      <c r="O12" s="2">
        <v>913564.09</v>
      </c>
      <c r="P12" s="2">
        <v>1048059.74</v>
      </c>
      <c r="Q12" s="2">
        <v>1160840.43</v>
      </c>
      <c r="R12" s="2">
        <v>1292439.26</v>
      </c>
    </row>
    <row r="13" spans="1:21" x14ac:dyDescent="0.25">
      <c r="A13" t="s">
        <v>17</v>
      </c>
    </row>
    <row r="14" spans="1:21" x14ac:dyDescent="0.25">
      <c r="A14" t="s">
        <v>2298</v>
      </c>
      <c r="C14">
        <v>454.04</v>
      </c>
      <c r="D14">
        <v>422.05</v>
      </c>
      <c r="E14">
        <v>529.87</v>
      </c>
      <c r="F14">
        <v>624.41</v>
      </c>
      <c r="G14">
        <v>771.24</v>
      </c>
      <c r="H14">
        <v>951.9</v>
      </c>
      <c r="I14" s="2">
        <v>1101.5999999999999</v>
      </c>
      <c r="J14" s="2">
        <v>1266.7</v>
      </c>
      <c r="K14" s="2">
        <v>1410</v>
      </c>
      <c r="L14" s="2">
        <v>1768</v>
      </c>
      <c r="M14" s="2">
        <v>2063</v>
      </c>
      <c r="N14" s="2">
        <v>2528</v>
      </c>
      <c r="O14" s="2">
        <v>3121.35</v>
      </c>
      <c r="P14" s="2">
        <v>3691.57</v>
      </c>
      <c r="Q14" s="2">
        <v>4221.8599999999997</v>
      </c>
      <c r="R14" s="2">
        <v>4781.84</v>
      </c>
    </row>
    <row r="15" spans="1:21" x14ac:dyDescent="0.25">
      <c r="A15" t="s">
        <v>2299</v>
      </c>
      <c r="F15">
        <v>1.53</v>
      </c>
      <c r="G15">
        <v>1.87</v>
      </c>
      <c r="H15">
        <v>2.31</v>
      </c>
      <c r="I15">
        <v>2.5</v>
      </c>
      <c r="J15">
        <v>2.84</v>
      </c>
      <c r="K15">
        <v>2.36</v>
      </c>
      <c r="L15">
        <v>2.92</v>
      </c>
      <c r="M15">
        <v>3.36</v>
      </c>
      <c r="N15">
        <v>4.08</v>
      </c>
      <c r="O15">
        <v>5.01</v>
      </c>
      <c r="P15">
        <v>5.98</v>
      </c>
      <c r="Q15">
        <v>6.92</v>
      </c>
      <c r="R15">
        <v>7.79</v>
      </c>
    </row>
    <row r="16" spans="1:21" x14ac:dyDescent="0.25">
      <c r="A16" t="s">
        <v>2300</v>
      </c>
      <c r="D16">
        <v>45.57</v>
      </c>
      <c r="E16">
        <v>46.17</v>
      </c>
      <c r="F16">
        <v>52.04</v>
      </c>
      <c r="G16">
        <v>54</v>
      </c>
      <c r="H16">
        <v>55</v>
      </c>
      <c r="I16">
        <v>54</v>
      </c>
      <c r="J16">
        <v>54</v>
      </c>
      <c r="K16">
        <v>53.8</v>
      </c>
      <c r="L16">
        <v>55.9</v>
      </c>
      <c r="M16">
        <v>56.5</v>
      </c>
      <c r="N16">
        <v>56.6</v>
      </c>
      <c r="O16">
        <v>57.96</v>
      </c>
      <c r="P16">
        <v>58.91</v>
      </c>
      <c r="Q16">
        <v>59.92</v>
      </c>
      <c r="R16">
        <v>60.47</v>
      </c>
    </row>
    <row r="17" spans="1:19" x14ac:dyDescent="0.25">
      <c r="A17" t="s">
        <v>17</v>
      </c>
    </row>
    <row r="18" spans="1:19" x14ac:dyDescent="0.25">
      <c r="A18" t="s">
        <v>2301</v>
      </c>
      <c r="E18" s="2">
        <v>25900</v>
      </c>
      <c r="F18" s="2">
        <v>47600</v>
      </c>
      <c r="G18" s="2">
        <v>48500</v>
      </c>
      <c r="H18" s="2">
        <v>46400</v>
      </c>
      <c r="I18" s="2">
        <v>46800</v>
      </c>
      <c r="J18" s="2">
        <v>47200</v>
      </c>
      <c r="K18" s="2">
        <v>51000</v>
      </c>
      <c r="L18" s="2">
        <v>58000</v>
      </c>
      <c r="M18" s="2">
        <v>61000</v>
      </c>
      <c r="N18" s="2">
        <v>73000</v>
      </c>
      <c r="O18" s="2">
        <v>88290.5</v>
      </c>
      <c r="P18" s="2">
        <v>87037.7</v>
      </c>
      <c r="Q18" s="2">
        <v>164982.48000000001</v>
      </c>
      <c r="R18" s="2">
        <v>194058.97</v>
      </c>
    </row>
    <row r="19" spans="1:19" x14ac:dyDescent="0.25">
      <c r="A19" t="s">
        <v>17</v>
      </c>
    </row>
    <row r="20" spans="1:19" x14ac:dyDescent="0.25">
      <c r="A20" t="s">
        <v>37</v>
      </c>
    </row>
    <row r="21" spans="1:19" x14ac:dyDescent="0.25">
      <c r="A21" t="s">
        <v>17</v>
      </c>
    </row>
    <row r="22" spans="1:19" x14ac:dyDescent="0.25">
      <c r="A22" t="s">
        <v>38</v>
      </c>
    </row>
    <row r="23" spans="1:19" x14ac:dyDescent="0.25">
      <c r="A23" t="s">
        <v>2302</v>
      </c>
      <c r="B23" s="2">
        <v>137278</v>
      </c>
      <c r="C23" s="2">
        <v>160487</v>
      </c>
      <c r="D23" s="2">
        <v>164960</v>
      </c>
      <c r="E23" s="2">
        <v>180905.5</v>
      </c>
      <c r="F23" s="2">
        <v>220294</v>
      </c>
      <c r="G23" s="2">
        <v>264579.5</v>
      </c>
      <c r="H23" s="2">
        <v>305629.5</v>
      </c>
      <c r="I23" s="2">
        <v>393243</v>
      </c>
      <c r="J23" s="2">
        <v>476519</v>
      </c>
      <c r="K23" s="2">
        <v>522599.5</v>
      </c>
      <c r="L23" s="2">
        <v>599211.5</v>
      </c>
      <c r="M23" s="2">
        <v>700906.5</v>
      </c>
      <c r="N23" s="2">
        <v>844721.5</v>
      </c>
      <c r="O23" s="2">
        <v>1035052.13</v>
      </c>
      <c r="P23" s="2">
        <v>1181892.51</v>
      </c>
      <c r="Q23" s="2">
        <v>1313409.8</v>
      </c>
      <c r="R23" s="2">
        <v>1490653.01</v>
      </c>
    </row>
    <row r="24" spans="1:19" x14ac:dyDescent="0.25">
      <c r="A24" t="s">
        <v>2294</v>
      </c>
      <c r="B24" s="2">
        <v>161177</v>
      </c>
      <c r="C24" s="2">
        <v>159797</v>
      </c>
      <c r="D24" s="2">
        <v>170123</v>
      </c>
      <c r="E24" s="2">
        <v>191688</v>
      </c>
      <c r="F24" s="2">
        <v>248900</v>
      </c>
      <c r="G24" s="2">
        <v>280259</v>
      </c>
      <c r="H24" s="2">
        <v>331000</v>
      </c>
      <c r="I24" s="2">
        <v>455486</v>
      </c>
      <c r="J24" s="2">
        <v>497552</v>
      </c>
      <c r="K24" s="2">
        <v>547647</v>
      </c>
      <c r="L24" s="2">
        <v>650776</v>
      </c>
      <c r="M24" s="2">
        <v>751037</v>
      </c>
      <c r="N24" s="2">
        <v>938406</v>
      </c>
      <c r="O24" s="2">
        <v>1112849.47</v>
      </c>
      <c r="P24" s="2">
        <v>1251575.1599999999</v>
      </c>
      <c r="Q24" s="2">
        <v>1388837.66</v>
      </c>
      <c r="R24" s="2">
        <v>1528791.72</v>
      </c>
    </row>
    <row r="25" spans="1:19" x14ac:dyDescent="0.25">
      <c r="A25" t="s">
        <v>2303</v>
      </c>
      <c r="C25" s="2">
        <v>12529</v>
      </c>
      <c r="D25" s="2">
        <v>19036</v>
      </c>
      <c r="E25" s="2">
        <v>21709</v>
      </c>
      <c r="F25" s="2">
        <v>52218</v>
      </c>
      <c r="G25" s="2">
        <v>47995</v>
      </c>
      <c r="H25" s="2">
        <v>52055</v>
      </c>
      <c r="I25" s="2">
        <v>107027</v>
      </c>
      <c r="J25" s="2">
        <v>50590</v>
      </c>
      <c r="K25" s="2">
        <v>87797</v>
      </c>
      <c r="L25" s="2">
        <v>107230</v>
      </c>
      <c r="M25" s="2">
        <v>93055</v>
      </c>
      <c r="N25" s="2">
        <v>168014</v>
      </c>
      <c r="O25" s="2">
        <v>174205.97</v>
      </c>
      <c r="P25" s="2">
        <v>135594.57</v>
      </c>
      <c r="Q25" s="2">
        <v>135258.65</v>
      </c>
      <c r="R25" s="2">
        <v>135164.73000000001</v>
      </c>
    </row>
    <row r="26" spans="1:19" x14ac:dyDescent="0.25">
      <c r="A26" t="s">
        <v>2304</v>
      </c>
      <c r="C26" s="2">
        <v>17821</v>
      </c>
      <c r="D26" s="2">
        <v>23688</v>
      </c>
      <c r="E26" s="2">
        <v>34767</v>
      </c>
      <c r="F26" s="2">
        <v>56520</v>
      </c>
      <c r="G26" s="2">
        <v>59962</v>
      </c>
      <c r="H26" s="2">
        <v>63565</v>
      </c>
      <c r="I26" s="2">
        <v>122702</v>
      </c>
      <c r="J26" s="2">
        <v>67474</v>
      </c>
      <c r="K26" s="2">
        <v>128275</v>
      </c>
      <c r="L26" s="2">
        <v>156982</v>
      </c>
      <c r="M26" s="2">
        <v>152404</v>
      </c>
      <c r="N26" s="2">
        <v>231677</v>
      </c>
      <c r="O26" s="2">
        <v>285054.56</v>
      </c>
      <c r="P26" s="2">
        <v>235589.94</v>
      </c>
      <c r="Q26" s="2">
        <v>247593.76</v>
      </c>
      <c r="R26" s="2">
        <v>255762.43</v>
      </c>
    </row>
    <row r="27" spans="1:19" x14ac:dyDescent="0.25">
      <c r="A27" t="s">
        <v>2305</v>
      </c>
      <c r="C27" s="2">
        <v>-5292</v>
      </c>
      <c r="D27" s="2">
        <v>-4652</v>
      </c>
      <c r="E27" s="2">
        <v>-13058</v>
      </c>
      <c r="F27" s="2">
        <v>-4302</v>
      </c>
      <c r="G27" s="2">
        <v>-11967</v>
      </c>
      <c r="H27" s="2">
        <v>-11510</v>
      </c>
      <c r="I27" s="2">
        <v>-15675</v>
      </c>
      <c r="J27" s="2">
        <v>-16884</v>
      </c>
      <c r="K27" s="2">
        <v>-40478</v>
      </c>
      <c r="L27" s="2">
        <v>-49752</v>
      </c>
      <c r="M27" s="2">
        <v>-59349</v>
      </c>
      <c r="N27" s="2">
        <v>-63663</v>
      </c>
      <c r="O27" s="2">
        <v>-99141.15</v>
      </c>
      <c r="P27" s="2">
        <v>-95593.31</v>
      </c>
      <c r="Q27" s="2">
        <v>-103606.49</v>
      </c>
      <c r="R27" s="2">
        <v>-115862.83</v>
      </c>
    </row>
    <row r="28" spans="1:19" x14ac:dyDescent="0.25">
      <c r="A28" t="s">
        <v>2296</v>
      </c>
      <c r="C28" s="2">
        <v>-16382</v>
      </c>
      <c r="D28" s="2">
        <v>-8549</v>
      </c>
      <c r="E28" s="2">
        <v>-5420</v>
      </c>
      <c r="F28" s="2">
        <v>-10691</v>
      </c>
      <c r="G28" s="2">
        <v>-11053</v>
      </c>
      <c r="H28" s="2">
        <v>-11442</v>
      </c>
      <c r="I28" s="2">
        <v>-8702</v>
      </c>
      <c r="J28" s="2">
        <v>-25727</v>
      </c>
      <c r="K28" s="2">
        <v>-26626</v>
      </c>
      <c r="L28" s="2">
        <v>-26815</v>
      </c>
      <c r="M28" s="2">
        <v>-23170</v>
      </c>
      <c r="N28" s="2">
        <v>-21889</v>
      </c>
      <c r="O28" s="2">
        <v>-34630.870000000003</v>
      </c>
      <c r="P28" s="2">
        <v>-37762.94</v>
      </c>
      <c r="Q28" s="2">
        <v>-43728.89</v>
      </c>
      <c r="R28" s="2">
        <v>-47596.4</v>
      </c>
    </row>
    <row r="29" spans="1:19" x14ac:dyDescent="0.25">
      <c r="A29" t="s">
        <v>2306</v>
      </c>
      <c r="C29" s="2">
        <v>2473</v>
      </c>
      <c r="D29">
        <v>-161</v>
      </c>
      <c r="E29" s="2">
        <v>5276</v>
      </c>
      <c r="F29" s="2">
        <v>15713</v>
      </c>
      <c r="G29" s="2">
        <v>-5611</v>
      </c>
      <c r="H29" s="2">
        <v>10233</v>
      </c>
      <c r="I29" s="2">
        <v>26056</v>
      </c>
      <c r="J29" s="2">
        <v>17203</v>
      </c>
      <c r="K29" s="2">
        <v>-11076</v>
      </c>
      <c r="L29" s="2">
        <v>22714</v>
      </c>
      <c r="M29" s="2">
        <v>30376</v>
      </c>
      <c r="N29" s="2">
        <v>41244</v>
      </c>
      <c r="O29" s="2">
        <v>29534.36</v>
      </c>
      <c r="P29" s="2">
        <v>44568.54</v>
      </c>
      <c r="Q29" s="2">
        <v>49034.23</v>
      </c>
      <c r="R29" s="2">
        <v>62528.83</v>
      </c>
    </row>
    <row r="30" spans="1:19" x14ac:dyDescent="0.25">
      <c r="A30" t="s">
        <v>2307</v>
      </c>
      <c r="B30" s="2">
        <v>113379</v>
      </c>
      <c r="C30" s="2">
        <v>161177</v>
      </c>
      <c r="D30" s="2">
        <v>159797</v>
      </c>
      <c r="E30" s="2">
        <v>170123</v>
      </c>
      <c r="F30" s="2">
        <v>191688</v>
      </c>
      <c r="G30" s="2">
        <v>248900</v>
      </c>
      <c r="H30" s="2">
        <v>280259</v>
      </c>
      <c r="I30" s="2">
        <v>331000</v>
      </c>
      <c r="J30" s="2">
        <v>455486</v>
      </c>
      <c r="K30" s="2">
        <v>497552</v>
      </c>
      <c r="L30" s="2">
        <v>547647</v>
      </c>
      <c r="M30" s="2">
        <v>650776</v>
      </c>
      <c r="N30" s="2">
        <v>751037</v>
      </c>
      <c r="O30" s="2">
        <v>938813.25</v>
      </c>
      <c r="P30" s="2">
        <v>1113256.72</v>
      </c>
      <c r="Q30" s="2">
        <v>1246909.42</v>
      </c>
      <c r="R30" s="2">
        <v>1378694.56</v>
      </c>
      <c r="S30" s="2">
        <v>1528791.72</v>
      </c>
    </row>
    <row r="31" spans="1:19" x14ac:dyDescent="0.25">
      <c r="A31" t="s">
        <v>17</v>
      </c>
    </row>
    <row r="32" spans="1:19" x14ac:dyDescent="0.25">
      <c r="A32" t="s">
        <v>2308</v>
      </c>
      <c r="C32" s="2">
        <v>128714</v>
      </c>
      <c r="D32" s="2">
        <v>138097</v>
      </c>
      <c r="E32" s="2">
        <v>150798</v>
      </c>
      <c r="F32" s="2">
        <v>168965</v>
      </c>
      <c r="G32" s="2">
        <v>214367</v>
      </c>
      <c r="H32" s="2">
        <v>246446</v>
      </c>
      <c r="I32" s="2">
        <v>348674</v>
      </c>
      <c r="J32" s="2">
        <v>369101</v>
      </c>
      <c r="K32" s="2">
        <v>412087</v>
      </c>
      <c r="L32" s="2">
        <v>492952</v>
      </c>
      <c r="M32" s="2">
        <v>568666</v>
      </c>
      <c r="N32" s="2">
        <v>709139</v>
      </c>
      <c r="O32" s="2">
        <v>913564.09</v>
      </c>
      <c r="P32" s="2">
        <v>1048059.74</v>
      </c>
      <c r="Q32" s="2">
        <v>1160840.43</v>
      </c>
      <c r="R32" s="2">
        <v>1292439.26</v>
      </c>
    </row>
    <row r="33" spans="1:18" x14ac:dyDescent="0.25">
      <c r="A33" t="s">
        <v>2303</v>
      </c>
      <c r="C33" s="2">
        <v>6180</v>
      </c>
      <c r="D33" s="2">
        <v>14580</v>
      </c>
      <c r="E33" s="2">
        <v>14754</v>
      </c>
      <c r="F33" s="2">
        <v>18636</v>
      </c>
      <c r="G33" s="2">
        <v>49859</v>
      </c>
      <c r="H33" s="2">
        <v>32324</v>
      </c>
      <c r="I33" s="2">
        <v>89523</v>
      </c>
      <c r="J33" s="2">
        <v>28971</v>
      </c>
      <c r="K33" s="2">
        <v>60709</v>
      </c>
      <c r="L33" s="2">
        <v>70284</v>
      </c>
      <c r="M33" s="2">
        <v>61719</v>
      </c>
      <c r="N33" s="2">
        <v>119647</v>
      </c>
      <c r="O33" s="2">
        <v>193938.09</v>
      </c>
      <c r="P33" s="2">
        <v>120845.94</v>
      </c>
      <c r="Q33" s="2">
        <v>101693.33</v>
      </c>
      <c r="R33" s="2">
        <v>113353.22</v>
      </c>
    </row>
    <row r="34" spans="1:18" x14ac:dyDescent="0.25">
      <c r="A34" t="s">
        <v>2304</v>
      </c>
      <c r="C34" s="2">
        <v>10281</v>
      </c>
      <c r="D34" s="2">
        <v>19951</v>
      </c>
      <c r="E34" s="2">
        <v>23234</v>
      </c>
      <c r="F34" s="2">
        <v>26146</v>
      </c>
      <c r="G34" s="2">
        <v>74177</v>
      </c>
      <c r="H34" s="2">
        <v>48743</v>
      </c>
      <c r="I34" s="2">
        <v>113298</v>
      </c>
      <c r="J34" s="2">
        <v>51220</v>
      </c>
      <c r="K34" s="2">
        <v>111051</v>
      </c>
      <c r="L34" s="2">
        <v>123966</v>
      </c>
      <c r="M34" s="2">
        <v>128892</v>
      </c>
      <c r="N34" s="2">
        <v>189435</v>
      </c>
      <c r="O34" s="2">
        <v>283351.03999999998</v>
      </c>
      <c r="P34" s="2">
        <v>219322.41</v>
      </c>
      <c r="Q34" s="2">
        <v>216246.49</v>
      </c>
      <c r="R34" s="2">
        <v>230465.31</v>
      </c>
    </row>
    <row r="35" spans="1:18" x14ac:dyDescent="0.25">
      <c r="A35" t="s">
        <v>2305</v>
      </c>
      <c r="C35" s="2">
        <v>-4101</v>
      </c>
      <c r="D35" s="2">
        <v>-5371</v>
      </c>
      <c r="E35" s="2">
        <v>-8480</v>
      </c>
      <c r="F35" s="2">
        <v>-7510</v>
      </c>
      <c r="G35" s="2">
        <v>-24318</v>
      </c>
      <c r="H35" s="2">
        <v>-16419</v>
      </c>
      <c r="I35" s="2">
        <v>-23775</v>
      </c>
      <c r="J35" s="2">
        <v>-22249</v>
      </c>
      <c r="K35" s="2">
        <v>-50342</v>
      </c>
      <c r="L35" s="2">
        <v>-53682</v>
      </c>
      <c r="M35" s="2">
        <v>-67173</v>
      </c>
      <c r="N35" s="2">
        <v>-69788</v>
      </c>
      <c r="O35" s="2">
        <v>-93150.73</v>
      </c>
      <c r="P35" s="2">
        <v>-94940.08</v>
      </c>
      <c r="Q35" s="2">
        <v>-106877.67</v>
      </c>
      <c r="R35" s="2">
        <v>-113851.74</v>
      </c>
    </row>
    <row r="36" spans="1:18" x14ac:dyDescent="0.25">
      <c r="A36" t="s">
        <v>2306</v>
      </c>
      <c r="C36">
        <v>351</v>
      </c>
      <c r="D36">
        <v>634</v>
      </c>
      <c r="E36" s="2">
        <v>1033</v>
      </c>
      <c r="F36" s="2">
        <v>3679</v>
      </c>
      <c r="G36">
        <v>-123</v>
      </c>
      <c r="H36" s="2">
        <v>2976</v>
      </c>
      <c r="I36" s="2">
        <v>15795</v>
      </c>
      <c r="J36" s="2">
        <v>-1670</v>
      </c>
      <c r="K36" s="2">
        <v>-12343</v>
      </c>
      <c r="L36" s="2">
        <v>15795</v>
      </c>
      <c r="M36" s="2">
        <v>21700</v>
      </c>
      <c r="N36" s="2">
        <v>30424</v>
      </c>
      <c r="O36" s="2">
        <v>21694.32</v>
      </c>
      <c r="P36" s="2">
        <v>33528.44</v>
      </c>
      <c r="Q36" s="2">
        <v>38375.94</v>
      </c>
      <c r="R36" s="2">
        <v>45543.92</v>
      </c>
    </row>
    <row r="37" spans="1:18" x14ac:dyDescent="0.25">
      <c r="A37" t="s">
        <v>2296</v>
      </c>
      <c r="C37" s="2">
        <v>-6185</v>
      </c>
      <c r="D37" s="2">
        <v>-5831</v>
      </c>
      <c r="E37" s="2">
        <v>-3086</v>
      </c>
      <c r="F37" s="2">
        <v>-4148</v>
      </c>
      <c r="G37" s="2">
        <v>-4334</v>
      </c>
      <c r="H37" s="2">
        <v>-3221</v>
      </c>
      <c r="I37" s="2">
        <v>-3090</v>
      </c>
      <c r="J37" s="2">
        <v>-6874</v>
      </c>
      <c r="K37" s="2">
        <v>-5380</v>
      </c>
      <c r="L37" s="2">
        <v>-5214</v>
      </c>
      <c r="M37" s="2">
        <v>-7705</v>
      </c>
      <c r="N37" s="2">
        <v>-9598</v>
      </c>
      <c r="O37" s="2">
        <v>-15584.75</v>
      </c>
      <c r="P37" s="2">
        <v>-17389.419999999998</v>
      </c>
      <c r="Q37" s="2">
        <v>-20872.68</v>
      </c>
      <c r="R37" s="2">
        <v>-25709.9</v>
      </c>
    </row>
    <row r="38" spans="1:18" x14ac:dyDescent="0.25">
      <c r="A38" t="s">
        <v>17</v>
      </c>
    </row>
    <row r="39" spans="1:18" x14ac:dyDescent="0.25">
      <c r="A39" t="s">
        <v>2301</v>
      </c>
      <c r="E39" s="2">
        <v>25900</v>
      </c>
      <c r="F39" s="2">
        <v>47600</v>
      </c>
      <c r="G39" s="2">
        <v>48500</v>
      </c>
      <c r="H39" s="2">
        <v>46400</v>
      </c>
      <c r="I39" s="2">
        <v>46800</v>
      </c>
      <c r="J39" s="2">
        <v>47200</v>
      </c>
      <c r="K39" s="2">
        <v>51000</v>
      </c>
      <c r="L39" s="2">
        <v>58000</v>
      </c>
      <c r="M39" s="2">
        <v>61000</v>
      </c>
      <c r="N39" s="2">
        <v>73000</v>
      </c>
      <c r="O39" s="2">
        <v>88290.5</v>
      </c>
      <c r="P39" s="2">
        <v>87037.7</v>
      </c>
      <c r="Q39" s="2">
        <v>164982.48000000001</v>
      </c>
      <c r="R39" s="2">
        <v>194058.97</v>
      </c>
    </row>
    <row r="40" spans="1:18" x14ac:dyDescent="0.25">
      <c r="A40" t="s">
        <v>17</v>
      </c>
    </row>
    <row r="41" spans="1:18" x14ac:dyDescent="0.25">
      <c r="A41" t="s">
        <v>258</v>
      </c>
    </row>
    <row r="42" spans="1:18" x14ac:dyDescent="0.25">
      <c r="A42" t="s">
        <v>2309</v>
      </c>
    </row>
    <row r="43" spans="1:18" x14ac:dyDescent="0.25">
      <c r="A43" t="s">
        <v>2310</v>
      </c>
      <c r="J43" s="2">
        <v>394302</v>
      </c>
      <c r="K43" s="2">
        <v>421206</v>
      </c>
      <c r="L43" s="2">
        <v>515523</v>
      </c>
      <c r="M43" s="2">
        <v>616387</v>
      </c>
      <c r="N43" s="2">
        <v>749228</v>
      </c>
      <c r="O43" s="2">
        <v>903091.56</v>
      </c>
      <c r="P43" s="2">
        <v>1021481.35</v>
      </c>
      <c r="Q43" s="2">
        <v>1142476.04</v>
      </c>
      <c r="R43" s="2">
        <v>1260172.3700000001</v>
      </c>
    </row>
    <row r="44" spans="1:18" x14ac:dyDescent="0.25">
      <c r="A44" t="s">
        <v>2311</v>
      </c>
      <c r="J44" s="2">
        <v>36195</v>
      </c>
      <c r="K44" s="2">
        <v>54166</v>
      </c>
      <c r="L44" s="2">
        <v>94660</v>
      </c>
      <c r="M44" s="2">
        <v>90436</v>
      </c>
      <c r="N44" s="2">
        <v>107979</v>
      </c>
      <c r="O44" s="2">
        <v>141526.20000000001</v>
      </c>
      <c r="P44" s="2">
        <v>105302.39</v>
      </c>
      <c r="Q44" s="2">
        <v>106036.15</v>
      </c>
      <c r="R44" s="2">
        <v>110235.73</v>
      </c>
    </row>
    <row r="45" spans="1:18" x14ac:dyDescent="0.25">
      <c r="A45" t="s">
        <v>2312</v>
      </c>
      <c r="J45" s="2">
        <v>59744</v>
      </c>
      <c r="K45" s="2">
        <v>93414</v>
      </c>
      <c r="L45" s="2">
        <v>139613</v>
      </c>
      <c r="M45" s="2">
        <v>142628</v>
      </c>
      <c r="N45" s="2">
        <v>169719</v>
      </c>
      <c r="O45" s="2">
        <v>237499.04</v>
      </c>
      <c r="P45" s="2">
        <v>197817.73</v>
      </c>
      <c r="Q45" s="2">
        <v>212759.09</v>
      </c>
      <c r="R45" s="2">
        <v>223589.74</v>
      </c>
    </row>
    <row r="46" spans="1:18" x14ac:dyDescent="0.25">
      <c r="A46" t="s">
        <v>2313</v>
      </c>
      <c r="J46" s="2">
        <v>-23549</v>
      </c>
      <c r="K46" s="2">
        <v>-39266</v>
      </c>
      <c r="L46" s="2">
        <v>-44953</v>
      </c>
      <c r="M46" s="2">
        <v>-52192</v>
      </c>
      <c r="N46" s="2">
        <v>-61740</v>
      </c>
      <c r="O46" s="2">
        <v>-95201.44</v>
      </c>
      <c r="P46" s="2">
        <v>-88302.94</v>
      </c>
      <c r="Q46" s="2">
        <v>-98213.84</v>
      </c>
      <c r="R46" s="2">
        <v>-108619.13</v>
      </c>
    </row>
    <row r="47" spans="1:18" x14ac:dyDescent="0.25">
      <c r="A47" t="s">
        <v>2314</v>
      </c>
      <c r="J47">
        <v>-502</v>
      </c>
      <c r="K47" s="2">
        <v>-14523</v>
      </c>
      <c r="L47" s="2">
        <v>17604</v>
      </c>
      <c r="M47" s="2">
        <v>24564</v>
      </c>
      <c r="N47" s="2">
        <v>33702</v>
      </c>
      <c r="O47" s="2">
        <v>20228.3</v>
      </c>
      <c r="P47" s="2">
        <v>33411.17</v>
      </c>
      <c r="Q47" s="2">
        <v>37278.15</v>
      </c>
      <c r="R47" s="2">
        <v>48374.52</v>
      </c>
    </row>
    <row r="48" spans="1:18" x14ac:dyDescent="0.25">
      <c r="A48" t="s">
        <v>2315</v>
      </c>
      <c r="J48" s="2">
        <v>-6018</v>
      </c>
      <c r="K48" s="2">
        <v>-12739</v>
      </c>
      <c r="L48" s="2">
        <v>-17947</v>
      </c>
      <c r="M48" s="2">
        <v>-5575</v>
      </c>
      <c r="N48" s="2">
        <v>-8840</v>
      </c>
      <c r="O48" s="2">
        <v>-13144.28</v>
      </c>
      <c r="P48" s="2">
        <v>-17389.400000000001</v>
      </c>
      <c r="Q48" s="2">
        <v>-20646.29</v>
      </c>
      <c r="R48" s="2">
        <v>-26911.72</v>
      </c>
    </row>
    <row r="49" spans="1:18" x14ac:dyDescent="0.25">
      <c r="A49" t="s">
        <v>2316</v>
      </c>
      <c r="J49" s="2">
        <v>317832</v>
      </c>
      <c r="K49" s="2">
        <v>346598</v>
      </c>
      <c r="L49" s="2">
        <v>422036</v>
      </c>
      <c r="M49" s="2">
        <v>495843</v>
      </c>
      <c r="N49" s="2">
        <v>606466</v>
      </c>
      <c r="O49" s="2">
        <v>804331.87</v>
      </c>
      <c r="P49" s="2">
        <v>912979.57</v>
      </c>
      <c r="Q49" s="2">
        <v>1014666.56</v>
      </c>
      <c r="R49" s="2">
        <v>1138158.47</v>
      </c>
    </row>
    <row r="50" spans="1:18" x14ac:dyDescent="0.25">
      <c r="A50" t="s">
        <v>2311</v>
      </c>
      <c r="J50" s="2">
        <v>23144</v>
      </c>
      <c r="K50" s="2">
        <v>43530</v>
      </c>
      <c r="L50" s="2">
        <v>63283</v>
      </c>
      <c r="M50" s="2">
        <v>57762</v>
      </c>
      <c r="N50" s="2">
        <v>87713</v>
      </c>
      <c r="O50" s="2">
        <v>182865.8</v>
      </c>
      <c r="P50" s="2">
        <v>91075.97</v>
      </c>
      <c r="Q50" s="2">
        <v>84683.21</v>
      </c>
      <c r="R50" s="2">
        <v>96976.54</v>
      </c>
    </row>
    <row r="51" spans="1:18" x14ac:dyDescent="0.25">
      <c r="A51" t="s">
        <v>2312</v>
      </c>
      <c r="J51" s="2">
        <v>52035</v>
      </c>
      <c r="K51" s="2">
        <v>81478</v>
      </c>
      <c r="L51" s="2">
        <v>112272</v>
      </c>
      <c r="M51" s="2">
        <v>118318</v>
      </c>
      <c r="N51" s="2">
        <v>148192</v>
      </c>
      <c r="O51" s="2">
        <v>265730.56</v>
      </c>
      <c r="P51" s="2">
        <v>180600.72</v>
      </c>
      <c r="Q51" s="2">
        <v>190250.95</v>
      </c>
      <c r="R51" s="2">
        <v>203450.56</v>
      </c>
    </row>
    <row r="52" spans="1:18" x14ac:dyDescent="0.25">
      <c r="A52" t="s">
        <v>2313</v>
      </c>
      <c r="J52" s="2">
        <v>-28891</v>
      </c>
      <c r="K52" s="2">
        <v>-37948</v>
      </c>
      <c r="L52" s="2">
        <v>-48989</v>
      </c>
      <c r="M52" s="2">
        <v>-60556</v>
      </c>
      <c r="N52" s="2">
        <v>-60479</v>
      </c>
      <c r="O52" s="2">
        <v>-86338.68</v>
      </c>
      <c r="P52" s="2">
        <v>-86586.45</v>
      </c>
      <c r="Q52" s="2">
        <v>-98068.45</v>
      </c>
      <c r="R52" s="2">
        <v>-103213.67</v>
      </c>
    </row>
    <row r="53" spans="1:18" x14ac:dyDescent="0.25">
      <c r="A53" t="s">
        <v>2314</v>
      </c>
      <c r="J53" s="2">
        <v>-1623</v>
      </c>
      <c r="K53" s="2">
        <v>-11832</v>
      </c>
      <c r="L53" s="2">
        <v>15855</v>
      </c>
      <c r="M53" s="2">
        <v>21620</v>
      </c>
      <c r="N53" s="2">
        <v>29181</v>
      </c>
      <c r="O53" s="2">
        <v>19950.96</v>
      </c>
      <c r="P53" s="2">
        <v>31554.38</v>
      </c>
      <c r="Q53" s="2">
        <v>35636.089999999997</v>
      </c>
      <c r="R53" s="2">
        <v>41958.59</v>
      </c>
    </row>
    <row r="54" spans="1:18" x14ac:dyDescent="0.25">
      <c r="A54" t="s">
        <v>2317</v>
      </c>
      <c r="J54" s="2">
        <v>-2970</v>
      </c>
      <c r="K54" s="2">
        <v>-2932</v>
      </c>
      <c r="L54" s="2">
        <v>-3700</v>
      </c>
      <c r="M54" s="2">
        <v>-5575</v>
      </c>
      <c r="N54" s="2">
        <v>-6271</v>
      </c>
      <c r="O54" s="2">
        <v>-9592.19</v>
      </c>
      <c r="P54" s="2">
        <v>-11047.07</v>
      </c>
      <c r="Q54" s="2">
        <v>-13452</v>
      </c>
      <c r="R54" s="2">
        <v>-17625.900000000001</v>
      </c>
    </row>
    <row r="55" spans="1:18" x14ac:dyDescent="0.25">
      <c r="A55" t="s">
        <v>2318</v>
      </c>
      <c r="M55" s="2">
        <v>36000</v>
      </c>
      <c r="N55" s="2">
        <v>42000</v>
      </c>
    </row>
    <row r="56" spans="1:18" x14ac:dyDescent="0.25">
      <c r="A56" t="s">
        <v>2319</v>
      </c>
      <c r="J56" s="2">
        <v>1315</v>
      </c>
      <c r="K56" s="2">
        <v>1483</v>
      </c>
      <c r="L56" s="2">
        <v>1688</v>
      </c>
      <c r="M56" s="2">
        <v>2015</v>
      </c>
      <c r="N56" s="2">
        <v>2475</v>
      </c>
      <c r="O56" s="2">
        <v>2930.57</v>
      </c>
      <c r="P56" s="2">
        <v>3390.22</v>
      </c>
      <c r="Q56" s="2">
        <v>3762.97</v>
      </c>
      <c r="R56" s="2">
        <v>4432.72</v>
      </c>
    </row>
    <row r="57" spans="1:18" x14ac:dyDescent="0.25">
      <c r="A57" t="s">
        <v>17</v>
      </c>
    </row>
    <row r="58" spans="1:18" x14ac:dyDescent="0.25">
      <c r="A58" t="s">
        <v>2320</v>
      </c>
    </row>
    <row r="59" spans="1:18" x14ac:dyDescent="0.25">
      <c r="A59" t="s">
        <v>2310</v>
      </c>
      <c r="J59" s="2">
        <v>103250</v>
      </c>
      <c r="K59" s="2">
        <v>126441</v>
      </c>
      <c r="L59" s="2">
        <v>135253</v>
      </c>
      <c r="M59" s="2">
        <v>134650</v>
      </c>
      <c r="N59" s="2">
        <v>189178</v>
      </c>
      <c r="O59" s="2">
        <v>209757.91</v>
      </c>
      <c r="P59" s="2">
        <v>230093.8</v>
      </c>
      <c r="Q59" s="2">
        <v>246361.62</v>
      </c>
      <c r="R59" s="2">
        <v>268619.34999999998</v>
      </c>
    </row>
    <row r="60" spans="1:18" x14ac:dyDescent="0.25">
      <c r="A60" t="s">
        <v>2311</v>
      </c>
      <c r="J60" s="2">
        <v>14395</v>
      </c>
      <c r="K60" s="2">
        <v>33630</v>
      </c>
      <c r="L60" s="2">
        <v>12570</v>
      </c>
      <c r="M60" s="2">
        <v>2619</v>
      </c>
      <c r="N60" s="2">
        <v>60035</v>
      </c>
      <c r="O60" s="2">
        <v>32679.77</v>
      </c>
      <c r="P60" s="2">
        <v>30292.18</v>
      </c>
      <c r="Q60" s="2">
        <v>29222.5</v>
      </c>
      <c r="R60" s="2">
        <v>24929</v>
      </c>
    </row>
    <row r="61" spans="1:18" x14ac:dyDescent="0.25">
      <c r="A61" t="s">
        <v>2312</v>
      </c>
      <c r="J61" s="2">
        <v>14430</v>
      </c>
      <c r="K61" s="2">
        <v>34720</v>
      </c>
      <c r="L61" s="2">
        <v>15525</v>
      </c>
      <c r="M61" s="2">
        <v>9776</v>
      </c>
      <c r="N61" s="2">
        <v>61958</v>
      </c>
      <c r="O61" s="2">
        <v>36774.370000000003</v>
      </c>
      <c r="P61" s="2">
        <v>38397.93</v>
      </c>
      <c r="Q61" s="2">
        <v>35001.14</v>
      </c>
      <c r="R61" s="2">
        <v>30663.73</v>
      </c>
    </row>
    <row r="62" spans="1:18" x14ac:dyDescent="0.25">
      <c r="A62" t="s">
        <v>2313</v>
      </c>
      <c r="J62">
        <v>-35</v>
      </c>
      <c r="K62" s="2">
        <v>-1090</v>
      </c>
      <c r="L62" s="2">
        <v>-2955</v>
      </c>
      <c r="M62" s="2">
        <v>-7157</v>
      </c>
      <c r="N62" s="2">
        <v>-1923</v>
      </c>
      <c r="O62" s="2">
        <v>-3939.71</v>
      </c>
      <c r="P62" s="2">
        <v>-7290.37</v>
      </c>
      <c r="Q62" s="2">
        <v>-5392.65</v>
      </c>
      <c r="R62" s="2">
        <v>-7243.69</v>
      </c>
    </row>
    <row r="63" spans="1:18" x14ac:dyDescent="0.25">
      <c r="A63" t="s">
        <v>2314</v>
      </c>
      <c r="J63" s="2">
        <v>17704</v>
      </c>
      <c r="K63" s="2">
        <v>3449</v>
      </c>
      <c r="L63" s="2">
        <v>5110</v>
      </c>
      <c r="M63" s="2">
        <v>5812</v>
      </c>
      <c r="N63" s="2">
        <v>7542</v>
      </c>
      <c r="O63" s="2">
        <v>9306.0499999999993</v>
      </c>
      <c r="P63" s="2">
        <v>11157.37</v>
      </c>
      <c r="Q63" s="2">
        <v>11756.08</v>
      </c>
      <c r="R63" s="2">
        <v>14154.3</v>
      </c>
    </row>
    <row r="64" spans="1:18" x14ac:dyDescent="0.25">
      <c r="A64" t="s">
        <v>2315</v>
      </c>
      <c r="J64" s="2">
        <v>-19708</v>
      </c>
      <c r="K64" s="2">
        <v>-5982</v>
      </c>
      <c r="L64" s="2">
        <v>-8868</v>
      </c>
      <c r="M64" s="2">
        <v>-2130</v>
      </c>
      <c r="N64" s="2">
        <v>-13049</v>
      </c>
      <c r="O64" s="2">
        <v>-21486.59</v>
      </c>
      <c r="P64" s="2">
        <v>-20373.54</v>
      </c>
      <c r="Q64" s="2">
        <v>-23082.6</v>
      </c>
      <c r="R64" s="2">
        <v>-20684.68</v>
      </c>
    </row>
    <row r="65" spans="1:18" x14ac:dyDescent="0.25">
      <c r="A65" t="s">
        <v>2316</v>
      </c>
      <c r="J65" s="2">
        <v>51269</v>
      </c>
      <c r="K65" s="2">
        <v>65489</v>
      </c>
      <c r="L65" s="2">
        <v>70916</v>
      </c>
      <c r="M65" s="2">
        <v>72823</v>
      </c>
      <c r="N65" s="2">
        <v>102673</v>
      </c>
      <c r="O65" s="2">
        <v>107483.92</v>
      </c>
      <c r="P65" s="2">
        <v>131221.37</v>
      </c>
      <c r="Q65" s="2">
        <v>142199.17000000001</v>
      </c>
      <c r="R65" s="2">
        <v>154280.79999999999</v>
      </c>
    </row>
    <row r="66" spans="1:18" x14ac:dyDescent="0.25">
      <c r="A66" t="s">
        <v>2311</v>
      </c>
      <c r="J66" s="2">
        <v>5827</v>
      </c>
      <c r="K66" s="2">
        <v>17177</v>
      </c>
      <c r="L66" s="2">
        <v>7002</v>
      </c>
      <c r="M66" s="2">
        <v>3957</v>
      </c>
      <c r="N66" s="2">
        <v>31934</v>
      </c>
      <c r="O66" s="2">
        <v>11072.29</v>
      </c>
      <c r="P66" s="2">
        <v>29769.97</v>
      </c>
      <c r="Q66" s="2">
        <v>17010.13</v>
      </c>
      <c r="R66" s="2">
        <v>16376.68</v>
      </c>
    </row>
    <row r="67" spans="1:18" x14ac:dyDescent="0.25">
      <c r="A67" t="s">
        <v>2312</v>
      </c>
      <c r="J67" s="2">
        <v>8035</v>
      </c>
      <c r="K67" s="2">
        <v>29619</v>
      </c>
      <c r="L67" s="2">
        <v>12106</v>
      </c>
      <c r="M67" s="2">
        <v>10574</v>
      </c>
      <c r="N67" s="2">
        <v>41243</v>
      </c>
      <c r="O67" s="2">
        <v>17620.48</v>
      </c>
      <c r="P67" s="2">
        <v>38721.69</v>
      </c>
      <c r="Q67" s="2">
        <v>25995.55</v>
      </c>
      <c r="R67" s="2">
        <v>27014.75</v>
      </c>
    </row>
    <row r="68" spans="1:18" x14ac:dyDescent="0.25">
      <c r="A68" t="s">
        <v>2313</v>
      </c>
      <c r="J68" s="2">
        <v>-2208</v>
      </c>
      <c r="K68" s="2">
        <v>9014</v>
      </c>
      <c r="L68" s="2">
        <v>-5104</v>
      </c>
      <c r="M68" s="2">
        <v>-6617</v>
      </c>
      <c r="N68" s="2">
        <v>-9309</v>
      </c>
      <c r="O68" s="2">
        <v>-6812.06</v>
      </c>
      <c r="P68" s="2">
        <v>-8353.6299999999992</v>
      </c>
      <c r="Q68" s="2">
        <v>-8809.2199999999993</v>
      </c>
      <c r="R68" s="2">
        <v>-10638.07</v>
      </c>
    </row>
    <row r="69" spans="1:18" x14ac:dyDescent="0.25">
      <c r="A69" t="s">
        <v>2314</v>
      </c>
      <c r="J69">
        <v>-48</v>
      </c>
      <c r="K69">
        <v>-510</v>
      </c>
      <c r="L69">
        <v>-61</v>
      </c>
      <c r="M69">
        <v>80</v>
      </c>
      <c r="N69" s="2">
        <v>1243</v>
      </c>
      <c r="O69" s="2">
        <v>1743.36</v>
      </c>
      <c r="P69" s="2">
        <v>2368.88</v>
      </c>
      <c r="Q69" s="2">
        <v>3653.14</v>
      </c>
      <c r="R69" s="2">
        <v>3585.34</v>
      </c>
    </row>
    <row r="70" spans="1:18" x14ac:dyDescent="0.25">
      <c r="A70" t="s">
        <v>2317</v>
      </c>
      <c r="J70" s="2">
        <v>-3929</v>
      </c>
      <c r="K70" s="2">
        <v>-2447</v>
      </c>
      <c r="L70" s="2">
        <v>-1532</v>
      </c>
      <c r="M70" s="2">
        <v>-2130</v>
      </c>
      <c r="N70" s="2">
        <v>-3327</v>
      </c>
      <c r="O70" s="2">
        <v>-5992.56</v>
      </c>
      <c r="P70" s="2">
        <v>-6342.35</v>
      </c>
      <c r="Q70" s="2">
        <v>-7420.68</v>
      </c>
      <c r="R70" s="2">
        <v>-8084</v>
      </c>
    </row>
    <row r="71" spans="1:18" x14ac:dyDescent="0.25">
      <c r="A71" t="s">
        <v>2318</v>
      </c>
      <c r="M71" s="2">
        <v>25000</v>
      </c>
      <c r="N71" s="2">
        <v>30000</v>
      </c>
    </row>
    <row r="72" spans="1:18" x14ac:dyDescent="0.25">
      <c r="A72" t="s">
        <v>2319</v>
      </c>
      <c r="J72">
        <v>563</v>
      </c>
      <c r="K72">
        <v>651</v>
      </c>
      <c r="L72">
        <v>792</v>
      </c>
      <c r="M72">
        <v>761</v>
      </c>
      <c r="N72">
        <v>916</v>
      </c>
      <c r="O72" s="2">
        <v>1119.73</v>
      </c>
      <c r="P72" s="2">
        <v>1348.31</v>
      </c>
      <c r="Q72" s="2">
        <v>1529.94</v>
      </c>
      <c r="R72" s="2">
        <v>1590.59</v>
      </c>
    </row>
    <row r="73" spans="1:18" x14ac:dyDescent="0.25">
      <c r="A73" t="s">
        <v>17</v>
      </c>
    </row>
    <row r="74" spans="1:18" x14ac:dyDescent="0.25">
      <c r="A74" t="s">
        <v>51</v>
      </c>
    </row>
    <row r="75" spans="1:18" x14ac:dyDescent="0.25">
      <c r="A75" t="s">
        <v>2321</v>
      </c>
    </row>
    <row r="76" spans="1:18" x14ac:dyDescent="0.25">
      <c r="A76" t="s">
        <v>2310</v>
      </c>
      <c r="H76" s="2">
        <v>218278</v>
      </c>
      <c r="I76" s="2">
        <v>332880</v>
      </c>
      <c r="J76" s="2">
        <v>360289</v>
      </c>
      <c r="K76" s="2">
        <v>392466</v>
      </c>
      <c r="L76" s="2">
        <v>480452</v>
      </c>
    </row>
    <row r="77" spans="1:18" x14ac:dyDescent="0.25">
      <c r="A77" t="s">
        <v>2311</v>
      </c>
      <c r="I77" s="2">
        <v>95654</v>
      </c>
      <c r="J77" s="2">
        <v>33067</v>
      </c>
      <c r="K77" s="2">
        <v>55544</v>
      </c>
      <c r="L77" s="2">
        <v>86410</v>
      </c>
    </row>
    <row r="78" spans="1:18" x14ac:dyDescent="0.25">
      <c r="A78" t="s">
        <v>2312</v>
      </c>
      <c r="I78" s="2">
        <v>117483</v>
      </c>
      <c r="J78" s="2">
        <v>55537</v>
      </c>
      <c r="K78" s="2">
        <v>93676</v>
      </c>
      <c r="L78" s="2">
        <v>132192</v>
      </c>
    </row>
    <row r="79" spans="1:18" x14ac:dyDescent="0.25">
      <c r="A79" t="s">
        <v>2313</v>
      </c>
      <c r="I79" s="2">
        <v>-21829</v>
      </c>
      <c r="J79" s="2">
        <v>-22470</v>
      </c>
      <c r="K79" s="2">
        <v>-38132</v>
      </c>
      <c r="L79" s="2">
        <v>-45782</v>
      </c>
    </row>
    <row r="80" spans="1:18" x14ac:dyDescent="0.25">
      <c r="A80" t="s">
        <v>2314</v>
      </c>
      <c r="I80" s="2">
        <v>20973</v>
      </c>
      <c r="J80" s="2">
        <v>-2747</v>
      </c>
      <c r="K80" s="2">
        <v>-14742</v>
      </c>
      <c r="L80" s="2">
        <v>15380</v>
      </c>
    </row>
    <row r="81" spans="1:12" x14ac:dyDescent="0.25">
      <c r="A81" t="s">
        <v>2315</v>
      </c>
      <c r="H81" s="2">
        <v>-1967</v>
      </c>
      <c r="I81" s="2">
        <v>-2025</v>
      </c>
      <c r="J81" s="2">
        <v>-2911</v>
      </c>
      <c r="K81" s="2">
        <v>-8625</v>
      </c>
      <c r="L81" s="2">
        <v>-13804</v>
      </c>
    </row>
    <row r="82" spans="1:12" x14ac:dyDescent="0.25">
      <c r="A82" t="s">
        <v>2316</v>
      </c>
      <c r="H82" s="2">
        <v>183112</v>
      </c>
      <c r="I82" s="2">
        <v>285830</v>
      </c>
      <c r="J82" s="2">
        <v>307306</v>
      </c>
      <c r="K82" s="2">
        <v>338821</v>
      </c>
      <c r="L82" s="2">
        <v>411166</v>
      </c>
    </row>
    <row r="83" spans="1:12" x14ac:dyDescent="0.25">
      <c r="A83" t="s">
        <v>2311</v>
      </c>
      <c r="H83" s="2">
        <v>18088</v>
      </c>
      <c r="I83" s="2">
        <v>89433</v>
      </c>
      <c r="J83" s="2">
        <v>25831</v>
      </c>
      <c r="K83" s="2">
        <v>45233</v>
      </c>
      <c r="L83" s="2">
        <v>60408</v>
      </c>
    </row>
    <row r="84" spans="1:12" x14ac:dyDescent="0.25">
      <c r="A84" t="s">
        <v>2312</v>
      </c>
      <c r="H84" s="2">
        <v>35642</v>
      </c>
      <c r="I84" s="2">
        <v>110832</v>
      </c>
      <c r="J84" s="2">
        <v>49767</v>
      </c>
      <c r="K84" s="2">
        <v>81797</v>
      </c>
      <c r="L84" s="2">
        <v>109125</v>
      </c>
    </row>
    <row r="85" spans="1:12" x14ac:dyDescent="0.25">
      <c r="A85" t="s">
        <v>2313</v>
      </c>
      <c r="H85" s="2">
        <v>-17554</v>
      </c>
      <c r="I85" s="2">
        <v>-21399</v>
      </c>
      <c r="J85" s="2">
        <v>-23936</v>
      </c>
      <c r="K85" s="2">
        <v>-36564</v>
      </c>
      <c r="L85" s="2">
        <v>-48717</v>
      </c>
    </row>
    <row r="86" spans="1:12" x14ac:dyDescent="0.25">
      <c r="A86" t="s">
        <v>2314</v>
      </c>
      <c r="H86" s="2">
        <v>13909</v>
      </c>
      <c r="I86" s="2">
        <v>14620</v>
      </c>
      <c r="J86" s="2">
        <v>-2396</v>
      </c>
      <c r="K86" s="2">
        <v>-12418</v>
      </c>
      <c r="L86" s="2">
        <v>14519</v>
      </c>
    </row>
    <row r="87" spans="1:12" x14ac:dyDescent="0.25">
      <c r="A87" t="s">
        <v>2317</v>
      </c>
      <c r="H87" s="2">
        <v>-1021</v>
      </c>
      <c r="I87" s="2">
        <v>-1335</v>
      </c>
      <c r="J87" s="2">
        <v>-1958</v>
      </c>
      <c r="K87" s="2">
        <v>-1300</v>
      </c>
      <c r="L87" s="2">
        <v>-2582</v>
      </c>
    </row>
    <row r="88" spans="1:12" x14ac:dyDescent="0.25">
      <c r="A88" t="s">
        <v>2322</v>
      </c>
      <c r="K88" s="2">
        <v>12000</v>
      </c>
      <c r="L88" s="2">
        <v>16000</v>
      </c>
    </row>
    <row r="89" spans="1:12" x14ac:dyDescent="0.25">
      <c r="A89" t="s">
        <v>2319</v>
      </c>
      <c r="H89">
        <v>812.4</v>
      </c>
      <c r="I89">
        <v>957.3</v>
      </c>
      <c r="J89" s="2">
        <v>1172</v>
      </c>
      <c r="K89" s="2">
        <v>1416</v>
      </c>
      <c r="L89" s="2">
        <v>1601</v>
      </c>
    </row>
    <row r="90" spans="1:12" x14ac:dyDescent="0.25">
      <c r="A90" t="s">
        <v>17</v>
      </c>
    </row>
    <row r="91" spans="1:12" x14ac:dyDescent="0.25">
      <c r="A91" t="s">
        <v>2323</v>
      </c>
    </row>
    <row r="92" spans="1:12" x14ac:dyDescent="0.25">
      <c r="A92" t="s">
        <v>2310</v>
      </c>
      <c r="H92" s="2">
        <v>34362</v>
      </c>
      <c r="I92" s="2">
        <v>42317</v>
      </c>
      <c r="J92" s="2">
        <v>52772</v>
      </c>
      <c r="K92" s="2">
        <v>56410</v>
      </c>
      <c r="L92" s="2">
        <v>62463</v>
      </c>
    </row>
    <row r="93" spans="1:12" x14ac:dyDescent="0.25">
      <c r="A93" t="s">
        <v>2311</v>
      </c>
      <c r="I93" s="2">
        <v>7565</v>
      </c>
      <c r="J93" s="2">
        <v>11840</v>
      </c>
      <c r="K93" s="2">
        <v>9495</v>
      </c>
      <c r="L93" s="2">
        <v>8382</v>
      </c>
    </row>
    <row r="94" spans="1:12" x14ac:dyDescent="0.25">
      <c r="A94" t="s">
        <v>2312</v>
      </c>
      <c r="I94" s="2">
        <v>9322</v>
      </c>
      <c r="J94" s="2">
        <v>12599</v>
      </c>
      <c r="K94" s="2">
        <v>10982</v>
      </c>
      <c r="L94" s="2">
        <v>10456</v>
      </c>
    </row>
    <row r="95" spans="1:12" x14ac:dyDescent="0.25">
      <c r="A95" t="s">
        <v>2313</v>
      </c>
      <c r="I95" s="2">
        <v>-1757</v>
      </c>
      <c r="J95">
        <v>-759</v>
      </c>
      <c r="K95" s="2">
        <v>-1487</v>
      </c>
      <c r="L95" s="2">
        <v>-2074</v>
      </c>
    </row>
    <row r="96" spans="1:12" x14ac:dyDescent="0.25">
      <c r="A96" t="s">
        <v>2314</v>
      </c>
      <c r="I96" s="2">
        <v>2176</v>
      </c>
      <c r="J96" s="2">
        <v>3619</v>
      </c>
      <c r="K96">
        <v>697</v>
      </c>
      <c r="L96" s="2">
        <v>3952</v>
      </c>
    </row>
    <row r="97" spans="1:12" x14ac:dyDescent="0.25">
      <c r="A97" t="s">
        <v>2315</v>
      </c>
      <c r="H97" s="2">
        <v>-1958</v>
      </c>
      <c r="I97" s="2">
        <v>-1786</v>
      </c>
      <c r="J97" s="2">
        <v>-5004</v>
      </c>
      <c r="K97" s="2">
        <v>-6554</v>
      </c>
      <c r="L97" s="2">
        <v>-6281</v>
      </c>
    </row>
    <row r="98" spans="1:12" x14ac:dyDescent="0.25">
      <c r="A98" t="s">
        <v>2316</v>
      </c>
      <c r="H98" s="2">
        <v>15726</v>
      </c>
      <c r="I98" s="2">
        <v>17622</v>
      </c>
      <c r="J98" s="2">
        <v>21845</v>
      </c>
      <c r="K98" s="2">
        <v>26113</v>
      </c>
      <c r="L98" s="2">
        <v>28387</v>
      </c>
    </row>
    <row r="99" spans="1:12" x14ac:dyDescent="0.25">
      <c r="A99" t="s">
        <v>2311</v>
      </c>
      <c r="H99" s="2">
        <v>3713</v>
      </c>
      <c r="I99" s="2">
        <v>1651</v>
      </c>
      <c r="J99" s="2">
        <v>4161</v>
      </c>
      <c r="K99" s="2">
        <v>5934</v>
      </c>
      <c r="L99" s="2">
        <v>2357</v>
      </c>
    </row>
    <row r="100" spans="1:12" x14ac:dyDescent="0.25">
      <c r="A100" t="s">
        <v>2312</v>
      </c>
      <c r="H100" s="2">
        <v>5038</v>
      </c>
      <c r="I100" s="2">
        <v>7051</v>
      </c>
      <c r="J100" s="2">
        <v>7575</v>
      </c>
      <c r="K100" s="2">
        <v>9497</v>
      </c>
      <c r="L100" s="2">
        <v>5102</v>
      </c>
    </row>
    <row r="101" spans="1:12" x14ac:dyDescent="0.25">
      <c r="A101" t="s">
        <v>2313</v>
      </c>
      <c r="H101" s="2">
        <v>-1325</v>
      </c>
      <c r="I101" s="2">
        <v>-5400</v>
      </c>
      <c r="J101" s="2">
        <v>-3414</v>
      </c>
      <c r="K101" s="2">
        <v>-3563</v>
      </c>
      <c r="L101" s="2">
        <v>-2745</v>
      </c>
    </row>
    <row r="102" spans="1:12" x14ac:dyDescent="0.25">
      <c r="A102" t="s">
        <v>2314</v>
      </c>
      <c r="H102">
        <v>934</v>
      </c>
      <c r="I102">
        <v>715</v>
      </c>
      <c r="J102" s="2">
        <v>1010</v>
      </c>
      <c r="K102">
        <v>203</v>
      </c>
      <c r="L102" s="2">
        <v>1201</v>
      </c>
    </row>
    <row r="103" spans="1:12" x14ac:dyDescent="0.25">
      <c r="A103" t="s">
        <v>2317</v>
      </c>
      <c r="H103">
        <v>-299</v>
      </c>
      <c r="I103">
        <v>-470</v>
      </c>
      <c r="J103">
        <v>-948</v>
      </c>
      <c r="K103" s="2">
        <v>-1869</v>
      </c>
      <c r="L103" s="2">
        <v>-1284</v>
      </c>
    </row>
    <row r="104" spans="1:12" x14ac:dyDescent="0.25">
      <c r="A104" t="s">
        <v>2322</v>
      </c>
      <c r="K104" s="2">
        <v>12000</v>
      </c>
      <c r="L104" s="2">
        <v>13000</v>
      </c>
    </row>
    <row r="105" spans="1:12" x14ac:dyDescent="0.25">
      <c r="A105" t="s">
        <v>2319</v>
      </c>
      <c r="H105">
        <v>102.2</v>
      </c>
      <c r="I105">
        <v>137.19999999999999</v>
      </c>
      <c r="J105">
        <v>184.8</v>
      </c>
      <c r="K105">
        <v>211</v>
      </c>
      <c r="L105">
        <v>244</v>
      </c>
    </row>
    <row r="106" spans="1:12" x14ac:dyDescent="0.25">
      <c r="A106" t="s">
        <v>17</v>
      </c>
    </row>
    <row r="107" spans="1:12" x14ac:dyDescent="0.25">
      <c r="A107" t="s">
        <v>2320</v>
      </c>
    </row>
    <row r="108" spans="1:12" x14ac:dyDescent="0.25">
      <c r="A108" t="s">
        <v>2310</v>
      </c>
      <c r="H108" s="2">
        <v>78465</v>
      </c>
      <c r="I108" s="2">
        <v>80289</v>
      </c>
      <c r="J108" s="2">
        <v>84491</v>
      </c>
      <c r="K108" s="2">
        <v>98771</v>
      </c>
      <c r="L108" s="2">
        <v>107861</v>
      </c>
    </row>
    <row r="109" spans="1:12" x14ac:dyDescent="0.25">
      <c r="A109" t="s">
        <v>2311</v>
      </c>
      <c r="I109" s="2">
        <v>3809</v>
      </c>
      <c r="J109" s="2">
        <v>5683</v>
      </c>
      <c r="K109" s="2">
        <v>22758</v>
      </c>
      <c r="L109" s="2">
        <v>12438</v>
      </c>
    </row>
    <row r="110" spans="1:12" x14ac:dyDescent="0.25">
      <c r="A110" t="s">
        <v>2312</v>
      </c>
      <c r="I110" s="2">
        <v>4322</v>
      </c>
      <c r="J110" s="2">
        <v>7347</v>
      </c>
      <c r="K110" s="2">
        <v>23617</v>
      </c>
      <c r="L110" s="2">
        <v>14334</v>
      </c>
    </row>
    <row r="111" spans="1:12" x14ac:dyDescent="0.25">
      <c r="A111" t="s">
        <v>2313</v>
      </c>
      <c r="I111">
        <v>-513</v>
      </c>
      <c r="J111" s="2">
        <v>-1664</v>
      </c>
      <c r="K111">
        <v>-859</v>
      </c>
      <c r="L111" s="2">
        <v>-1896</v>
      </c>
    </row>
    <row r="112" spans="1:12" x14ac:dyDescent="0.25">
      <c r="A112" t="s">
        <v>2314</v>
      </c>
      <c r="I112" s="2">
        <v>2906</v>
      </c>
      <c r="J112" s="2">
        <v>16330</v>
      </c>
      <c r="K112" s="2">
        <v>2969</v>
      </c>
      <c r="L112" s="2">
        <v>3382</v>
      </c>
    </row>
    <row r="113" spans="1:18" x14ac:dyDescent="0.25">
      <c r="A113" t="s">
        <v>2315</v>
      </c>
      <c r="H113" s="2">
        <v>-7517</v>
      </c>
      <c r="I113" s="2">
        <v>-4891</v>
      </c>
      <c r="J113" s="2">
        <v>-17811</v>
      </c>
      <c r="K113" s="2">
        <v>-11447</v>
      </c>
      <c r="L113" s="2">
        <v>-6730</v>
      </c>
    </row>
    <row r="114" spans="1:18" x14ac:dyDescent="0.25">
      <c r="A114" t="s">
        <v>2316</v>
      </c>
      <c r="H114" s="2">
        <v>47608</v>
      </c>
      <c r="I114" s="2">
        <v>45222</v>
      </c>
      <c r="J114" s="2">
        <v>39950</v>
      </c>
      <c r="K114" s="2">
        <v>47153</v>
      </c>
      <c r="L114" s="2">
        <v>53399</v>
      </c>
    </row>
    <row r="115" spans="1:18" x14ac:dyDescent="0.25">
      <c r="A115" t="s">
        <v>2311</v>
      </c>
      <c r="H115" s="2">
        <v>-1466</v>
      </c>
      <c r="I115" s="2">
        <v>-1558</v>
      </c>
      <c r="J115" s="2">
        <v>-1021</v>
      </c>
      <c r="K115" s="2">
        <v>9542</v>
      </c>
      <c r="L115" s="2">
        <v>7519</v>
      </c>
    </row>
    <row r="116" spans="1:18" x14ac:dyDescent="0.25">
      <c r="A116" t="s">
        <v>2312</v>
      </c>
      <c r="H116">
        <v>863</v>
      </c>
      <c r="I116" s="2">
        <v>2847</v>
      </c>
      <c r="J116" s="2">
        <v>2282</v>
      </c>
      <c r="K116" s="2">
        <v>19757</v>
      </c>
      <c r="L116" s="2">
        <v>9739</v>
      </c>
    </row>
    <row r="117" spans="1:18" x14ac:dyDescent="0.25">
      <c r="A117" t="s">
        <v>2313</v>
      </c>
      <c r="H117" s="2">
        <v>-2329</v>
      </c>
      <c r="I117" s="2">
        <v>-4405</v>
      </c>
      <c r="J117" s="2">
        <v>-3303</v>
      </c>
      <c r="K117" s="2">
        <v>-10215</v>
      </c>
      <c r="L117" s="2">
        <v>-2220</v>
      </c>
    </row>
    <row r="118" spans="1:18" x14ac:dyDescent="0.25">
      <c r="A118" t="s">
        <v>2314</v>
      </c>
      <c r="H118">
        <v>122</v>
      </c>
      <c r="I118">
        <v>460</v>
      </c>
      <c r="J118">
        <v>-284</v>
      </c>
      <c r="K118">
        <v>-128</v>
      </c>
      <c r="L118">
        <v>75</v>
      </c>
    </row>
    <row r="119" spans="1:18" x14ac:dyDescent="0.25">
      <c r="A119" t="s">
        <v>2317</v>
      </c>
      <c r="H119" s="2">
        <v>-1901</v>
      </c>
      <c r="I119" s="2">
        <v>-1288</v>
      </c>
      <c r="J119" s="2">
        <v>-3967</v>
      </c>
      <c r="K119" s="2">
        <v>-2211</v>
      </c>
      <c r="L119" s="2">
        <v>-1348</v>
      </c>
    </row>
    <row r="120" spans="1:18" x14ac:dyDescent="0.25">
      <c r="A120" t="s">
        <v>2324</v>
      </c>
      <c r="K120">
        <v>28</v>
      </c>
      <c r="L120" s="2">
        <v>29000</v>
      </c>
    </row>
    <row r="121" spans="1:18" x14ac:dyDescent="0.25">
      <c r="A121" t="s">
        <v>2325</v>
      </c>
      <c r="H121">
        <v>576.5</v>
      </c>
      <c r="I121">
        <v>553.5</v>
      </c>
      <c r="J121">
        <v>521.4</v>
      </c>
      <c r="K121">
        <v>507</v>
      </c>
      <c r="L121">
        <v>635</v>
      </c>
    </row>
    <row r="122" spans="1:18" x14ac:dyDescent="0.25">
      <c r="A122" t="s">
        <v>17</v>
      </c>
    </row>
    <row r="123" spans="1:18" x14ac:dyDescent="0.25">
      <c r="A123" t="s">
        <v>58</v>
      </c>
    </row>
    <row r="124" spans="1:18" x14ac:dyDescent="0.25">
      <c r="A124" t="s">
        <v>2326</v>
      </c>
    </row>
    <row r="125" spans="1:18" x14ac:dyDescent="0.25">
      <c r="A125" t="s">
        <v>2327</v>
      </c>
      <c r="H125" s="2">
        <v>1491.1</v>
      </c>
      <c r="I125" s="2">
        <v>1648</v>
      </c>
      <c r="J125" s="2">
        <v>1878.2</v>
      </c>
      <c r="K125" s="2">
        <v>2134</v>
      </c>
      <c r="L125" s="2">
        <v>2480</v>
      </c>
      <c r="M125" s="2">
        <v>2776</v>
      </c>
      <c r="N125" s="2">
        <v>3391</v>
      </c>
      <c r="O125" s="2">
        <v>4055.79</v>
      </c>
      <c r="P125" s="2">
        <v>4748.71</v>
      </c>
      <c r="Q125" s="2">
        <v>5292.91</v>
      </c>
      <c r="R125" s="2">
        <v>6023.3</v>
      </c>
    </row>
    <row r="126" spans="1:18" x14ac:dyDescent="0.25">
      <c r="A126" t="s">
        <v>2328</v>
      </c>
      <c r="H126">
        <v>122.9</v>
      </c>
      <c r="I126">
        <v>251.5</v>
      </c>
      <c r="J126">
        <v>298.10000000000002</v>
      </c>
      <c r="K126">
        <v>414</v>
      </c>
      <c r="L126">
        <v>538</v>
      </c>
      <c r="M126">
        <v>668</v>
      </c>
      <c r="N126">
        <v>808</v>
      </c>
      <c r="O126" s="2">
        <v>1055.8499999999999</v>
      </c>
      <c r="P126" s="2">
        <v>1181.6600000000001</v>
      </c>
      <c r="Q126" s="2">
        <v>1342.59</v>
      </c>
      <c r="R126" s="2">
        <v>1441.86</v>
      </c>
    </row>
    <row r="127" spans="1:18" x14ac:dyDescent="0.25">
      <c r="A127" t="s">
        <v>2329</v>
      </c>
      <c r="H127">
        <v>21.1</v>
      </c>
      <c r="I127">
        <v>9.8000000000000007</v>
      </c>
      <c r="J127">
        <v>56.9</v>
      </c>
      <c r="K127">
        <v>72</v>
      </c>
      <c r="L127">
        <v>146</v>
      </c>
      <c r="M127">
        <v>208</v>
      </c>
      <c r="N127">
        <v>266</v>
      </c>
      <c r="O127">
        <v>277.60000000000002</v>
      </c>
      <c r="P127">
        <v>342.26</v>
      </c>
      <c r="Q127">
        <v>410.8</v>
      </c>
      <c r="R127">
        <v>442.65</v>
      </c>
    </row>
    <row r="128" spans="1:18" x14ac:dyDescent="0.25">
      <c r="A128" t="s">
        <v>2330</v>
      </c>
      <c r="H128" s="2">
        <v>1635.07</v>
      </c>
      <c r="I128" s="2">
        <v>1909.32</v>
      </c>
      <c r="J128" s="2">
        <v>2233.1799999999998</v>
      </c>
      <c r="K128" s="2">
        <v>2619.5</v>
      </c>
      <c r="L128" s="2">
        <v>1768</v>
      </c>
      <c r="M128" s="2">
        <v>3652</v>
      </c>
      <c r="N128" s="2">
        <v>4465</v>
      </c>
      <c r="O128" s="2">
        <v>5385.13</v>
      </c>
      <c r="P128" s="2">
        <v>6267.16</v>
      </c>
      <c r="Q128" s="2">
        <v>7046.3</v>
      </c>
      <c r="R128" s="2">
        <v>7907.82</v>
      </c>
    </row>
    <row r="129" spans="1:18" x14ac:dyDescent="0.25">
      <c r="A129" t="s">
        <v>2331</v>
      </c>
      <c r="H129">
        <v>-441</v>
      </c>
      <c r="I129">
        <v>-532.6</v>
      </c>
      <c r="J129">
        <v>-653.29999999999995</v>
      </c>
      <c r="K129">
        <v>-754</v>
      </c>
      <c r="L129">
        <v>-835</v>
      </c>
      <c r="M129">
        <v>-925</v>
      </c>
      <c r="N129" s="2">
        <v>-1178</v>
      </c>
      <c r="O129" s="2">
        <v>-1395.91</v>
      </c>
      <c r="P129" s="2">
        <v>-1592.35</v>
      </c>
      <c r="Q129" s="2">
        <v>-1758.94</v>
      </c>
      <c r="R129" s="2">
        <v>-1976.2</v>
      </c>
    </row>
    <row r="130" spans="1:18" x14ac:dyDescent="0.25">
      <c r="A130" t="s">
        <v>2107</v>
      </c>
      <c r="H130">
        <v>-241.1</v>
      </c>
      <c r="I130">
        <v>-273.3</v>
      </c>
      <c r="J130">
        <v>-308.89999999999998</v>
      </c>
      <c r="K130">
        <v>-456</v>
      </c>
      <c r="L130">
        <v>-561</v>
      </c>
      <c r="M130">
        <v>-664</v>
      </c>
      <c r="N130">
        <v>-759</v>
      </c>
      <c r="O130">
        <v>-854.36</v>
      </c>
      <c r="P130">
        <v>-967.45</v>
      </c>
      <c r="Q130" s="2">
        <v>-1045.3399999999999</v>
      </c>
      <c r="R130" s="2">
        <v>-1124.3599999999999</v>
      </c>
    </row>
    <row r="131" spans="1:18" x14ac:dyDescent="0.25">
      <c r="A131" t="s">
        <v>2332</v>
      </c>
      <c r="F131">
        <v>13.91</v>
      </c>
      <c r="G131">
        <v>2.12</v>
      </c>
      <c r="H131">
        <v>1.1000000000000001</v>
      </c>
      <c r="I131">
        <v>1.8</v>
      </c>
      <c r="J131">
        <v>4.3</v>
      </c>
      <c r="K131">
        <v>3.4</v>
      </c>
      <c r="L131">
        <v>16.100000000000001</v>
      </c>
      <c r="M131">
        <v>31</v>
      </c>
      <c r="O131">
        <v>37.67</v>
      </c>
      <c r="P131">
        <v>40.82</v>
      </c>
      <c r="Q131">
        <v>40.32</v>
      </c>
      <c r="R131">
        <v>50.83</v>
      </c>
    </row>
    <row r="132" spans="1:18" x14ac:dyDescent="0.25">
      <c r="A132" t="s">
        <v>2333</v>
      </c>
      <c r="H132">
        <v>683.2</v>
      </c>
      <c r="K132">
        <v>682</v>
      </c>
      <c r="L132">
        <v>872</v>
      </c>
      <c r="M132" s="2">
        <v>4004</v>
      </c>
      <c r="N132" s="2">
        <v>4795</v>
      </c>
    </row>
    <row r="133" spans="1:18" x14ac:dyDescent="0.25">
      <c r="A133" t="s">
        <v>2334</v>
      </c>
      <c r="C133">
        <v>454.04</v>
      </c>
      <c r="D133">
        <v>422.05</v>
      </c>
      <c r="E133">
        <v>529.87</v>
      </c>
      <c r="F133">
        <v>624.41</v>
      </c>
      <c r="G133">
        <v>771.24</v>
      </c>
      <c r="H133">
        <v>951.9</v>
      </c>
      <c r="I133" s="2">
        <v>1101.5999999999999</v>
      </c>
      <c r="J133" s="2">
        <v>1266.7</v>
      </c>
      <c r="K133" s="2">
        <v>1410</v>
      </c>
      <c r="L133" s="2">
        <v>1768</v>
      </c>
      <c r="M133" s="2">
        <v>2063</v>
      </c>
      <c r="N133" s="2">
        <v>2528</v>
      </c>
      <c r="O133" s="2">
        <v>3121.35</v>
      </c>
      <c r="P133" s="2">
        <v>3691.57</v>
      </c>
      <c r="Q133" s="2">
        <v>4221.8599999999997</v>
      </c>
      <c r="R133" s="2">
        <v>4781.84</v>
      </c>
    </row>
    <row r="134" spans="1:18" x14ac:dyDescent="0.25">
      <c r="A134" t="s">
        <v>2335</v>
      </c>
      <c r="D134">
        <v>45.57</v>
      </c>
      <c r="E134">
        <v>46.17</v>
      </c>
      <c r="F134">
        <v>52.04</v>
      </c>
      <c r="G134">
        <v>54</v>
      </c>
      <c r="H134">
        <v>55</v>
      </c>
      <c r="I134">
        <v>54</v>
      </c>
      <c r="J134">
        <v>54</v>
      </c>
      <c r="K134">
        <v>53.8</v>
      </c>
      <c r="L134">
        <v>55.9</v>
      </c>
      <c r="M134">
        <v>56.5</v>
      </c>
      <c r="N134">
        <v>56.6</v>
      </c>
      <c r="O134">
        <v>57.96</v>
      </c>
      <c r="P134">
        <v>58.91</v>
      </c>
      <c r="Q134">
        <v>59.92</v>
      </c>
      <c r="R134">
        <v>60.47</v>
      </c>
    </row>
    <row r="135" spans="1:18" x14ac:dyDescent="0.25">
      <c r="A135" t="s">
        <v>379</v>
      </c>
      <c r="K135" s="2">
        <v>1201</v>
      </c>
      <c r="L135" s="2">
        <v>2748</v>
      </c>
      <c r="M135" s="2">
        <v>2692</v>
      </c>
      <c r="N135" s="2">
        <v>3354</v>
      </c>
      <c r="O135" s="2">
        <v>4501.87</v>
      </c>
      <c r="P135" s="2">
        <v>5878.99</v>
      </c>
      <c r="Q135" s="2">
        <v>7282.63</v>
      </c>
      <c r="R135" s="2">
        <v>4212.7299999999996</v>
      </c>
    </row>
    <row r="136" spans="1:18" x14ac:dyDescent="0.25">
      <c r="A136" t="s">
        <v>17</v>
      </c>
    </row>
    <row r="137" spans="1:18" x14ac:dyDescent="0.25">
      <c r="A137" t="s">
        <v>2336</v>
      </c>
    </row>
    <row r="138" spans="1:18" x14ac:dyDescent="0.25">
      <c r="A138" t="s">
        <v>2337</v>
      </c>
      <c r="H138" s="2">
        <v>4682.1000000000004</v>
      </c>
      <c r="I138" s="2">
        <v>4837</v>
      </c>
      <c r="J138" s="2">
        <v>5325.1</v>
      </c>
      <c r="K138" s="2">
        <v>5706</v>
      </c>
      <c r="L138" s="2">
        <v>8739</v>
      </c>
      <c r="M138" s="2">
        <v>10805</v>
      </c>
      <c r="N138" s="2">
        <v>13021</v>
      </c>
      <c r="O138" s="2">
        <v>15014.71</v>
      </c>
      <c r="P138" s="2">
        <v>16779.45</v>
      </c>
      <c r="Q138" s="2">
        <v>18758.810000000001</v>
      </c>
      <c r="R138" s="2">
        <v>19735.439999999999</v>
      </c>
    </row>
    <row r="139" spans="1:18" x14ac:dyDescent="0.25">
      <c r="A139" t="s">
        <v>2338</v>
      </c>
      <c r="H139">
        <v>496.6</v>
      </c>
      <c r="I139">
        <v>491.4</v>
      </c>
      <c r="J139" s="2">
        <v>1754</v>
      </c>
      <c r="K139" s="2">
        <v>1206</v>
      </c>
      <c r="L139">
        <v>864</v>
      </c>
      <c r="M139">
        <v>939</v>
      </c>
      <c r="N139" s="2">
        <v>1299</v>
      </c>
      <c r="O139" s="2">
        <v>1382.49</v>
      </c>
      <c r="P139" s="2">
        <v>1856.36</v>
      </c>
      <c r="Q139" s="2">
        <v>2169.02</v>
      </c>
      <c r="R139" s="2">
        <v>2227.56</v>
      </c>
    </row>
    <row r="140" spans="1:18" x14ac:dyDescent="0.25">
      <c r="A140" t="s">
        <v>2339</v>
      </c>
      <c r="H140">
        <v>1.8</v>
      </c>
      <c r="I140">
        <v>21.5</v>
      </c>
      <c r="J140">
        <v>38.9</v>
      </c>
      <c r="K140">
        <v>53</v>
      </c>
      <c r="L140">
        <v>72</v>
      </c>
      <c r="M140">
        <v>105</v>
      </c>
      <c r="N140">
        <v>131</v>
      </c>
      <c r="O140">
        <v>150.66999999999999</v>
      </c>
      <c r="P140">
        <v>168.13</v>
      </c>
      <c r="Q140">
        <v>185.47</v>
      </c>
      <c r="R140">
        <v>193.4</v>
      </c>
    </row>
    <row r="141" spans="1:18" x14ac:dyDescent="0.25">
      <c r="A141" t="s">
        <v>2340</v>
      </c>
      <c r="H141" s="2">
        <v>-3350.2</v>
      </c>
      <c r="I141" s="2">
        <v>-3575.4</v>
      </c>
      <c r="J141" s="2">
        <v>-3992.5</v>
      </c>
      <c r="K141" s="2">
        <v>-3755</v>
      </c>
      <c r="L141" s="2">
        <v>-5650</v>
      </c>
      <c r="M141" s="2">
        <v>-7702</v>
      </c>
      <c r="N141" s="2">
        <v>-10083</v>
      </c>
      <c r="O141" s="2">
        <v>-11943.92</v>
      </c>
      <c r="P141" s="2">
        <v>-13380.67</v>
      </c>
      <c r="Q141" s="2">
        <v>-15009.83</v>
      </c>
      <c r="R141" s="2">
        <v>-15475.73</v>
      </c>
    </row>
    <row r="142" spans="1:18" x14ac:dyDescent="0.25">
      <c r="A142" t="s">
        <v>2107</v>
      </c>
      <c r="H142">
        <v>-319.39999999999998</v>
      </c>
      <c r="I142">
        <v>-323.60000000000002</v>
      </c>
      <c r="J142">
        <v>-359.4</v>
      </c>
      <c r="K142">
        <v>-462</v>
      </c>
      <c r="L142">
        <v>-481</v>
      </c>
      <c r="M142">
        <v>-458</v>
      </c>
      <c r="N142">
        <v>-447</v>
      </c>
      <c r="O142">
        <v>-469.53</v>
      </c>
      <c r="P142">
        <v>-516.67999999999995</v>
      </c>
      <c r="Q142">
        <v>-575.36</v>
      </c>
      <c r="R142">
        <v>-656.38</v>
      </c>
    </row>
    <row r="143" spans="1:18" x14ac:dyDescent="0.25">
      <c r="A143" t="s">
        <v>2341</v>
      </c>
      <c r="H143">
        <v>-89.5</v>
      </c>
      <c r="I143">
        <v>-196.3</v>
      </c>
      <c r="J143">
        <v>-257.3</v>
      </c>
      <c r="K143">
        <v>-279</v>
      </c>
      <c r="L143">
        <v>-436</v>
      </c>
      <c r="M143">
        <v>-465</v>
      </c>
      <c r="N143">
        <v>-560</v>
      </c>
      <c r="O143">
        <v>-610.17999999999995</v>
      </c>
      <c r="P143">
        <v>-682.59</v>
      </c>
      <c r="Q143">
        <v>-742.12</v>
      </c>
      <c r="R143">
        <v>-783.07</v>
      </c>
    </row>
    <row r="144" spans="1:18" x14ac:dyDescent="0.25">
      <c r="A144" t="s">
        <v>2342</v>
      </c>
      <c r="H144" s="2">
        <v>1421.4</v>
      </c>
      <c r="I144" s="2">
        <v>1254.5999999999999</v>
      </c>
      <c r="J144" s="2">
        <v>2508.8000000000002</v>
      </c>
      <c r="K144" s="2">
        <v>2469</v>
      </c>
      <c r="L144" s="2">
        <v>3108</v>
      </c>
      <c r="M144" s="2">
        <v>3224</v>
      </c>
      <c r="N144" s="2">
        <v>3361</v>
      </c>
      <c r="O144" s="2">
        <v>3524.23</v>
      </c>
      <c r="P144" s="2">
        <v>4224.01</v>
      </c>
      <c r="Q144" s="2">
        <v>4785.99</v>
      </c>
      <c r="R144" s="2">
        <v>5241.22</v>
      </c>
    </row>
    <row r="145" spans="1:18" x14ac:dyDescent="0.25">
      <c r="A145" t="s">
        <v>178</v>
      </c>
    </row>
    <row r="146" spans="1:18" x14ac:dyDescent="0.25">
      <c r="A146" t="s">
        <v>2343</v>
      </c>
      <c r="H146" s="2">
        <v>18075</v>
      </c>
      <c r="I146" s="2">
        <v>56339</v>
      </c>
      <c r="J146" s="2">
        <v>37034</v>
      </c>
      <c r="K146" s="2">
        <v>47850</v>
      </c>
      <c r="O146" s="2">
        <v>85542.97</v>
      </c>
      <c r="P146" s="2">
        <v>89884.9</v>
      </c>
      <c r="Q146" s="2">
        <v>94532.83</v>
      </c>
      <c r="R146" s="2">
        <v>98068</v>
      </c>
    </row>
    <row r="147" spans="1:18" x14ac:dyDescent="0.25">
      <c r="A147" t="s">
        <v>2344</v>
      </c>
      <c r="H147" s="2">
        <v>18075</v>
      </c>
      <c r="I147" s="2">
        <v>27547</v>
      </c>
      <c r="J147" s="2">
        <v>37034</v>
      </c>
      <c r="K147" s="2">
        <v>47850</v>
      </c>
      <c r="L147" s="2">
        <v>63407</v>
      </c>
      <c r="M147" s="2">
        <v>71003</v>
      </c>
      <c r="O147" s="2">
        <v>85186.25</v>
      </c>
      <c r="P147" s="2">
        <v>88952.68</v>
      </c>
      <c r="Q147" s="2">
        <v>93957.26</v>
      </c>
      <c r="R147" s="2">
        <v>97337.43</v>
      </c>
    </row>
    <row r="148" spans="1:18" x14ac:dyDescent="0.25">
      <c r="A148" t="s">
        <v>2345</v>
      </c>
      <c r="H148" s="2">
        <v>6782</v>
      </c>
      <c r="I148" s="2">
        <v>7801</v>
      </c>
      <c r="J148" s="2">
        <v>8781</v>
      </c>
      <c r="K148" s="2">
        <v>20407</v>
      </c>
      <c r="L148" s="2">
        <v>35293</v>
      </c>
      <c r="O148" s="2">
        <v>36169.379999999997</v>
      </c>
      <c r="P148" s="2">
        <v>41009.9</v>
      </c>
      <c r="Q148" s="2">
        <v>44356.95</v>
      </c>
      <c r="R148" s="2">
        <v>46272.7</v>
      </c>
    </row>
    <row r="149" spans="1:18" x14ac:dyDescent="0.25">
      <c r="A149" t="s">
        <v>2346</v>
      </c>
      <c r="H149" s="2">
        <v>3950</v>
      </c>
      <c r="I149" s="2">
        <v>6002</v>
      </c>
      <c r="J149" s="2">
        <v>2564</v>
      </c>
      <c r="K149" s="2">
        <v>6186</v>
      </c>
      <c r="L149" s="2">
        <v>10547</v>
      </c>
      <c r="O149" s="2">
        <v>11603.31</v>
      </c>
      <c r="P149" s="2">
        <v>12849.97</v>
      </c>
      <c r="Q149" s="2">
        <v>13888.83</v>
      </c>
      <c r="R149" s="2">
        <v>15095.29</v>
      </c>
    </row>
    <row r="150" spans="1:18" x14ac:dyDescent="0.25">
      <c r="A150" t="s">
        <v>2347</v>
      </c>
      <c r="H150" s="2">
        <v>1301</v>
      </c>
      <c r="I150" s="2">
        <v>8277</v>
      </c>
      <c r="J150" s="2">
        <v>11852</v>
      </c>
      <c r="K150" s="2">
        <v>10039</v>
      </c>
      <c r="L150" s="2">
        <v>7193</v>
      </c>
      <c r="M150" s="2">
        <v>28748</v>
      </c>
      <c r="O150" s="2">
        <v>29472.36</v>
      </c>
      <c r="P150" s="2">
        <v>30433.15</v>
      </c>
      <c r="Q150" s="2">
        <v>28947.8</v>
      </c>
      <c r="R150" s="2">
        <v>28766.67</v>
      </c>
    </row>
    <row r="151" spans="1:18" x14ac:dyDescent="0.25">
      <c r="A151" t="s">
        <v>2348</v>
      </c>
      <c r="H151" s="2">
        <v>6042</v>
      </c>
      <c r="I151" s="2">
        <v>5467</v>
      </c>
      <c r="J151" s="2">
        <v>13837</v>
      </c>
      <c r="K151" s="2">
        <v>11218</v>
      </c>
      <c r="L151" s="2">
        <v>10374</v>
      </c>
      <c r="O151" s="2">
        <v>1501</v>
      </c>
      <c r="P151" s="2">
        <v>3725</v>
      </c>
      <c r="Q151" s="2">
        <v>5544</v>
      </c>
      <c r="R151" s="2">
        <v>7073.33</v>
      </c>
    </row>
    <row r="152" spans="1:18" x14ac:dyDescent="0.25">
      <c r="A152" t="s">
        <v>807</v>
      </c>
    </row>
    <row r="153" spans="1:18" x14ac:dyDescent="0.25">
      <c r="A153" t="s">
        <v>2349</v>
      </c>
      <c r="H153" s="2">
        <v>-11160</v>
      </c>
      <c r="I153" s="2">
        <v>-13656</v>
      </c>
      <c r="J153" s="2">
        <v>-17534</v>
      </c>
      <c r="K153" s="2">
        <v>-27872</v>
      </c>
      <c r="L153" s="2">
        <v>-33868</v>
      </c>
      <c r="O153" s="2">
        <v>-42890.6</v>
      </c>
      <c r="P153" s="2">
        <v>-47025.71</v>
      </c>
      <c r="Q153" s="2">
        <v>-51921.79</v>
      </c>
      <c r="R153" s="2">
        <v>-55314.32</v>
      </c>
    </row>
    <row r="154" spans="1:18" x14ac:dyDescent="0.25">
      <c r="A154" t="s">
        <v>2350</v>
      </c>
      <c r="K154" s="2">
        <v>238310</v>
      </c>
      <c r="L154" s="2">
        <v>278617</v>
      </c>
      <c r="M154" s="2">
        <v>326964</v>
      </c>
      <c r="N154" s="2">
        <v>386973</v>
      </c>
      <c r="O154" s="2">
        <v>438047.48</v>
      </c>
      <c r="P154" s="2">
        <v>486965.49</v>
      </c>
      <c r="Q154" s="2">
        <v>539885.72</v>
      </c>
      <c r="R154" s="2">
        <v>562920.22</v>
      </c>
    </row>
    <row r="155" spans="1:18" x14ac:dyDescent="0.25">
      <c r="A155" t="s">
        <v>2351</v>
      </c>
      <c r="H155" s="2">
        <v>117486</v>
      </c>
      <c r="I155" s="2">
        <v>150190</v>
      </c>
      <c r="J155" s="2">
        <v>175343</v>
      </c>
      <c r="K155" s="2">
        <v>196451</v>
      </c>
      <c r="L155" s="2">
        <v>217427</v>
      </c>
      <c r="M155" s="2">
        <v>248643</v>
      </c>
      <c r="N155" s="2">
        <v>292414</v>
      </c>
      <c r="O155" s="2">
        <v>332098.15999999997</v>
      </c>
      <c r="P155" s="2">
        <v>368326.07</v>
      </c>
      <c r="Q155" s="2">
        <v>410679.99</v>
      </c>
      <c r="R155" s="2">
        <v>441193.37</v>
      </c>
    </row>
    <row r="156" spans="1:18" x14ac:dyDescent="0.25">
      <c r="A156" t="s">
        <v>2352</v>
      </c>
      <c r="H156" s="2">
        <v>111900</v>
      </c>
      <c r="I156" s="2">
        <v>142073</v>
      </c>
      <c r="J156" s="2">
        <v>163358</v>
      </c>
      <c r="K156" s="2">
        <v>184372</v>
      </c>
      <c r="L156" s="2">
        <v>205768</v>
      </c>
      <c r="M156" s="2">
        <v>236643</v>
      </c>
      <c r="N156" s="2">
        <v>278546</v>
      </c>
      <c r="O156" s="2">
        <v>315125.71000000002</v>
      </c>
      <c r="P156" s="2">
        <v>348784.9</v>
      </c>
      <c r="Q156" s="2">
        <v>388314.71</v>
      </c>
      <c r="R156" s="2">
        <v>414720.83</v>
      </c>
    </row>
    <row r="157" spans="1:18" x14ac:dyDescent="0.25">
      <c r="A157" t="s">
        <v>2353</v>
      </c>
      <c r="H157" s="2">
        <v>5586</v>
      </c>
      <c r="I157" s="2">
        <v>6793</v>
      </c>
      <c r="J157" s="2">
        <v>9873</v>
      </c>
      <c r="K157" s="2">
        <v>12079</v>
      </c>
      <c r="L157" s="2">
        <v>11659</v>
      </c>
      <c r="M157" s="2">
        <v>12000</v>
      </c>
      <c r="N157" s="2">
        <v>13868</v>
      </c>
      <c r="O157" s="2">
        <v>16357.19</v>
      </c>
      <c r="P157" s="2">
        <v>18430.78</v>
      </c>
      <c r="Q157" s="2">
        <v>21632.7</v>
      </c>
      <c r="R157" s="2">
        <v>22049.119999999999</v>
      </c>
    </row>
    <row r="158" spans="1:18" x14ac:dyDescent="0.25">
      <c r="A158" t="s">
        <v>17</v>
      </c>
    </row>
    <row r="159" spans="1:18" x14ac:dyDescent="0.25">
      <c r="A159" t="s">
        <v>2354</v>
      </c>
    </row>
    <row r="160" spans="1:18" x14ac:dyDescent="0.25">
      <c r="A160" t="s">
        <v>2355</v>
      </c>
      <c r="G160">
        <v>380.19</v>
      </c>
      <c r="H160">
        <v>602.1</v>
      </c>
      <c r="I160">
        <v>280.89999999999998</v>
      </c>
      <c r="J160" s="2">
        <v>1589.1</v>
      </c>
      <c r="K160">
        <v>595</v>
      </c>
      <c r="L160">
        <v>742</v>
      </c>
      <c r="M160">
        <v>921</v>
      </c>
      <c r="N160" s="2">
        <v>1198</v>
      </c>
      <c r="O160" s="2">
        <v>1185.6099999999999</v>
      </c>
      <c r="P160" s="2">
        <v>1807.06</v>
      </c>
      <c r="Q160" s="2">
        <v>2341.56</v>
      </c>
      <c r="R160" s="2">
        <v>2641.95</v>
      </c>
    </row>
    <row r="161" spans="1:18" x14ac:dyDescent="0.25">
      <c r="A161" t="s">
        <v>2356</v>
      </c>
      <c r="H161">
        <v>81.7</v>
      </c>
      <c r="I161">
        <v>29.3</v>
      </c>
      <c r="J161">
        <v>437.3</v>
      </c>
      <c r="K161">
        <v>330</v>
      </c>
      <c r="L161">
        <v>-2</v>
      </c>
      <c r="M161">
        <v>74</v>
      </c>
      <c r="N161">
        <v>95</v>
      </c>
      <c r="O161">
        <v>153.13999999999999</v>
      </c>
      <c r="P161">
        <v>182.84</v>
      </c>
      <c r="Q161">
        <v>208.87</v>
      </c>
      <c r="R161">
        <v>243.63</v>
      </c>
    </row>
    <row r="162" spans="1:18" x14ac:dyDescent="0.25">
      <c r="A162" t="s">
        <v>2357</v>
      </c>
      <c r="H162">
        <v>-328.6</v>
      </c>
      <c r="I162">
        <v>-222.4</v>
      </c>
      <c r="J162">
        <v>-876.4</v>
      </c>
      <c r="K162">
        <v>-585</v>
      </c>
      <c r="L162">
        <v>-601</v>
      </c>
      <c r="M162">
        <v>-664</v>
      </c>
      <c r="N162">
        <v>-892</v>
      </c>
      <c r="O162">
        <v>980.75</v>
      </c>
      <c r="P162" s="2">
        <v>1415.76</v>
      </c>
      <c r="Q162" s="2">
        <v>1789.82</v>
      </c>
      <c r="R162" s="2">
        <v>1966.36</v>
      </c>
    </row>
    <row r="163" spans="1:18" x14ac:dyDescent="0.25">
      <c r="A163" t="s">
        <v>2107</v>
      </c>
      <c r="H163">
        <v>-31</v>
      </c>
      <c r="I163">
        <v>-52.6</v>
      </c>
      <c r="J163">
        <v>-42.4</v>
      </c>
      <c r="K163">
        <v>-56</v>
      </c>
      <c r="L163">
        <v>-56</v>
      </c>
      <c r="M163">
        <v>-60</v>
      </c>
      <c r="N163">
        <v>-63</v>
      </c>
      <c r="O163">
        <v>72.59</v>
      </c>
      <c r="P163">
        <v>68.040000000000006</v>
      </c>
      <c r="Q163">
        <v>71.599999999999994</v>
      </c>
      <c r="R163">
        <v>75.77</v>
      </c>
    </row>
    <row r="164" spans="1:18" x14ac:dyDescent="0.25">
      <c r="A164" t="s">
        <v>2358</v>
      </c>
      <c r="H164">
        <v>324.2</v>
      </c>
      <c r="I164">
        <v>35.200000000000003</v>
      </c>
      <c r="J164" s="2">
        <v>1107.5999999999999</v>
      </c>
      <c r="K164">
        <v>284</v>
      </c>
      <c r="L164">
        <v>83</v>
      </c>
      <c r="M164">
        <v>271</v>
      </c>
      <c r="N164">
        <v>338</v>
      </c>
      <c r="O164">
        <v>285.41000000000003</v>
      </c>
      <c r="P164">
        <v>506.1</v>
      </c>
      <c r="Q164">
        <v>689.01</v>
      </c>
      <c r="R164">
        <v>843.45</v>
      </c>
    </row>
    <row r="165" spans="1:18" x14ac:dyDescent="0.25">
      <c r="A165" t="s">
        <v>17</v>
      </c>
    </row>
    <row r="166" spans="1:18" x14ac:dyDescent="0.25">
      <c r="A166" t="s">
        <v>51</v>
      </c>
    </row>
    <row r="167" spans="1:18" x14ac:dyDescent="0.25">
      <c r="A167" t="s">
        <v>2359</v>
      </c>
      <c r="B167">
        <v>880.77</v>
      </c>
      <c r="C167">
        <v>959.52</v>
      </c>
      <c r="D167">
        <v>641.11</v>
      </c>
      <c r="E167">
        <v>926.55</v>
      </c>
      <c r="F167">
        <v>981.12</v>
      </c>
      <c r="G167">
        <v>942.03</v>
      </c>
      <c r="H167">
        <v>844.49</v>
      </c>
      <c r="I167" s="2">
        <v>1062.22</v>
      </c>
      <c r="J167" s="2">
        <v>1337.52</v>
      </c>
    </row>
    <row r="168" spans="1:18" x14ac:dyDescent="0.25">
      <c r="A168" t="s">
        <v>2360</v>
      </c>
      <c r="B168" s="2">
        <v>2880.45</v>
      </c>
      <c r="C168">
        <v>605.29</v>
      </c>
      <c r="D168">
        <v>314.01</v>
      </c>
      <c r="E168">
        <v>901.77</v>
      </c>
      <c r="F168" s="2">
        <v>1466.91</v>
      </c>
      <c r="G168">
        <v>-9.61</v>
      </c>
      <c r="H168">
        <v>594.52</v>
      </c>
      <c r="I168">
        <v>669.63</v>
      </c>
      <c r="J168">
        <v>611.45000000000005</v>
      </c>
    </row>
    <row r="169" spans="1:18" x14ac:dyDescent="0.25">
      <c r="A169" t="s">
        <v>2361</v>
      </c>
      <c r="B169">
        <v>62.21</v>
      </c>
      <c r="C169">
        <v>58.82</v>
      </c>
      <c r="D169">
        <v>68.25</v>
      </c>
      <c r="E169">
        <v>82.34</v>
      </c>
      <c r="F169">
        <v>89.5</v>
      </c>
      <c r="G169">
        <v>95.13</v>
      </c>
      <c r="H169">
        <v>196.06</v>
      </c>
      <c r="I169">
        <v>379.05</v>
      </c>
      <c r="J169">
        <v>284.20999999999998</v>
      </c>
    </row>
    <row r="170" spans="1:18" x14ac:dyDescent="0.25">
      <c r="A170" t="s">
        <v>17</v>
      </c>
    </row>
    <row r="171" spans="1:18" x14ac:dyDescent="0.25">
      <c r="A171" t="s">
        <v>274</v>
      </c>
    </row>
    <row r="172" spans="1:18" x14ac:dyDescent="0.25">
      <c r="A172" t="s">
        <v>80</v>
      </c>
      <c r="B172" s="2">
        <v>3733.57</v>
      </c>
      <c r="C172" s="2">
        <v>1560.08</v>
      </c>
      <c r="D172" s="2">
        <v>1023.37</v>
      </c>
      <c r="E172" s="2">
        <v>1910.65</v>
      </c>
      <c r="F172" s="2">
        <v>2419.91</v>
      </c>
      <c r="G172" s="2">
        <v>1027.56</v>
      </c>
      <c r="H172" s="2">
        <v>2299.5</v>
      </c>
      <c r="I172" s="2">
        <v>2209.73</v>
      </c>
      <c r="J172" s="2">
        <v>4259.6000000000004</v>
      </c>
      <c r="K172" s="2">
        <v>10510.9</v>
      </c>
      <c r="L172" s="2">
        <v>13579</v>
      </c>
      <c r="M172" s="2">
        <v>16496</v>
      </c>
      <c r="N172" s="2">
        <v>20209</v>
      </c>
      <c r="O172" s="2">
        <v>23053.57</v>
      </c>
      <c r="P172" s="2">
        <v>26897.86</v>
      </c>
      <c r="Q172" s="2">
        <v>30829.75</v>
      </c>
    </row>
    <row r="173" spans="1:18" x14ac:dyDescent="0.25">
      <c r="A173" t="s">
        <v>17</v>
      </c>
    </row>
    <row r="174" spans="1:18" x14ac:dyDescent="0.25">
      <c r="A174" t="s">
        <v>2326</v>
      </c>
    </row>
    <row r="175" spans="1:18" x14ac:dyDescent="0.25">
      <c r="A175" t="s">
        <v>2327</v>
      </c>
      <c r="H175" s="2">
        <v>1491.1</v>
      </c>
      <c r="I175" s="2">
        <v>1648</v>
      </c>
      <c r="J175" s="2">
        <v>1878.2</v>
      </c>
      <c r="K175" s="2">
        <v>2134</v>
      </c>
      <c r="L175" s="2">
        <v>2480</v>
      </c>
      <c r="M175" s="2">
        <v>2776</v>
      </c>
      <c r="N175" s="2">
        <v>3391</v>
      </c>
      <c r="O175" s="2">
        <v>4055.79</v>
      </c>
      <c r="P175" s="2">
        <v>4748.71</v>
      </c>
      <c r="Q175" s="2">
        <v>5292.91</v>
      </c>
      <c r="R175" s="2">
        <v>6023.3</v>
      </c>
    </row>
    <row r="176" spans="1:18" x14ac:dyDescent="0.25">
      <c r="A176" t="s">
        <v>2362</v>
      </c>
      <c r="H176">
        <v>122.9</v>
      </c>
      <c r="I176">
        <v>251.5</v>
      </c>
      <c r="J176">
        <v>298.10000000000002</v>
      </c>
      <c r="K176">
        <v>414</v>
      </c>
      <c r="L176">
        <v>538</v>
      </c>
      <c r="M176">
        <v>668</v>
      </c>
      <c r="N176">
        <v>808</v>
      </c>
      <c r="O176" s="2">
        <v>1055.8499999999999</v>
      </c>
      <c r="P176" s="2">
        <v>1181.6600000000001</v>
      </c>
      <c r="Q176" s="2">
        <v>1342.59</v>
      </c>
      <c r="R176" s="2">
        <v>1441.86</v>
      </c>
    </row>
    <row r="177" spans="1:18" x14ac:dyDescent="0.25">
      <c r="A177" t="s">
        <v>2363</v>
      </c>
      <c r="H177">
        <v>21.1</v>
      </c>
      <c r="I177">
        <v>9.8000000000000007</v>
      </c>
      <c r="J177">
        <v>56.9</v>
      </c>
      <c r="K177">
        <v>72</v>
      </c>
      <c r="L177">
        <v>146</v>
      </c>
      <c r="M177">
        <v>208</v>
      </c>
      <c r="N177">
        <v>266</v>
      </c>
      <c r="O177">
        <v>277.60000000000002</v>
      </c>
      <c r="P177">
        <v>342.26</v>
      </c>
      <c r="Q177">
        <v>410.8</v>
      </c>
      <c r="R177">
        <v>442.65</v>
      </c>
    </row>
    <row r="178" spans="1:18" x14ac:dyDescent="0.25">
      <c r="A178" t="s">
        <v>2333</v>
      </c>
      <c r="H178">
        <v>737.41</v>
      </c>
      <c r="I178">
        <v>866.68</v>
      </c>
      <c r="J178" s="2">
        <v>1032.49</v>
      </c>
      <c r="K178" s="2">
        <v>1210</v>
      </c>
      <c r="L178" s="2">
        <v>1396</v>
      </c>
      <c r="M178" s="2">
        <v>1589</v>
      </c>
      <c r="N178" s="2">
        <v>1937</v>
      </c>
      <c r="O178" s="2">
        <v>2261.79</v>
      </c>
      <c r="P178" s="2">
        <v>2577.67</v>
      </c>
      <c r="Q178" s="2">
        <v>2843.96</v>
      </c>
      <c r="R178" s="2">
        <v>3161.99</v>
      </c>
    </row>
    <row r="179" spans="1:18" x14ac:dyDescent="0.25">
      <c r="A179" t="s">
        <v>2364</v>
      </c>
      <c r="H179">
        <v>-441</v>
      </c>
      <c r="I179">
        <v>-532.6</v>
      </c>
      <c r="J179">
        <v>-653.29999999999995</v>
      </c>
      <c r="K179">
        <v>-754</v>
      </c>
      <c r="L179">
        <v>-835</v>
      </c>
      <c r="M179">
        <v>-925</v>
      </c>
      <c r="N179" s="2">
        <v>-1178</v>
      </c>
      <c r="O179" s="2">
        <v>-1395.91</v>
      </c>
      <c r="P179" s="2">
        <v>-1592.35</v>
      </c>
      <c r="Q179" s="2">
        <v>-1758.94</v>
      </c>
      <c r="R179" s="2">
        <v>-1976.2</v>
      </c>
    </row>
    <row r="180" spans="1:18" x14ac:dyDescent="0.25">
      <c r="A180" t="s">
        <v>1904</v>
      </c>
      <c r="H180">
        <v>-241.1</v>
      </c>
      <c r="I180">
        <v>-273.3</v>
      </c>
      <c r="J180">
        <v>-308.89999999999998</v>
      </c>
      <c r="K180">
        <v>-456</v>
      </c>
      <c r="L180">
        <v>-561</v>
      </c>
      <c r="M180">
        <v>-664</v>
      </c>
      <c r="N180">
        <v>-759</v>
      </c>
      <c r="O180">
        <v>-854.36</v>
      </c>
      <c r="P180">
        <v>-967.45</v>
      </c>
      <c r="Q180" s="2">
        <v>-1045.3399999999999</v>
      </c>
      <c r="R180" s="2">
        <v>-1124.3599999999999</v>
      </c>
    </row>
    <row r="181" spans="1:18" x14ac:dyDescent="0.25">
      <c r="A181" t="s">
        <v>2298</v>
      </c>
      <c r="C181">
        <v>454.04</v>
      </c>
      <c r="D181">
        <v>422.05</v>
      </c>
      <c r="E181">
        <v>529.87</v>
      </c>
      <c r="F181">
        <v>624.41</v>
      </c>
      <c r="G181">
        <v>771.24</v>
      </c>
      <c r="H181">
        <v>951.9</v>
      </c>
      <c r="I181" s="2">
        <v>1101.5999999999999</v>
      </c>
      <c r="J181" s="2">
        <v>1266.7</v>
      </c>
      <c r="K181" s="2">
        <v>1410</v>
      </c>
      <c r="L181" s="2">
        <v>1768</v>
      </c>
      <c r="M181" s="2">
        <v>2063</v>
      </c>
      <c r="N181" s="2">
        <v>2528</v>
      </c>
      <c r="O181" s="2">
        <v>3121.35</v>
      </c>
      <c r="P181" s="2">
        <v>3691.57</v>
      </c>
      <c r="Q181" s="2">
        <v>4221.8599999999997</v>
      </c>
      <c r="R181" s="2">
        <v>4781.84</v>
      </c>
    </row>
    <row r="182" spans="1:18" x14ac:dyDescent="0.25">
      <c r="A182" t="s">
        <v>17</v>
      </c>
    </row>
    <row r="183" spans="1:18" x14ac:dyDescent="0.25">
      <c r="A183" t="s">
        <v>2336</v>
      </c>
    </row>
    <row r="184" spans="1:18" x14ac:dyDescent="0.25">
      <c r="A184" t="s">
        <v>2365</v>
      </c>
      <c r="H184" s="2">
        <v>4682.1000000000004</v>
      </c>
      <c r="I184" s="2">
        <v>4837</v>
      </c>
      <c r="J184" s="2">
        <v>5325.1</v>
      </c>
      <c r="K184" s="2">
        <v>5706</v>
      </c>
      <c r="L184" s="2">
        <v>8739</v>
      </c>
      <c r="M184" s="2">
        <v>10805</v>
      </c>
      <c r="N184" s="2">
        <v>13021</v>
      </c>
      <c r="O184" s="2">
        <v>15014.71</v>
      </c>
      <c r="P184" s="2">
        <v>16779.45</v>
      </c>
      <c r="Q184" s="2">
        <v>18758.810000000001</v>
      </c>
      <c r="R184" s="2">
        <v>19735.439999999999</v>
      </c>
    </row>
    <row r="185" spans="1:18" x14ac:dyDescent="0.25">
      <c r="A185" t="s">
        <v>2366</v>
      </c>
      <c r="H185">
        <v>496.6</v>
      </c>
      <c r="I185">
        <v>491.4</v>
      </c>
      <c r="J185" s="2">
        <v>1754</v>
      </c>
      <c r="K185" s="2">
        <v>1206</v>
      </c>
      <c r="L185">
        <v>864</v>
      </c>
      <c r="M185">
        <v>939</v>
      </c>
      <c r="N185" s="2">
        <v>1299</v>
      </c>
      <c r="O185" s="2">
        <v>1382.49</v>
      </c>
      <c r="P185" s="2">
        <v>1856.36</v>
      </c>
      <c r="Q185" s="2">
        <v>2169.02</v>
      </c>
      <c r="R185" s="2">
        <v>2227.56</v>
      </c>
    </row>
    <row r="186" spans="1:18" x14ac:dyDescent="0.25">
      <c r="A186" t="s">
        <v>2367</v>
      </c>
      <c r="H186">
        <v>1.8</v>
      </c>
      <c r="I186">
        <v>21.5</v>
      </c>
      <c r="J186">
        <v>38.9</v>
      </c>
      <c r="K186">
        <v>53</v>
      </c>
      <c r="L186">
        <v>72</v>
      </c>
      <c r="M186">
        <v>105</v>
      </c>
      <c r="N186">
        <v>131</v>
      </c>
      <c r="O186">
        <v>150.66999999999999</v>
      </c>
      <c r="P186">
        <v>168.13</v>
      </c>
      <c r="Q186">
        <v>185.47</v>
      </c>
      <c r="R186">
        <v>193.4</v>
      </c>
    </row>
    <row r="187" spans="1:18" x14ac:dyDescent="0.25">
      <c r="A187" t="s">
        <v>2340</v>
      </c>
      <c r="H187" s="2">
        <v>-3350.2</v>
      </c>
      <c r="I187" s="2">
        <v>-3575.4</v>
      </c>
      <c r="J187" s="2">
        <v>-3992.5</v>
      </c>
      <c r="K187" s="2">
        <v>-3755</v>
      </c>
      <c r="L187" s="2">
        <v>-5650</v>
      </c>
      <c r="M187" s="2">
        <v>-7702</v>
      </c>
      <c r="N187" s="2">
        <v>-10083</v>
      </c>
      <c r="O187" s="2">
        <v>-11943.92</v>
      </c>
      <c r="P187" s="2">
        <v>-13380.67</v>
      </c>
      <c r="Q187" s="2">
        <v>-15009.83</v>
      </c>
      <c r="R187" s="2">
        <v>-15475.73</v>
      </c>
    </row>
    <row r="188" spans="1:18" x14ac:dyDescent="0.25">
      <c r="A188" t="s">
        <v>2053</v>
      </c>
      <c r="H188">
        <v>-319.39999999999998</v>
      </c>
      <c r="I188">
        <v>-323.60000000000002</v>
      </c>
      <c r="J188">
        <v>-359.4</v>
      </c>
      <c r="K188">
        <v>-462</v>
      </c>
      <c r="L188">
        <v>-481</v>
      </c>
      <c r="M188">
        <v>-458</v>
      </c>
      <c r="N188">
        <v>-447</v>
      </c>
      <c r="O188">
        <v>-469.53</v>
      </c>
      <c r="P188">
        <v>-516.67999999999995</v>
      </c>
      <c r="Q188">
        <v>-575.36</v>
      </c>
      <c r="R188">
        <v>-656.38</v>
      </c>
    </row>
    <row r="189" spans="1:18" x14ac:dyDescent="0.25">
      <c r="A189" t="s">
        <v>2368</v>
      </c>
      <c r="H189">
        <v>-89.5</v>
      </c>
      <c r="I189">
        <v>-196.3</v>
      </c>
      <c r="J189">
        <v>-257.3</v>
      </c>
      <c r="K189">
        <v>-279</v>
      </c>
      <c r="L189">
        <v>-436</v>
      </c>
      <c r="M189">
        <v>-465</v>
      </c>
      <c r="N189">
        <v>-560</v>
      </c>
      <c r="O189">
        <v>-610.17999999999995</v>
      </c>
      <c r="P189">
        <v>-682.59</v>
      </c>
      <c r="Q189">
        <v>-742.12</v>
      </c>
      <c r="R189">
        <v>-783.07</v>
      </c>
    </row>
    <row r="190" spans="1:18" x14ac:dyDescent="0.25">
      <c r="A190" t="s">
        <v>2369</v>
      </c>
      <c r="H190" s="2">
        <v>1421.4</v>
      </c>
      <c r="I190" s="2">
        <v>1254.5999999999999</v>
      </c>
      <c r="J190" s="2">
        <v>2508.8000000000002</v>
      </c>
      <c r="K190" s="2">
        <v>2469</v>
      </c>
      <c r="L190" s="2">
        <v>3108</v>
      </c>
      <c r="M190" s="2">
        <v>3224</v>
      </c>
      <c r="N190" s="2">
        <v>3361</v>
      </c>
      <c r="O190" s="2">
        <v>3524.23</v>
      </c>
      <c r="P190" s="2">
        <v>4224.01</v>
      </c>
      <c r="Q190" s="2">
        <v>4785.99</v>
      </c>
      <c r="R190" s="2">
        <v>5241.22</v>
      </c>
    </row>
    <row r="191" spans="1:18" x14ac:dyDescent="0.25">
      <c r="A191" t="s">
        <v>17</v>
      </c>
    </row>
    <row r="192" spans="1:18" x14ac:dyDescent="0.25">
      <c r="A192" t="s">
        <v>2354</v>
      </c>
    </row>
    <row r="193" spans="1:19" x14ac:dyDescent="0.25">
      <c r="A193" t="s">
        <v>2355</v>
      </c>
      <c r="G193">
        <v>380.19</v>
      </c>
      <c r="H193">
        <v>602.1</v>
      </c>
      <c r="I193">
        <v>280.89999999999998</v>
      </c>
      <c r="J193" s="2">
        <v>1589.1</v>
      </c>
      <c r="K193">
        <v>595</v>
      </c>
      <c r="L193">
        <v>742</v>
      </c>
      <c r="M193">
        <v>921</v>
      </c>
      <c r="N193" s="2">
        <v>1198</v>
      </c>
      <c r="O193" s="2">
        <v>1185.6099999999999</v>
      </c>
      <c r="P193" s="2">
        <v>1807.06</v>
      </c>
      <c r="Q193" s="2">
        <v>2341.56</v>
      </c>
      <c r="R193" s="2">
        <v>2641.95</v>
      </c>
    </row>
    <row r="194" spans="1:19" x14ac:dyDescent="0.25">
      <c r="A194" t="s">
        <v>2356</v>
      </c>
      <c r="H194">
        <v>81.7</v>
      </c>
      <c r="I194">
        <v>29.3</v>
      </c>
      <c r="J194">
        <v>437.3</v>
      </c>
      <c r="K194">
        <v>330</v>
      </c>
      <c r="L194">
        <v>-2</v>
      </c>
      <c r="M194">
        <v>74</v>
      </c>
      <c r="N194">
        <v>95</v>
      </c>
      <c r="O194">
        <v>153.13999999999999</v>
      </c>
      <c r="P194">
        <v>182.84</v>
      </c>
      <c r="Q194">
        <v>208.87</v>
      </c>
      <c r="R194">
        <v>243.63</v>
      </c>
    </row>
    <row r="195" spans="1:19" x14ac:dyDescent="0.25">
      <c r="A195" t="s">
        <v>2370</v>
      </c>
      <c r="H195">
        <v>-328.6</v>
      </c>
      <c r="I195">
        <v>-222.4</v>
      </c>
      <c r="J195">
        <v>-876.4</v>
      </c>
      <c r="K195">
        <v>-585</v>
      </c>
      <c r="L195">
        <v>-601</v>
      </c>
      <c r="M195">
        <v>-664</v>
      </c>
      <c r="N195">
        <v>-892</v>
      </c>
      <c r="O195">
        <v>980.75</v>
      </c>
      <c r="P195" s="2">
        <v>1415.76</v>
      </c>
      <c r="Q195" s="2">
        <v>1789.82</v>
      </c>
      <c r="R195" s="2">
        <v>1966.36</v>
      </c>
    </row>
    <row r="196" spans="1:19" x14ac:dyDescent="0.25">
      <c r="A196" t="s">
        <v>2053</v>
      </c>
      <c r="H196">
        <v>-31</v>
      </c>
      <c r="I196">
        <v>-52.6</v>
      </c>
      <c r="J196">
        <v>-42.4</v>
      </c>
      <c r="K196">
        <v>-56</v>
      </c>
      <c r="L196">
        <v>-56</v>
      </c>
      <c r="M196">
        <v>-60</v>
      </c>
      <c r="N196">
        <v>-63</v>
      </c>
      <c r="O196">
        <v>72.59</v>
      </c>
      <c r="P196">
        <v>68.040000000000006</v>
      </c>
      <c r="Q196">
        <v>71.599999999999994</v>
      </c>
      <c r="R196">
        <v>75.77</v>
      </c>
    </row>
    <row r="197" spans="1:19" x14ac:dyDescent="0.25">
      <c r="A197" t="s">
        <v>2371</v>
      </c>
      <c r="H197">
        <v>324.2</v>
      </c>
      <c r="I197">
        <v>35.200000000000003</v>
      </c>
      <c r="J197" s="2">
        <v>1107.5999999999999</v>
      </c>
      <c r="K197">
        <v>284</v>
      </c>
      <c r="L197">
        <v>83</v>
      </c>
      <c r="M197">
        <v>271</v>
      </c>
      <c r="N197">
        <v>338</v>
      </c>
      <c r="O197">
        <v>285.41000000000003</v>
      </c>
      <c r="P197">
        <v>506.1</v>
      </c>
      <c r="Q197">
        <v>689.01</v>
      </c>
      <c r="R197">
        <v>843.45</v>
      </c>
    </row>
    <row r="198" spans="1:19" x14ac:dyDescent="0.25">
      <c r="A198" t="s">
        <v>17</v>
      </c>
    </row>
    <row r="199" spans="1:19" x14ac:dyDescent="0.25">
      <c r="A199" t="s">
        <v>2372</v>
      </c>
      <c r="C199">
        <v>755.6</v>
      </c>
      <c r="D199">
        <v>435.45</v>
      </c>
      <c r="E199" s="2">
        <v>1176.74</v>
      </c>
      <c r="F199" s="2">
        <v>1577.95</v>
      </c>
      <c r="G199">
        <v>953.48</v>
      </c>
      <c r="H199" s="2">
        <v>1214.43</v>
      </c>
      <c r="I199" s="2">
        <v>1019.48</v>
      </c>
      <c r="J199" s="2">
        <v>2241.42</v>
      </c>
      <c r="K199" s="2">
        <v>4021</v>
      </c>
      <c r="L199" s="2">
        <v>4959</v>
      </c>
      <c r="M199" s="2">
        <v>5558</v>
      </c>
      <c r="N199" s="2">
        <v>6227</v>
      </c>
      <c r="O199" s="2">
        <v>6892.88</v>
      </c>
      <c r="P199" s="2">
        <v>8424.24</v>
      </c>
      <c r="Q199" s="2">
        <v>9785.5</v>
      </c>
      <c r="R199" s="2">
        <v>11001</v>
      </c>
    </row>
    <row r="200" spans="1:19" x14ac:dyDescent="0.25">
      <c r="A200" t="s">
        <v>2373</v>
      </c>
      <c r="H200">
        <v>98.3</v>
      </c>
      <c r="I200">
        <v>154</v>
      </c>
      <c r="J200">
        <v>169.5</v>
      </c>
      <c r="K200">
        <v>122</v>
      </c>
      <c r="L200">
        <v>88</v>
      </c>
      <c r="M200">
        <v>80</v>
      </c>
      <c r="N200">
        <v>143</v>
      </c>
      <c r="O200">
        <v>200.4</v>
      </c>
      <c r="P200">
        <v>204.89</v>
      </c>
      <c r="Q200">
        <v>206.89</v>
      </c>
      <c r="R200">
        <v>201.44</v>
      </c>
    </row>
    <row r="201" spans="1:19" x14ac:dyDescent="0.25">
      <c r="A201" t="s">
        <v>2374</v>
      </c>
      <c r="E201">
        <v>9.64</v>
      </c>
      <c r="F201">
        <v>26.34</v>
      </c>
      <c r="G201">
        <v>44.22</v>
      </c>
      <c r="H201">
        <v>62.3</v>
      </c>
      <c r="I201">
        <v>90</v>
      </c>
      <c r="J201">
        <v>173.3</v>
      </c>
      <c r="K201">
        <v>795</v>
      </c>
      <c r="L201">
        <v>789</v>
      </c>
      <c r="M201">
        <v>913</v>
      </c>
      <c r="N201">
        <v>889</v>
      </c>
      <c r="O201" s="2">
        <v>1287.49</v>
      </c>
      <c r="P201" s="2">
        <v>1582.11</v>
      </c>
      <c r="Q201" s="2">
        <v>1853.43</v>
      </c>
      <c r="R201" s="2">
        <v>2127.69</v>
      </c>
    </row>
    <row r="202" spans="1:19" x14ac:dyDescent="0.25">
      <c r="A202" t="s">
        <v>2375</v>
      </c>
      <c r="B202" s="2">
        <v>1889.4</v>
      </c>
      <c r="C202">
        <v>567.9</v>
      </c>
      <c r="D202">
        <v>440.66</v>
      </c>
      <c r="E202">
        <v>946.75</v>
      </c>
      <c r="F202" s="2">
        <v>1437.13</v>
      </c>
      <c r="G202">
        <v>-84.59</v>
      </c>
      <c r="H202" s="2">
        <v>1115.47</v>
      </c>
      <c r="I202">
        <v>892.8</v>
      </c>
      <c r="J202" s="2">
        <v>2301.5</v>
      </c>
      <c r="K202" s="2">
        <v>3135</v>
      </c>
      <c r="L202" s="2">
        <v>4082</v>
      </c>
      <c r="M202" s="2">
        <v>4565</v>
      </c>
      <c r="N202" s="2">
        <v>5195</v>
      </c>
      <c r="O202" s="2">
        <v>5451.89</v>
      </c>
      <c r="P202" s="2">
        <v>6627.42</v>
      </c>
      <c r="Q202" s="2">
        <v>7621.09</v>
      </c>
      <c r="R202" s="2">
        <v>8552.7999999999993</v>
      </c>
      <c r="S202" s="2">
        <v>10083</v>
      </c>
    </row>
    <row r="203" spans="1:19" x14ac:dyDescent="0.25">
      <c r="A203" t="s">
        <v>17</v>
      </c>
    </row>
    <row r="204" spans="1:19" x14ac:dyDescent="0.25">
      <c r="A204" t="s">
        <v>2376</v>
      </c>
      <c r="F204">
        <v>409.37</v>
      </c>
      <c r="G204">
        <v>413.51</v>
      </c>
      <c r="H204">
        <v>412.07</v>
      </c>
      <c r="I204">
        <v>441.01</v>
      </c>
      <c r="J204">
        <v>461.19</v>
      </c>
      <c r="K204">
        <v>598.76</v>
      </c>
      <c r="L204">
        <v>605</v>
      </c>
      <c r="M204">
        <v>613.07000000000005</v>
      </c>
      <c r="N204">
        <v>623.5</v>
      </c>
      <c r="O204">
        <v>623.51</v>
      </c>
      <c r="P204">
        <v>620.04999999999995</v>
      </c>
      <c r="Q204">
        <v>615.75</v>
      </c>
      <c r="R204">
        <v>614.98</v>
      </c>
      <c r="S204">
        <v>614</v>
      </c>
    </row>
    <row r="205" spans="1:19" x14ac:dyDescent="0.25">
      <c r="A205" t="s">
        <v>2377</v>
      </c>
      <c r="B205">
        <v>4.8</v>
      </c>
      <c r="C205">
        <v>1.42</v>
      </c>
      <c r="D205">
        <v>1.0900000000000001</v>
      </c>
      <c r="E205">
        <v>2.36</v>
      </c>
      <c r="F205">
        <v>3.57</v>
      </c>
      <c r="G205">
        <v>-0.21</v>
      </c>
      <c r="H205">
        <v>2.71</v>
      </c>
      <c r="I205">
        <v>2.02</v>
      </c>
      <c r="J205">
        <v>4.5599999999999996</v>
      </c>
      <c r="K205">
        <v>5.21</v>
      </c>
      <c r="L205">
        <v>6.74</v>
      </c>
      <c r="M205">
        <v>7.43</v>
      </c>
      <c r="N205">
        <v>8.3800000000000008</v>
      </c>
      <c r="O205">
        <v>8.75</v>
      </c>
      <c r="P205">
        <v>10.71</v>
      </c>
      <c r="Q205">
        <v>12.4</v>
      </c>
      <c r="R205">
        <v>13.91</v>
      </c>
      <c r="S205">
        <v>16.41</v>
      </c>
    </row>
    <row r="206" spans="1:19" x14ac:dyDescent="0.25">
      <c r="A206" t="s">
        <v>17</v>
      </c>
    </row>
    <row r="207" spans="1:19" x14ac:dyDescent="0.25">
      <c r="A207" t="s">
        <v>2378</v>
      </c>
      <c r="D207">
        <v>45.57</v>
      </c>
      <c r="E207">
        <v>46.17</v>
      </c>
      <c r="F207">
        <v>52.04</v>
      </c>
      <c r="G207">
        <v>54</v>
      </c>
      <c r="H207">
        <v>55</v>
      </c>
      <c r="I207">
        <v>54</v>
      </c>
      <c r="J207">
        <v>54</v>
      </c>
      <c r="K207">
        <v>53.8</v>
      </c>
      <c r="L207">
        <v>55.9</v>
      </c>
      <c r="M207">
        <v>56.5</v>
      </c>
      <c r="N207">
        <v>56.6</v>
      </c>
      <c r="O207">
        <v>57.96</v>
      </c>
      <c r="P207">
        <v>58.91</v>
      </c>
      <c r="Q207">
        <v>59.92</v>
      </c>
      <c r="R207">
        <v>60.47</v>
      </c>
    </row>
    <row r="208" spans="1:19" x14ac:dyDescent="0.25">
      <c r="A208" t="s">
        <v>2379</v>
      </c>
      <c r="F208">
        <v>1.53</v>
      </c>
      <c r="G208">
        <v>1.87</v>
      </c>
      <c r="H208">
        <v>2.31</v>
      </c>
      <c r="I208">
        <v>2.5</v>
      </c>
      <c r="J208">
        <v>2.84</v>
      </c>
      <c r="K208">
        <v>2.36</v>
      </c>
      <c r="L208">
        <v>2.92</v>
      </c>
      <c r="M208">
        <v>3.36</v>
      </c>
      <c r="N208">
        <v>4.08</v>
      </c>
      <c r="O208">
        <v>5.01</v>
      </c>
      <c r="P208">
        <v>5.98</v>
      </c>
      <c r="Q208">
        <v>6.92</v>
      </c>
      <c r="R208">
        <v>7.79</v>
      </c>
    </row>
    <row r="209" spans="1:18" x14ac:dyDescent="0.25">
      <c r="A209" t="s">
        <v>17</v>
      </c>
    </row>
    <row r="210" spans="1:18" x14ac:dyDescent="0.25">
      <c r="A210" t="s">
        <v>2380</v>
      </c>
    </row>
    <row r="211" spans="1:18" x14ac:dyDescent="0.25">
      <c r="A211" t="s">
        <v>2327</v>
      </c>
      <c r="B211">
        <v>674.63</v>
      </c>
      <c r="C211">
        <v>850.44</v>
      </c>
      <c r="D211">
        <v>930.19</v>
      </c>
      <c r="E211" s="2">
        <v>1043.51</v>
      </c>
      <c r="F211" s="2">
        <v>1154.93</v>
      </c>
      <c r="G211" s="2">
        <v>1345.25</v>
      </c>
      <c r="H211" s="2">
        <v>1575.81</v>
      </c>
      <c r="I211" s="2">
        <v>1686.97</v>
      </c>
      <c r="J211" s="2">
        <v>1920.95</v>
      </c>
      <c r="K211" s="2">
        <v>1503</v>
      </c>
      <c r="L211" s="2">
        <v>1772</v>
      </c>
      <c r="M211" s="2">
        <v>1899</v>
      </c>
      <c r="N211" s="2">
        <v>2378</v>
      </c>
      <c r="O211" s="2">
        <v>2566</v>
      </c>
      <c r="P211" s="2">
        <v>1983</v>
      </c>
    </row>
    <row r="212" spans="1:18" x14ac:dyDescent="0.25">
      <c r="A212" t="s">
        <v>2381</v>
      </c>
      <c r="B212">
        <v>196.56</v>
      </c>
      <c r="C212">
        <v>315.58999999999997</v>
      </c>
      <c r="D212">
        <v>14.19</v>
      </c>
      <c r="E212">
        <v>146.66999999999999</v>
      </c>
      <c r="F212">
        <v>117.62</v>
      </c>
      <c r="G212">
        <v>112.28</v>
      </c>
      <c r="H212">
        <v>123.64</v>
      </c>
      <c r="I212">
        <v>249.48</v>
      </c>
      <c r="J212">
        <v>302.38</v>
      </c>
      <c r="K212">
        <v>443</v>
      </c>
      <c r="L212">
        <v>623</v>
      </c>
      <c r="M212">
        <v>822</v>
      </c>
      <c r="N212" s="2">
        <v>1202</v>
      </c>
      <c r="O212" s="2">
        <v>1313</v>
      </c>
      <c r="P212" s="2">
        <v>1036</v>
      </c>
    </row>
    <row r="213" spans="1:18" x14ac:dyDescent="0.25">
      <c r="A213" t="s">
        <v>2382</v>
      </c>
      <c r="K213">
        <v>796</v>
      </c>
      <c r="L213" s="2">
        <v>1032</v>
      </c>
      <c r="M213" s="2">
        <v>1305</v>
      </c>
      <c r="N213" s="2">
        <v>1143</v>
      </c>
    </row>
    <row r="214" spans="1:18" x14ac:dyDescent="0.25">
      <c r="A214" t="s">
        <v>2383</v>
      </c>
      <c r="H214">
        <v>1.91</v>
      </c>
      <c r="I214">
        <v>21</v>
      </c>
      <c r="J214">
        <v>29.06</v>
      </c>
      <c r="K214">
        <v>27</v>
      </c>
      <c r="L214">
        <v>80</v>
      </c>
      <c r="M214">
        <v>150</v>
      </c>
      <c r="N214">
        <v>245</v>
      </c>
      <c r="O214">
        <v>269</v>
      </c>
      <c r="P214">
        <v>211</v>
      </c>
    </row>
    <row r="215" spans="1:18" x14ac:dyDescent="0.25">
      <c r="A215" t="s">
        <v>2384</v>
      </c>
      <c r="H215" s="2">
        <v>1635.1</v>
      </c>
      <c r="I215" s="2">
        <v>1647.96</v>
      </c>
      <c r="J215" s="2">
        <v>1878.21</v>
      </c>
      <c r="K215" s="2">
        <v>2769</v>
      </c>
      <c r="L215" s="2">
        <v>3507</v>
      </c>
      <c r="M215" s="2">
        <v>4176</v>
      </c>
      <c r="N215" s="2">
        <v>5000</v>
      </c>
    </row>
    <row r="216" spans="1:18" x14ac:dyDescent="0.25">
      <c r="A216" t="s">
        <v>17</v>
      </c>
    </row>
    <row r="217" spans="1:18" x14ac:dyDescent="0.25">
      <c r="A217" t="s">
        <v>2385</v>
      </c>
      <c r="H217" s="2">
        <v>1421.4</v>
      </c>
      <c r="I217">
        <v>251.52</v>
      </c>
      <c r="J217">
        <v>298.11</v>
      </c>
      <c r="K217" s="2">
        <v>8199</v>
      </c>
      <c r="L217" s="2">
        <v>29137</v>
      </c>
      <c r="M217" s="2">
        <v>21938</v>
      </c>
      <c r="N217" s="2">
        <v>27049</v>
      </c>
    </row>
    <row r="218" spans="1:18" x14ac:dyDescent="0.25">
      <c r="A218" t="s">
        <v>17</v>
      </c>
    </row>
    <row r="219" spans="1:18" x14ac:dyDescent="0.25">
      <c r="A219" t="s">
        <v>2386</v>
      </c>
      <c r="H219">
        <v>683.2</v>
      </c>
      <c r="K219">
        <v>682</v>
      </c>
      <c r="L219">
        <v>872</v>
      </c>
      <c r="M219" s="2">
        <v>4004</v>
      </c>
      <c r="N219" s="2">
        <v>4795</v>
      </c>
    </row>
    <row r="220" spans="1:18" x14ac:dyDescent="0.25">
      <c r="A220" t="s">
        <v>2387</v>
      </c>
      <c r="B220">
        <v>420.98</v>
      </c>
      <c r="C220">
        <v>464.37</v>
      </c>
      <c r="D220">
        <v>452.2</v>
      </c>
      <c r="E220">
        <v>492.11</v>
      </c>
      <c r="F220">
        <v>520.33000000000004</v>
      </c>
      <c r="G220">
        <v>632.83000000000004</v>
      </c>
      <c r="H220">
        <v>704.16</v>
      </c>
      <c r="I220">
        <v>841.2</v>
      </c>
      <c r="J220" s="2">
        <v>1959.46</v>
      </c>
      <c r="K220" s="2">
        <v>1943</v>
      </c>
      <c r="L220" s="2">
        <v>2722</v>
      </c>
      <c r="M220" s="2">
        <v>2608</v>
      </c>
      <c r="N220" s="2">
        <v>2993</v>
      </c>
      <c r="O220" s="2">
        <v>2959</v>
      </c>
      <c r="P220" s="2">
        <v>2357</v>
      </c>
    </row>
    <row r="221" spans="1:18" x14ac:dyDescent="0.25">
      <c r="A221" t="s">
        <v>484</v>
      </c>
      <c r="B221">
        <v>29.26</v>
      </c>
      <c r="C221">
        <v>22.39</v>
      </c>
      <c r="D221">
        <v>30.07</v>
      </c>
      <c r="E221">
        <v>43.48</v>
      </c>
      <c r="F221">
        <v>52.87</v>
      </c>
      <c r="G221">
        <v>59.37</v>
      </c>
      <c r="H221">
        <v>98.37</v>
      </c>
      <c r="I221">
        <v>133.24</v>
      </c>
      <c r="J221">
        <v>139.09</v>
      </c>
      <c r="K221">
        <v>124</v>
      </c>
      <c r="L221">
        <v>145</v>
      </c>
      <c r="M221">
        <v>226</v>
      </c>
      <c r="N221">
        <v>256</v>
      </c>
      <c r="O221">
        <v>236.3</v>
      </c>
      <c r="P221">
        <v>176.5</v>
      </c>
      <c r="Q221">
        <v>140</v>
      </c>
      <c r="R221">
        <v>140</v>
      </c>
    </row>
    <row r="222" spans="1:18" x14ac:dyDescent="0.25">
      <c r="A222" t="s">
        <v>2388</v>
      </c>
      <c r="B222">
        <v>98.2</v>
      </c>
      <c r="C222">
        <v>97.66</v>
      </c>
      <c r="D222">
        <v>255.06</v>
      </c>
      <c r="E222">
        <v>247</v>
      </c>
      <c r="F222">
        <v>257.86</v>
      </c>
      <c r="G222">
        <v>266.44</v>
      </c>
      <c r="H222">
        <v>330.34</v>
      </c>
      <c r="I222">
        <v>354.22</v>
      </c>
      <c r="J222">
        <v>477</v>
      </c>
      <c r="K222">
        <v>682</v>
      </c>
      <c r="L222">
        <v>872</v>
      </c>
      <c r="M222" s="2">
        <v>1170</v>
      </c>
      <c r="N222" s="2">
        <v>1546</v>
      </c>
      <c r="O222" s="2">
        <v>1677</v>
      </c>
      <c r="P222" s="2">
        <v>1307</v>
      </c>
    </row>
    <row r="223" spans="1:18" x14ac:dyDescent="0.25">
      <c r="A223" t="s">
        <v>17</v>
      </c>
    </row>
    <row r="224" spans="1:18" x14ac:dyDescent="0.25">
      <c r="A224" t="s">
        <v>2389</v>
      </c>
      <c r="H224" s="2">
        <v>3759.1</v>
      </c>
      <c r="K224" s="2">
        <v>13162</v>
      </c>
      <c r="L224" s="2">
        <v>23592</v>
      </c>
      <c r="M224" s="2">
        <v>14978</v>
      </c>
      <c r="N224" s="2">
        <v>20494</v>
      </c>
    </row>
    <row r="225" spans="1:19" x14ac:dyDescent="0.25">
      <c r="A225" t="s">
        <v>17</v>
      </c>
    </row>
    <row r="226" spans="1:19" x14ac:dyDescent="0.25">
      <c r="A226" t="s">
        <v>2390</v>
      </c>
      <c r="B226" s="2">
        <v>1941.72</v>
      </c>
      <c r="C226" s="2">
        <v>1043.56</v>
      </c>
      <c r="D226">
        <v>830.98</v>
      </c>
      <c r="E226" s="2">
        <v>1165.92</v>
      </c>
      <c r="F226" s="2">
        <v>1360.05</v>
      </c>
      <c r="G226">
        <v>902.94</v>
      </c>
      <c r="H226" s="2">
        <v>1691.28</v>
      </c>
      <c r="I226" s="2">
        <v>1577.96</v>
      </c>
      <c r="J226" s="2">
        <v>4114.2299999999996</v>
      </c>
      <c r="K226" s="2">
        <v>15911</v>
      </c>
      <c r="L226" s="2">
        <v>27331</v>
      </c>
      <c r="M226" s="2">
        <v>18982</v>
      </c>
      <c r="N226" s="2">
        <v>25289</v>
      </c>
      <c r="O226" s="2">
        <v>25626</v>
      </c>
      <c r="P226" s="2">
        <v>19908</v>
      </c>
    </row>
    <row r="227" spans="1:19" x14ac:dyDescent="0.25">
      <c r="A227" t="s">
        <v>17</v>
      </c>
    </row>
    <row r="228" spans="1:19" x14ac:dyDescent="0.25">
      <c r="A228" t="s">
        <v>2391</v>
      </c>
      <c r="B228">
        <v>529.98</v>
      </c>
      <c r="C228">
        <v>235.81</v>
      </c>
      <c r="D228">
        <v>140.77000000000001</v>
      </c>
      <c r="E228">
        <v>144.74</v>
      </c>
      <c r="F228">
        <v>105.77</v>
      </c>
      <c r="G228">
        <v>-141.34</v>
      </c>
      <c r="H228">
        <v>178.07</v>
      </c>
      <c r="I228">
        <v>-258.12</v>
      </c>
      <c r="J228" s="2">
        <v>3168.19</v>
      </c>
      <c r="K228">
        <v>659</v>
      </c>
      <c r="L228">
        <v>137</v>
      </c>
      <c r="M228">
        <v>148</v>
      </c>
      <c r="N228">
        <v>53</v>
      </c>
    </row>
    <row r="229" spans="1:19" x14ac:dyDescent="0.25">
      <c r="A229" t="s">
        <v>2392</v>
      </c>
      <c r="J229">
        <v>147.54</v>
      </c>
      <c r="L229">
        <v>-136</v>
      </c>
      <c r="N229">
        <v>-83</v>
      </c>
      <c r="O229">
        <v>-112</v>
      </c>
      <c r="P229">
        <v>-99</v>
      </c>
    </row>
    <row r="230" spans="1:19" x14ac:dyDescent="0.25">
      <c r="A230" t="s">
        <v>17</v>
      </c>
    </row>
    <row r="231" spans="1:19" x14ac:dyDescent="0.25">
      <c r="A231" t="s">
        <v>101</v>
      </c>
      <c r="B231">
        <v>107.57</v>
      </c>
      <c r="C231">
        <v>147.25</v>
      </c>
      <c r="D231">
        <v>26.73</v>
      </c>
      <c r="E231">
        <v>90.71</v>
      </c>
      <c r="F231">
        <v>325.95</v>
      </c>
      <c r="G231">
        <v>86.02</v>
      </c>
      <c r="H231">
        <v>-128.99</v>
      </c>
      <c r="I231">
        <v>86.97</v>
      </c>
      <c r="J231">
        <v>594.38</v>
      </c>
      <c r="K231">
        <v>-739</v>
      </c>
      <c r="L231">
        <v>-923</v>
      </c>
      <c r="M231" s="2">
        <v>1062</v>
      </c>
      <c r="N231" s="2">
        <v>1276</v>
      </c>
      <c r="O231" s="2">
        <v>2027.43</v>
      </c>
      <c r="P231" s="2">
        <v>1792.28</v>
      </c>
      <c r="Q231" s="2">
        <v>1693.44</v>
      </c>
      <c r="R231" s="2">
        <v>1968.94</v>
      </c>
      <c r="S231" s="2">
        <v>1874</v>
      </c>
    </row>
    <row r="232" spans="1:19" x14ac:dyDescent="0.25">
      <c r="A232" t="s">
        <v>102</v>
      </c>
      <c r="B232">
        <v>4.33</v>
      </c>
      <c r="C232">
        <v>16.79</v>
      </c>
      <c r="D232">
        <v>7.09</v>
      </c>
      <c r="E232">
        <v>8.5500000000000007</v>
      </c>
      <c r="F232">
        <v>18.420000000000002</v>
      </c>
      <c r="G232">
        <v>81.709999999999994</v>
      </c>
      <c r="I232">
        <v>15.7</v>
      </c>
      <c r="J232">
        <v>12.22</v>
      </c>
      <c r="K232">
        <v>17.399999999999999</v>
      </c>
      <c r="M232">
        <v>14.28</v>
      </c>
      <c r="N232">
        <v>19.11</v>
      </c>
      <c r="O232">
        <v>18.89</v>
      </c>
      <c r="P232">
        <v>19.05</v>
      </c>
      <c r="Q232">
        <v>19.38</v>
      </c>
      <c r="R232">
        <v>19.88</v>
      </c>
    </row>
    <row r="233" spans="1:19" x14ac:dyDescent="0.25">
      <c r="A233" t="s">
        <v>17</v>
      </c>
    </row>
    <row r="234" spans="1:19" x14ac:dyDescent="0.25">
      <c r="A234" t="s">
        <v>2393</v>
      </c>
      <c r="H234">
        <v>18.5</v>
      </c>
      <c r="I234">
        <v>213.14</v>
      </c>
      <c r="J234">
        <v>79.78</v>
      </c>
      <c r="K234">
        <v>185</v>
      </c>
      <c r="L234">
        <v>236</v>
      </c>
      <c r="M234">
        <v>308</v>
      </c>
      <c r="N234">
        <v>439</v>
      </c>
      <c r="O234">
        <v>505.11</v>
      </c>
      <c r="P234">
        <v>585.86</v>
      </c>
      <c r="Q234">
        <v>599.11</v>
      </c>
      <c r="R234">
        <v>550.5</v>
      </c>
    </row>
    <row r="235" spans="1:19" x14ac:dyDescent="0.25">
      <c r="A235" t="s">
        <v>17</v>
      </c>
    </row>
    <row r="236" spans="1:19" x14ac:dyDescent="0.25">
      <c r="A236" t="s">
        <v>2394</v>
      </c>
      <c r="B236" s="2">
        <v>2373.9899999999998</v>
      </c>
      <c r="C236">
        <v>729.92</v>
      </c>
      <c r="D236">
        <v>350.5</v>
      </c>
      <c r="E236">
        <v>970.31</v>
      </c>
      <c r="F236" s="2">
        <v>1443.64</v>
      </c>
      <c r="G236">
        <v>19.25</v>
      </c>
      <c r="H236" s="2">
        <v>1536.84</v>
      </c>
      <c r="I236">
        <v>466.8</v>
      </c>
      <c r="J236" s="2">
        <v>4267.8999999999996</v>
      </c>
      <c r="K236" s="2">
        <v>-3507</v>
      </c>
      <c r="L236" s="2">
        <v>6509</v>
      </c>
      <c r="M236" s="2">
        <v>6373</v>
      </c>
      <c r="N236" s="2">
        <v>5401</v>
      </c>
      <c r="O236" s="2">
        <v>3896.56</v>
      </c>
      <c r="P236" s="2">
        <v>5419.91</v>
      </c>
      <c r="Q236" s="2">
        <v>7895.37</v>
      </c>
      <c r="R236" s="2">
        <v>8418.48</v>
      </c>
    </row>
    <row r="237" spans="1:19" x14ac:dyDescent="0.25">
      <c r="A237" t="s">
        <v>2395</v>
      </c>
      <c r="B237" s="2">
        <v>1714.6</v>
      </c>
      <c r="C237">
        <v>561.69000000000005</v>
      </c>
      <c r="D237">
        <v>216</v>
      </c>
      <c r="E237">
        <v>567.46</v>
      </c>
      <c r="F237">
        <v>814.54</v>
      </c>
      <c r="G237">
        <v>29.63</v>
      </c>
      <c r="H237">
        <v>693.65</v>
      </c>
      <c r="I237">
        <v>310.19</v>
      </c>
      <c r="J237" s="2">
        <v>2429.4</v>
      </c>
      <c r="K237" s="2">
        <v>-1546</v>
      </c>
      <c r="L237" s="2">
        <v>1462</v>
      </c>
      <c r="M237" s="2">
        <v>1796</v>
      </c>
      <c r="N237" s="2">
        <v>1909</v>
      </c>
      <c r="O237" s="2">
        <v>1662</v>
      </c>
      <c r="P237" s="2">
        <v>1404</v>
      </c>
      <c r="Q237">
        <v>721</v>
      </c>
      <c r="R237">
        <v>-448</v>
      </c>
      <c r="S237" s="2">
        <v>-1342</v>
      </c>
    </row>
    <row r="238" spans="1:19" x14ac:dyDescent="0.25">
      <c r="A238" t="s">
        <v>106</v>
      </c>
      <c r="B238">
        <v>659.39</v>
      </c>
      <c r="C238">
        <v>168.23</v>
      </c>
      <c r="D238">
        <v>134.5</v>
      </c>
      <c r="E238">
        <v>402.85</v>
      </c>
      <c r="F238">
        <v>629.1</v>
      </c>
      <c r="G238">
        <v>-10.38</v>
      </c>
      <c r="H238">
        <v>843.19</v>
      </c>
      <c r="I238">
        <v>156.61000000000001</v>
      </c>
      <c r="J238" s="2">
        <v>1838.49</v>
      </c>
      <c r="K238" s="2">
        <v>-1961</v>
      </c>
      <c r="L238" s="2">
        <v>5047</v>
      </c>
      <c r="M238" s="2">
        <v>4577</v>
      </c>
      <c r="N238" s="2">
        <v>3492</v>
      </c>
      <c r="O238" s="2">
        <v>3165.41</v>
      </c>
      <c r="P238" s="2">
        <v>3634.03</v>
      </c>
      <c r="Q238" s="2">
        <v>7652.94</v>
      </c>
      <c r="R238" s="2">
        <v>8419.48</v>
      </c>
    </row>
    <row r="239" spans="1:19" x14ac:dyDescent="0.25">
      <c r="A239" t="s">
        <v>597</v>
      </c>
      <c r="B239">
        <v>0</v>
      </c>
      <c r="C239">
        <v>0</v>
      </c>
      <c r="D239">
        <v>0</v>
      </c>
      <c r="E239">
        <v>0</v>
      </c>
      <c r="F239">
        <v>13.54</v>
      </c>
      <c r="G239">
        <v>31.66</v>
      </c>
      <c r="H239">
        <v>36.659999999999997</v>
      </c>
      <c r="I239">
        <v>36.659999999999997</v>
      </c>
      <c r="J239">
        <v>36.659999999999997</v>
      </c>
      <c r="K239">
        <v>0</v>
      </c>
      <c r="L239">
        <v>46</v>
      </c>
      <c r="M239">
        <v>97</v>
      </c>
      <c r="N239">
        <v>97</v>
      </c>
      <c r="O239">
        <v>97.85</v>
      </c>
      <c r="P239">
        <v>91.45</v>
      </c>
      <c r="Q239">
        <v>97.93</v>
      </c>
      <c r="R239">
        <v>98</v>
      </c>
      <c r="S239">
        <v>97</v>
      </c>
    </row>
    <row r="240" spans="1:19" x14ac:dyDescent="0.25">
      <c r="A240" t="s">
        <v>17</v>
      </c>
    </row>
    <row r="241" spans="1:19" x14ac:dyDescent="0.25">
      <c r="A241" t="s">
        <v>1423</v>
      </c>
      <c r="B241">
        <v>142.21</v>
      </c>
      <c r="C241">
        <v>155.35</v>
      </c>
      <c r="D241">
        <v>173.27</v>
      </c>
      <c r="E241">
        <v>184</v>
      </c>
      <c r="F241">
        <v>192.58</v>
      </c>
      <c r="G241">
        <v>199.95</v>
      </c>
      <c r="H241">
        <v>208.75</v>
      </c>
      <c r="I241">
        <v>227.53</v>
      </c>
      <c r="J241">
        <v>236.57</v>
      </c>
      <c r="K241">
        <v>584.70000000000005</v>
      </c>
      <c r="L241">
        <v>588.79999999999995</v>
      </c>
      <c r="M241">
        <v>604.04</v>
      </c>
      <c r="N241">
        <v>593.66</v>
      </c>
      <c r="O241">
        <v>597.88</v>
      </c>
      <c r="P241">
        <v>599.16999999999996</v>
      </c>
      <c r="Q241">
        <v>598</v>
      </c>
      <c r="R241">
        <v>598</v>
      </c>
    </row>
    <row r="242" spans="1:19" x14ac:dyDescent="0.25">
      <c r="A242" t="s">
        <v>110</v>
      </c>
      <c r="B242">
        <v>4.03</v>
      </c>
      <c r="C242">
        <v>0.62</v>
      </c>
      <c r="D242">
        <v>0.61</v>
      </c>
      <c r="E242">
        <v>2.11</v>
      </c>
      <c r="F242">
        <v>3.12</v>
      </c>
      <c r="G242">
        <v>-0.3</v>
      </c>
      <c r="H242">
        <v>3.71</v>
      </c>
      <c r="I242">
        <v>0.44</v>
      </c>
      <c r="J242">
        <v>7.32</v>
      </c>
      <c r="K242">
        <v>-3.35</v>
      </c>
      <c r="L242">
        <v>8.49</v>
      </c>
      <c r="M242">
        <v>7.42</v>
      </c>
      <c r="N242">
        <v>5.54</v>
      </c>
      <c r="O242">
        <v>6.23</v>
      </c>
      <c r="P242">
        <v>10.02</v>
      </c>
      <c r="Q242">
        <v>12.49</v>
      </c>
      <c r="R242">
        <v>14.6</v>
      </c>
      <c r="S242">
        <v>16.78</v>
      </c>
    </row>
    <row r="243" spans="1:19" x14ac:dyDescent="0.25">
      <c r="A243" t="s">
        <v>2396</v>
      </c>
      <c r="B243">
        <v>4.03</v>
      </c>
      <c r="C243">
        <v>0.62</v>
      </c>
      <c r="D243">
        <v>0.76</v>
      </c>
      <c r="E243">
        <v>2.31</v>
      </c>
      <c r="F243">
        <v>2.19</v>
      </c>
      <c r="G243">
        <v>-0.32</v>
      </c>
      <c r="H243">
        <v>3.9</v>
      </c>
      <c r="I243">
        <v>0.57999999999999996</v>
      </c>
      <c r="J243">
        <v>7.65</v>
      </c>
      <c r="K243">
        <v>-3.14</v>
      </c>
      <c r="L243">
        <v>8.75</v>
      </c>
      <c r="M243">
        <v>8</v>
      </c>
      <c r="N243">
        <v>6.35</v>
      </c>
    </row>
    <row r="244" spans="1:19" x14ac:dyDescent="0.25">
      <c r="A244" t="s">
        <v>17</v>
      </c>
    </row>
    <row r="245" spans="1:19" x14ac:dyDescent="0.25">
      <c r="A245" t="s">
        <v>2397</v>
      </c>
      <c r="B245">
        <v>549.73</v>
      </c>
      <c r="C245">
        <v>483.14</v>
      </c>
      <c r="D245">
        <v>339.61</v>
      </c>
      <c r="E245">
        <v>230</v>
      </c>
      <c r="F245">
        <v>353.22</v>
      </c>
      <c r="G245">
        <v>385.9</v>
      </c>
      <c r="H245">
        <v>417.39</v>
      </c>
      <c r="I245">
        <v>459.61</v>
      </c>
      <c r="J245">
        <v>449.48</v>
      </c>
      <c r="K245">
        <v>935.52</v>
      </c>
      <c r="L245" s="2">
        <v>1000.01</v>
      </c>
      <c r="M245" s="2">
        <v>1060.79</v>
      </c>
      <c r="N245" s="2">
        <v>1202.48</v>
      </c>
      <c r="O245" s="2">
        <v>1320.94</v>
      </c>
      <c r="P245" s="2">
        <v>1459.45</v>
      </c>
      <c r="Q245" s="2">
        <v>1610.71</v>
      </c>
      <c r="R245" s="2">
        <v>1763.92</v>
      </c>
      <c r="S245" s="2">
        <v>1907.45</v>
      </c>
    </row>
    <row r="246" spans="1:19" x14ac:dyDescent="0.25">
      <c r="A246" t="s">
        <v>2398</v>
      </c>
      <c r="B246">
        <v>3.95</v>
      </c>
      <c r="C246">
        <v>3.11</v>
      </c>
      <c r="D246">
        <v>1.96</v>
      </c>
      <c r="E246">
        <v>1.25</v>
      </c>
      <c r="F246">
        <v>1.85</v>
      </c>
      <c r="G246">
        <v>1.93</v>
      </c>
      <c r="H246">
        <v>2.02</v>
      </c>
      <c r="I246">
        <v>2.02</v>
      </c>
      <c r="J246">
        <v>1.9</v>
      </c>
      <c r="K246">
        <v>1.6</v>
      </c>
      <c r="L246">
        <v>1.72</v>
      </c>
      <c r="M246">
        <v>1.81</v>
      </c>
      <c r="N246">
        <v>2.04</v>
      </c>
      <c r="O246">
        <v>2.2400000000000002</v>
      </c>
      <c r="P246">
        <v>2.4700000000000002</v>
      </c>
      <c r="Q246">
        <v>2.73</v>
      </c>
      <c r="R246">
        <v>2.99</v>
      </c>
      <c r="S246">
        <v>3.23</v>
      </c>
    </row>
    <row r="247" spans="1:19" x14ac:dyDescent="0.25">
      <c r="A247" t="s">
        <v>2399</v>
      </c>
      <c r="B247">
        <v>97.34</v>
      </c>
      <c r="C247">
        <v>502.45</v>
      </c>
      <c r="D247">
        <v>320.39</v>
      </c>
      <c r="E247">
        <v>59.27</v>
      </c>
      <c r="F247">
        <v>59.37</v>
      </c>
      <c r="H247">
        <v>54.11</v>
      </c>
      <c r="I247">
        <v>455.05</v>
      </c>
      <c r="J247">
        <v>25.97</v>
      </c>
      <c r="L247">
        <v>20</v>
      </c>
      <c r="M247">
        <v>23.68</v>
      </c>
      <c r="N247">
        <v>35.42</v>
      </c>
      <c r="O247">
        <v>25.53</v>
      </c>
      <c r="P247">
        <v>22.85</v>
      </c>
      <c r="Q247">
        <v>21.5</v>
      </c>
      <c r="R247">
        <v>21.49</v>
      </c>
      <c r="S247">
        <v>19.7</v>
      </c>
    </row>
    <row r="248" spans="1:19" x14ac:dyDescent="0.25">
      <c r="A248" t="s">
        <v>17</v>
      </c>
    </row>
    <row r="249" spans="1:19" x14ac:dyDescent="0.25">
      <c r="A249" t="s">
        <v>134</v>
      </c>
    </row>
    <row r="250" spans="1:19" x14ac:dyDescent="0.25">
      <c r="A250" t="s">
        <v>135</v>
      </c>
    </row>
    <row r="251" spans="1:19" x14ac:dyDescent="0.25">
      <c r="A251" t="s">
        <v>536</v>
      </c>
      <c r="B251" s="2">
        <v>2174.71</v>
      </c>
      <c r="C251" s="2">
        <v>2294.62</v>
      </c>
      <c r="D251">
        <v>674.12</v>
      </c>
      <c r="E251">
        <v>854.98</v>
      </c>
      <c r="F251">
        <v>844.19</v>
      </c>
      <c r="G251">
        <v>659.42</v>
      </c>
      <c r="H251" s="2">
        <v>1601.53</v>
      </c>
      <c r="I251" s="2">
        <v>2448.8200000000002</v>
      </c>
      <c r="J251" s="2">
        <v>1380.45</v>
      </c>
      <c r="K251" s="2">
        <v>9452</v>
      </c>
      <c r="L251" s="2">
        <v>15928</v>
      </c>
      <c r="M251" s="2">
        <v>16166</v>
      </c>
      <c r="N251" s="2">
        <v>18671</v>
      </c>
    </row>
    <row r="252" spans="1:19" x14ac:dyDescent="0.25">
      <c r="A252" t="s">
        <v>408</v>
      </c>
      <c r="B252">
        <v>9.1999999999999993</v>
      </c>
      <c r="C252">
        <v>6.35</v>
      </c>
      <c r="D252">
        <v>5.7</v>
      </c>
      <c r="E252">
        <v>4.68</v>
      </c>
      <c r="F252">
        <v>3.88</v>
      </c>
      <c r="G252">
        <v>3.46</v>
      </c>
      <c r="H252">
        <v>19.78</v>
      </c>
      <c r="I252">
        <v>17.71</v>
      </c>
      <c r="J252">
        <v>707.89</v>
      </c>
      <c r="K252" s="2">
        <v>1676</v>
      </c>
      <c r="L252" s="2">
        <v>1763</v>
      </c>
      <c r="M252">
        <v>946</v>
      </c>
      <c r="N252" s="2">
        <v>1351</v>
      </c>
      <c r="O252" s="2">
        <v>1533.28</v>
      </c>
      <c r="P252" s="2">
        <v>1592.28</v>
      </c>
      <c r="Q252" s="2">
        <v>1675.74</v>
      </c>
      <c r="R252" s="2">
        <v>1739.21</v>
      </c>
    </row>
    <row r="253" spans="1:19" x14ac:dyDescent="0.25">
      <c r="A253" t="s">
        <v>2400</v>
      </c>
      <c r="B253" s="2">
        <v>16520.25</v>
      </c>
      <c r="C253" s="2">
        <v>18538.66</v>
      </c>
      <c r="D253" s="2">
        <v>2065.3200000000002</v>
      </c>
      <c r="E253" s="2">
        <v>2408.5700000000002</v>
      </c>
      <c r="F253" s="2">
        <v>3291.74</v>
      </c>
      <c r="G253" s="2">
        <v>4291.22</v>
      </c>
      <c r="H253" s="2">
        <v>5377.42</v>
      </c>
      <c r="I253" s="2">
        <v>19128.41</v>
      </c>
      <c r="J253" s="2">
        <v>26090.63</v>
      </c>
      <c r="K253" s="2">
        <v>220098</v>
      </c>
      <c r="L253" s="2">
        <v>266315</v>
      </c>
      <c r="M253" s="2">
        <v>323483</v>
      </c>
      <c r="N253" s="2">
        <v>395803</v>
      </c>
    </row>
    <row r="254" spans="1:19" x14ac:dyDescent="0.25">
      <c r="A254" t="s">
        <v>2401</v>
      </c>
      <c r="B254">
        <v>317.25</v>
      </c>
      <c r="C254">
        <v>268.02</v>
      </c>
      <c r="D254">
        <v>247.84</v>
      </c>
      <c r="E254">
        <v>254.85</v>
      </c>
      <c r="F254">
        <v>262.58999999999997</v>
      </c>
      <c r="G254">
        <v>378.11</v>
      </c>
      <c r="H254">
        <v>415.07</v>
      </c>
      <c r="I254">
        <v>462.38</v>
      </c>
      <c r="J254">
        <v>489.59</v>
      </c>
      <c r="K254">
        <v>465</v>
      </c>
      <c r="L254">
        <v>449</v>
      </c>
      <c r="M254">
        <v>584</v>
      </c>
      <c r="N254">
        <v>647</v>
      </c>
      <c r="O254">
        <v>940.58</v>
      </c>
      <c r="P254">
        <v>984.2</v>
      </c>
      <c r="Q254" s="2">
        <v>1032.18</v>
      </c>
      <c r="R254" s="2">
        <v>1040.1400000000001</v>
      </c>
    </row>
    <row r="255" spans="1:19" x14ac:dyDescent="0.25">
      <c r="A255" t="s">
        <v>141</v>
      </c>
      <c r="B255" s="2">
        <v>2287.08</v>
      </c>
      <c r="C255">
        <v>911.67</v>
      </c>
      <c r="D255">
        <v>643.91</v>
      </c>
      <c r="E255" s="2">
        <v>1257.1099999999999</v>
      </c>
      <c r="F255" s="2">
        <v>1872.11</v>
      </c>
      <c r="G255">
        <v>6.79</v>
      </c>
      <c r="H255">
        <v>2.41</v>
      </c>
      <c r="I255">
        <v>5.23</v>
      </c>
      <c r="J255">
        <v>4.24</v>
      </c>
      <c r="K255" s="2">
        <v>4358</v>
      </c>
      <c r="L255" s="2">
        <v>4154</v>
      </c>
      <c r="M255" s="2">
        <v>8194</v>
      </c>
      <c r="N255" s="2">
        <v>10282</v>
      </c>
      <c r="O255" s="2">
        <v>10991.99</v>
      </c>
      <c r="P255" s="2">
        <v>11395.54</v>
      </c>
      <c r="Q255" s="2">
        <v>12067.14</v>
      </c>
      <c r="R255" s="2">
        <v>11939.57</v>
      </c>
    </row>
    <row r="256" spans="1:19" x14ac:dyDescent="0.25">
      <c r="A256" t="s">
        <v>312</v>
      </c>
      <c r="H256">
        <v>190.7</v>
      </c>
      <c r="I256">
        <v>295.10000000000002</v>
      </c>
      <c r="J256">
        <v>450.53</v>
      </c>
    </row>
    <row r="257" spans="1:19" x14ac:dyDescent="0.25">
      <c r="A257" t="s">
        <v>152</v>
      </c>
      <c r="B257">
        <v>49.24</v>
      </c>
      <c r="C257">
        <v>49.24</v>
      </c>
      <c r="D257">
        <v>88.85</v>
      </c>
      <c r="E257">
        <v>88.85</v>
      </c>
      <c r="F257">
        <v>88.85</v>
      </c>
      <c r="G257">
        <v>88.85</v>
      </c>
      <c r="H257">
        <v>93.91</v>
      </c>
      <c r="I257">
        <v>116.96</v>
      </c>
      <c r="J257">
        <v>116.96</v>
      </c>
      <c r="K257" s="2">
        <v>4322</v>
      </c>
      <c r="L257" s="2">
        <v>4329</v>
      </c>
      <c r="M257" s="2">
        <v>4327</v>
      </c>
      <c r="N257" s="2">
        <v>5920</v>
      </c>
      <c r="O257" s="2">
        <v>6106.82</v>
      </c>
      <c r="P257" s="2">
        <v>6530.13</v>
      </c>
      <c r="Q257" s="2">
        <v>7003.13</v>
      </c>
      <c r="R257" s="2">
        <v>3060.82</v>
      </c>
      <c r="S257">
        <v>0</v>
      </c>
    </row>
    <row r="258" spans="1:19" x14ac:dyDescent="0.25">
      <c r="A258" t="s">
        <v>151</v>
      </c>
      <c r="B258">
        <v>94.93</v>
      </c>
      <c r="C258">
        <v>60.04</v>
      </c>
      <c r="D258">
        <v>28.62</v>
      </c>
      <c r="E258">
        <v>22.72</v>
      </c>
      <c r="F258">
        <v>18.84</v>
      </c>
      <c r="G258">
        <v>18.899999999999999</v>
      </c>
      <c r="H258">
        <v>20.62</v>
      </c>
      <c r="I258">
        <v>23.59</v>
      </c>
      <c r="J258">
        <v>14.85</v>
      </c>
      <c r="K258">
        <v>264</v>
      </c>
      <c r="L258">
        <v>264</v>
      </c>
      <c r="M258">
        <v>264</v>
      </c>
      <c r="N258" s="2">
        <v>1848</v>
      </c>
    </row>
    <row r="259" spans="1:19" x14ac:dyDescent="0.25">
      <c r="A259" t="s">
        <v>2402</v>
      </c>
      <c r="B259">
        <v>660.2</v>
      </c>
      <c r="C259">
        <v>606.72</v>
      </c>
      <c r="D259">
        <v>646.21</v>
      </c>
      <c r="E259">
        <v>572.26</v>
      </c>
      <c r="F259">
        <v>337.64</v>
      </c>
      <c r="G259">
        <v>306.08999999999997</v>
      </c>
      <c r="H259">
        <v>473.17</v>
      </c>
      <c r="I259">
        <v>539.24</v>
      </c>
      <c r="J259">
        <v>424.13</v>
      </c>
      <c r="K259">
        <v>602</v>
      </c>
      <c r="L259">
        <v>718</v>
      </c>
      <c r="M259">
        <v>715</v>
      </c>
      <c r="N259">
        <v>629</v>
      </c>
    </row>
    <row r="260" spans="1:19" x14ac:dyDescent="0.25">
      <c r="A260" t="s">
        <v>514</v>
      </c>
      <c r="B260">
        <v>324.89</v>
      </c>
      <c r="C260">
        <v>437.48</v>
      </c>
      <c r="D260">
        <v>159.26</v>
      </c>
      <c r="E260">
        <v>165.53</v>
      </c>
      <c r="F260">
        <v>271.24</v>
      </c>
      <c r="G260">
        <v>238.81</v>
      </c>
      <c r="H260">
        <v>368.14</v>
      </c>
      <c r="I260">
        <v>655.23</v>
      </c>
      <c r="J260">
        <v>837.48</v>
      </c>
      <c r="K260" s="2">
        <v>16846</v>
      </c>
      <c r="L260" s="2">
        <v>20550</v>
      </c>
      <c r="M260" s="2">
        <v>24195</v>
      </c>
      <c r="N260" s="2">
        <v>28275</v>
      </c>
    </row>
    <row r="261" spans="1:19" x14ac:dyDescent="0.25">
      <c r="A261" t="s">
        <v>155</v>
      </c>
      <c r="B261" s="2">
        <v>22477.98</v>
      </c>
      <c r="C261" s="2">
        <v>23172.79</v>
      </c>
      <c r="D261" s="2">
        <v>4559.8100000000004</v>
      </c>
      <c r="E261" s="2">
        <v>5629.55</v>
      </c>
      <c r="F261" s="2">
        <v>6991.07</v>
      </c>
      <c r="G261" s="2">
        <v>5991.65</v>
      </c>
      <c r="H261" s="2">
        <v>8542.1200000000008</v>
      </c>
      <c r="I261" s="2">
        <v>23669.08</v>
      </c>
      <c r="J261" s="2">
        <v>30501.89</v>
      </c>
      <c r="K261" s="2">
        <v>257217</v>
      </c>
      <c r="L261" s="2">
        <v>313488</v>
      </c>
      <c r="M261" s="2">
        <v>377895</v>
      </c>
      <c r="N261" s="2">
        <v>460949</v>
      </c>
      <c r="O261" s="2">
        <v>488753.75</v>
      </c>
      <c r="P261" s="2">
        <v>527644.63</v>
      </c>
      <c r="Q261" s="2">
        <v>558848.68999999994</v>
      </c>
      <c r="R261" s="2">
        <v>590778.17000000004</v>
      </c>
      <c r="S261" s="2">
        <v>537526</v>
      </c>
    </row>
    <row r="262" spans="1:19" x14ac:dyDescent="0.25">
      <c r="A262" t="s">
        <v>17</v>
      </c>
    </row>
    <row r="263" spans="1:19" x14ac:dyDescent="0.25">
      <c r="A263" t="s">
        <v>156</v>
      </c>
    </row>
    <row r="264" spans="1:19" x14ac:dyDescent="0.25">
      <c r="A264" t="s">
        <v>158</v>
      </c>
      <c r="B264">
        <v>38.159999999999997</v>
      </c>
      <c r="C264">
        <v>44.25</v>
      </c>
      <c r="D264">
        <v>92.01</v>
      </c>
      <c r="E264">
        <v>57.47</v>
      </c>
      <c r="F264">
        <v>68.87</v>
      </c>
      <c r="G264">
        <v>70.88</v>
      </c>
      <c r="H264">
        <v>94.36</v>
      </c>
      <c r="I264">
        <v>119.98</v>
      </c>
      <c r="J264">
        <v>145.05000000000001</v>
      </c>
      <c r="K264" s="2">
        <v>2975</v>
      </c>
      <c r="L264" s="2">
        <v>3338</v>
      </c>
      <c r="M264" s="2">
        <v>3616</v>
      </c>
      <c r="N264" s="2">
        <v>3861</v>
      </c>
      <c r="O264" s="2">
        <v>4146.4399999999996</v>
      </c>
      <c r="P264" s="2">
        <v>4298.9399999999996</v>
      </c>
      <c r="Q264" s="2">
        <v>4550.8900000000003</v>
      </c>
      <c r="R264" s="2">
        <v>4511.8900000000003</v>
      </c>
    </row>
    <row r="265" spans="1:19" x14ac:dyDescent="0.25">
      <c r="A265" t="s">
        <v>2403</v>
      </c>
      <c r="B265">
        <v>41.71</v>
      </c>
      <c r="C265">
        <v>59.28</v>
      </c>
      <c r="D265">
        <v>54.84</v>
      </c>
      <c r="E265">
        <v>52.75</v>
      </c>
      <c r="F265">
        <v>62.47</v>
      </c>
      <c r="G265">
        <v>73.58</v>
      </c>
      <c r="H265">
        <v>64.39</v>
      </c>
      <c r="I265">
        <v>82.34</v>
      </c>
      <c r="J265">
        <v>130.11000000000001</v>
      </c>
    </row>
    <row r="266" spans="1:19" x14ac:dyDescent="0.25">
      <c r="A266" t="s">
        <v>2404</v>
      </c>
      <c r="B266">
        <v>595.37</v>
      </c>
      <c r="C266">
        <v>565.15</v>
      </c>
      <c r="D266">
        <v>594.54</v>
      </c>
      <c r="E266">
        <v>638.13</v>
      </c>
      <c r="F266">
        <v>428.01</v>
      </c>
      <c r="G266">
        <v>425.44</v>
      </c>
      <c r="H266">
        <v>501.39</v>
      </c>
      <c r="I266">
        <v>608.47</v>
      </c>
      <c r="J266" s="2">
        <v>1222.4000000000001</v>
      </c>
      <c r="K266">
        <v>998</v>
      </c>
      <c r="L266">
        <v>870</v>
      </c>
      <c r="M266">
        <v>710</v>
      </c>
      <c r="N266" s="2">
        <v>1062</v>
      </c>
      <c r="O266" s="2">
        <v>1217.78</v>
      </c>
      <c r="P266" s="2">
        <v>1261.0899999999999</v>
      </c>
      <c r="Q266" s="2">
        <v>1342.68</v>
      </c>
      <c r="R266" s="2">
        <v>1281.46</v>
      </c>
    </row>
    <row r="267" spans="1:19" x14ac:dyDescent="0.25">
      <c r="A267" t="s">
        <v>2405</v>
      </c>
      <c r="K267" s="2">
        <v>6707</v>
      </c>
      <c r="L267" s="2">
        <v>7536</v>
      </c>
      <c r="M267" s="2">
        <v>11652</v>
      </c>
      <c r="N267" s="2">
        <v>11085</v>
      </c>
      <c r="O267" s="2">
        <v>10758.28</v>
      </c>
      <c r="P267" s="2">
        <v>11247.04</v>
      </c>
      <c r="Q267" s="2">
        <v>11983.39</v>
      </c>
      <c r="R267" s="2">
        <v>12872.96</v>
      </c>
    </row>
    <row r="268" spans="1:19" x14ac:dyDescent="0.25">
      <c r="A268" t="s">
        <v>315</v>
      </c>
      <c r="B268" s="2">
        <v>13173.96</v>
      </c>
      <c r="C268" s="2">
        <v>15151.07</v>
      </c>
      <c r="D268" s="2">
        <v>1826.53</v>
      </c>
      <c r="E268" s="2">
        <v>2138.9899999999998</v>
      </c>
      <c r="F268" s="2">
        <v>2364.4699999999998</v>
      </c>
      <c r="G268" s="2">
        <v>2215.91</v>
      </c>
      <c r="H268" s="2">
        <v>3500.75</v>
      </c>
      <c r="I268" s="2">
        <v>11815.74</v>
      </c>
      <c r="J268" s="2">
        <v>3134.4</v>
      </c>
      <c r="K268" s="2">
        <v>6472</v>
      </c>
      <c r="L268" s="2">
        <v>8092</v>
      </c>
      <c r="M268" s="2">
        <v>14616</v>
      </c>
      <c r="N268" s="2">
        <v>18294</v>
      </c>
    </row>
    <row r="269" spans="1:19" x14ac:dyDescent="0.25">
      <c r="A269" t="s">
        <v>2406</v>
      </c>
      <c r="K269" s="2">
        <v>2814</v>
      </c>
      <c r="L269" s="2">
        <v>3883</v>
      </c>
      <c r="M269" s="2">
        <v>4279</v>
      </c>
      <c r="N269" s="2">
        <v>5516</v>
      </c>
      <c r="O269" s="2">
        <v>6227.11</v>
      </c>
      <c r="P269" s="2">
        <v>6797.85</v>
      </c>
      <c r="Q269" s="2">
        <v>7257.3</v>
      </c>
      <c r="R269" s="2">
        <v>8212.35</v>
      </c>
    </row>
    <row r="270" spans="1:19" x14ac:dyDescent="0.25">
      <c r="A270" t="s">
        <v>2407</v>
      </c>
      <c r="K270" s="2">
        <v>3658</v>
      </c>
      <c r="L270" s="2">
        <v>4209</v>
      </c>
      <c r="M270" s="2">
        <v>6309</v>
      </c>
      <c r="N270" s="2">
        <v>7848</v>
      </c>
      <c r="O270" s="2">
        <v>7982.21</v>
      </c>
      <c r="P270" s="2">
        <v>8559.7000000000007</v>
      </c>
      <c r="Q270" s="2">
        <v>9313.23</v>
      </c>
      <c r="R270" s="2">
        <v>10688.38</v>
      </c>
    </row>
    <row r="271" spans="1:19" x14ac:dyDescent="0.25">
      <c r="A271" t="s">
        <v>2408</v>
      </c>
      <c r="B271">
        <v>668.34</v>
      </c>
      <c r="C271">
        <v>775.12</v>
      </c>
      <c r="D271">
        <v>129.37</v>
      </c>
      <c r="E271">
        <v>149.65</v>
      </c>
      <c r="F271">
        <v>289.02999999999997</v>
      </c>
      <c r="G271">
        <v>190.77</v>
      </c>
      <c r="H271">
        <v>290.31</v>
      </c>
      <c r="I271" s="2">
        <v>1068.6600000000001</v>
      </c>
      <c r="J271" s="2">
        <v>1282.46</v>
      </c>
      <c r="K271" s="2">
        <v>224617</v>
      </c>
      <c r="L271" s="2">
        <v>268407</v>
      </c>
      <c r="M271" s="2">
        <v>316321</v>
      </c>
      <c r="N271" s="2">
        <v>384132</v>
      </c>
    </row>
    <row r="272" spans="1:19" x14ac:dyDescent="0.25">
      <c r="A272" t="s">
        <v>167</v>
      </c>
      <c r="B272" s="2">
        <v>15789.26</v>
      </c>
      <c r="C272" s="2">
        <v>17229.330000000002</v>
      </c>
      <c r="D272" s="2">
        <v>3170.83</v>
      </c>
      <c r="E272" s="2">
        <v>3762.03</v>
      </c>
      <c r="F272" s="2">
        <v>4093.27</v>
      </c>
      <c r="G272" s="2">
        <v>3539.81</v>
      </c>
      <c r="H272" s="2">
        <v>5503.99</v>
      </c>
      <c r="I272" s="2">
        <v>17373.12</v>
      </c>
      <c r="J272" s="2">
        <v>18537.490000000002</v>
      </c>
      <c r="K272" s="2">
        <v>241819</v>
      </c>
      <c r="L272" s="2">
        <v>288243</v>
      </c>
      <c r="M272" s="2">
        <v>346915</v>
      </c>
      <c r="N272" s="2">
        <v>418434</v>
      </c>
      <c r="O272" s="2">
        <v>444383.52</v>
      </c>
      <c r="P272" s="2">
        <v>475399.58</v>
      </c>
      <c r="Q272" s="2">
        <v>502432.88</v>
      </c>
      <c r="R272" s="2">
        <v>522315.82</v>
      </c>
      <c r="S272" s="2">
        <v>462685</v>
      </c>
    </row>
    <row r="273" spans="1:19" x14ac:dyDescent="0.25">
      <c r="A273" t="s">
        <v>170</v>
      </c>
      <c r="B273" s="2">
        <v>6688.72</v>
      </c>
      <c r="C273" s="2">
        <v>5943.46</v>
      </c>
      <c r="D273" s="2">
        <v>1388.98</v>
      </c>
      <c r="E273" s="2">
        <v>1867.53</v>
      </c>
      <c r="F273" s="2">
        <v>2897.8</v>
      </c>
      <c r="G273" s="2">
        <v>2451.84</v>
      </c>
      <c r="H273" s="2">
        <v>3038.13</v>
      </c>
      <c r="I273" s="2">
        <v>5513.26</v>
      </c>
      <c r="J273" s="2">
        <v>10194.370000000001</v>
      </c>
      <c r="K273" s="2">
        <v>15398</v>
      </c>
      <c r="L273" s="2">
        <v>25245</v>
      </c>
      <c r="M273" s="2">
        <v>30980</v>
      </c>
      <c r="N273" s="2">
        <v>42515</v>
      </c>
      <c r="O273" s="2">
        <v>44370.23</v>
      </c>
      <c r="P273" s="2">
        <v>52245.05</v>
      </c>
      <c r="Q273" s="2">
        <v>56415.98</v>
      </c>
      <c r="R273" s="2">
        <v>68462.600000000006</v>
      </c>
      <c r="S273" s="2">
        <v>74841</v>
      </c>
    </row>
    <row r="274" spans="1:19" x14ac:dyDescent="0.25">
      <c r="A274" t="s">
        <v>2062</v>
      </c>
      <c r="B274" s="2">
        <v>2637.27</v>
      </c>
      <c r="C274" s="2">
        <v>1786.48</v>
      </c>
      <c r="D274">
        <v>649.51</v>
      </c>
      <c r="E274">
        <v>835.12</v>
      </c>
      <c r="F274" s="2">
        <v>1462.93</v>
      </c>
      <c r="G274" s="2">
        <v>1376.2</v>
      </c>
      <c r="H274" s="2">
        <v>1852.22</v>
      </c>
      <c r="I274" s="2">
        <v>1429.32</v>
      </c>
      <c r="J274" s="2">
        <v>3789.14</v>
      </c>
      <c r="K274" s="2">
        <v>6640</v>
      </c>
      <c r="L274" s="2">
        <v>14044</v>
      </c>
      <c r="M274" s="2">
        <v>17253</v>
      </c>
      <c r="N274" s="2">
        <v>23341</v>
      </c>
      <c r="O274" s="2">
        <v>23508.57</v>
      </c>
      <c r="P274" s="2">
        <v>13762.71</v>
      </c>
      <c r="Q274">
        <v>-912.17</v>
      </c>
      <c r="R274" s="2">
        <v>-16738</v>
      </c>
      <c r="S274" s="2">
        <v>52093</v>
      </c>
    </row>
    <row r="275" spans="1:19" x14ac:dyDescent="0.25">
      <c r="A275" t="s">
        <v>2409</v>
      </c>
      <c r="B275" s="2">
        <v>4051.45</v>
      </c>
      <c r="C275" s="2">
        <v>4156.9799999999996</v>
      </c>
      <c r="D275">
        <v>739.48</v>
      </c>
      <c r="E275" s="2">
        <v>1032.4100000000001</v>
      </c>
      <c r="F275" s="2">
        <v>1434.87</v>
      </c>
      <c r="G275" s="2">
        <v>1075.6400000000001</v>
      </c>
      <c r="H275" s="2">
        <v>1185.9100000000001</v>
      </c>
      <c r="I275" s="2">
        <v>4083.95</v>
      </c>
      <c r="J275" s="2">
        <v>6405.23</v>
      </c>
      <c r="K275" s="2">
        <v>7726</v>
      </c>
      <c r="L275" s="2">
        <v>11189</v>
      </c>
      <c r="M275" s="2">
        <v>13711</v>
      </c>
      <c r="N275" s="2">
        <v>19174</v>
      </c>
      <c r="O275" s="2">
        <v>19136.95</v>
      </c>
      <c r="P275" s="2">
        <v>20195.45</v>
      </c>
      <c r="Q275" s="2">
        <v>21250.63</v>
      </c>
      <c r="R275" s="2">
        <v>23849.33</v>
      </c>
      <c r="S275" s="2">
        <v>22748</v>
      </c>
    </row>
    <row r="276" spans="1:19" x14ac:dyDescent="0.25">
      <c r="A276" t="s">
        <v>2410</v>
      </c>
      <c r="B276">
        <v>0</v>
      </c>
      <c r="C276">
        <v>0</v>
      </c>
      <c r="D276">
        <v>0</v>
      </c>
      <c r="E276">
        <v>0</v>
      </c>
      <c r="F276">
        <v>264.39999999999998</v>
      </c>
      <c r="G276">
        <v>554.21</v>
      </c>
      <c r="H276">
        <v>554.21</v>
      </c>
      <c r="I276">
        <v>575</v>
      </c>
      <c r="J276">
        <v>575</v>
      </c>
      <c r="K276">
        <v>0</v>
      </c>
      <c r="L276" s="2">
        <v>1400</v>
      </c>
      <c r="M276" s="2">
        <v>1398</v>
      </c>
      <c r="N276" s="2">
        <v>1398</v>
      </c>
      <c r="O276" s="2">
        <v>1398</v>
      </c>
      <c r="P276" s="2">
        <v>1398</v>
      </c>
      <c r="Q276" s="2">
        <v>1398</v>
      </c>
      <c r="R276" s="2">
        <v>1398</v>
      </c>
    </row>
    <row r="277" spans="1:19" x14ac:dyDescent="0.25">
      <c r="A277" t="s">
        <v>2411</v>
      </c>
      <c r="B277" s="2">
        <v>2624.58</v>
      </c>
      <c r="C277" s="2">
        <v>2254.2800000000002</v>
      </c>
      <c r="D277" s="2">
        <v>2005.51</v>
      </c>
      <c r="E277" s="2">
        <v>1830.03</v>
      </c>
      <c r="F277" s="2">
        <v>1579.8</v>
      </c>
      <c r="G277" s="2">
        <v>1299.42</v>
      </c>
      <c r="H277" s="2">
        <v>1302.5899999999999</v>
      </c>
      <c r="I277">
        <v>856.39</v>
      </c>
      <c r="J277" s="2">
        <v>2075.62</v>
      </c>
      <c r="K277" s="2">
        <v>14982</v>
      </c>
      <c r="L277" s="2">
        <v>15247</v>
      </c>
      <c r="M277" s="2">
        <v>15327</v>
      </c>
      <c r="N277" s="2">
        <v>16954</v>
      </c>
      <c r="O277" s="2">
        <v>16889.939999999999</v>
      </c>
      <c r="P277" s="2">
        <v>-7686.96</v>
      </c>
      <c r="Q277" s="2">
        <v>-34656.629999999997</v>
      </c>
      <c r="R277" s="2">
        <v>-88217.7</v>
      </c>
    </row>
    <row r="278" spans="1:19" x14ac:dyDescent="0.25">
      <c r="A278" t="s">
        <v>2123</v>
      </c>
      <c r="C278" s="2">
        <v>-1400.66</v>
      </c>
      <c r="D278" s="2">
        <v>-1348.38</v>
      </c>
      <c r="E278">
        <v>-986.19</v>
      </c>
      <c r="F278">
        <v>-379.46</v>
      </c>
      <c r="G278">
        <v>-473.28</v>
      </c>
      <c r="H278">
        <v>0</v>
      </c>
      <c r="I278">
        <v>0</v>
      </c>
      <c r="J278" s="2">
        <v>1143.9000000000001</v>
      </c>
      <c r="K278" s="2">
        <v>-1007</v>
      </c>
      <c r="L278" s="2">
        <v>2972</v>
      </c>
      <c r="M278" s="2">
        <v>6022</v>
      </c>
      <c r="N278" s="2">
        <v>7634</v>
      </c>
      <c r="O278" s="2">
        <v>7852.75</v>
      </c>
      <c r="P278" s="2">
        <v>9630.57</v>
      </c>
      <c r="Q278" s="2">
        <v>11669.63</v>
      </c>
      <c r="R278" s="2">
        <v>14632.87</v>
      </c>
    </row>
    <row r="279" spans="1:19" x14ac:dyDescent="0.25">
      <c r="A279" t="s">
        <v>2412</v>
      </c>
      <c r="B279">
        <v>0.1</v>
      </c>
      <c r="C279">
        <v>-0.31</v>
      </c>
      <c r="D279">
        <v>-7.62</v>
      </c>
      <c r="E279">
        <v>-8.7200000000000006</v>
      </c>
      <c r="F279">
        <v>-1.81</v>
      </c>
      <c r="G279">
        <v>-4.16</v>
      </c>
      <c r="H279">
        <v>-4.58</v>
      </c>
      <c r="I279">
        <v>-2.0699999999999998</v>
      </c>
      <c r="J279">
        <v>-5.37</v>
      </c>
      <c r="K279" s="2">
        <v>-7335</v>
      </c>
      <c r="L279" s="2">
        <v>-5575</v>
      </c>
      <c r="M279" s="2">
        <v>-5494</v>
      </c>
      <c r="N279" s="2">
        <v>-2645</v>
      </c>
      <c r="O279" s="2">
        <v>-3181.41</v>
      </c>
      <c r="P279" s="2">
        <v>-2749.75</v>
      </c>
      <c r="Q279" s="2">
        <v>-1857.98</v>
      </c>
      <c r="R279" s="2">
        <v>-3265.89</v>
      </c>
    </row>
    <row r="280" spans="1:19" x14ac:dyDescent="0.25">
      <c r="A280" t="s">
        <v>2413</v>
      </c>
      <c r="I280">
        <v>782.7</v>
      </c>
      <c r="J280" s="2">
        <v>1770.03</v>
      </c>
      <c r="K280" s="2">
        <v>1032</v>
      </c>
      <c r="L280">
        <v>12</v>
      </c>
      <c r="M280">
        <v>16</v>
      </c>
      <c r="N280">
        <v>0</v>
      </c>
    </row>
    <row r="281" spans="1:19" x14ac:dyDescent="0.25">
      <c r="A281" t="s">
        <v>1235</v>
      </c>
      <c r="B281" s="2">
        <v>4051.45</v>
      </c>
      <c r="C281" s="2">
        <v>4156.9799999999996</v>
      </c>
      <c r="D281">
        <v>739.48</v>
      </c>
      <c r="E281" s="2">
        <v>1032.4100000000001</v>
      </c>
      <c r="F281" s="2">
        <v>1434.87</v>
      </c>
      <c r="G281" s="2">
        <v>1075.6400000000001</v>
      </c>
      <c r="H281" s="2">
        <v>1185.9100000000001</v>
      </c>
      <c r="I281" s="2">
        <v>4866.6499999999996</v>
      </c>
      <c r="J281" s="2">
        <v>8175.26</v>
      </c>
      <c r="K281" s="2">
        <v>8758</v>
      </c>
      <c r="L281" s="2">
        <v>11201</v>
      </c>
      <c r="M281" s="2">
        <v>13727</v>
      </c>
      <c r="N281" s="2">
        <v>19174</v>
      </c>
      <c r="O281" s="2">
        <v>23999.71</v>
      </c>
      <c r="P281" s="2">
        <v>133870.65</v>
      </c>
      <c r="Q281" s="2">
        <v>253874.82</v>
      </c>
      <c r="R281" s="2">
        <v>269255.18</v>
      </c>
    </row>
    <row r="282" spans="1:19" x14ac:dyDescent="0.25">
      <c r="A282" t="s">
        <v>326</v>
      </c>
      <c r="B282" s="2">
        <v>22477.98</v>
      </c>
      <c r="C282" s="2">
        <v>23172.79</v>
      </c>
      <c r="D282" s="2">
        <v>4559.8100000000004</v>
      </c>
      <c r="E282" s="2">
        <v>5629.55</v>
      </c>
      <c r="F282" s="2">
        <v>6991.07</v>
      </c>
      <c r="G282" s="2">
        <v>5991.65</v>
      </c>
      <c r="H282" s="2">
        <v>8542.1200000000008</v>
      </c>
      <c r="I282" s="2">
        <v>23669.08</v>
      </c>
      <c r="J282" s="2">
        <v>30501.89</v>
      </c>
      <c r="K282" s="2">
        <v>257217</v>
      </c>
      <c r="L282" s="2">
        <v>313488</v>
      </c>
      <c r="M282" s="2">
        <v>377895</v>
      </c>
      <c r="N282" s="2">
        <v>460949</v>
      </c>
      <c r="O282" s="2">
        <v>488753.75</v>
      </c>
      <c r="P282" s="2">
        <v>527644.63</v>
      </c>
      <c r="Q282" s="2">
        <v>558848.68999999994</v>
      </c>
      <c r="R282" s="2">
        <v>590778.17000000004</v>
      </c>
      <c r="S282" s="2">
        <v>537526</v>
      </c>
    </row>
    <row r="283" spans="1:19" x14ac:dyDescent="0.25">
      <c r="A283" t="s">
        <v>17</v>
      </c>
    </row>
    <row r="284" spans="1:19" x14ac:dyDescent="0.25">
      <c r="A284" t="s">
        <v>176</v>
      </c>
    </row>
    <row r="285" spans="1:19" x14ac:dyDescent="0.25">
      <c r="A285" t="s">
        <v>183</v>
      </c>
      <c r="B285">
        <v>146.28</v>
      </c>
      <c r="C285">
        <v>163.05000000000001</v>
      </c>
      <c r="D285">
        <v>181.08</v>
      </c>
      <c r="E285">
        <v>185.46</v>
      </c>
      <c r="F285">
        <v>195.27</v>
      </c>
      <c r="G285">
        <v>201.4</v>
      </c>
      <c r="H285">
        <v>222.99</v>
      </c>
      <c r="I285">
        <v>228.87</v>
      </c>
      <c r="J285">
        <v>248.9</v>
      </c>
      <c r="K285">
        <v>570.28</v>
      </c>
      <c r="L285">
        <v>567.76</v>
      </c>
      <c r="M285">
        <v>565.74</v>
      </c>
      <c r="N285">
        <v>578.98</v>
      </c>
      <c r="O285">
        <v>571.54999999999995</v>
      </c>
      <c r="P285">
        <v>568.25</v>
      </c>
      <c r="Q285">
        <v>561.39</v>
      </c>
      <c r="R285">
        <v>576.32000000000005</v>
      </c>
    </row>
    <row r="286" spans="1:19" x14ac:dyDescent="0.25">
      <c r="A286" t="s">
        <v>2414</v>
      </c>
      <c r="D286">
        <v>3.12</v>
      </c>
      <c r="E286">
        <v>209.95</v>
      </c>
      <c r="F286">
        <v>18.47</v>
      </c>
      <c r="G286">
        <v>191</v>
      </c>
      <c r="H286">
        <v>350</v>
      </c>
      <c r="I286">
        <v>538</v>
      </c>
      <c r="J286">
        <v>885</v>
      </c>
      <c r="K286">
        <v>773</v>
      </c>
      <c r="L286">
        <v>804</v>
      </c>
      <c r="M286" s="2">
        <v>1228.0999999999999</v>
      </c>
      <c r="N286" s="2">
        <v>1354.1</v>
      </c>
      <c r="O286" s="2">
        <v>1498.42</v>
      </c>
      <c r="P286" s="2">
        <v>1475.97</v>
      </c>
      <c r="Q286" s="2">
        <v>1523.79</v>
      </c>
      <c r="R286" s="2">
        <v>1810.75</v>
      </c>
    </row>
    <row r="287" spans="1:19" x14ac:dyDescent="0.25">
      <c r="A287" t="s">
        <v>330</v>
      </c>
      <c r="D287">
        <v>0.13</v>
      </c>
      <c r="E287">
        <v>11.16</v>
      </c>
      <c r="F287">
        <v>0.65</v>
      </c>
      <c r="G287">
        <v>8.1</v>
      </c>
      <c r="H287">
        <v>13.4</v>
      </c>
      <c r="I287">
        <v>18.2</v>
      </c>
      <c r="J287">
        <v>23.9</v>
      </c>
      <c r="K287">
        <v>12.87</v>
      </c>
      <c r="L287">
        <v>11.7</v>
      </c>
      <c r="M287">
        <v>10.85</v>
      </c>
      <c r="N287">
        <v>9.27</v>
      </c>
      <c r="O287">
        <v>10.97</v>
      </c>
      <c r="P287">
        <v>10.56</v>
      </c>
      <c r="Q287">
        <v>10.63</v>
      </c>
      <c r="R287">
        <v>12.87</v>
      </c>
    </row>
    <row r="288" spans="1:19" x14ac:dyDescent="0.25">
      <c r="A288" t="s">
        <v>17</v>
      </c>
    </row>
    <row r="289" spans="1:1" x14ac:dyDescent="0.25">
      <c r="A289" t="s">
        <v>231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844B-99B8-4E0F-92CA-95734368CE24}">
  <dimension ref="A1:U320"/>
  <sheetViews>
    <sheetView workbookViewId="0">
      <selection sqref="A1:U320"/>
    </sheetView>
  </sheetViews>
  <sheetFormatPr defaultRowHeight="15" x14ac:dyDescent="0.25"/>
  <sheetData>
    <row r="1" spans="1:21" x14ac:dyDescent="0.25">
      <c r="A1" t="s">
        <v>2415</v>
      </c>
    </row>
    <row r="2" spans="1:21" x14ac:dyDescent="0.25">
      <c r="A2" t="s">
        <v>2416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2.99</v>
      </c>
      <c r="C6">
        <v>1.84</v>
      </c>
      <c r="D6">
        <v>1.21</v>
      </c>
      <c r="E6">
        <v>0.68</v>
      </c>
      <c r="F6">
        <v>2.38</v>
      </c>
      <c r="G6">
        <v>1.93</v>
      </c>
      <c r="H6">
        <v>1.67</v>
      </c>
      <c r="I6">
        <v>1.78</v>
      </c>
      <c r="J6">
        <v>6.18</v>
      </c>
      <c r="K6">
        <v>3.9</v>
      </c>
      <c r="L6">
        <v>3.42</v>
      </c>
      <c r="M6">
        <v>4.7</v>
      </c>
      <c r="N6">
        <v>4.87</v>
      </c>
      <c r="O6">
        <v>6.83</v>
      </c>
      <c r="P6">
        <v>7.39</v>
      </c>
      <c r="Q6">
        <v>8.59</v>
      </c>
      <c r="R6">
        <v>9.49</v>
      </c>
      <c r="S6">
        <v>10.61</v>
      </c>
    </row>
    <row r="7" spans="1:21" x14ac:dyDescent="0.25">
      <c r="A7" t="s">
        <v>16</v>
      </c>
      <c r="B7" s="2">
        <v>1028.33</v>
      </c>
      <c r="C7" s="2">
        <v>2955.6</v>
      </c>
      <c r="D7" s="2">
        <v>2506</v>
      </c>
      <c r="E7" s="2">
        <v>1865.28</v>
      </c>
      <c r="F7" s="2">
        <v>4068.11</v>
      </c>
      <c r="G7" s="2">
        <v>3862.71</v>
      </c>
      <c r="H7" s="2">
        <v>3683.33</v>
      </c>
      <c r="I7" s="2">
        <v>3970.91</v>
      </c>
      <c r="J7" s="2">
        <v>6876.37</v>
      </c>
      <c r="K7" s="2">
        <v>6834.16</v>
      </c>
      <c r="L7" s="2">
        <v>5601.52</v>
      </c>
      <c r="M7" s="2">
        <v>7122.04</v>
      </c>
      <c r="N7" s="2">
        <v>7658.17</v>
      </c>
      <c r="O7" s="2">
        <v>9841.75</v>
      </c>
      <c r="P7" s="2">
        <v>11388.08</v>
      </c>
      <c r="Q7" s="2">
        <v>13286</v>
      </c>
      <c r="R7" s="2">
        <v>16312</v>
      </c>
    </row>
    <row r="8" spans="1:21" x14ac:dyDescent="0.25">
      <c r="A8" t="s">
        <v>17</v>
      </c>
    </row>
    <row r="9" spans="1:21" x14ac:dyDescent="0.25">
      <c r="A9" t="s">
        <v>2417</v>
      </c>
      <c r="B9" s="2">
        <v>94320.3</v>
      </c>
      <c r="C9" s="2">
        <v>98612.5</v>
      </c>
      <c r="D9" s="2">
        <v>119544.3</v>
      </c>
      <c r="E9" s="2">
        <v>129555.7</v>
      </c>
      <c r="F9" s="2">
        <v>168470.6</v>
      </c>
      <c r="G9" s="2">
        <v>194720.4</v>
      </c>
      <c r="H9" s="2">
        <v>218355.1</v>
      </c>
      <c r="I9" s="2">
        <v>251679.2</v>
      </c>
      <c r="J9" s="2">
        <v>470555</v>
      </c>
      <c r="K9" s="2">
        <v>503897</v>
      </c>
      <c r="L9" s="2">
        <v>552801</v>
      </c>
      <c r="M9" s="2">
        <v>637572</v>
      </c>
      <c r="N9" s="2">
        <v>743858</v>
      </c>
      <c r="O9" s="2">
        <v>846216.94</v>
      </c>
      <c r="P9" s="2">
        <v>950249.09</v>
      </c>
      <c r="Q9" s="2">
        <v>1075511.5</v>
      </c>
      <c r="R9" s="2">
        <v>1219845.1599999999</v>
      </c>
    </row>
    <row r="10" spans="1:21" x14ac:dyDescent="0.25">
      <c r="A10" t="s">
        <v>2360</v>
      </c>
      <c r="H10" s="2">
        <v>91618.8</v>
      </c>
      <c r="I10" s="2">
        <v>113477.2</v>
      </c>
      <c r="J10" s="2">
        <v>173745</v>
      </c>
      <c r="K10" s="2">
        <v>165147</v>
      </c>
      <c r="L10" s="2">
        <v>176377</v>
      </c>
      <c r="M10" s="2">
        <v>195358</v>
      </c>
      <c r="N10" s="2">
        <v>229374</v>
      </c>
      <c r="O10" s="2">
        <v>269225.13</v>
      </c>
      <c r="P10" s="2">
        <v>305403.65999999997</v>
      </c>
      <c r="Q10" s="2">
        <v>337345.96</v>
      </c>
      <c r="R10" s="2">
        <v>375033.26</v>
      </c>
    </row>
    <row r="11" spans="1:21" x14ac:dyDescent="0.25">
      <c r="A11" t="s">
        <v>2418</v>
      </c>
      <c r="H11" s="2">
        <v>27655.9</v>
      </c>
      <c r="I11" s="2">
        <v>35212.1</v>
      </c>
      <c r="J11" s="2">
        <v>83303</v>
      </c>
      <c r="K11" s="2">
        <v>118592</v>
      </c>
      <c r="L11" s="2">
        <v>130933</v>
      </c>
      <c r="M11" s="2">
        <v>165969</v>
      </c>
      <c r="N11" s="2">
        <v>192480</v>
      </c>
      <c r="O11" s="2">
        <v>224989.74</v>
      </c>
      <c r="P11" s="2">
        <v>255221.58</v>
      </c>
      <c r="Q11" s="2">
        <v>299748.59999999998</v>
      </c>
      <c r="R11" s="2">
        <v>339035.78</v>
      </c>
    </row>
    <row r="12" spans="1:21" x14ac:dyDescent="0.25">
      <c r="A12" t="s">
        <v>2419</v>
      </c>
      <c r="B12" s="2">
        <v>33077.4</v>
      </c>
      <c r="C12" s="2">
        <v>37106.699999999997</v>
      </c>
      <c r="D12" s="2">
        <v>53515.7</v>
      </c>
      <c r="E12" s="2">
        <v>55740.2</v>
      </c>
      <c r="F12" s="2">
        <v>70943.5</v>
      </c>
      <c r="G12" s="2">
        <v>91323.9</v>
      </c>
      <c r="H12" s="2">
        <v>99080.4</v>
      </c>
      <c r="I12" s="2">
        <v>102989.9</v>
      </c>
      <c r="J12" s="2">
        <v>213507</v>
      </c>
      <c r="K12" s="2">
        <v>220158</v>
      </c>
      <c r="L12" s="2">
        <v>245491</v>
      </c>
      <c r="M12" s="2">
        <v>276245</v>
      </c>
      <c r="N12" s="2">
        <v>322004</v>
      </c>
      <c r="O12" s="2">
        <v>340480.9</v>
      </c>
      <c r="P12" s="2">
        <v>377414.74</v>
      </c>
      <c r="Q12" s="2">
        <v>427557.49</v>
      </c>
      <c r="R12" s="2">
        <v>514002.86</v>
      </c>
    </row>
    <row r="13" spans="1:21" x14ac:dyDescent="0.25">
      <c r="A13" t="s">
        <v>17</v>
      </c>
    </row>
    <row r="14" spans="1:21" x14ac:dyDescent="0.25">
      <c r="A14" t="s">
        <v>2420</v>
      </c>
      <c r="C14" s="2">
        <v>83046.399999999994</v>
      </c>
      <c r="D14" s="2">
        <v>91720.5</v>
      </c>
      <c r="E14" s="2">
        <v>101473.4</v>
      </c>
      <c r="F14" s="2">
        <v>117437.5</v>
      </c>
      <c r="G14" s="2">
        <v>141007.70000000001</v>
      </c>
      <c r="H14" s="2">
        <v>161209.79999999999</v>
      </c>
      <c r="I14" s="2">
        <v>186217</v>
      </c>
      <c r="J14" s="2">
        <v>357389</v>
      </c>
      <c r="K14" s="2">
        <v>411923</v>
      </c>
      <c r="L14" s="2">
        <v>446408</v>
      </c>
      <c r="M14" s="2">
        <v>511963</v>
      </c>
      <c r="N14" s="2">
        <v>604144</v>
      </c>
      <c r="O14" s="2">
        <v>677006.66</v>
      </c>
      <c r="P14" s="2">
        <v>764423.9</v>
      </c>
      <c r="Q14" s="2">
        <v>864135.3</v>
      </c>
      <c r="R14" s="2">
        <v>1002268.08</v>
      </c>
    </row>
    <row r="15" spans="1:21" x14ac:dyDescent="0.25">
      <c r="A15" t="s">
        <v>2298</v>
      </c>
      <c r="C15">
        <v>460.09</v>
      </c>
      <c r="D15">
        <v>610.5</v>
      </c>
      <c r="E15">
        <v>537.41999999999996</v>
      </c>
      <c r="F15">
        <v>865.52</v>
      </c>
      <c r="G15" s="2">
        <v>1149.1600000000001</v>
      </c>
      <c r="H15" s="2">
        <v>1080.26</v>
      </c>
      <c r="I15" s="2">
        <v>1280.53</v>
      </c>
      <c r="J15" s="2">
        <v>1969.99</v>
      </c>
      <c r="K15" s="2">
        <v>2167.35</v>
      </c>
      <c r="L15" s="2">
        <v>2383.79</v>
      </c>
      <c r="M15" s="2">
        <v>3267.8</v>
      </c>
      <c r="N15" s="2">
        <v>3714.31</v>
      </c>
      <c r="O15" s="2">
        <v>4576.71</v>
      </c>
      <c r="P15" s="2">
        <v>5283.63</v>
      </c>
      <c r="Q15" s="2">
        <v>6016.4</v>
      </c>
      <c r="R15" s="2">
        <v>6578.76</v>
      </c>
    </row>
    <row r="16" spans="1:21" x14ac:dyDescent="0.25">
      <c r="A16" t="s">
        <v>17</v>
      </c>
    </row>
    <row r="17" spans="1:19" x14ac:dyDescent="0.25">
      <c r="A17" t="s">
        <v>2421</v>
      </c>
      <c r="I17" s="2">
        <v>29517</v>
      </c>
      <c r="J17" s="2">
        <v>73318</v>
      </c>
      <c r="K17" s="2">
        <v>71411</v>
      </c>
      <c r="L17" s="2">
        <v>44010</v>
      </c>
      <c r="M17" s="2">
        <v>83570</v>
      </c>
      <c r="N17" s="2">
        <v>94610</v>
      </c>
      <c r="O17" s="2">
        <v>97633.11</v>
      </c>
      <c r="P17" s="2">
        <v>110463.03</v>
      </c>
      <c r="Q17" s="2">
        <v>98480.42</v>
      </c>
      <c r="R17" s="2">
        <v>89636.7</v>
      </c>
      <c r="S17">
        <v>-7.0000000000000007E-2</v>
      </c>
    </row>
    <row r="18" spans="1:19" x14ac:dyDescent="0.25">
      <c r="A18" t="s">
        <v>17</v>
      </c>
    </row>
    <row r="19" spans="1:19" x14ac:dyDescent="0.25">
      <c r="A19" t="s">
        <v>2422</v>
      </c>
      <c r="F19" s="2">
        <v>1813.64</v>
      </c>
      <c r="G19" s="2">
        <v>1978.64</v>
      </c>
      <c r="H19" s="2">
        <v>1834.74</v>
      </c>
      <c r="I19" s="2">
        <v>2040.59</v>
      </c>
      <c r="J19" s="2">
        <v>4896.21</v>
      </c>
      <c r="K19" s="2">
        <v>4531.1000000000004</v>
      </c>
      <c r="L19" s="2">
        <v>4186.51</v>
      </c>
      <c r="M19" s="2">
        <v>4358.55</v>
      </c>
      <c r="N19" s="2">
        <v>4985.8</v>
      </c>
      <c r="O19" s="2">
        <v>5976.47</v>
      </c>
      <c r="P19" s="2">
        <v>7036.06</v>
      </c>
      <c r="Q19" s="2">
        <v>8131.8</v>
      </c>
      <c r="R19" s="2">
        <v>9153</v>
      </c>
    </row>
    <row r="20" spans="1:19" x14ac:dyDescent="0.25">
      <c r="A20" t="s">
        <v>17</v>
      </c>
    </row>
    <row r="21" spans="1:19" x14ac:dyDescent="0.25">
      <c r="A21" t="s">
        <v>2423</v>
      </c>
      <c r="B21">
        <v>9.4499999999999993</v>
      </c>
      <c r="C21">
        <v>12.46</v>
      </c>
      <c r="D21">
        <v>12.18</v>
      </c>
      <c r="E21">
        <v>12.15</v>
      </c>
      <c r="F21">
        <v>14.2</v>
      </c>
      <c r="G21">
        <v>15.27</v>
      </c>
      <c r="H21">
        <v>19.239999999999998</v>
      </c>
      <c r="I21">
        <v>21.15</v>
      </c>
      <c r="J21">
        <v>28.77</v>
      </c>
      <c r="K21">
        <v>27.27</v>
      </c>
      <c r="L21">
        <v>30.95</v>
      </c>
      <c r="M21">
        <v>31.1</v>
      </c>
      <c r="N21">
        <v>31.1</v>
      </c>
      <c r="O21">
        <v>37.869999999999997</v>
      </c>
      <c r="P21">
        <v>56.3</v>
      </c>
      <c r="Q21">
        <v>73.59</v>
      </c>
      <c r="R21">
        <v>67.66</v>
      </c>
    </row>
    <row r="22" spans="1:19" x14ac:dyDescent="0.25">
      <c r="A22" t="s">
        <v>17</v>
      </c>
    </row>
    <row r="23" spans="1:19" x14ac:dyDescent="0.25">
      <c r="A23" t="s">
        <v>37</v>
      </c>
    </row>
    <row r="24" spans="1:19" x14ac:dyDescent="0.25">
      <c r="A24" t="s">
        <v>17</v>
      </c>
    </row>
    <row r="25" spans="1:19" x14ac:dyDescent="0.25">
      <c r="A25" t="s">
        <v>38</v>
      </c>
    </row>
    <row r="26" spans="1:19" x14ac:dyDescent="0.25">
      <c r="A26" t="s">
        <v>2424</v>
      </c>
    </row>
    <row r="27" spans="1:19" x14ac:dyDescent="0.25">
      <c r="A27" t="s">
        <v>2425</v>
      </c>
      <c r="B27">
        <v>1.44</v>
      </c>
      <c r="C27">
        <v>0.81</v>
      </c>
      <c r="D27">
        <v>0.71</v>
      </c>
      <c r="E27">
        <v>0.56000000000000005</v>
      </c>
      <c r="F27">
        <v>2.4</v>
      </c>
      <c r="G27">
        <v>2.34</v>
      </c>
      <c r="H27">
        <v>3.59</v>
      </c>
      <c r="I27">
        <v>2.85</v>
      </c>
      <c r="J27">
        <v>2.71</v>
      </c>
      <c r="K27">
        <v>-0.31</v>
      </c>
      <c r="L27">
        <v>1.26</v>
      </c>
      <c r="M27">
        <v>0.91</v>
      </c>
      <c r="N27">
        <v>0.62</v>
      </c>
      <c r="O27">
        <v>2.1</v>
      </c>
      <c r="P27">
        <v>2.1</v>
      </c>
      <c r="Q27">
        <v>2.9</v>
      </c>
      <c r="R27">
        <v>3</v>
      </c>
      <c r="S27">
        <v>2.6</v>
      </c>
    </row>
    <row r="28" spans="1:19" x14ac:dyDescent="0.25">
      <c r="A28" t="s">
        <v>2426</v>
      </c>
      <c r="B28">
        <v>29.25</v>
      </c>
      <c r="C28">
        <v>11.76</v>
      </c>
      <c r="D28">
        <v>8.92</v>
      </c>
      <c r="E28">
        <v>5.23</v>
      </c>
      <c r="F28">
        <v>16.22</v>
      </c>
      <c r="G28">
        <v>14.76</v>
      </c>
      <c r="H28">
        <v>21.32</v>
      </c>
      <c r="I28">
        <v>17.34</v>
      </c>
      <c r="J28">
        <v>31.91</v>
      </c>
      <c r="K28">
        <v>-5.33</v>
      </c>
      <c r="L28">
        <v>18.149999999999999</v>
      </c>
      <c r="M28">
        <v>13.23</v>
      </c>
      <c r="N28">
        <v>8.67</v>
      </c>
      <c r="O28">
        <v>9.15</v>
      </c>
      <c r="P28">
        <v>8.73</v>
      </c>
      <c r="Q28">
        <v>8.92</v>
      </c>
      <c r="R28">
        <v>11.43</v>
      </c>
    </row>
    <row r="29" spans="1:19" x14ac:dyDescent="0.25">
      <c r="A29" t="s">
        <v>2427</v>
      </c>
      <c r="C29">
        <v>65.53</v>
      </c>
      <c r="D29">
        <v>61.7</v>
      </c>
      <c r="E29">
        <v>59.79</v>
      </c>
      <c r="F29">
        <v>57.63</v>
      </c>
      <c r="G29">
        <v>60.79</v>
      </c>
      <c r="H29">
        <v>57.9</v>
      </c>
      <c r="I29">
        <v>61</v>
      </c>
      <c r="J29">
        <v>63</v>
      </c>
      <c r="K29">
        <v>62</v>
      </c>
      <c r="L29">
        <v>62</v>
      </c>
      <c r="M29">
        <v>69</v>
      </c>
      <c r="N29">
        <v>69</v>
      </c>
      <c r="O29">
        <v>69.69</v>
      </c>
      <c r="P29">
        <v>70.099999999999994</v>
      </c>
      <c r="Q29">
        <v>70.39</v>
      </c>
      <c r="R29">
        <v>70.319999999999993</v>
      </c>
    </row>
    <row r="30" spans="1:19" x14ac:dyDescent="0.25">
      <c r="A30" t="s">
        <v>2428</v>
      </c>
    </row>
    <row r="31" spans="1:19" x14ac:dyDescent="0.25">
      <c r="A31" t="s">
        <v>2429</v>
      </c>
      <c r="D31" s="2">
        <v>5570.2</v>
      </c>
      <c r="E31" s="2">
        <v>5753.9</v>
      </c>
      <c r="F31" s="2">
        <v>14619.8</v>
      </c>
      <c r="G31" s="2">
        <v>2230.8000000000002</v>
      </c>
      <c r="H31" s="2">
        <v>15531.5</v>
      </c>
      <c r="I31" s="2">
        <v>16819.599999999999</v>
      </c>
      <c r="J31" s="2">
        <v>44164</v>
      </c>
      <c r="K31" s="2">
        <v>-25224</v>
      </c>
      <c r="L31" s="2">
        <v>22474</v>
      </c>
      <c r="M31" s="2">
        <v>26790</v>
      </c>
      <c r="N31" s="2">
        <v>37135</v>
      </c>
      <c r="O31" s="2">
        <v>41073.43</v>
      </c>
      <c r="P31" s="2">
        <v>48076.46</v>
      </c>
      <c r="Q31" s="2">
        <v>50723.95</v>
      </c>
      <c r="R31" s="2">
        <v>48011.06</v>
      </c>
    </row>
    <row r="32" spans="1:19" x14ac:dyDescent="0.25">
      <c r="A32" t="s">
        <v>2430</v>
      </c>
      <c r="K32" s="2">
        <v>-1365</v>
      </c>
      <c r="L32" s="2">
        <v>3780</v>
      </c>
      <c r="M32" s="2">
        <v>5219</v>
      </c>
      <c r="N32" s="2">
        <v>8117</v>
      </c>
      <c r="O32" s="2">
        <v>6152.09</v>
      </c>
      <c r="P32" s="2">
        <v>10144.290000000001</v>
      </c>
      <c r="Q32" s="2">
        <v>11261.6</v>
      </c>
      <c r="R32" s="2">
        <v>10608.34</v>
      </c>
    </row>
    <row r="33" spans="1:19" x14ac:dyDescent="0.25">
      <c r="A33" t="s">
        <v>17</v>
      </c>
    </row>
    <row r="34" spans="1:19" x14ac:dyDescent="0.25">
      <c r="A34" t="s">
        <v>2431</v>
      </c>
      <c r="B34" s="2">
        <v>75527.5</v>
      </c>
      <c r="C34" s="2">
        <v>94320.3</v>
      </c>
      <c r="D34" s="2">
        <v>98612.5</v>
      </c>
      <c r="E34" s="2">
        <v>119544.3</v>
      </c>
      <c r="F34" s="2">
        <v>129555.7</v>
      </c>
      <c r="G34" s="2">
        <v>168470.6</v>
      </c>
      <c r="H34" s="2">
        <v>194720.4</v>
      </c>
      <c r="I34" s="2">
        <v>218355.1</v>
      </c>
      <c r="J34" s="2">
        <v>251679.2</v>
      </c>
      <c r="K34" s="2">
        <v>470555</v>
      </c>
      <c r="L34" s="2">
        <v>503897</v>
      </c>
      <c r="M34" s="2">
        <v>552801</v>
      </c>
      <c r="N34" s="2">
        <v>637572</v>
      </c>
      <c r="O34" s="2">
        <v>743857.97</v>
      </c>
      <c r="P34" s="2">
        <v>848843.09</v>
      </c>
      <c r="Q34" s="2">
        <v>960975.78</v>
      </c>
      <c r="R34" s="2">
        <v>1090935.6200000001</v>
      </c>
      <c r="S34" s="2">
        <v>1219845.1599999999</v>
      </c>
    </row>
    <row r="35" spans="1:19" x14ac:dyDescent="0.25">
      <c r="A35" t="s">
        <v>2302</v>
      </c>
      <c r="B35" s="2">
        <v>84923.9</v>
      </c>
      <c r="C35" s="2">
        <v>96466.4</v>
      </c>
      <c r="D35" s="2">
        <v>109078.39999999999</v>
      </c>
      <c r="E35" s="2">
        <v>124550</v>
      </c>
      <c r="F35" s="2">
        <v>149013.15</v>
      </c>
      <c r="G35" s="2">
        <v>181595.5</v>
      </c>
      <c r="H35" s="2">
        <v>206537.75</v>
      </c>
      <c r="I35" s="2">
        <v>235017.15</v>
      </c>
      <c r="J35" s="2">
        <v>361117.1</v>
      </c>
      <c r="K35" s="2">
        <v>487226</v>
      </c>
      <c r="L35" s="2">
        <v>528349</v>
      </c>
      <c r="M35" s="2">
        <v>595186.5</v>
      </c>
      <c r="N35" s="2">
        <v>690715</v>
      </c>
      <c r="O35" s="2">
        <v>804397.66</v>
      </c>
      <c r="P35" s="2">
        <v>899378.54</v>
      </c>
      <c r="Q35" s="2">
        <v>1048046.34</v>
      </c>
      <c r="R35" s="2">
        <v>1147678.33</v>
      </c>
    </row>
    <row r="36" spans="1:19" x14ac:dyDescent="0.25">
      <c r="A36" t="s">
        <v>2432</v>
      </c>
      <c r="B36" s="2">
        <v>94320.3</v>
      </c>
      <c r="C36" s="2">
        <v>98612.5</v>
      </c>
      <c r="D36" s="2">
        <v>119544.3</v>
      </c>
      <c r="E36" s="2">
        <v>129555.7</v>
      </c>
      <c r="F36" s="2">
        <v>168470.6</v>
      </c>
      <c r="G36" s="2">
        <v>194720.4</v>
      </c>
      <c r="H36" s="2">
        <v>218355.1</v>
      </c>
      <c r="I36" s="2">
        <v>251679.2</v>
      </c>
      <c r="J36" s="2">
        <v>470555</v>
      </c>
      <c r="K36" s="2">
        <v>503897</v>
      </c>
      <c r="L36" s="2">
        <v>552801</v>
      </c>
      <c r="M36" s="2">
        <v>637572</v>
      </c>
      <c r="N36" s="2">
        <v>743858</v>
      </c>
      <c r="O36" s="2">
        <v>846216.94</v>
      </c>
      <c r="P36" s="2">
        <v>950249.09</v>
      </c>
      <c r="Q36" s="2">
        <v>1075511.5</v>
      </c>
      <c r="R36" s="2">
        <v>1219845.1599999999</v>
      </c>
    </row>
    <row r="37" spans="1:19" x14ac:dyDescent="0.25">
      <c r="A37" t="s">
        <v>2420</v>
      </c>
      <c r="C37" s="2">
        <v>83046.399999999994</v>
      </c>
      <c r="D37" s="2">
        <v>91720.5</v>
      </c>
      <c r="E37" s="2">
        <v>101473.4</v>
      </c>
      <c r="F37" s="2">
        <v>117437.5</v>
      </c>
      <c r="G37" s="2">
        <v>141007.70000000001</v>
      </c>
      <c r="H37" s="2">
        <v>161209.79999999999</v>
      </c>
      <c r="I37" s="2">
        <v>186217</v>
      </c>
      <c r="J37" s="2">
        <v>357389</v>
      </c>
      <c r="K37" s="2">
        <v>411923</v>
      </c>
      <c r="L37" s="2">
        <v>446408</v>
      </c>
      <c r="M37" s="2">
        <v>511963</v>
      </c>
      <c r="N37" s="2">
        <v>604144</v>
      </c>
      <c r="O37" s="2">
        <v>677006.66</v>
      </c>
      <c r="P37" s="2">
        <v>764423.9</v>
      </c>
      <c r="Q37" s="2">
        <v>864135.3</v>
      </c>
      <c r="R37" s="2">
        <v>1002268.08</v>
      </c>
    </row>
    <row r="38" spans="1:19" x14ac:dyDescent="0.25">
      <c r="A38" t="s">
        <v>2433</v>
      </c>
      <c r="G38" s="2">
        <v>74177.7</v>
      </c>
      <c r="H38" s="2">
        <v>76918.100000000006</v>
      </c>
      <c r="I38" s="2">
        <v>94195.9</v>
      </c>
      <c r="J38" s="2">
        <v>154855</v>
      </c>
      <c r="K38" s="2">
        <v>411923</v>
      </c>
      <c r="L38" s="2">
        <v>446408</v>
      </c>
      <c r="M38" s="2">
        <v>511963</v>
      </c>
      <c r="N38" s="2">
        <v>604144</v>
      </c>
      <c r="O38" s="2">
        <v>685638.01</v>
      </c>
      <c r="P38" s="2">
        <v>786595.19</v>
      </c>
      <c r="Q38" s="2">
        <v>881534.42</v>
      </c>
      <c r="R38" s="2">
        <v>1048057.78</v>
      </c>
    </row>
    <row r="39" spans="1:19" x14ac:dyDescent="0.25">
      <c r="A39" t="s">
        <v>2298</v>
      </c>
      <c r="C39">
        <v>460.09</v>
      </c>
      <c r="D39">
        <v>610.5</v>
      </c>
      <c r="E39">
        <v>537.41999999999996</v>
      </c>
      <c r="F39">
        <v>865.52</v>
      </c>
      <c r="G39" s="2">
        <v>1149.1600000000001</v>
      </c>
      <c r="H39" s="2">
        <v>1080.26</v>
      </c>
      <c r="I39" s="2">
        <v>1280.53</v>
      </c>
      <c r="J39" s="2">
        <v>1969.99</v>
      </c>
      <c r="K39" s="2">
        <v>2167.35</v>
      </c>
      <c r="L39" s="2">
        <v>2383.79</v>
      </c>
      <c r="M39" s="2">
        <v>3267.8</v>
      </c>
      <c r="N39" s="2">
        <v>3714.31</v>
      </c>
      <c r="O39" s="2">
        <v>4576.71</v>
      </c>
      <c r="P39" s="2">
        <v>5283.63</v>
      </c>
      <c r="Q39" s="2">
        <v>6016.4</v>
      </c>
      <c r="R39" s="2">
        <v>6578.76</v>
      </c>
    </row>
    <row r="40" spans="1:19" x14ac:dyDescent="0.25">
      <c r="A40" t="s">
        <v>2421</v>
      </c>
      <c r="I40" s="2">
        <v>29517</v>
      </c>
      <c r="J40" s="2">
        <v>73318</v>
      </c>
      <c r="K40" s="2">
        <v>71411</v>
      </c>
      <c r="L40" s="2">
        <v>44010</v>
      </c>
      <c r="M40" s="2">
        <v>83570</v>
      </c>
      <c r="N40" s="2">
        <v>94610</v>
      </c>
      <c r="O40" s="2">
        <v>97633.11</v>
      </c>
      <c r="P40" s="2">
        <v>110463.03</v>
      </c>
      <c r="Q40" s="2">
        <v>98480.42</v>
      </c>
      <c r="R40" s="2">
        <v>89636.7</v>
      </c>
      <c r="S40">
        <v>-7.0000000000000007E-2</v>
      </c>
    </row>
    <row r="41" spans="1:19" x14ac:dyDescent="0.25">
      <c r="A41" t="s">
        <v>17</v>
      </c>
    </row>
    <row r="42" spans="1:19" x14ac:dyDescent="0.25">
      <c r="A42" t="s">
        <v>58</v>
      </c>
    </row>
    <row r="43" spans="1:19" x14ac:dyDescent="0.25">
      <c r="A43" t="s">
        <v>2434</v>
      </c>
    </row>
    <row r="44" spans="1:19" x14ac:dyDescent="0.25">
      <c r="A44" t="s">
        <v>2435</v>
      </c>
      <c r="J44" s="2">
        <v>1089.52</v>
      </c>
      <c r="K44" s="2">
        <v>1308.8699999999999</v>
      </c>
      <c r="L44" s="2">
        <v>1401.34</v>
      </c>
      <c r="M44" s="2">
        <v>1476.95</v>
      </c>
      <c r="N44" s="2">
        <v>1625.38</v>
      </c>
      <c r="O44" s="2">
        <v>2338.79</v>
      </c>
      <c r="P44" s="2">
        <v>2649.66</v>
      </c>
      <c r="Q44" s="2">
        <v>2994.86</v>
      </c>
      <c r="R44" s="2">
        <v>3169.43</v>
      </c>
    </row>
    <row r="45" spans="1:19" x14ac:dyDescent="0.25">
      <c r="A45" t="s">
        <v>2436</v>
      </c>
      <c r="H45">
        <v>599.97</v>
      </c>
      <c r="I45">
        <v>714.07</v>
      </c>
      <c r="J45">
        <v>967.04</v>
      </c>
      <c r="K45" s="2">
        <v>1188.46</v>
      </c>
      <c r="L45" s="2">
        <v>1286.06</v>
      </c>
      <c r="M45" s="2">
        <v>1376.34</v>
      </c>
      <c r="N45" s="2">
        <v>1529.17</v>
      </c>
      <c r="O45" s="2">
        <v>1864.27</v>
      </c>
      <c r="P45" s="2">
        <v>2177.56</v>
      </c>
      <c r="Q45" s="2">
        <v>2400.13</v>
      </c>
      <c r="R45" s="2">
        <v>2659.39</v>
      </c>
    </row>
    <row r="46" spans="1:19" x14ac:dyDescent="0.25">
      <c r="A46" t="s">
        <v>2437</v>
      </c>
      <c r="H46">
        <v>126.81</v>
      </c>
      <c r="I46">
        <v>135.24</v>
      </c>
      <c r="J46">
        <v>122.48</v>
      </c>
      <c r="K46">
        <v>120.41</v>
      </c>
      <c r="L46">
        <v>115.28</v>
      </c>
      <c r="M46">
        <v>100.62</v>
      </c>
      <c r="N46">
        <v>93.71</v>
      </c>
      <c r="O46">
        <v>113.87</v>
      </c>
      <c r="P46">
        <v>150.58000000000001</v>
      </c>
      <c r="Q46">
        <v>177.47</v>
      </c>
      <c r="R46">
        <v>235.63</v>
      </c>
    </row>
    <row r="47" spans="1:19" x14ac:dyDescent="0.25">
      <c r="A47" t="s">
        <v>2438</v>
      </c>
      <c r="K47">
        <v>0</v>
      </c>
      <c r="L47">
        <v>0</v>
      </c>
      <c r="M47">
        <v>0</v>
      </c>
      <c r="N47">
        <v>2.5099999999999998</v>
      </c>
      <c r="O47">
        <v>316.77</v>
      </c>
      <c r="P47">
        <v>415.79</v>
      </c>
      <c r="Q47">
        <v>501.09</v>
      </c>
      <c r="R47">
        <v>548.82000000000005</v>
      </c>
    </row>
    <row r="48" spans="1:19" x14ac:dyDescent="0.25">
      <c r="A48" t="s">
        <v>2439</v>
      </c>
      <c r="H48" s="2">
        <v>1032.1199999999999</v>
      </c>
      <c r="I48">
        <v>807.28</v>
      </c>
      <c r="J48" s="2">
        <v>1678.75</v>
      </c>
      <c r="K48" s="2">
        <v>1903.58</v>
      </c>
      <c r="L48">
        <v>938.79</v>
      </c>
      <c r="M48" s="2">
        <v>1312.48</v>
      </c>
      <c r="N48" s="2">
        <v>1321.12</v>
      </c>
      <c r="O48" s="2">
        <v>2754.72</v>
      </c>
      <c r="P48" s="2">
        <v>3282.41</v>
      </c>
      <c r="Q48" s="2">
        <v>3959.61</v>
      </c>
      <c r="R48" s="2">
        <v>3993.51</v>
      </c>
    </row>
    <row r="49" spans="1:18" x14ac:dyDescent="0.25">
      <c r="A49" t="s">
        <v>2440</v>
      </c>
      <c r="H49" s="2">
        <v>1032.1199999999999</v>
      </c>
      <c r="I49">
        <v>797.97</v>
      </c>
      <c r="J49" s="2">
        <v>1639.48</v>
      </c>
      <c r="K49" s="2">
        <v>1870.06</v>
      </c>
      <c r="L49">
        <v>938.79</v>
      </c>
      <c r="M49" s="2">
        <v>1312.48</v>
      </c>
      <c r="N49" s="2">
        <v>1321.12</v>
      </c>
      <c r="O49" s="2">
        <v>3052.58</v>
      </c>
      <c r="P49" s="2">
        <v>3564.39</v>
      </c>
      <c r="Q49" s="2">
        <v>4228.6000000000004</v>
      </c>
    </row>
    <row r="50" spans="1:18" x14ac:dyDescent="0.25">
      <c r="A50" t="s">
        <v>2441</v>
      </c>
      <c r="J50">
        <v>39.270000000000003</v>
      </c>
      <c r="K50">
        <v>33.520000000000003</v>
      </c>
      <c r="L50">
        <v>0.05</v>
      </c>
      <c r="O50">
        <v>10</v>
      </c>
      <c r="P50">
        <v>20</v>
      </c>
    </row>
    <row r="51" spans="1:18" x14ac:dyDescent="0.25">
      <c r="A51" t="s">
        <v>2310</v>
      </c>
      <c r="H51" s="2">
        <v>91618.8</v>
      </c>
      <c r="I51" s="2">
        <v>113477.2</v>
      </c>
      <c r="J51" s="2">
        <v>173745</v>
      </c>
      <c r="K51" s="2">
        <v>165147</v>
      </c>
      <c r="L51" s="2">
        <v>176377</v>
      </c>
      <c r="M51" s="2">
        <v>195358</v>
      </c>
      <c r="N51" s="2">
        <v>229374</v>
      </c>
      <c r="O51" s="2">
        <v>269225.13</v>
      </c>
      <c r="P51" s="2">
        <v>305403.65999999997</v>
      </c>
      <c r="Q51" s="2">
        <v>337345.96</v>
      </c>
      <c r="R51" s="2">
        <v>375033.26</v>
      </c>
    </row>
    <row r="52" spans="1:18" x14ac:dyDescent="0.25">
      <c r="A52" t="s">
        <v>2442</v>
      </c>
      <c r="H52" s="2">
        <v>56964.3</v>
      </c>
      <c r="I52" s="2">
        <v>68505.7</v>
      </c>
      <c r="J52" s="2">
        <v>87890</v>
      </c>
      <c r="K52" s="2">
        <v>102261</v>
      </c>
      <c r="L52" s="2">
        <v>107726</v>
      </c>
      <c r="M52" s="2">
        <v>119598</v>
      </c>
      <c r="N52" s="2">
        <v>151239</v>
      </c>
      <c r="O52" s="2">
        <v>177158.62</v>
      </c>
      <c r="P52" s="2">
        <v>201809.38</v>
      </c>
      <c r="Q52" s="2">
        <v>221064.09</v>
      </c>
      <c r="R52" s="2">
        <v>247533.81</v>
      </c>
    </row>
    <row r="53" spans="1:18" x14ac:dyDescent="0.25">
      <c r="A53" t="s">
        <v>2443</v>
      </c>
      <c r="H53" s="2">
        <v>10196.4</v>
      </c>
      <c r="I53" s="2">
        <v>14486</v>
      </c>
      <c r="J53" s="2">
        <v>17577</v>
      </c>
      <c r="K53" s="2">
        <v>18825</v>
      </c>
      <c r="L53" s="2">
        <v>13529</v>
      </c>
      <c r="M53" s="2">
        <v>17062</v>
      </c>
      <c r="N53" s="2">
        <v>24100</v>
      </c>
      <c r="O53" s="2">
        <v>19267.29</v>
      </c>
      <c r="P53" s="2">
        <v>25844.99</v>
      </c>
      <c r="Q53" s="2">
        <v>19740.02</v>
      </c>
      <c r="R53" s="2">
        <v>14476.92</v>
      </c>
    </row>
    <row r="54" spans="1:18" x14ac:dyDescent="0.25">
      <c r="A54" t="s">
        <v>2444</v>
      </c>
      <c r="H54" s="2">
        <v>34344.1</v>
      </c>
      <c r="I54" s="2">
        <v>38750.300000000003</v>
      </c>
      <c r="J54" s="2">
        <v>66344</v>
      </c>
      <c r="K54" s="2">
        <v>65856</v>
      </c>
      <c r="L54" s="2">
        <v>57366</v>
      </c>
      <c r="M54" s="2">
        <v>54882</v>
      </c>
      <c r="N54" s="2">
        <v>52318</v>
      </c>
      <c r="O54" s="2">
        <v>65191.23</v>
      </c>
      <c r="P54" s="2">
        <v>73173.42</v>
      </c>
      <c r="Q54" s="2">
        <v>82159.37</v>
      </c>
      <c r="R54" s="2">
        <v>92094.51</v>
      </c>
    </row>
    <row r="55" spans="1:18" x14ac:dyDescent="0.25">
      <c r="A55" t="s">
        <v>2445</v>
      </c>
      <c r="K55" s="2">
        <v>18087</v>
      </c>
      <c r="L55" s="2">
        <v>6901</v>
      </c>
      <c r="M55" s="2">
        <v>17660</v>
      </c>
      <c r="N55" s="2">
        <v>27176</v>
      </c>
      <c r="O55" s="2">
        <v>29840.19</v>
      </c>
      <c r="P55" s="2">
        <v>36231.269999999997</v>
      </c>
      <c r="Q55" s="2">
        <v>37871.589999999997</v>
      </c>
      <c r="R55" s="2">
        <v>38783.61</v>
      </c>
    </row>
    <row r="56" spans="1:18" x14ac:dyDescent="0.25">
      <c r="A56" t="s">
        <v>2446</v>
      </c>
      <c r="K56" s="2">
        <v>-16171</v>
      </c>
      <c r="L56" s="2">
        <v>-9340</v>
      </c>
      <c r="M56" s="2">
        <v>-14307</v>
      </c>
      <c r="N56" s="2">
        <v>-16516</v>
      </c>
      <c r="O56" s="2">
        <v>-26574.12</v>
      </c>
      <c r="P56" s="2">
        <v>-26367.56</v>
      </c>
      <c r="Q56" s="2">
        <v>-29560.19</v>
      </c>
      <c r="R56" s="2">
        <v>-26976.13</v>
      </c>
    </row>
    <row r="57" spans="1:18" x14ac:dyDescent="0.25">
      <c r="A57" t="s">
        <v>17</v>
      </c>
    </row>
    <row r="58" spans="1:18" x14ac:dyDescent="0.25">
      <c r="A58" t="s">
        <v>2447</v>
      </c>
    </row>
    <row r="59" spans="1:18" x14ac:dyDescent="0.25">
      <c r="A59" t="s">
        <v>2435</v>
      </c>
      <c r="J59">
        <v>466.86</v>
      </c>
      <c r="K59">
        <v>764.28</v>
      </c>
      <c r="L59">
        <v>867.95</v>
      </c>
      <c r="M59" s="2">
        <v>1104.8</v>
      </c>
      <c r="N59" s="2">
        <v>1459.48</v>
      </c>
      <c r="O59" s="2">
        <v>1797.72</v>
      </c>
      <c r="P59" s="2">
        <v>1983.32</v>
      </c>
      <c r="Q59" s="2">
        <v>2223.89</v>
      </c>
      <c r="R59" s="2">
        <v>2590.86</v>
      </c>
    </row>
    <row r="60" spans="1:18" x14ac:dyDescent="0.25">
      <c r="A60" t="s">
        <v>2436</v>
      </c>
      <c r="H60">
        <v>200.1</v>
      </c>
      <c r="I60">
        <v>262.54000000000002</v>
      </c>
      <c r="J60">
        <v>437.1</v>
      </c>
      <c r="K60">
        <v>679.89</v>
      </c>
      <c r="L60">
        <v>825.74</v>
      </c>
      <c r="M60">
        <v>992.73</v>
      </c>
      <c r="N60" s="2">
        <v>1300.92</v>
      </c>
      <c r="O60" s="2">
        <v>1584.5</v>
      </c>
      <c r="P60" s="2">
        <v>1730.46</v>
      </c>
      <c r="Q60" s="2">
        <v>1934.1</v>
      </c>
      <c r="R60" s="2">
        <v>2226.04</v>
      </c>
    </row>
    <row r="61" spans="1:18" x14ac:dyDescent="0.25">
      <c r="A61" t="s">
        <v>2437</v>
      </c>
      <c r="H61">
        <v>23.29</v>
      </c>
      <c r="I61">
        <v>13.17</v>
      </c>
      <c r="J61">
        <v>20.69</v>
      </c>
      <c r="K61">
        <v>33.200000000000003</v>
      </c>
      <c r="L61">
        <v>20.56</v>
      </c>
      <c r="M61">
        <v>52.51</v>
      </c>
      <c r="N61">
        <v>53.07</v>
      </c>
      <c r="O61">
        <v>45.7</v>
      </c>
      <c r="P61">
        <v>59.7</v>
      </c>
      <c r="Q61">
        <v>66.44</v>
      </c>
      <c r="R61">
        <v>80.45</v>
      </c>
    </row>
    <row r="62" spans="1:18" x14ac:dyDescent="0.25">
      <c r="A62" t="s">
        <v>2438</v>
      </c>
      <c r="J62">
        <v>9.07</v>
      </c>
      <c r="K62">
        <v>51.18</v>
      </c>
      <c r="L62">
        <v>21.65</v>
      </c>
      <c r="M62">
        <v>59.56</v>
      </c>
      <c r="N62">
        <v>105.49</v>
      </c>
      <c r="O62">
        <v>260.66000000000003</v>
      </c>
      <c r="P62">
        <v>292.86</v>
      </c>
      <c r="Q62">
        <v>294.57</v>
      </c>
      <c r="R62">
        <v>339.58</v>
      </c>
    </row>
    <row r="63" spans="1:18" x14ac:dyDescent="0.25">
      <c r="A63" t="s">
        <v>2439</v>
      </c>
      <c r="H63">
        <v>13.92</v>
      </c>
      <c r="I63">
        <v>208.59</v>
      </c>
      <c r="J63">
        <v>97.31</v>
      </c>
      <c r="K63">
        <v>113.47</v>
      </c>
      <c r="L63">
        <v>67.02</v>
      </c>
      <c r="M63">
        <v>218.32</v>
      </c>
      <c r="N63">
        <v>260.74</v>
      </c>
      <c r="O63">
        <v>279.33</v>
      </c>
      <c r="P63">
        <v>603.49</v>
      </c>
      <c r="Q63">
        <v>619.87</v>
      </c>
      <c r="R63">
        <v>707.96</v>
      </c>
    </row>
    <row r="64" spans="1:18" x14ac:dyDescent="0.25">
      <c r="A64" t="s">
        <v>2440</v>
      </c>
      <c r="H64">
        <v>13.92</v>
      </c>
      <c r="I64">
        <v>208.59</v>
      </c>
      <c r="J64">
        <v>97.31</v>
      </c>
      <c r="K64">
        <v>113.47</v>
      </c>
      <c r="L64">
        <v>67.02</v>
      </c>
      <c r="M64">
        <v>218.32</v>
      </c>
      <c r="N64">
        <v>260.74</v>
      </c>
      <c r="O64">
        <v>318.37</v>
      </c>
      <c r="P64">
        <v>556.30999999999995</v>
      </c>
      <c r="Q64">
        <v>551.65</v>
      </c>
    </row>
    <row r="65" spans="1:18" x14ac:dyDescent="0.25">
      <c r="A65" t="s">
        <v>2441</v>
      </c>
      <c r="K65">
        <v>0</v>
      </c>
      <c r="L65">
        <v>0</v>
      </c>
    </row>
    <row r="66" spans="1:18" x14ac:dyDescent="0.25">
      <c r="A66" t="s">
        <v>2310</v>
      </c>
      <c r="H66" s="2">
        <v>27655.9</v>
      </c>
      <c r="I66" s="2">
        <v>35212.1</v>
      </c>
      <c r="J66" s="2">
        <v>83303</v>
      </c>
      <c r="K66" s="2">
        <v>118592</v>
      </c>
      <c r="L66" s="2">
        <v>130933</v>
      </c>
      <c r="M66" s="2">
        <v>165969</v>
      </c>
      <c r="N66" s="2">
        <v>192480</v>
      </c>
      <c r="O66" s="2">
        <v>224989.74</v>
      </c>
      <c r="P66" s="2">
        <v>255221.58</v>
      </c>
      <c r="Q66" s="2">
        <v>299748.59999999998</v>
      </c>
      <c r="R66" s="2">
        <v>339035.78</v>
      </c>
    </row>
    <row r="67" spans="1:18" x14ac:dyDescent="0.25">
      <c r="A67" t="s">
        <v>2448</v>
      </c>
      <c r="H67" s="2">
        <v>19953.8</v>
      </c>
      <c r="I67" s="2">
        <v>25690.2</v>
      </c>
      <c r="J67" s="2">
        <v>66965</v>
      </c>
      <c r="K67" s="2">
        <v>103532</v>
      </c>
      <c r="L67" s="2">
        <v>112254</v>
      </c>
      <c r="M67" s="2">
        <v>139681</v>
      </c>
      <c r="N67" s="2">
        <v>163451</v>
      </c>
      <c r="O67" s="2">
        <v>187631.35</v>
      </c>
      <c r="P67" s="2">
        <v>212085.55</v>
      </c>
      <c r="Q67" s="2">
        <v>242856.13</v>
      </c>
      <c r="R67" s="2">
        <v>277177.03000000003</v>
      </c>
    </row>
    <row r="68" spans="1:18" x14ac:dyDescent="0.25">
      <c r="A68" t="s">
        <v>2443</v>
      </c>
      <c r="H68" s="2">
        <v>3919.6</v>
      </c>
      <c r="I68" s="2">
        <v>34344.1</v>
      </c>
      <c r="J68" s="2">
        <v>21365</v>
      </c>
      <c r="K68" s="2">
        <v>27844</v>
      </c>
      <c r="L68" s="2">
        <v>15475</v>
      </c>
      <c r="M68" s="2">
        <v>27922</v>
      </c>
      <c r="N68" s="2">
        <v>26664</v>
      </c>
      <c r="O68" s="2">
        <v>31334.76</v>
      </c>
      <c r="P68" s="2">
        <v>34657.08</v>
      </c>
      <c r="Q68" s="2">
        <v>40661.11</v>
      </c>
      <c r="R68" s="2">
        <v>52519.79</v>
      </c>
    </row>
    <row r="69" spans="1:18" x14ac:dyDescent="0.25">
      <c r="A69" t="s">
        <v>2444</v>
      </c>
      <c r="H69" s="2">
        <v>12467.2</v>
      </c>
      <c r="I69" s="2">
        <v>17881.400000000001</v>
      </c>
      <c r="J69" s="2">
        <v>35197</v>
      </c>
      <c r="K69" s="2">
        <v>27496</v>
      </c>
      <c r="L69" s="2">
        <v>24719</v>
      </c>
      <c r="M69" s="2">
        <v>33277</v>
      </c>
      <c r="N69" s="2">
        <v>34980</v>
      </c>
      <c r="O69" s="2">
        <v>48535</v>
      </c>
      <c r="P69" s="2">
        <v>60392.37</v>
      </c>
      <c r="Q69" s="2">
        <v>90880.63</v>
      </c>
      <c r="R69" s="2">
        <v>65878.53</v>
      </c>
    </row>
    <row r="70" spans="1:18" x14ac:dyDescent="0.25">
      <c r="A70" t="s">
        <v>2445</v>
      </c>
      <c r="K70" s="2">
        <v>29244</v>
      </c>
    </row>
    <row r="71" spans="1:18" x14ac:dyDescent="0.25">
      <c r="A71" t="s">
        <v>17</v>
      </c>
    </row>
    <row r="72" spans="1:18" x14ac:dyDescent="0.25">
      <c r="A72" t="s">
        <v>2449</v>
      </c>
    </row>
    <row r="73" spans="1:18" x14ac:dyDescent="0.25">
      <c r="A73" t="s">
        <v>2435</v>
      </c>
      <c r="B73">
        <v>216.5</v>
      </c>
      <c r="C73">
        <v>276.62</v>
      </c>
      <c r="D73">
        <v>270.74</v>
      </c>
      <c r="E73">
        <v>333.55</v>
      </c>
      <c r="F73">
        <v>337.39</v>
      </c>
      <c r="G73">
        <v>405.88</v>
      </c>
      <c r="H73">
        <v>503.26</v>
      </c>
      <c r="I73">
        <v>503.27</v>
      </c>
      <c r="J73">
        <v>718.27</v>
      </c>
      <c r="K73">
        <v>849.63</v>
      </c>
      <c r="L73">
        <v>998.5</v>
      </c>
      <c r="M73" s="2">
        <v>1181.74</v>
      </c>
      <c r="N73" s="2">
        <v>1360.2</v>
      </c>
      <c r="O73" s="2">
        <v>1475.44</v>
      </c>
      <c r="P73" s="2">
        <v>1692.09</v>
      </c>
      <c r="Q73" s="2">
        <v>1932.73</v>
      </c>
      <c r="R73" s="2">
        <v>2257.67</v>
      </c>
    </row>
    <row r="74" spans="1:18" x14ac:dyDescent="0.25">
      <c r="A74" t="s">
        <v>2436</v>
      </c>
      <c r="B74">
        <v>206.13</v>
      </c>
      <c r="C74">
        <v>272.83</v>
      </c>
      <c r="D74">
        <v>266.45999999999998</v>
      </c>
      <c r="E74">
        <v>331.44</v>
      </c>
      <c r="F74">
        <v>329.74</v>
      </c>
      <c r="G74">
        <v>404.05</v>
      </c>
      <c r="H74">
        <v>446.98</v>
      </c>
      <c r="I74">
        <v>459.32</v>
      </c>
      <c r="J74">
        <v>667.3</v>
      </c>
      <c r="K74">
        <v>788.13</v>
      </c>
      <c r="L74">
        <v>918.53</v>
      </c>
      <c r="M74" s="2">
        <v>1092.32</v>
      </c>
      <c r="N74" s="2">
        <v>1270.75</v>
      </c>
      <c r="O74" s="2">
        <v>1413.78</v>
      </c>
      <c r="P74" s="2">
        <v>1576.74</v>
      </c>
      <c r="Q74" s="2">
        <v>1806.83</v>
      </c>
      <c r="R74" s="2">
        <v>2114.31</v>
      </c>
    </row>
    <row r="75" spans="1:18" x14ac:dyDescent="0.25">
      <c r="A75" t="s">
        <v>2450</v>
      </c>
      <c r="J75">
        <v>14.18</v>
      </c>
      <c r="K75">
        <v>22.02</v>
      </c>
      <c r="L75">
        <v>7.2</v>
      </c>
      <c r="M75">
        <v>10.99</v>
      </c>
      <c r="N75">
        <v>15.66</v>
      </c>
      <c r="O75">
        <v>13.53</v>
      </c>
      <c r="P75">
        <v>19.489999999999998</v>
      </c>
      <c r="Q75">
        <v>19.88</v>
      </c>
      <c r="R75">
        <v>32.11</v>
      </c>
    </row>
    <row r="76" spans="1:18" x14ac:dyDescent="0.25">
      <c r="A76" t="s">
        <v>2438</v>
      </c>
      <c r="J76">
        <v>36.78</v>
      </c>
      <c r="K76">
        <v>39.479999999999997</v>
      </c>
      <c r="L76">
        <v>72.78</v>
      </c>
      <c r="M76">
        <v>78.44</v>
      </c>
      <c r="N76">
        <v>73.790000000000006</v>
      </c>
      <c r="O76">
        <v>48.13</v>
      </c>
      <c r="P76">
        <v>82.16</v>
      </c>
      <c r="Q76">
        <v>106.01</v>
      </c>
      <c r="R76">
        <v>111.25</v>
      </c>
    </row>
    <row r="77" spans="1:18" x14ac:dyDescent="0.25">
      <c r="A77" t="s">
        <v>2439</v>
      </c>
      <c r="B77">
        <v>134.69999999999999</v>
      </c>
      <c r="C77">
        <v>122.53</v>
      </c>
      <c r="D77">
        <v>11.44</v>
      </c>
      <c r="E77">
        <v>37.18</v>
      </c>
      <c r="F77">
        <v>73.400000000000006</v>
      </c>
      <c r="G77">
        <v>147.19</v>
      </c>
      <c r="H77">
        <v>87.69</v>
      </c>
      <c r="I77">
        <v>184.59</v>
      </c>
      <c r="J77">
        <v>365.53</v>
      </c>
      <c r="K77">
        <v>159.61000000000001</v>
      </c>
      <c r="L77">
        <v>59.58</v>
      </c>
      <c r="M77">
        <v>291.32</v>
      </c>
      <c r="N77">
        <v>297.66000000000003</v>
      </c>
      <c r="O77">
        <v>255.86</v>
      </c>
      <c r="P77">
        <v>335.99</v>
      </c>
      <c r="Q77">
        <v>379.53</v>
      </c>
    </row>
    <row r="78" spans="1:18" x14ac:dyDescent="0.25">
      <c r="A78" t="s">
        <v>2440</v>
      </c>
      <c r="E78">
        <v>3.84</v>
      </c>
      <c r="F78">
        <v>0</v>
      </c>
      <c r="G78">
        <v>9.9</v>
      </c>
      <c r="H78">
        <v>0</v>
      </c>
      <c r="I78">
        <v>35.64</v>
      </c>
      <c r="J78">
        <v>15.34</v>
      </c>
      <c r="K78">
        <v>10.33</v>
      </c>
      <c r="L78">
        <v>0</v>
      </c>
      <c r="M78">
        <v>291.32</v>
      </c>
      <c r="N78">
        <v>297.66000000000003</v>
      </c>
      <c r="O78">
        <v>285.94</v>
      </c>
      <c r="P78">
        <v>375.24</v>
      </c>
      <c r="Q78">
        <v>352.8</v>
      </c>
      <c r="R78">
        <v>412.04</v>
      </c>
    </row>
    <row r="79" spans="1:18" x14ac:dyDescent="0.25">
      <c r="A79" t="s">
        <v>2441</v>
      </c>
      <c r="B79">
        <v>72.36</v>
      </c>
      <c r="C79">
        <v>47.81</v>
      </c>
      <c r="D79">
        <v>19.649999999999999</v>
      </c>
      <c r="E79">
        <v>33.35</v>
      </c>
      <c r="F79">
        <v>73.400000000000006</v>
      </c>
      <c r="G79">
        <v>137.29</v>
      </c>
      <c r="H79">
        <v>62.94</v>
      </c>
      <c r="I79">
        <v>148.94999999999999</v>
      </c>
      <c r="J79">
        <v>350.2</v>
      </c>
      <c r="K79">
        <v>149.28</v>
      </c>
      <c r="L79">
        <v>59.58</v>
      </c>
      <c r="O79">
        <v>268.19</v>
      </c>
      <c r="P79">
        <v>332.72</v>
      </c>
      <c r="Q79">
        <v>351.29</v>
      </c>
      <c r="R79">
        <v>413.96</v>
      </c>
    </row>
    <row r="80" spans="1:18" x14ac:dyDescent="0.25">
      <c r="A80" t="s">
        <v>2310</v>
      </c>
      <c r="B80" s="2">
        <v>33077.4</v>
      </c>
      <c r="C80" s="2">
        <v>37106.699999999997</v>
      </c>
      <c r="D80" s="2">
        <v>53515.7</v>
      </c>
      <c r="E80" s="2">
        <v>55740.2</v>
      </c>
      <c r="F80" s="2">
        <v>70943.5</v>
      </c>
      <c r="G80" s="2">
        <v>91323.9</v>
      </c>
      <c r="H80" s="2">
        <v>99080.4</v>
      </c>
      <c r="I80" s="2">
        <v>102989.9</v>
      </c>
      <c r="J80" s="2">
        <v>213507</v>
      </c>
      <c r="K80" s="2">
        <v>220158</v>
      </c>
      <c r="L80" s="2">
        <v>245491</v>
      </c>
      <c r="M80" s="2">
        <v>276245</v>
      </c>
      <c r="N80" s="2">
        <v>322004</v>
      </c>
      <c r="O80" s="2">
        <v>340480.9</v>
      </c>
      <c r="P80" s="2">
        <v>377414.74</v>
      </c>
      <c r="Q80" s="2">
        <v>427557.49</v>
      </c>
      <c r="R80" s="2">
        <v>514002.86</v>
      </c>
    </row>
    <row r="81" spans="1:18" x14ac:dyDescent="0.25">
      <c r="A81" t="s">
        <v>2448</v>
      </c>
      <c r="B81" s="2">
        <v>27241.200000000001</v>
      </c>
      <c r="C81" s="2">
        <v>35783.9</v>
      </c>
      <c r="D81" s="2">
        <v>46413.1</v>
      </c>
      <c r="E81" s="2">
        <v>49268.6</v>
      </c>
      <c r="F81" s="2">
        <v>55758.9</v>
      </c>
      <c r="G81" s="2">
        <v>74177.7</v>
      </c>
      <c r="H81" s="2">
        <v>84291.7</v>
      </c>
      <c r="I81" s="2">
        <v>92021.1</v>
      </c>
      <c r="J81" s="2">
        <v>202534</v>
      </c>
      <c r="K81" s="2">
        <v>206130</v>
      </c>
      <c r="L81" s="2">
        <v>226428</v>
      </c>
      <c r="M81" s="2">
        <v>252684</v>
      </c>
      <c r="N81" s="2">
        <v>289454</v>
      </c>
      <c r="O81" s="2">
        <v>313192.09999999998</v>
      </c>
      <c r="P81" s="2">
        <v>351215.59</v>
      </c>
      <c r="Q81" s="2">
        <v>391372.54</v>
      </c>
      <c r="R81" s="2">
        <v>454853.29</v>
      </c>
    </row>
    <row r="82" spans="1:18" x14ac:dyDescent="0.25">
      <c r="A82" t="s">
        <v>2443</v>
      </c>
      <c r="D82" s="2">
        <v>5244.9</v>
      </c>
      <c r="E82" s="2">
        <v>4642.2</v>
      </c>
      <c r="F82" s="2">
        <v>5017.1000000000004</v>
      </c>
      <c r="G82" s="2">
        <v>6932.4</v>
      </c>
      <c r="H82" s="2">
        <v>10075.4</v>
      </c>
      <c r="I82" s="2">
        <v>10309.5</v>
      </c>
      <c r="J82" s="2">
        <v>11528</v>
      </c>
      <c r="K82" s="2">
        <v>24742</v>
      </c>
      <c r="L82" s="2">
        <v>15006</v>
      </c>
      <c r="M82" s="2">
        <v>38586</v>
      </c>
      <c r="N82" s="2">
        <v>43846</v>
      </c>
      <c r="O82" s="2">
        <v>46795.79</v>
      </c>
      <c r="P82" s="2">
        <v>51383.43</v>
      </c>
      <c r="Q82" s="2">
        <v>55139.28</v>
      </c>
      <c r="R82" s="2">
        <v>61913.17</v>
      </c>
    </row>
    <row r="83" spans="1:18" x14ac:dyDescent="0.25">
      <c r="A83" t="s">
        <v>2444</v>
      </c>
      <c r="B83" s="2">
        <v>2362.3000000000002</v>
      </c>
      <c r="C83" s="2">
        <v>2841.3</v>
      </c>
      <c r="D83" s="2">
        <v>6690.8</v>
      </c>
      <c r="E83" s="2">
        <v>6312.6</v>
      </c>
      <c r="F83" s="2">
        <v>9148</v>
      </c>
      <c r="G83" s="2">
        <v>9798.1</v>
      </c>
      <c r="H83" s="2">
        <v>10109.299999999999</v>
      </c>
      <c r="I83" s="2">
        <v>10328.299999999999</v>
      </c>
      <c r="J83" s="2">
        <v>10281</v>
      </c>
      <c r="K83" s="2">
        <v>14327</v>
      </c>
      <c r="L83" s="2">
        <v>16472</v>
      </c>
      <c r="M83" s="2">
        <v>21396</v>
      </c>
      <c r="N83" s="2">
        <v>31135</v>
      </c>
      <c r="O83" s="2">
        <v>40448.449999999997</v>
      </c>
      <c r="P83" s="2">
        <v>50219.28</v>
      </c>
      <c r="Q83" s="2">
        <v>40599.11</v>
      </c>
      <c r="R83" s="2">
        <v>46498.45</v>
      </c>
    </row>
    <row r="84" spans="1:18" x14ac:dyDescent="0.25">
      <c r="A84" t="s">
        <v>2445</v>
      </c>
      <c r="B84" s="2">
        <v>7927.5</v>
      </c>
      <c r="C84" s="2">
        <v>8913.7999999999993</v>
      </c>
      <c r="D84" s="2">
        <v>12926.3</v>
      </c>
      <c r="E84" s="2">
        <v>16170.2</v>
      </c>
      <c r="F84" s="2">
        <v>12623.1</v>
      </c>
      <c r="G84" s="2">
        <v>19253.900000000001</v>
      </c>
      <c r="H84" s="2">
        <v>13419.6</v>
      </c>
      <c r="I84" s="2">
        <v>15750.3</v>
      </c>
      <c r="J84" s="2">
        <v>36706</v>
      </c>
      <c r="K84" s="2">
        <v>33883</v>
      </c>
    </row>
    <row r="85" spans="1:18" x14ac:dyDescent="0.25">
      <c r="A85" t="s">
        <v>17</v>
      </c>
    </row>
    <row r="86" spans="1:18" x14ac:dyDescent="0.25">
      <c r="A86" t="s">
        <v>2451</v>
      </c>
    </row>
    <row r="87" spans="1:18" x14ac:dyDescent="0.25">
      <c r="A87" t="s">
        <v>2452</v>
      </c>
      <c r="B87">
        <v>146.25</v>
      </c>
      <c r="C87">
        <v>217.92</v>
      </c>
      <c r="D87">
        <v>191.47</v>
      </c>
      <c r="E87">
        <v>181.52</v>
      </c>
      <c r="F87">
        <v>440</v>
      </c>
      <c r="G87">
        <v>631.04999999999995</v>
      </c>
      <c r="H87">
        <v>410.06</v>
      </c>
      <c r="I87">
        <v>480.48</v>
      </c>
      <c r="J87">
        <v>846.9</v>
      </c>
      <c r="K87">
        <v>600.29999999999995</v>
      </c>
      <c r="L87">
        <v>577.62</v>
      </c>
      <c r="M87" s="2">
        <v>1001.76</v>
      </c>
      <c r="N87">
        <v>930.14</v>
      </c>
      <c r="O87">
        <v>931.17</v>
      </c>
      <c r="P87" s="2">
        <v>1174.44</v>
      </c>
      <c r="Q87" s="2">
        <v>1378.03</v>
      </c>
      <c r="R87" s="2">
        <v>1408.36</v>
      </c>
    </row>
    <row r="88" spans="1:18" x14ac:dyDescent="0.25">
      <c r="A88" t="s">
        <v>17</v>
      </c>
    </row>
    <row r="89" spans="1:18" x14ac:dyDescent="0.25">
      <c r="A89" t="s">
        <v>2453</v>
      </c>
    </row>
    <row r="90" spans="1:18" x14ac:dyDescent="0.25">
      <c r="A90" t="s">
        <v>2356</v>
      </c>
      <c r="D90">
        <v>748.56</v>
      </c>
      <c r="E90">
        <v>694.42</v>
      </c>
      <c r="F90">
        <v>479.72</v>
      </c>
      <c r="G90">
        <v>651.79</v>
      </c>
      <c r="H90">
        <v>685.77</v>
      </c>
      <c r="I90">
        <v>644.66</v>
      </c>
      <c r="J90" s="2">
        <v>1613.24</v>
      </c>
      <c r="K90" s="2">
        <v>1033.19</v>
      </c>
      <c r="L90">
        <v>645.03</v>
      </c>
      <c r="M90">
        <v>534.66999999999996</v>
      </c>
      <c r="N90">
        <v>403.46</v>
      </c>
      <c r="O90">
        <v>869.4</v>
      </c>
      <c r="P90">
        <v>920.35</v>
      </c>
      <c r="Q90" s="2">
        <v>1089.6300000000001</v>
      </c>
      <c r="R90" s="2">
        <v>1220.05</v>
      </c>
    </row>
    <row r="91" spans="1:18" x14ac:dyDescent="0.25">
      <c r="A91" t="s">
        <v>2454</v>
      </c>
      <c r="D91">
        <v>-210.11</v>
      </c>
      <c r="E91">
        <v>-212.86</v>
      </c>
      <c r="F91">
        <v>194.02</v>
      </c>
      <c r="J91" s="2">
        <v>1199.4100000000001</v>
      </c>
      <c r="K91">
        <v>539.64</v>
      </c>
      <c r="L91">
        <v>230.06</v>
      </c>
      <c r="M91">
        <v>534.66999999999996</v>
      </c>
      <c r="N91">
        <v>403.46</v>
      </c>
      <c r="O91">
        <v>520.29999999999995</v>
      </c>
      <c r="P91">
        <v>672.02</v>
      </c>
      <c r="Q91">
        <v>811.29</v>
      </c>
      <c r="R91">
        <v>434.24</v>
      </c>
    </row>
    <row r="92" spans="1:18" x14ac:dyDescent="0.25">
      <c r="A92" t="s">
        <v>2455</v>
      </c>
      <c r="O92">
        <v>275.74</v>
      </c>
      <c r="P92">
        <v>321.64</v>
      </c>
      <c r="Q92">
        <v>245.61</v>
      </c>
      <c r="R92">
        <v>262.70999999999998</v>
      </c>
    </row>
    <row r="93" spans="1:18" x14ac:dyDescent="0.25">
      <c r="A93" t="s">
        <v>17</v>
      </c>
    </row>
    <row r="94" spans="1:18" x14ac:dyDescent="0.25">
      <c r="A94" t="s">
        <v>2456</v>
      </c>
    </row>
    <row r="95" spans="1:18" x14ac:dyDescent="0.25">
      <c r="A95" t="s">
        <v>2457</v>
      </c>
      <c r="J95" s="2">
        <v>3329.57</v>
      </c>
      <c r="K95" s="2">
        <v>4112.24</v>
      </c>
      <c r="L95" s="2">
        <v>5377.82</v>
      </c>
      <c r="M95" s="2">
        <v>6328.82</v>
      </c>
      <c r="N95" s="2">
        <v>7224.12</v>
      </c>
      <c r="O95" s="2">
        <v>7866.52</v>
      </c>
      <c r="P95" s="2">
        <v>8703.44</v>
      </c>
      <c r="Q95" s="2">
        <v>9428.07</v>
      </c>
      <c r="R95" s="2">
        <v>10329.49</v>
      </c>
    </row>
    <row r="96" spans="1:18" x14ac:dyDescent="0.25">
      <c r="A96" t="s">
        <v>2458</v>
      </c>
      <c r="J96" s="2">
        <v>-1564.26</v>
      </c>
      <c r="K96" s="2">
        <v>-2295.13</v>
      </c>
      <c r="L96" s="2">
        <v>-3283.01</v>
      </c>
      <c r="M96" s="2">
        <v>-4448.8900000000003</v>
      </c>
      <c r="N96" s="2">
        <v>-5229.34</v>
      </c>
      <c r="O96" s="2">
        <v>-5977.59</v>
      </c>
      <c r="P96" s="2">
        <v>-6570.32</v>
      </c>
      <c r="Q96" s="2">
        <v>-7120.48</v>
      </c>
      <c r="R96" s="2">
        <v>-7738.75</v>
      </c>
    </row>
    <row r="97" spans="1:19" x14ac:dyDescent="0.25">
      <c r="A97" t="s">
        <v>2388</v>
      </c>
      <c r="J97">
        <v>-500.41</v>
      </c>
      <c r="K97">
        <v>-638.27</v>
      </c>
      <c r="L97">
        <v>-805.11</v>
      </c>
      <c r="M97">
        <v>-865.39</v>
      </c>
      <c r="N97">
        <v>-885.38</v>
      </c>
      <c r="O97">
        <v>-791.9</v>
      </c>
      <c r="P97">
        <v>-864.93</v>
      </c>
      <c r="Q97">
        <v>-888.48</v>
      </c>
      <c r="R97" s="2">
        <v>-1064.21</v>
      </c>
    </row>
    <row r="98" spans="1:19" x14ac:dyDescent="0.25">
      <c r="A98" t="s">
        <v>2459</v>
      </c>
      <c r="J98" s="2">
        <v>1264.9000000000001</v>
      </c>
      <c r="K98" s="2">
        <v>1178.8399999999999</v>
      </c>
      <c r="L98" s="2">
        <v>1289.7</v>
      </c>
      <c r="M98" s="2">
        <v>1014.55</v>
      </c>
      <c r="N98" s="2">
        <v>1109.4000000000001</v>
      </c>
      <c r="O98" s="2">
        <v>1101.31</v>
      </c>
      <c r="P98" s="2">
        <v>1288.8599999999999</v>
      </c>
      <c r="Q98" s="2">
        <v>1433.77</v>
      </c>
      <c r="R98" s="2">
        <v>1660.11</v>
      </c>
    </row>
    <row r="99" spans="1:19" x14ac:dyDescent="0.25">
      <c r="A99" t="s">
        <v>797</v>
      </c>
      <c r="J99">
        <v>-199.1</v>
      </c>
      <c r="K99">
        <v>-171.74</v>
      </c>
      <c r="O99" s="2">
        <v>-1365.47</v>
      </c>
      <c r="P99" s="2">
        <v>-1891.61</v>
      </c>
      <c r="Q99" s="2">
        <v>-2282.48</v>
      </c>
    </row>
    <row r="100" spans="1:19" x14ac:dyDescent="0.25">
      <c r="A100" t="s">
        <v>2460</v>
      </c>
      <c r="J100">
        <v>-489.46</v>
      </c>
      <c r="K100">
        <v>-454.08</v>
      </c>
      <c r="L100">
        <v>-473.06</v>
      </c>
      <c r="O100">
        <v>0</v>
      </c>
      <c r="P100">
        <v>0</v>
      </c>
    </row>
    <row r="101" spans="1:19" x14ac:dyDescent="0.25">
      <c r="A101" t="s">
        <v>2461</v>
      </c>
      <c r="J101">
        <v>775.44</v>
      </c>
      <c r="K101">
        <v>724.76</v>
      </c>
      <c r="L101">
        <v>816.64</v>
      </c>
      <c r="M101" s="2">
        <v>1014.55</v>
      </c>
      <c r="N101" s="2">
        <v>1109.4000000000001</v>
      </c>
      <c r="O101" s="2">
        <v>1097.93</v>
      </c>
      <c r="P101" s="2">
        <v>1293.95</v>
      </c>
      <c r="Q101" s="2">
        <v>1531.1</v>
      </c>
      <c r="R101" s="2">
        <v>1660.11</v>
      </c>
    </row>
    <row r="102" spans="1:19" x14ac:dyDescent="0.25">
      <c r="A102" t="s">
        <v>155</v>
      </c>
      <c r="J102" s="2">
        <v>164565.35999999999</v>
      </c>
      <c r="K102" s="2">
        <v>170882.04</v>
      </c>
      <c r="L102" s="2">
        <v>203726.83</v>
      </c>
      <c r="M102" s="2">
        <v>237582.03</v>
      </c>
      <c r="N102" s="2">
        <v>264164.78000000003</v>
      </c>
      <c r="O102" s="2">
        <v>278935.39</v>
      </c>
      <c r="P102" s="2">
        <v>298461.3</v>
      </c>
      <c r="Q102" s="2">
        <v>298379.40000000002</v>
      </c>
      <c r="R102" s="2">
        <v>338285.38</v>
      </c>
    </row>
    <row r="103" spans="1:19" x14ac:dyDescent="0.25">
      <c r="A103" t="s">
        <v>167</v>
      </c>
      <c r="K103" s="2">
        <v>172439.5</v>
      </c>
      <c r="L103" s="2">
        <v>205771.9</v>
      </c>
      <c r="M103" s="2">
        <v>240207.78</v>
      </c>
      <c r="N103" s="2">
        <v>264603.71999999997</v>
      </c>
      <c r="O103" s="2">
        <v>282884.83</v>
      </c>
      <c r="P103" s="2">
        <v>299730.28999999998</v>
      </c>
      <c r="Q103" s="2">
        <v>316559.84000000003</v>
      </c>
      <c r="R103" s="2">
        <v>353861.55</v>
      </c>
      <c r="S103" s="2">
        <v>409646</v>
      </c>
    </row>
    <row r="104" spans="1:19" x14ac:dyDescent="0.25">
      <c r="A104" t="s">
        <v>2462</v>
      </c>
      <c r="J104" s="2">
        <v>123763.68</v>
      </c>
      <c r="K104" s="2">
        <v>124199.18</v>
      </c>
      <c r="L104" s="2">
        <v>141370.32</v>
      </c>
      <c r="M104" s="2">
        <v>170144.74</v>
      </c>
      <c r="N104" s="2">
        <v>192009.75</v>
      </c>
      <c r="O104" s="2">
        <v>203652.94</v>
      </c>
      <c r="P104" s="2">
        <v>214207.85</v>
      </c>
      <c r="Q104" s="2">
        <v>219462.48</v>
      </c>
      <c r="R104" s="2">
        <v>250557.58</v>
      </c>
    </row>
    <row r="105" spans="1:19" x14ac:dyDescent="0.25">
      <c r="A105" t="s">
        <v>2463</v>
      </c>
      <c r="J105">
        <v>775.44</v>
      </c>
      <c r="K105">
        <v>545.20000000000005</v>
      </c>
      <c r="L105">
        <v>816.64</v>
      </c>
      <c r="M105" s="2">
        <v>1014.55</v>
      </c>
      <c r="N105" s="2">
        <v>1109.4000000000001</v>
      </c>
    </row>
    <row r="106" spans="1:19" x14ac:dyDescent="0.25">
      <c r="A106" t="s">
        <v>17</v>
      </c>
    </row>
    <row r="107" spans="1:19" x14ac:dyDescent="0.25">
      <c r="A107" t="s">
        <v>2464</v>
      </c>
    </row>
    <row r="108" spans="1:19" x14ac:dyDescent="0.25">
      <c r="A108" t="s">
        <v>2465</v>
      </c>
      <c r="K108">
        <v>52.86</v>
      </c>
      <c r="L108">
        <v>14.53</v>
      </c>
      <c r="M108">
        <v>76.209999999999994</v>
      </c>
      <c r="N108">
        <v>162.1</v>
      </c>
      <c r="O108">
        <v>347.63</v>
      </c>
      <c r="P108">
        <v>483</v>
      </c>
      <c r="Q108">
        <v>685.76</v>
      </c>
      <c r="R108">
        <v>883.36</v>
      </c>
      <c r="S108" s="2">
        <v>1100</v>
      </c>
    </row>
    <row r="109" spans="1:19" x14ac:dyDescent="0.25">
      <c r="A109" t="s">
        <v>2466</v>
      </c>
      <c r="L109">
        <v>14.53</v>
      </c>
      <c r="M109">
        <v>76.209999999999994</v>
      </c>
      <c r="N109">
        <v>162.1</v>
      </c>
      <c r="O109">
        <v>350.81</v>
      </c>
      <c r="P109">
        <v>484.85</v>
      </c>
      <c r="Q109">
        <v>691.58</v>
      </c>
      <c r="R109">
        <v>923.04</v>
      </c>
      <c r="S109" s="2">
        <v>1100</v>
      </c>
    </row>
    <row r="110" spans="1:19" x14ac:dyDescent="0.25">
      <c r="A110" t="s">
        <v>2467</v>
      </c>
      <c r="K110">
        <v>35.33</v>
      </c>
      <c r="L110">
        <v>0</v>
      </c>
      <c r="M110">
        <v>87.69</v>
      </c>
      <c r="N110">
        <v>69.86</v>
      </c>
      <c r="O110">
        <v>84.66</v>
      </c>
      <c r="P110">
        <v>101.8</v>
      </c>
      <c r="Q110">
        <v>195</v>
      </c>
    </row>
    <row r="111" spans="1:19" x14ac:dyDescent="0.25">
      <c r="A111" t="s">
        <v>2468</v>
      </c>
      <c r="K111">
        <v>88.2</v>
      </c>
      <c r="L111">
        <v>14.53</v>
      </c>
      <c r="M111">
        <v>163.9</v>
      </c>
      <c r="N111">
        <v>231.96</v>
      </c>
      <c r="O111">
        <v>369.93</v>
      </c>
      <c r="P111">
        <v>529.63</v>
      </c>
      <c r="Q111">
        <v>737.5</v>
      </c>
      <c r="R111">
        <v>958.49</v>
      </c>
      <c r="S111" s="2">
        <v>1100</v>
      </c>
    </row>
    <row r="112" spans="1:19" x14ac:dyDescent="0.25">
      <c r="A112" t="s">
        <v>17</v>
      </c>
    </row>
    <row r="113" spans="1:19" x14ac:dyDescent="0.25">
      <c r="A113" t="s">
        <v>2326</v>
      </c>
    </row>
    <row r="114" spans="1:19" x14ac:dyDescent="0.25">
      <c r="A114" t="s">
        <v>2469</v>
      </c>
      <c r="J114" s="2">
        <v>1199.4100000000001</v>
      </c>
      <c r="K114">
        <v>539.64</v>
      </c>
      <c r="L114">
        <v>230.06</v>
      </c>
      <c r="M114">
        <v>534.66999999999996</v>
      </c>
      <c r="N114">
        <v>403.46</v>
      </c>
    </row>
    <row r="115" spans="1:19" x14ac:dyDescent="0.25">
      <c r="A115" t="s">
        <v>2470</v>
      </c>
      <c r="G115">
        <v>9.9</v>
      </c>
      <c r="H115" s="2">
        <v>1046.04</v>
      </c>
      <c r="I115" s="2">
        <v>1042.2</v>
      </c>
      <c r="J115" s="2">
        <v>1752.13</v>
      </c>
      <c r="K115" s="2">
        <v>1993.86</v>
      </c>
      <c r="L115" s="2">
        <v>1005.81</v>
      </c>
      <c r="M115" s="2">
        <v>1822.12</v>
      </c>
      <c r="N115" s="2">
        <v>1879.51</v>
      </c>
      <c r="O115" s="2">
        <v>3205.98</v>
      </c>
      <c r="P115" s="2">
        <v>3744.69</v>
      </c>
      <c r="Q115" s="2">
        <v>4389.8100000000004</v>
      </c>
      <c r="R115" s="2">
        <v>4351.3999999999996</v>
      </c>
    </row>
    <row r="116" spans="1:19" x14ac:dyDescent="0.25">
      <c r="A116" t="s">
        <v>2383</v>
      </c>
      <c r="G116">
        <v>137.29</v>
      </c>
      <c r="I116">
        <v>163.05000000000001</v>
      </c>
      <c r="J116">
        <v>389.47</v>
      </c>
      <c r="K116">
        <v>182.8</v>
      </c>
      <c r="L116">
        <v>29.12</v>
      </c>
      <c r="M116">
        <v>47.43</v>
      </c>
      <c r="N116">
        <v>27.74</v>
      </c>
    </row>
    <row r="117" spans="1:19" x14ac:dyDescent="0.25">
      <c r="A117" t="s">
        <v>2439</v>
      </c>
      <c r="G117">
        <v>147.19</v>
      </c>
      <c r="H117" s="2">
        <v>1046.04</v>
      </c>
      <c r="I117" s="2">
        <v>1015.87</v>
      </c>
      <c r="J117" s="2">
        <v>2141.6</v>
      </c>
      <c r="K117" s="2">
        <v>-1333.53</v>
      </c>
      <c r="L117" s="2">
        <v>1065.3900000000001</v>
      </c>
      <c r="M117" s="2">
        <v>1822.12</v>
      </c>
      <c r="N117" s="2">
        <v>1879.51</v>
      </c>
    </row>
    <row r="118" spans="1:19" x14ac:dyDescent="0.25">
      <c r="A118" t="s">
        <v>155</v>
      </c>
      <c r="J118" s="2">
        <v>99720.08</v>
      </c>
      <c r="K118" s="2">
        <v>106195.15</v>
      </c>
      <c r="L118" s="2">
        <v>113567.37</v>
      </c>
      <c r="M118" s="2">
        <v>122517.38</v>
      </c>
      <c r="N118" s="2">
        <v>145979.29</v>
      </c>
      <c r="O118" s="2">
        <v>159994.48000000001</v>
      </c>
      <c r="P118" s="2">
        <v>175131.14</v>
      </c>
      <c r="Q118" s="2">
        <v>183848.92</v>
      </c>
      <c r="R118" s="2">
        <v>211905.35</v>
      </c>
    </row>
    <row r="119" spans="1:19" x14ac:dyDescent="0.25">
      <c r="A119" t="s">
        <v>167</v>
      </c>
      <c r="J119" s="2">
        <v>45029.37</v>
      </c>
      <c r="K119" s="2">
        <v>47536.45</v>
      </c>
      <c r="L119" s="2">
        <v>53143.38</v>
      </c>
      <c r="M119" s="2">
        <v>57906.94</v>
      </c>
      <c r="N119" s="2">
        <v>63908.44</v>
      </c>
      <c r="O119" s="2">
        <v>67667.289999999994</v>
      </c>
      <c r="P119" s="2">
        <v>70567.61</v>
      </c>
      <c r="Q119" s="2">
        <v>73502.36</v>
      </c>
      <c r="R119" s="2">
        <v>88931.55</v>
      </c>
    </row>
    <row r="120" spans="1:19" x14ac:dyDescent="0.25">
      <c r="A120" t="s">
        <v>2471</v>
      </c>
      <c r="H120" s="2">
        <v>49550.400000000001</v>
      </c>
      <c r="I120" s="2">
        <v>60839.1</v>
      </c>
      <c r="J120" s="2">
        <v>77991</v>
      </c>
    </row>
    <row r="121" spans="1:19" x14ac:dyDescent="0.25">
      <c r="A121" t="s">
        <v>17</v>
      </c>
    </row>
    <row r="122" spans="1:19" x14ac:dyDescent="0.25">
      <c r="A122" t="s">
        <v>2294</v>
      </c>
      <c r="B122" s="2">
        <v>94320.3</v>
      </c>
      <c r="C122" s="2">
        <v>98612.5</v>
      </c>
      <c r="D122" s="2">
        <v>119544.3</v>
      </c>
      <c r="E122" s="2">
        <v>129555.7</v>
      </c>
      <c r="F122" s="2">
        <v>168470.6</v>
      </c>
      <c r="G122" s="2">
        <v>194720.4</v>
      </c>
      <c r="H122" s="2">
        <v>218355.1</v>
      </c>
      <c r="I122" s="2">
        <v>251679.2</v>
      </c>
      <c r="J122" s="2">
        <v>470555</v>
      </c>
      <c r="K122" s="2">
        <v>503897</v>
      </c>
      <c r="L122" s="2">
        <v>552801</v>
      </c>
      <c r="M122" s="2">
        <v>637572</v>
      </c>
      <c r="N122" s="2">
        <v>743858</v>
      </c>
      <c r="O122" s="2">
        <v>846216.94</v>
      </c>
      <c r="P122" s="2">
        <v>950249.09</v>
      </c>
      <c r="Q122" s="2">
        <v>1075511.5</v>
      </c>
      <c r="R122" s="2">
        <v>1219845.1599999999</v>
      </c>
    </row>
    <row r="123" spans="1:19" x14ac:dyDescent="0.25">
      <c r="A123" t="s">
        <v>2428</v>
      </c>
    </row>
    <row r="124" spans="1:19" x14ac:dyDescent="0.25">
      <c r="A124" t="s">
        <v>2472</v>
      </c>
      <c r="C124" s="2">
        <v>13309</v>
      </c>
      <c r="D124" s="2">
        <v>19876.5</v>
      </c>
      <c r="E124" s="2">
        <v>28793.3</v>
      </c>
      <c r="F124" s="2">
        <v>38677</v>
      </c>
      <c r="G124" s="2">
        <v>34009.4</v>
      </c>
      <c r="H124" s="2">
        <v>25517.4</v>
      </c>
      <c r="I124" s="2">
        <v>43790.3</v>
      </c>
      <c r="J124" s="2">
        <v>120564</v>
      </c>
      <c r="K124" s="2">
        <v>81214</v>
      </c>
      <c r="L124" s="2">
        <v>69466</v>
      </c>
      <c r="M124" s="2">
        <v>113642</v>
      </c>
      <c r="N124" s="2">
        <v>129399</v>
      </c>
      <c r="O124" s="2">
        <v>127846.1</v>
      </c>
      <c r="P124" s="2">
        <v>143613.96</v>
      </c>
      <c r="Q124" s="2">
        <v>146272.29</v>
      </c>
      <c r="R124" s="2">
        <v>127431.67</v>
      </c>
      <c r="S124">
        <v>0.35</v>
      </c>
    </row>
    <row r="125" spans="1:19" x14ac:dyDescent="0.25">
      <c r="A125" t="s">
        <v>2473</v>
      </c>
      <c r="D125" s="2">
        <v>5570.2</v>
      </c>
      <c r="E125" s="2">
        <v>5753.9</v>
      </c>
      <c r="F125" s="2">
        <v>14619.8</v>
      </c>
      <c r="G125" s="2">
        <v>2230.8000000000002</v>
      </c>
      <c r="H125" s="2">
        <v>15531.5</v>
      </c>
      <c r="I125" s="2">
        <v>16819.599999999999</v>
      </c>
      <c r="J125" s="2">
        <v>44164</v>
      </c>
      <c r="K125" s="2">
        <v>-25224</v>
      </c>
      <c r="L125" s="2">
        <v>22474</v>
      </c>
      <c r="M125" s="2">
        <v>26790</v>
      </c>
      <c r="N125" s="2">
        <v>37135</v>
      </c>
      <c r="O125" s="2">
        <v>41073.43</v>
      </c>
      <c r="P125" s="2">
        <v>48076.46</v>
      </c>
      <c r="Q125" s="2">
        <v>50723.95</v>
      </c>
      <c r="R125" s="2">
        <v>48011.06</v>
      </c>
    </row>
    <row r="126" spans="1:19" x14ac:dyDescent="0.25">
      <c r="A126" t="s">
        <v>2474</v>
      </c>
      <c r="C126" s="2">
        <v>-17996</v>
      </c>
      <c r="D126" s="2">
        <v>-19032.5</v>
      </c>
      <c r="E126" s="2">
        <v>-24535.8</v>
      </c>
      <c r="F126" s="2">
        <v>-19988.099999999999</v>
      </c>
      <c r="G126" s="2">
        <v>-22030</v>
      </c>
      <c r="H126" s="2">
        <v>-19587.099999999999</v>
      </c>
      <c r="I126" s="2">
        <v>-27285.8</v>
      </c>
      <c r="J126" s="2">
        <v>-43356</v>
      </c>
      <c r="K126" s="2">
        <v>-44424</v>
      </c>
      <c r="L126" s="2">
        <v>-43036</v>
      </c>
      <c r="M126" s="2">
        <v>-55661</v>
      </c>
      <c r="N126" s="2">
        <v>-63462</v>
      </c>
      <c r="O126" s="2">
        <v>-78640.009999999995</v>
      </c>
      <c r="P126" s="2">
        <v>-81992.83</v>
      </c>
      <c r="Q126" s="2">
        <v>-91707.24</v>
      </c>
      <c r="R126" s="2">
        <v>-88223.77</v>
      </c>
    </row>
    <row r="127" spans="1:19" x14ac:dyDescent="0.25">
      <c r="A127" t="s">
        <v>2360</v>
      </c>
      <c r="H127" s="2">
        <v>91618.8</v>
      </c>
      <c r="I127" s="2">
        <v>113477.2</v>
      </c>
      <c r="J127" s="2">
        <v>173745</v>
      </c>
      <c r="K127" s="2">
        <v>165147</v>
      </c>
      <c r="L127" s="2">
        <v>176377</v>
      </c>
      <c r="M127" s="2">
        <v>195358</v>
      </c>
      <c r="N127" s="2">
        <v>229374</v>
      </c>
      <c r="O127" s="2">
        <v>269225.13</v>
      </c>
      <c r="P127" s="2">
        <v>305403.65999999997</v>
      </c>
      <c r="Q127" s="2">
        <v>337345.96</v>
      </c>
      <c r="R127" s="2">
        <v>375033.26</v>
      </c>
    </row>
    <row r="128" spans="1:19" x14ac:dyDescent="0.25">
      <c r="A128" t="s">
        <v>2472</v>
      </c>
      <c r="K128" s="2">
        <v>18087</v>
      </c>
      <c r="L128" s="2">
        <v>6901</v>
      </c>
      <c r="M128" s="2">
        <v>17660</v>
      </c>
      <c r="N128" s="2">
        <v>27176</v>
      </c>
      <c r="O128" s="2">
        <v>29840.19</v>
      </c>
      <c r="P128" s="2">
        <v>36231.269999999997</v>
      </c>
      <c r="Q128" s="2">
        <v>37871.589999999997</v>
      </c>
      <c r="R128" s="2">
        <v>38783.61</v>
      </c>
    </row>
    <row r="129" spans="1:18" x14ac:dyDescent="0.25">
      <c r="A129" t="s">
        <v>2473</v>
      </c>
      <c r="K129" s="2">
        <v>-10514</v>
      </c>
      <c r="L129" s="2">
        <v>13669</v>
      </c>
      <c r="M129" s="2">
        <v>15628</v>
      </c>
      <c r="N129" s="2">
        <v>20142</v>
      </c>
      <c r="O129" s="2">
        <v>24704.94</v>
      </c>
      <c r="P129" s="2">
        <v>24903.3</v>
      </c>
      <c r="Q129" s="2">
        <v>25223.72</v>
      </c>
      <c r="R129" s="2">
        <v>23852.68</v>
      </c>
    </row>
    <row r="130" spans="1:18" x14ac:dyDescent="0.25">
      <c r="A130" t="s">
        <v>2474</v>
      </c>
      <c r="K130" s="2">
        <v>-16171</v>
      </c>
      <c r="L130" s="2">
        <v>-9340</v>
      </c>
      <c r="M130" s="2">
        <v>-14307</v>
      </c>
      <c r="N130" s="2">
        <v>-16516</v>
      </c>
      <c r="O130" s="2">
        <v>-26574.12</v>
      </c>
      <c r="P130" s="2">
        <v>-26367.56</v>
      </c>
      <c r="Q130" s="2">
        <v>-29560.19</v>
      </c>
      <c r="R130" s="2">
        <v>-26976.13</v>
      </c>
    </row>
    <row r="131" spans="1:18" x14ac:dyDescent="0.25">
      <c r="A131" t="s">
        <v>2418</v>
      </c>
      <c r="H131" s="2">
        <v>27655.9</v>
      </c>
      <c r="I131" s="2">
        <v>35212.1</v>
      </c>
      <c r="J131" s="2">
        <v>83303</v>
      </c>
      <c r="K131" s="2">
        <v>118592</v>
      </c>
      <c r="L131" s="2">
        <v>130933</v>
      </c>
      <c r="M131" s="2">
        <v>165969</v>
      </c>
      <c r="N131" s="2">
        <v>192480</v>
      </c>
      <c r="O131" s="2">
        <v>224989.74</v>
      </c>
      <c r="P131" s="2">
        <v>255221.58</v>
      </c>
      <c r="Q131" s="2">
        <v>299748.59999999998</v>
      </c>
      <c r="R131" s="2">
        <v>339035.78</v>
      </c>
    </row>
    <row r="132" spans="1:18" x14ac:dyDescent="0.25">
      <c r="A132" t="s">
        <v>2472</v>
      </c>
      <c r="K132" s="2">
        <v>29244</v>
      </c>
      <c r="L132" s="2">
        <v>15984</v>
      </c>
      <c r="M132" s="2">
        <v>39680</v>
      </c>
      <c r="N132" s="2">
        <v>33739</v>
      </c>
      <c r="O132" s="2">
        <v>40904.410000000003</v>
      </c>
      <c r="P132" s="2">
        <v>37753.68</v>
      </c>
      <c r="Q132" s="2">
        <v>49242.53</v>
      </c>
      <c r="R132" s="2">
        <v>49069.47</v>
      </c>
    </row>
    <row r="133" spans="1:18" x14ac:dyDescent="0.25">
      <c r="A133" t="s">
        <v>2473</v>
      </c>
      <c r="K133" s="2">
        <v>-1365</v>
      </c>
      <c r="L133" s="2">
        <v>3780</v>
      </c>
      <c r="M133" s="2">
        <v>5219</v>
      </c>
      <c r="N133" s="2">
        <v>8117</v>
      </c>
      <c r="O133" s="2">
        <v>6152.09</v>
      </c>
      <c r="P133" s="2">
        <v>10144.290000000001</v>
      </c>
      <c r="Q133" s="2">
        <v>11261.6</v>
      </c>
      <c r="R133" s="2">
        <v>10608.34</v>
      </c>
    </row>
    <row r="134" spans="1:18" x14ac:dyDescent="0.25">
      <c r="A134" t="s">
        <v>2474</v>
      </c>
      <c r="K134" s="2">
        <v>-6369</v>
      </c>
      <c r="L134" s="2">
        <v>-7423</v>
      </c>
      <c r="M134" s="2">
        <v>-9863</v>
      </c>
      <c r="N134" s="2">
        <v>-15345</v>
      </c>
      <c r="O134" s="2">
        <v>-14418.69</v>
      </c>
      <c r="P134" s="2">
        <v>-16560.439999999999</v>
      </c>
      <c r="Q134" s="2">
        <v>-19294.96</v>
      </c>
      <c r="R134" s="2">
        <v>-20390.11</v>
      </c>
    </row>
    <row r="135" spans="1:18" x14ac:dyDescent="0.25">
      <c r="A135" t="s">
        <v>2419</v>
      </c>
      <c r="B135" s="2">
        <v>33077.4</v>
      </c>
      <c r="C135" s="2">
        <v>37106.699999999997</v>
      </c>
      <c r="D135" s="2">
        <v>53515.7</v>
      </c>
      <c r="E135" s="2">
        <v>55740.2</v>
      </c>
      <c r="F135" s="2">
        <v>70943.5</v>
      </c>
      <c r="G135" s="2">
        <v>91323.9</v>
      </c>
      <c r="H135" s="2">
        <v>99080.4</v>
      </c>
      <c r="I135" s="2">
        <v>102989.9</v>
      </c>
      <c r="J135" s="2">
        <v>213507</v>
      </c>
      <c r="K135" s="2">
        <v>220158</v>
      </c>
      <c r="L135" s="2">
        <v>245491</v>
      </c>
      <c r="M135" s="2">
        <v>276245</v>
      </c>
      <c r="N135" s="2">
        <v>322004</v>
      </c>
      <c r="O135" s="2">
        <v>340480.9</v>
      </c>
      <c r="P135" s="2">
        <v>377414.74</v>
      </c>
      <c r="Q135" s="2">
        <v>427557.49</v>
      </c>
      <c r="R135" s="2">
        <v>514002.86</v>
      </c>
    </row>
    <row r="136" spans="1:18" x14ac:dyDescent="0.25">
      <c r="A136" t="s">
        <v>2472</v>
      </c>
      <c r="B136" s="2">
        <v>7927.5</v>
      </c>
      <c r="C136" s="2">
        <v>8913.7999999999993</v>
      </c>
      <c r="D136" s="2">
        <v>12926.3</v>
      </c>
      <c r="E136" s="2">
        <v>16170.2</v>
      </c>
      <c r="F136" s="2">
        <v>12623.1</v>
      </c>
      <c r="G136" s="2">
        <v>19253.900000000001</v>
      </c>
      <c r="H136" s="2">
        <v>13419.6</v>
      </c>
      <c r="I136" s="2">
        <v>15750.3</v>
      </c>
      <c r="J136" s="2">
        <v>36706</v>
      </c>
      <c r="K136" s="2">
        <v>33883</v>
      </c>
      <c r="L136" s="2">
        <v>46581</v>
      </c>
      <c r="M136" s="2">
        <v>56302</v>
      </c>
      <c r="N136" s="2">
        <v>68484</v>
      </c>
      <c r="O136" s="2">
        <v>57232.38</v>
      </c>
      <c r="P136" s="2">
        <v>69385.48</v>
      </c>
      <c r="Q136" s="2">
        <v>75812.899999999994</v>
      </c>
      <c r="R136" s="2">
        <v>92751.49</v>
      </c>
    </row>
    <row r="137" spans="1:18" x14ac:dyDescent="0.25">
      <c r="A137" t="s">
        <v>2473</v>
      </c>
      <c r="B137" s="2">
        <v>1516.6</v>
      </c>
      <c r="C137">
        <v>-424</v>
      </c>
      <c r="D137">
        <v>-729.4</v>
      </c>
      <c r="E137" s="2">
        <v>5173.8</v>
      </c>
      <c r="F137" s="2">
        <v>3860.4</v>
      </c>
      <c r="G137" s="2">
        <v>-1634.1</v>
      </c>
      <c r="H137" s="2">
        <v>1772.6</v>
      </c>
      <c r="I137" s="2">
        <v>2767.7</v>
      </c>
      <c r="J137" s="2">
        <v>7788</v>
      </c>
      <c r="K137" s="2">
        <v>-13345</v>
      </c>
      <c r="L137" s="2">
        <v>5025</v>
      </c>
      <c r="M137" s="2">
        <v>5943</v>
      </c>
      <c r="N137" s="2">
        <v>8876</v>
      </c>
      <c r="O137" s="2">
        <v>9285.5400000000009</v>
      </c>
      <c r="P137" s="2">
        <v>12280.59</v>
      </c>
      <c r="Q137" s="2">
        <v>13803.14</v>
      </c>
      <c r="R137" s="2">
        <v>13550.03</v>
      </c>
    </row>
    <row r="138" spans="1:18" x14ac:dyDescent="0.25">
      <c r="A138" t="s">
        <v>2474</v>
      </c>
      <c r="D138" s="2">
        <v>-4087.9</v>
      </c>
      <c r="E138" s="2">
        <v>-10978.7</v>
      </c>
      <c r="F138" s="2">
        <v>-7484.9</v>
      </c>
      <c r="G138" s="2">
        <v>-9279</v>
      </c>
      <c r="H138" s="2">
        <v>-9608.6</v>
      </c>
      <c r="I138" s="2">
        <v>-14608.5</v>
      </c>
      <c r="J138" s="2">
        <v>-19467</v>
      </c>
      <c r="K138" s="2">
        <v>-21884</v>
      </c>
      <c r="L138" s="2">
        <v>-26273</v>
      </c>
      <c r="M138" s="2">
        <v>-31491</v>
      </c>
      <c r="N138" s="2">
        <v>-31601</v>
      </c>
      <c r="O138" s="2">
        <v>-37604.39</v>
      </c>
      <c r="P138" s="2">
        <v>-38765.269999999997</v>
      </c>
      <c r="Q138" s="2">
        <v>-43651.24</v>
      </c>
      <c r="R138" s="2">
        <v>-44113.11</v>
      </c>
    </row>
    <row r="139" spans="1:18" x14ac:dyDescent="0.25">
      <c r="A139" t="s">
        <v>17</v>
      </c>
    </row>
    <row r="140" spans="1:18" x14ac:dyDescent="0.25">
      <c r="A140" t="s">
        <v>2475</v>
      </c>
      <c r="C140" s="2">
        <v>83046.399999999994</v>
      </c>
      <c r="D140" s="2">
        <v>91720.5</v>
      </c>
      <c r="E140" s="2">
        <v>101473.4</v>
      </c>
      <c r="F140" s="2">
        <v>117437.5</v>
      </c>
      <c r="G140" s="2">
        <v>141007.70000000001</v>
      </c>
      <c r="H140" s="2">
        <v>161209.79999999999</v>
      </c>
      <c r="I140" s="2">
        <v>186217</v>
      </c>
      <c r="J140" s="2">
        <v>357389</v>
      </c>
      <c r="K140" s="2">
        <v>411923</v>
      </c>
      <c r="L140" s="2">
        <v>446408</v>
      </c>
      <c r="M140" s="2">
        <v>511963</v>
      </c>
      <c r="N140" s="2">
        <v>604144</v>
      </c>
      <c r="O140" s="2">
        <v>677006.66</v>
      </c>
      <c r="P140" s="2">
        <v>764423.9</v>
      </c>
      <c r="Q140" s="2">
        <v>864135.3</v>
      </c>
      <c r="R140" s="2">
        <v>1002268.08</v>
      </c>
    </row>
    <row r="141" spans="1:18" x14ac:dyDescent="0.25">
      <c r="A141" t="s">
        <v>2428</v>
      </c>
    </row>
    <row r="142" spans="1:18" x14ac:dyDescent="0.25">
      <c r="A142" t="s">
        <v>2472</v>
      </c>
      <c r="E142" s="2">
        <v>28793.3</v>
      </c>
      <c r="F142" s="2">
        <v>38677</v>
      </c>
      <c r="G142" s="2">
        <v>34009.4</v>
      </c>
      <c r="H142" s="2">
        <v>25517.4</v>
      </c>
      <c r="I142" s="2">
        <v>43790.3</v>
      </c>
      <c r="J142" s="2">
        <v>120564</v>
      </c>
      <c r="K142" s="2">
        <v>81214</v>
      </c>
      <c r="L142" s="2">
        <v>69466</v>
      </c>
      <c r="M142" s="2">
        <v>113642</v>
      </c>
      <c r="N142" s="2">
        <v>129399</v>
      </c>
      <c r="O142" s="2">
        <v>118204.34</v>
      </c>
      <c r="P142" s="2">
        <v>132379.65</v>
      </c>
      <c r="Q142" s="2">
        <v>145172.73000000001</v>
      </c>
      <c r="R142" s="2">
        <v>156093.4</v>
      </c>
    </row>
    <row r="143" spans="1:18" x14ac:dyDescent="0.25">
      <c r="A143" t="s">
        <v>2476</v>
      </c>
      <c r="N143" s="2">
        <v>3214</v>
      </c>
      <c r="O143" s="2">
        <v>14517.7</v>
      </c>
      <c r="P143" s="2">
        <v>12998</v>
      </c>
      <c r="Q143" s="2">
        <v>10000</v>
      </c>
    </row>
    <row r="144" spans="1:18" x14ac:dyDescent="0.25">
      <c r="A144" t="s">
        <v>2474</v>
      </c>
      <c r="E144" s="2">
        <v>-24535.8</v>
      </c>
      <c r="F144" s="2">
        <v>-19988.099999999999</v>
      </c>
      <c r="G144" s="2">
        <v>-22030</v>
      </c>
      <c r="H144" s="2">
        <v>-19587.099999999999</v>
      </c>
      <c r="I144" s="2">
        <v>-14608.5</v>
      </c>
      <c r="J144" s="2">
        <v>-43356</v>
      </c>
      <c r="K144" s="2">
        <v>-44424</v>
      </c>
      <c r="L144" s="2">
        <v>-43036</v>
      </c>
      <c r="M144" s="2">
        <v>-55661</v>
      </c>
      <c r="N144" s="2">
        <v>-63462</v>
      </c>
      <c r="O144" s="2">
        <v>-63794.87</v>
      </c>
      <c r="P144" s="2">
        <v>-61512.69</v>
      </c>
      <c r="Q144" s="2">
        <v>-72293.570000000007</v>
      </c>
      <c r="R144" s="2">
        <v>-67959.69</v>
      </c>
    </row>
    <row r="145" spans="1:18" x14ac:dyDescent="0.25">
      <c r="A145" t="s">
        <v>2360</v>
      </c>
      <c r="H145" s="2">
        <v>56964.3</v>
      </c>
      <c r="I145" s="2">
        <v>68505.7</v>
      </c>
      <c r="J145" s="2">
        <v>87890</v>
      </c>
      <c r="K145" s="2">
        <v>102261</v>
      </c>
      <c r="L145" s="2">
        <v>107726</v>
      </c>
      <c r="M145" s="2">
        <v>119598</v>
      </c>
      <c r="N145" s="2">
        <v>151239</v>
      </c>
      <c r="O145" s="2">
        <v>177158.62</v>
      </c>
      <c r="P145" s="2">
        <v>201809.38</v>
      </c>
      <c r="Q145" s="2">
        <v>221064.09</v>
      </c>
      <c r="R145" s="2">
        <v>247533.81</v>
      </c>
    </row>
    <row r="146" spans="1:18" x14ac:dyDescent="0.25">
      <c r="A146" t="s">
        <v>2472</v>
      </c>
      <c r="K146" s="2">
        <v>20735</v>
      </c>
      <c r="L146" s="2">
        <v>10533</v>
      </c>
      <c r="M146" s="2">
        <v>17660</v>
      </c>
      <c r="N146" s="2">
        <v>34442</v>
      </c>
      <c r="O146" s="2">
        <v>28841.64</v>
      </c>
      <c r="P146" s="2">
        <v>32279.16</v>
      </c>
      <c r="Q146" s="2">
        <v>31477.06</v>
      </c>
      <c r="R146" s="2">
        <v>29925.97</v>
      </c>
    </row>
    <row r="147" spans="1:18" x14ac:dyDescent="0.25">
      <c r="A147" t="s">
        <v>2476</v>
      </c>
      <c r="K147">
        <v>0</v>
      </c>
      <c r="N147" s="2">
        <v>3214</v>
      </c>
    </row>
    <row r="148" spans="1:18" x14ac:dyDescent="0.25">
      <c r="A148" t="s">
        <v>2474</v>
      </c>
      <c r="K148" s="2">
        <v>-5460</v>
      </c>
      <c r="L148" s="2">
        <v>-5483</v>
      </c>
      <c r="M148" s="2">
        <v>-6782</v>
      </c>
      <c r="N148" s="2">
        <v>-9035</v>
      </c>
      <c r="O148" s="2">
        <v>-13576.57</v>
      </c>
      <c r="P148" s="2">
        <v>-13433.24</v>
      </c>
      <c r="Q148" s="2">
        <v>-15932.85</v>
      </c>
      <c r="R148" s="2">
        <v>-13809.76</v>
      </c>
    </row>
    <row r="149" spans="1:18" x14ac:dyDescent="0.25">
      <c r="A149" t="s">
        <v>2473</v>
      </c>
      <c r="K149">
        <v>-904</v>
      </c>
      <c r="L149">
        <v>415</v>
      </c>
      <c r="M149">
        <v>380</v>
      </c>
      <c r="N149" s="2">
        <v>3020</v>
      </c>
      <c r="O149" s="2">
        <v>3090.87</v>
      </c>
      <c r="P149" s="2">
        <v>4509.6400000000003</v>
      </c>
      <c r="Q149" s="2">
        <v>5932.48</v>
      </c>
      <c r="R149" s="2">
        <v>5987.13</v>
      </c>
    </row>
    <row r="150" spans="1:18" x14ac:dyDescent="0.25">
      <c r="A150" t="s">
        <v>2418</v>
      </c>
      <c r="H150" s="2">
        <v>19953.8</v>
      </c>
      <c r="I150" s="2">
        <v>25690.2</v>
      </c>
      <c r="J150" s="2">
        <v>66965</v>
      </c>
      <c r="K150" s="2">
        <v>103532</v>
      </c>
      <c r="L150" s="2">
        <v>112254</v>
      </c>
      <c r="M150" s="2">
        <v>139681</v>
      </c>
      <c r="N150" s="2">
        <v>163451</v>
      </c>
      <c r="O150" s="2">
        <v>187631.35</v>
      </c>
      <c r="P150" s="2">
        <v>212085.55</v>
      </c>
      <c r="Q150" s="2">
        <v>242856.13</v>
      </c>
      <c r="R150" s="2">
        <v>277177.03000000003</v>
      </c>
    </row>
    <row r="151" spans="1:18" x14ac:dyDescent="0.25">
      <c r="A151" t="s">
        <v>2472</v>
      </c>
      <c r="K151" s="2">
        <v>32315</v>
      </c>
      <c r="L151" s="2">
        <v>16645</v>
      </c>
      <c r="M151" s="2">
        <v>39680</v>
      </c>
      <c r="N151" s="2">
        <v>34839</v>
      </c>
      <c r="O151" s="2">
        <v>34133.58</v>
      </c>
      <c r="P151" s="2">
        <v>34350.61</v>
      </c>
      <c r="Q151" s="2">
        <v>42344.02</v>
      </c>
      <c r="R151" s="2">
        <v>43852.21</v>
      </c>
    </row>
    <row r="152" spans="1:18" x14ac:dyDescent="0.25">
      <c r="A152" t="s">
        <v>2476</v>
      </c>
      <c r="K152" s="2">
        <v>13779</v>
      </c>
      <c r="M152" s="2">
        <v>-11381</v>
      </c>
      <c r="N152">
        <v>0</v>
      </c>
    </row>
    <row r="153" spans="1:18" x14ac:dyDescent="0.25">
      <c r="A153" t="s">
        <v>2474</v>
      </c>
      <c r="K153" s="2">
        <v>-5810</v>
      </c>
      <c r="L153" s="2">
        <v>-7882</v>
      </c>
      <c r="M153" s="2">
        <v>-11381</v>
      </c>
      <c r="N153" s="2">
        <v>-13878</v>
      </c>
      <c r="O153" s="2">
        <v>-11470.52</v>
      </c>
      <c r="P153" s="2">
        <v>-13352.52</v>
      </c>
      <c r="Q153" s="2">
        <v>-16034.79</v>
      </c>
      <c r="R153" s="2">
        <v>-15009.68</v>
      </c>
    </row>
    <row r="154" spans="1:18" x14ac:dyDescent="0.25">
      <c r="A154" t="s">
        <v>2473</v>
      </c>
      <c r="K154" s="2">
        <v>-3717</v>
      </c>
      <c r="L154">
        <v>-41</v>
      </c>
      <c r="M154">
        <v>-543</v>
      </c>
      <c r="N154" s="2">
        <v>2809</v>
      </c>
      <c r="O154" s="2">
        <v>1543.56</v>
      </c>
      <c r="P154" s="2">
        <v>3796.62</v>
      </c>
      <c r="Q154" s="2">
        <v>4379.12</v>
      </c>
      <c r="R154" s="2">
        <v>5209.68</v>
      </c>
    </row>
    <row r="155" spans="1:18" x14ac:dyDescent="0.25">
      <c r="A155" t="s">
        <v>2477</v>
      </c>
      <c r="B155" s="2">
        <v>27241.200000000001</v>
      </c>
      <c r="C155" s="2">
        <v>35783.9</v>
      </c>
      <c r="D155" s="2">
        <v>46413.1</v>
      </c>
      <c r="E155" s="2">
        <v>49268.6</v>
      </c>
      <c r="F155" s="2">
        <v>55758.9</v>
      </c>
      <c r="G155" s="2">
        <v>74177.7</v>
      </c>
      <c r="H155" s="2">
        <v>84291.7</v>
      </c>
      <c r="I155" s="2">
        <v>92021.1</v>
      </c>
      <c r="J155" s="2">
        <v>202534</v>
      </c>
      <c r="K155" s="2">
        <v>206130</v>
      </c>
      <c r="L155" s="2">
        <v>226428</v>
      </c>
      <c r="M155" s="2">
        <v>252684</v>
      </c>
      <c r="N155" s="2">
        <v>289454</v>
      </c>
      <c r="O155" s="2">
        <v>313192.09999999998</v>
      </c>
      <c r="P155" s="2">
        <v>351215.59</v>
      </c>
      <c r="Q155" s="2">
        <v>391372.54</v>
      </c>
      <c r="R155" s="2">
        <v>454853.29</v>
      </c>
    </row>
    <row r="156" spans="1:18" x14ac:dyDescent="0.25">
      <c r="A156" t="s">
        <v>2472</v>
      </c>
      <c r="B156" s="2">
        <v>7580.4</v>
      </c>
      <c r="C156" s="2">
        <v>7253</v>
      </c>
      <c r="D156" s="2">
        <v>9212.4</v>
      </c>
      <c r="E156" s="2">
        <v>13681.2</v>
      </c>
      <c r="F156" s="2">
        <v>13681.2</v>
      </c>
      <c r="G156" s="2">
        <v>17871.900000000001</v>
      </c>
      <c r="H156" s="2">
        <v>13878.5</v>
      </c>
      <c r="I156" s="2">
        <v>16025.7</v>
      </c>
      <c r="J156" s="2">
        <v>38644</v>
      </c>
      <c r="K156" s="2">
        <v>29430</v>
      </c>
      <c r="L156" s="2">
        <v>43968</v>
      </c>
      <c r="M156" s="2">
        <v>56302</v>
      </c>
      <c r="N156" s="2">
        <v>60107</v>
      </c>
      <c r="O156" s="2">
        <v>54169.7</v>
      </c>
      <c r="P156" s="2">
        <v>65079.42</v>
      </c>
      <c r="Q156" s="2">
        <v>69793.399999999994</v>
      </c>
      <c r="R156" s="2">
        <v>82315.22</v>
      </c>
    </row>
    <row r="157" spans="1:18" x14ac:dyDescent="0.25">
      <c r="A157" t="s">
        <v>2476</v>
      </c>
      <c r="K157" s="2">
        <v>7997</v>
      </c>
      <c r="N157">
        <v>0</v>
      </c>
    </row>
    <row r="158" spans="1:18" x14ac:dyDescent="0.25">
      <c r="A158" t="s">
        <v>2474</v>
      </c>
      <c r="K158" s="2">
        <v>-21127</v>
      </c>
      <c r="L158" s="2">
        <v>-27655</v>
      </c>
      <c r="M158" s="2">
        <v>-31658</v>
      </c>
      <c r="N158" s="2">
        <v>-30945</v>
      </c>
      <c r="O158" s="2">
        <v>-38147.599999999999</v>
      </c>
      <c r="P158" s="2">
        <v>-33832.44</v>
      </c>
      <c r="Q158" s="2">
        <v>-39837.26</v>
      </c>
      <c r="R158" s="2">
        <v>-39140.25</v>
      </c>
    </row>
    <row r="159" spans="1:18" x14ac:dyDescent="0.25">
      <c r="A159" t="s">
        <v>2473</v>
      </c>
      <c r="K159" s="2">
        <v>-12704</v>
      </c>
      <c r="L159" s="2">
        <v>3985</v>
      </c>
      <c r="M159" s="2">
        <v>4971</v>
      </c>
      <c r="N159" s="2">
        <v>7608</v>
      </c>
      <c r="O159" s="2">
        <v>7702.8</v>
      </c>
      <c r="P159" s="2">
        <v>9209.44</v>
      </c>
      <c r="Q159" s="2">
        <v>11698.32</v>
      </c>
      <c r="R159" s="2">
        <v>9910.25</v>
      </c>
    </row>
    <row r="160" spans="1:18" x14ac:dyDescent="0.25">
      <c r="A160" t="s">
        <v>17</v>
      </c>
    </row>
    <row r="161" spans="1:18" x14ac:dyDescent="0.25">
      <c r="A161" t="s">
        <v>274</v>
      </c>
    </row>
    <row r="162" spans="1:18" x14ac:dyDescent="0.25">
      <c r="A162" t="s">
        <v>2384</v>
      </c>
      <c r="B162" s="2">
        <v>1028.33</v>
      </c>
      <c r="C162" s="2">
        <v>2955.6</v>
      </c>
      <c r="D162" s="2">
        <v>2506</v>
      </c>
      <c r="E162" s="2">
        <v>1865.28</v>
      </c>
      <c r="F162" s="2">
        <v>4068.11</v>
      </c>
      <c r="G162" s="2">
        <v>3862.71</v>
      </c>
      <c r="H162" s="2">
        <v>3683.33</v>
      </c>
      <c r="I162" s="2">
        <v>3970.91</v>
      </c>
      <c r="J162" s="2">
        <v>6876.37</v>
      </c>
      <c r="K162" s="2">
        <v>6834.16</v>
      </c>
      <c r="L162" s="2">
        <v>5601.52</v>
      </c>
      <c r="M162" s="2">
        <v>7122.04</v>
      </c>
      <c r="N162" s="2">
        <v>7658.17</v>
      </c>
      <c r="O162" s="2">
        <v>9841.75</v>
      </c>
      <c r="P162" s="2">
        <v>11388.08</v>
      </c>
      <c r="Q162" s="2">
        <v>13286</v>
      </c>
      <c r="R162" s="2">
        <v>16312</v>
      </c>
    </row>
    <row r="163" spans="1:18" x14ac:dyDescent="0.25">
      <c r="A163" t="s">
        <v>17</v>
      </c>
    </row>
    <row r="164" spans="1:18" x14ac:dyDescent="0.25">
      <c r="A164" t="s">
        <v>2478</v>
      </c>
      <c r="K164" s="2">
        <v>3884.67</v>
      </c>
      <c r="L164" s="2">
        <v>3324.18</v>
      </c>
      <c r="M164" s="2">
        <v>4331.05</v>
      </c>
      <c r="N164" s="2">
        <v>4548.9799999999996</v>
      </c>
      <c r="O164" s="2">
        <v>6133.37</v>
      </c>
      <c r="P164" s="2">
        <v>7232.08</v>
      </c>
      <c r="Q164" s="2">
        <v>8345.91</v>
      </c>
      <c r="R164" s="2">
        <v>8767.0400000000009</v>
      </c>
    </row>
    <row r="165" spans="1:18" x14ac:dyDescent="0.25">
      <c r="A165" t="s">
        <v>2479</v>
      </c>
      <c r="C165">
        <v>460.09</v>
      </c>
      <c r="D165">
        <v>610.5</v>
      </c>
      <c r="E165">
        <v>537.41999999999996</v>
      </c>
      <c r="F165">
        <v>865.52</v>
      </c>
      <c r="G165" s="2">
        <v>1149.1600000000001</v>
      </c>
      <c r="H165" s="2">
        <v>1080.26</v>
      </c>
      <c r="I165" s="2">
        <v>1280.53</v>
      </c>
      <c r="J165" s="2">
        <v>1969.99</v>
      </c>
      <c r="K165" s="2">
        <v>2167.35</v>
      </c>
      <c r="L165" s="2">
        <v>2383.79</v>
      </c>
      <c r="M165" s="2">
        <v>3267.8</v>
      </c>
      <c r="N165" s="2">
        <v>3714.31</v>
      </c>
      <c r="O165" s="2">
        <v>4576.71</v>
      </c>
      <c r="P165" s="2">
        <v>5283.63</v>
      </c>
      <c r="Q165" s="2">
        <v>6016.4</v>
      </c>
      <c r="R165" s="2">
        <v>6578.76</v>
      </c>
    </row>
    <row r="166" spans="1:18" x14ac:dyDescent="0.25">
      <c r="A166" t="s">
        <v>2436</v>
      </c>
      <c r="B166">
        <v>665.63</v>
      </c>
      <c r="C166">
        <v>726.04</v>
      </c>
      <c r="D166">
        <v>732.03</v>
      </c>
      <c r="E166">
        <v>797.86</v>
      </c>
      <c r="F166">
        <v>905.19</v>
      </c>
      <c r="G166" s="2">
        <v>1093.2</v>
      </c>
      <c r="H166" s="2">
        <v>1248.52</v>
      </c>
      <c r="I166" s="2">
        <v>1441.58</v>
      </c>
      <c r="J166" s="2">
        <v>2071.44</v>
      </c>
      <c r="K166" s="2">
        <v>2656.49</v>
      </c>
      <c r="L166" s="2">
        <v>3030.33</v>
      </c>
      <c r="M166" s="2">
        <v>3461.38</v>
      </c>
      <c r="N166" s="2">
        <v>4100.84</v>
      </c>
      <c r="O166" s="2">
        <v>4937.42</v>
      </c>
      <c r="P166" s="2">
        <v>5534.34</v>
      </c>
      <c r="Q166" s="2">
        <v>6236.4</v>
      </c>
      <c r="R166" s="2">
        <v>6996.29</v>
      </c>
    </row>
    <row r="167" spans="1:18" x14ac:dyDescent="0.25">
      <c r="A167" t="s">
        <v>2480</v>
      </c>
      <c r="B167">
        <v>290.33999999999997</v>
      </c>
      <c r="C167">
        <v>372.8</v>
      </c>
      <c r="D167">
        <v>410.02</v>
      </c>
      <c r="E167">
        <v>277</v>
      </c>
      <c r="F167">
        <v>596.84</v>
      </c>
      <c r="G167">
        <v>742.74</v>
      </c>
      <c r="H167">
        <v>564.26</v>
      </c>
      <c r="I167">
        <v>632.42999999999995</v>
      </c>
      <c r="J167" s="2">
        <v>1004.24</v>
      </c>
      <c r="K167">
        <v>775.93</v>
      </c>
      <c r="L167">
        <v>720.65</v>
      </c>
      <c r="M167" s="2">
        <v>1165.8800000000001</v>
      </c>
      <c r="N167" s="2">
        <v>1092.58</v>
      </c>
      <c r="O167" s="2">
        <v>1100.76</v>
      </c>
      <c r="P167" s="2">
        <v>1398.65</v>
      </c>
      <c r="Q167" s="2">
        <v>1597.54</v>
      </c>
      <c r="R167" s="2">
        <v>1728.45</v>
      </c>
    </row>
    <row r="168" spans="1:18" x14ac:dyDescent="0.25">
      <c r="A168" t="s">
        <v>2481</v>
      </c>
      <c r="G168">
        <v>54.44</v>
      </c>
      <c r="H168">
        <v>53.02</v>
      </c>
      <c r="I168">
        <v>39.56</v>
      </c>
      <c r="J168">
        <v>45.85</v>
      </c>
      <c r="K168">
        <v>90.67</v>
      </c>
      <c r="L168">
        <v>94.43</v>
      </c>
      <c r="M168">
        <v>137.99</v>
      </c>
      <c r="N168">
        <v>181.78</v>
      </c>
      <c r="O168">
        <v>527.04</v>
      </c>
      <c r="P168">
        <v>603.04999999999995</v>
      </c>
      <c r="Q168">
        <v>706.26</v>
      </c>
      <c r="R168">
        <v>633.77</v>
      </c>
    </row>
    <row r="169" spans="1:18" x14ac:dyDescent="0.25">
      <c r="A169" t="s">
        <v>2482</v>
      </c>
      <c r="G169">
        <v>-408.59</v>
      </c>
      <c r="H169">
        <v>-431.97</v>
      </c>
      <c r="I169">
        <v>-486.48</v>
      </c>
      <c r="J169">
        <v>-702.39</v>
      </c>
      <c r="K169">
        <v>-769.74</v>
      </c>
      <c r="L169">
        <v>-865.34</v>
      </c>
      <c r="M169">
        <v>-833.92</v>
      </c>
      <c r="N169">
        <v>-940.72</v>
      </c>
      <c r="O169" s="2">
        <v>-1147.6600000000001</v>
      </c>
      <c r="P169" s="2">
        <v>-1312.31</v>
      </c>
      <c r="Q169" s="2">
        <v>-1500.28</v>
      </c>
      <c r="R169" s="2">
        <v>-1666.8</v>
      </c>
    </row>
    <row r="170" spans="1:18" x14ac:dyDescent="0.25">
      <c r="A170" t="s">
        <v>1278</v>
      </c>
      <c r="G170">
        <v>-332.65</v>
      </c>
      <c r="H170">
        <v>-353.57</v>
      </c>
      <c r="I170">
        <v>-346.56</v>
      </c>
      <c r="J170">
        <v>-449.16</v>
      </c>
      <c r="K170">
        <v>-586</v>
      </c>
      <c r="L170">
        <v>-596.28</v>
      </c>
      <c r="M170">
        <v>-663.54</v>
      </c>
      <c r="N170">
        <v>-720.17</v>
      </c>
      <c r="O170">
        <v>-838.83</v>
      </c>
      <c r="P170">
        <v>-935.73</v>
      </c>
      <c r="Q170" s="2">
        <v>-1027.9100000000001</v>
      </c>
      <c r="R170" s="2">
        <v>-1112.95</v>
      </c>
    </row>
    <row r="171" spans="1:18" x14ac:dyDescent="0.25">
      <c r="A171" t="s">
        <v>17</v>
      </c>
    </row>
    <row r="172" spans="1:18" x14ac:dyDescent="0.25">
      <c r="A172" t="s">
        <v>2483</v>
      </c>
    </row>
    <row r="173" spans="1:18" x14ac:dyDescent="0.25">
      <c r="A173" t="s">
        <v>2484</v>
      </c>
      <c r="E173" s="2">
        <v>2545.7600000000002</v>
      </c>
      <c r="F173" s="2">
        <v>1740.66</v>
      </c>
      <c r="G173">
        <v>441.53</v>
      </c>
      <c r="H173" s="2">
        <v>2041.85</v>
      </c>
      <c r="I173" s="2">
        <v>1719.53</v>
      </c>
      <c r="J173" s="2">
        <v>5388.35</v>
      </c>
      <c r="K173">
        <v>843.13</v>
      </c>
      <c r="L173">
        <v>398.95</v>
      </c>
      <c r="M173">
        <v>608.79</v>
      </c>
      <c r="N173">
        <v>491.74</v>
      </c>
      <c r="O173">
        <v>964</v>
      </c>
      <c r="P173" s="2">
        <v>1204.5</v>
      </c>
      <c r="Q173" s="2">
        <v>1310.3599999999999</v>
      </c>
      <c r="R173" s="2">
        <v>1267.02</v>
      </c>
    </row>
    <row r="174" spans="1:18" x14ac:dyDescent="0.25">
      <c r="A174" t="s">
        <v>2485</v>
      </c>
      <c r="B174">
        <v>762.39</v>
      </c>
      <c r="C174" s="2">
        <v>1241.47</v>
      </c>
      <c r="D174" s="2">
        <v>1046.8</v>
      </c>
      <c r="E174" s="2">
        <v>1289.55</v>
      </c>
      <c r="F174" s="2">
        <v>1272.3800000000001</v>
      </c>
      <c r="G174" s="2">
        <v>1302.54</v>
      </c>
      <c r="H174" s="2">
        <v>1083.02</v>
      </c>
      <c r="I174" s="2">
        <v>1165.7</v>
      </c>
      <c r="J174" s="2">
        <v>2141.6</v>
      </c>
      <c r="K174" s="2">
        <v>2176.66</v>
      </c>
      <c r="L174" s="2">
        <v>1065.3900000000001</v>
      </c>
      <c r="M174" s="2">
        <v>1822.12</v>
      </c>
      <c r="N174" s="2">
        <v>1879.51</v>
      </c>
      <c r="O174" s="2">
        <v>3413.46</v>
      </c>
      <c r="P174" s="2">
        <v>4180.8100000000004</v>
      </c>
      <c r="Q174" s="2">
        <v>4706.5</v>
      </c>
      <c r="R174" s="2">
        <v>4619.34</v>
      </c>
    </row>
    <row r="175" spans="1:18" x14ac:dyDescent="0.25">
      <c r="A175" t="s">
        <v>2486</v>
      </c>
      <c r="G175">
        <v>-791.79</v>
      </c>
      <c r="H175">
        <v>-698.15</v>
      </c>
      <c r="I175">
        <v>-697.07</v>
      </c>
      <c r="J175" s="2">
        <v>-1239.18</v>
      </c>
      <c r="K175" s="2">
        <v>-1333.53</v>
      </c>
      <c r="L175">
        <v>-666.44</v>
      </c>
      <c r="M175" s="2">
        <v>-1213.33</v>
      </c>
      <c r="N175" s="2">
        <v>-1387.78</v>
      </c>
      <c r="O175" s="2">
        <v>-2463.61</v>
      </c>
      <c r="P175" s="2">
        <v>-2991.09</v>
      </c>
      <c r="Q175" s="2">
        <v>-3413.72</v>
      </c>
      <c r="R175" s="2">
        <v>-3352.32</v>
      </c>
    </row>
    <row r="176" spans="1:18" x14ac:dyDescent="0.25">
      <c r="A176" t="s">
        <v>2487</v>
      </c>
      <c r="K176">
        <v>874.18</v>
      </c>
      <c r="L176">
        <v>541.44000000000005</v>
      </c>
      <c r="M176">
        <v>542.16</v>
      </c>
      <c r="N176">
        <v>412.8</v>
      </c>
      <c r="O176" s="2">
        <v>1179.68</v>
      </c>
      <c r="P176">
        <v>772.7</v>
      </c>
      <c r="Q176">
        <v>943.76</v>
      </c>
      <c r="R176" s="2">
        <v>1037.73</v>
      </c>
    </row>
    <row r="177" spans="1:19" x14ac:dyDescent="0.25">
      <c r="A177" t="s">
        <v>2488</v>
      </c>
      <c r="D177">
        <v>748.56</v>
      </c>
      <c r="E177">
        <v>694.42</v>
      </c>
      <c r="F177">
        <v>479.72</v>
      </c>
      <c r="G177">
        <v>651.79</v>
      </c>
      <c r="H177">
        <v>685.77</v>
      </c>
      <c r="I177">
        <v>644.66</v>
      </c>
      <c r="J177" s="2">
        <v>1613.24</v>
      </c>
      <c r="K177" s="2">
        <v>1033.19</v>
      </c>
      <c r="L177">
        <v>645.03</v>
      </c>
      <c r="M177">
        <v>534.66999999999996</v>
      </c>
      <c r="N177">
        <v>403.46</v>
      </c>
      <c r="O177">
        <v>869.4</v>
      </c>
      <c r="P177">
        <v>920.35</v>
      </c>
      <c r="Q177" s="2">
        <v>1089.6300000000001</v>
      </c>
      <c r="R177" s="2">
        <v>1220.05</v>
      </c>
    </row>
    <row r="178" spans="1:19" x14ac:dyDescent="0.25">
      <c r="A178" t="s">
        <v>2489</v>
      </c>
      <c r="G178">
        <v>-90.24</v>
      </c>
      <c r="H178">
        <v>-108.39</v>
      </c>
      <c r="I178">
        <v>-106.83</v>
      </c>
      <c r="J178">
        <v>-241.99</v>
      </c>
      <c r="K178">
        <v>-159</v>
      </c>
      <c r="L178">
        <v>-103.59</v>
      </c>
      <c r="M178">
        <v>-80.2</v>
      </c>
      <c r="N178">
        <v>-60.52</v>
      </c>
      <c r="O178">
        <v>-218.29</v>
      </c>
      <c r="P178">
        <v>-139.31</v>
      </c>
      <c r="Q178">
        <v>-166.79</v>
      </c>
      <c r="R178">
        <v>-182.32</v>
      </c>
    </row>
    <row r="179" spans="1:19" x14ac:dyDescent="0.25">
      <c r="A179" t="s">
        <v>17</v>
      </c>
    </row>
    <row r="180" spans="1:19" x14ac:dyDescent="0.25">
      <c r="A180" t="s">
        <v>2490</v>
      </c>
      <c r="J180">
        <v>775.44</v>
      </c>
      <c r="K180">
        <v>724.76</v>
      </c>
      <c r="L180">
        <v>816.64</v>
      </c>
      <c r="M180" s="2">
        <v>1014.55</v>
      </c>
      <c r="N180" s="2">
        <v>1109.4000000000001</v>
      </c>
      <c r="O180" s="2">
        <v>1097.93</v>
      </c>
      <c r="P180" s="2">
        <v>1293.95</v>
      </c>
      <c r="Q180" s="2">
        <v>1531.1</v>
      </c>
      <c r="R180" s="2">
        <v>1660.11</v>
      </c>
    </row>
    <row r="181" spans="1:19" x14ac:dyDescent="0.25">
      <c r="A181" t="s">
        <v>2457</v>
      </c>
      <c r="J181" s="2">
        <v>3329.57</v>
      </c>
      <c r="K181" s="2">
        <v>4112.24</v>
      </c>
      <c r="L181" s="2">
        <v>5377.82</v>
      </c>
      <c r="M181" s="2">
        <v>6328.82</v>
      </c>
      <c r="N181" s="2">
        <v>7224.12</v>
      </c>
      <c r="O181" s="2">
        <v>7866.52</v>
      </c>
      <c r="P181" s="2">
        <v>8703.44</v>
      </c>
      <c r="Q181" s="2">
        <v>9428.07</v>
      </c>
      <c r="R181" s="2">
        <v>10329.49</v>
      </c>
    </row>
    <row r="182" spans="1:19" x14ac:dyDescent="0.25">
      <c r="A182" t="s">
        <v>2458</v>
      </c>
      <c r="J182" s="2">
        <v>-1564.26</v>
      </c>
      <c r="K182" s="2">
        <v>-2295.13</v>
      </c>
      <c r="L182" s="2">
        <v>-3283.01</v>
      </c>
      <c r="M182" s="2">
        <v>-4448.8900000000003</v>
      </c>
      <c r="N182" s="2">
        <v>-5229.34</v>
      </c>
      <c r="O182" s="2">
        <v>-5977.59</v>
      </c>
      <c r="P182" s="2">
        <v>-6570.32</v>
      </c>
      <c r="Q182" s="2">
        <v>-7120.48</v>
      </c>
      <c r="R182" s="2">
        <v>-7738.75</v>
      </c>
    </row>
    <row r="183" spans="1:19" x14ac:dyDescent="0.25">
      <c r="A183" t="s">
        <v>2491</v>
      </c>
      <c r="J183">
        <v>-500.41</v>
      </c>
      <c r="K183">
        <v>-638.27</v>
      </c>
      <c r="L183">
        <v>-805.11</v>
      </c>
      <c r="M183">
        <v>-865.39</v>
      </c>
      <c r="N183">
        <v>-885.38</v>
      </c>
      <c r="O183">
        <v>-791.9</v>
      </c>
      <c r="P183">
        <v>-864.93</v>
      </c>
      <c r="Q183">
        <v>-888.48</v>
      </c>
      <c r="R183" s="2">
        <v>-1064.21</v>
      </c>
    </row>
    <row r="184" spans="1:19" x14ac:dyDescent="0.25">
      <c r="A184" t="s">
        <v>17</v>
      </c>
    </row>
    <row r="185" spans="1:19" x14ac:dyDescent="0.25">
      <c r="A185" t="s">
        <v>2492</v>
      </c>
      <c r="L185">
        <v>14.53</v>
      </c>
      <c r="M185">
        <v>76.209999999999994</v>
      </c>
      <c r="N185">
        <v>162.1</v>
      </c>
      <c r="O185">
        <v>350.81</v>
      </c>
      <c r="P185">
        <v>484.85</v>
      </c>
      <c r="Q185">
        <v>691.58</v>
      </c>
      <c r="R185">
        <v>923.04</v>
      </c>
      <c r="S185" s="2">
        <v>1100</v>
      </c>
    </row>
    <row r="186" spans="1:19" x14ac:dyDescent="0.25">
      <c r="A186" t="s">
        <v>17</v>
      </c>
    </row>
    <row r="187" spans="1:19" x14ac:dyDescent="0.25">
      <c r="A187" t="s">
        <v>2422</v>
      </c>
      <c r="F187" s="2">
        <v>1813.64</v>
      </c>
      <c r="G187" s="2">
        <v>1978.64</v>
      </c>
      <c r="H187" s="2">
        <v>1834.74</v>
      </c>
      <c r="I187" s="2">
        <v>2040.59</v>
      </c>
      <c r="J187" s="2">
        <v>4896.21</v>
      </c>
      <c r="K187" s="2">
        <v>4531.1000000000004</v>
      </c>
      <c r="L187" s="2">
        <v>4186.51</v>
      </c>
      <c r="M187" s="2">
        <v>4358.55</v>
      </c>
      <c r="N187" s="2">
        <v>4985.8</v>
      </c>
      <c r="O187" s="2">
        <v>5976.47</v>
      </c>
      <c r="P187" s="2">
        <v>7036.06</v>
      </c>
      <c r="Q187" s="2">
        <v>8131.8</v>
      </c>
      <c r="R187" s="2">
        <v>9153</v>
      </c>
    </row>
    <row r="188" spans="1:19" x14ac:dyDescent="0.25">
      <c r="A188" t="s">
        <v>17</v>
      </c>
    </row>
    <row r="189" spans="1:19" x14ac:dyDescent="0.25">
      <c r="A189" t="s">
        <v>2493</v>
      </c>
      <c r="B189">
        <v>615.98</v>
      </c>
      <c r="C189" s="2">
        <v>1213.49</v>
      </c>
      <c r="D189" s="2">
        <v>1191.9100000000001</v>
      </c>
      <c r="E189" s="2">
        <v>1068.58</v>
      </c>
      <c r="F189" s="2">
        <v>1378.62</v>
      </c>
      <c r="G189" s="2">
        <v>1884.07</v>
      </c>
      <c r="H189" s="2">
        <v>1848.6</v>
      </c>
      <c r="I189" s="2">
        <v>2286.98</v>
      </c>
      <c r="J189" s="2">
        <v>4896.21</v>
      </c>
      <c r="K189" s="2">
        <v>4531.1000000000004</v>
      </c>
      <c r="L189" s="2">
        <v>4186.51</v>
      </c>
      <c r="M189" s="2">
        <v>5509.5</v>
      </c>
      <c r="N189" s="2">
        <v>5890.34</v>
      </c>
      <c r="O189" s="2">
        <v>8159.36</v>
      </c>
      <c r="P189" s="2">
        <v>9031.16</v>
      </c>
      <c r="Q189" s="2">
        <v>10415.16</v>
      </c>
      <c r="R189" s="2">
        <v>11457.68</v>
      </c>
    </row>
    <row r="190" spans="1:19" x14ac:dyDescent="0.25">
      <c r="A190" t="s">
        <v>484</v>
      </c>
      <c r="G190">
        <v>-187.38</v>
      </c>
      <c r="H190">
        <v>-183.68</v>
      </c>
      <c r="I190">
        <v>-211.04</v>
      </c>
      <c r="J190">
        <v>-250.18</v>
      </c>
      <c r="K190">
        <v>-315.19</v>
      </c>
      <c r="L190">
        <v>-351.87</v>
      </c>
      <c r="M190">
        <v>-318.44</v>
      </c>
      <c r="N190">
        <v>-404.8</v>
      </c>
      <c r="O190">
        <v>-533.16999999999996</v>
      </c>
      <c r="P190">
        <v>-481.51</v>
      </c>
      <c r="Q190">
        <v>-493.8</v>
      </c>
      <c r="R190">
        <v>-466.43</v>
      </c>
    </row>
    <row r="191" spans="1:19" x14ac:dyDescent="0.25">
      <c r="A191" t="s">
        <v>2494</v>
      </c>
      <c r="G191">
        <v>-151.85</v>
      </c>
      <c r="H191">
        <v>-207.48</v>
      </c>
      <c r="I191">
        <v>-265.95</v>
      </c>
      <c r="J191">
        <v>-809.96</v>
      </c>
      <c r="K191">
        <v>-859.96</v>
      </c>
      <c r="L191">
        <v>-763.38</v>
      </c>
      <c r="M191">
        <v>-988.8</v>
      </c>
      <c r="N191" s="2">
        <v>-1108.06</v>
      </c>
      <c r="O191" s="2">
        <v>-1414.36</v>
      </c>
      <c r="P191" s="2">
        <v>-1709.74</v>
      </c>
      <c r="Q191" s="2">
        <v>-2010.93</v>
      </c>
      <c r="R191" s="2">
        <v>-2156.4699999999998</v>
      </c>
    </row>
    <row r="192" spans="1:19" x14ac:dyDescent="0.25">
      <c r="A192" t="s">
        <v>528</v>
      </c>
      <c r="B192" s="2">
        <v>2133.98</v>
      </c>
      <c r="C192" s="2">
        <v>1474</v>
      </c>
      <c r="D192" s="2">
        <v>1028</v>
      </c>
      <c r="E192">
        <v>575.63</v>
      </c>
      <c r="F192" s="2">
        <v>2025.76</v>
      </c>
      <c r="G192" s="2">
        <v>1597.24</v>
      </c>
      <c r="H192" s="2">
        <v>1405.3</v>
      </c>
      <c r="I192" s="2">
        <v>1522.4</v>
      </c>
      <c r="J192" s="2">
        <v>3915.59</v>
      </c>
      <c r="K192" s="2">
        <v>3453.87</v>
      </c>
      <c r="L192" s="2">
        <v>3040.09</v>
      </c>
      <c r="M192" s="2">
        <v>4202.2700000000004</v>
      </c>
      <c r="N192" s="2">
        <v>4377.47</v>
      </c>
      <c r="O192" s="2">
        <v>6274.75</v>
      </c>
      <c r="P192" s="2">
        <v>6885.35</v>
      </c>
      <c r="Q192" s="2">
        <v>8000.58</v>
      </c>
      <c r="R192" s="2">
        <v>7249</v>
      </c>
      <c r="S192" s="2">
        <v>9489</v>
      </c>
    </row>
    <row r="193" spans="1:19" x14ac:dyDescent="0.25">
      <c r="A193" t="s">
        <v>17</v>
      </c>
    </row>
    <row r="194" spans="1:19" x14ac:dyDescent="0.25">
      <c r="A194" t="s">
        <v>2495</v>
      </c>
      <c r="C194">
        <v>800.25</v>
      </c>
      <c r="D194">
        <v>851.1</v>
      </c>
      <c r="E194">
        <v>841.3</v>
      </c>
      <c r="F194">
        <v>850.71</v>
      </c>
      <c r="G194">
        <v>829.44</v>
      </c>
      <c r="H194">
        <v>841.54</v>
      </c>
      <c r="I194">
        <v>857.5</v>
      </c>
      <c r="J194">
        <v>881.99</v>
      </c>
      <c r="K194">
        <v>885.6</v>
      </c>
      <c r="L194">
        <v>890.17</v>
      </c>
      <c r="M194">
        <v>893.85</v>
      </c>
      <c r="N194">
        <v>899.54</v>
      </c>
      <c r="O194">
        <v>916.47</v>
      </c>
      <c r="P194">
        <v>931.34</v>
      </c>
      <c r="Q194">
        <v>930.5</v>
      </c>
      <c r="R194">
        <v>921.43</v>
      </c>
      <c r="S194">
        <v>894</v>
      </c>
    </row>
    <row r="195" spans="1:19" x14ac:dyDescent="0.25">
      <c r="A195" t="s">
        <v>17</v>
      </c>
    </row>
    <row r="196" spans="1:19" x14ac:dyDescent="0.25">
      <c r="A196" t="s">
        <v>2496</v>
      </c>
      <c r="G196">
        <v>1.39</v>
      </c>
      <c r="H196">
        <v>1.28</v>
      </c>
      <c r="I196">
        <v>1.49</v>
      </c>
      <c r="J196">
        <v>2.23</v>
      </c>
      <c r="K196">
        <v>2.4500000000000002</v>
      </c>
      <c r="L196">
        <v>2.68</v>
      </c>
      <c r="M196">
        <v>3.66</v>
      </c>
      <c r="N196">
        <v>4.13</v>
      </c>
      <c r="O196">
        <v>4.99</v>
      </c>
      <c r="P196">
        <v>5.66</v>
      </c>
      <c r="Q196">
        <v>6.42</v>
      </c>
      <c r="R196">
        <v>7.07</v>
      </c>
    </row>
    <row r="197" spans="1:19" x14ac:dyDescent="0.25">
      <c r="A197" t="s">
        <v>2497</v>
      </c>
      <c r="B197">
        <v>2.99</v>
      </c>
      <c r="C197">
        <v>1.84</v>
      </c>
      <c r="D197">
        <v>1.21</v>
      </c>
      <c r="E197">
        <v>0.68</v>
      </c>
      <c r="F197">
        <v>2.38</v>
      </c>
      <c r="G197">
        <v>1.93</v>
      </c>
      <c r="H197">
        <v>1.67</v>
      </c>
      <c r="I197">
        <v>1.78</v>
      </c>
      <c r="J197">
        <v>6.18</v>
      </c>
      <c r="K197">
        <v>3.9</v>
      </c>
      <c r="L197">
        <v>3.42</v>
      </c>
      <c r="M197">
        <v>4.7</v>
      </c>
      <c r="N197">
        <v>4.87</v>
      </c>
      <c r="O197">
        <v>6.83</v>
      </c>
      <c r="P197">
        <v>7.39</v>
      </c>
      <c r="Q197">
        <v>8.59</v>
      </c>
      <c r="R197">
        <v>9.49</v>
      </c>
      <c r="S197">
        <v>10.61</v>
      </c>
    </row>
    <row r="198" spans="1:19" x14ac:dyDescent="0.25">
      <c r="A198" t="s">
        <v>17</v>
      </c>
    </row>
    <row r="199" spans="1:19" x14ac:dyDescent="0.25">
      <c r="A199" t="s">
        <v>2422</v>
      </c>
      <c r="F199" s="2">
        <v>1813.64</v>
      </c>
      <c r="G199" s="2">
        <v>1978.64</v>
      </c>
      <c r="H199" s="2">
        <v>1834.74</v>
      </c>
      <c r="I199" s="2">
        <v>2040.59</v>
      </c>
      <c r="J199" s="2">
        <v>4896.21</v>
      </c>
      <c r="K199" s="2">
        <v>4531.1000000000004</v>
      </c>
      <c r="L199" s="2">
        <v>4186.51</v>
      </c>
      <c r="M199" s="2">
        <v>4358.55</v>
      </c>
      <c r="N199" s="2">
        <v>4985.8</v>
      </c>
      <c r="O199" s="2">
        <v>5976.47</v>
      </c>
      <c r="P199" s="2">
        <v>7036.06</v>
      </c>
      <c r="Q199" s="2">
        <v>8131.8</v>
      </c>
      <c r="R199" s="2">
        <v>9153</v>
      </c>
    </row>
    <row r="200" spans="1:19" x14ac:dyDescent="0.25">
      <c r="A200" t="s">
        <v>2498</v>
      </c>
      <c r="E200" s="2">
        <v>2545.7600000000002</v>
      </c>
      <c r="F200" s="2">
        <v>1740.66</v>
      </c>
      <c r="G200">
        <v>441.53</v>
      </c>
      <c r="H200" s="2">
        <v>2041.85</v>
      </c>
      <c r="I200" s="2">
        <v>1719.53</v>
      </c>
      <c r="J200" s="2">
        <v>5388.35</v>
      </c>
      <c r="K200">
        <v>843.13</v>
      </c>
      <c r="L200">
        <v>398.95</v>
      </c>
      <c r="M200">
        <v>608.79</v>
      </c>
      <c r="N200">
        <v>491.74</v>
      </c>
      <c r="O200">
        <v>964</v>
      </c>
      <c r="P200" s="2">
        <v>1204.5</v>
      </c>
      <c r="Q200" s="2">
        <v>1310.3599999999999</v>
      </c>
      <c r="R200" s="2">
        <v>1267.02</v>
      </c>
    </row>
    <row r="201" spans="1:19" x14ac:dyDescent="0.25">
      <c r="A201" t="s">
        <v>2467</v>
      </c>
      <c r="K201">
        <v>874.18</v>
      </c>
      <c r="L201">
        <v>541.44000000000005</v>
      </c>
      <c r="M201">
        <v>542.16</v>
      </c>
      <c r="N201">
        <v>412.8</v>
      </c>
      <c r="O201" s="2">
        <v>1179.68</v>
      </c>
      <c r="P201">
        <v>772.7</v>
      </c>
      <c r="Q201">
        <v>943.76</v>
      </c>
      <c r="R201" s="2">
        <v>1037.73</v>
      </c>
    </row>
    <row r="202" spans="1:19" x14ac:dyDescent="0.25">
      <c r="A202" t="s">
        <v>2499</v>
      </c>
      <c r="D202">
        <v>15.42</v>
      </c>
      <c r="E202">
        <v>16.05</v>
      </c>
      <c r="G202">
        <v>14.99</v>
      </c>
      <c r="H202">
        <v>17.7</v>
      </c>
      <c r="I202">
        <v>18.600000000000001</v>
      </c>
      <c r="J202">
        <v>46.5</v>
      </c>
      <c r="K202">
        <v>54.6</v>
      </c>
      <c r="L202">
        <v>46.73</v>
      </c>
      <c r="M202">
        <v>50.01</v>
      </c>
      <c r="N202">
        <v>67.849999999999994</v>
      </c>
      <c r="O202">
        <v>82.07</v>
      </c>
      <c r="P202">
        <v>82.34</v>
      </c>
    </row>
    <row r="203" spans="1:19" x14ac:dyDescent="0.25">
      <c r="A203" t="s">
        <v>191</v>
      </c>
      <c r="G203">
        <v>14.99</v>
      </c>
      <c r="H203">
        <v>17.7</v>
      </c>
      <c r="I203">
        <v>18.600000000000001</v>
      </c>
      <c r="J203">
        <v>46.5</v>
      </c>
      <c r="K203">
        <v>37</v>
      </c>
      <c r="L203">
        <v>50.8</v>
      </c>
      <c r="M203">
        <v>52.5</v>
      </c>
      <c r="N203">
        <v>62.6</v>
      </c>
      <c r="O203">
        <v>62</v>
      </c>
      <c r="P203">
        <v>62</v>
      </c>
      <c r="Q203">
        <v>62</v>
      </c>
      <c r="R203">
        <v>62</v>
      </c>
      <c r="S203">
        <v>62</v>
      </c>
    </row>
    <row r="204" spans="1:19" x14ac:dyDescent="0.25">
      <c r="A204" t="s">
        <v>192</v>
      </c>
      <c r="B204">
        <v>19.940000000000001</v>
      </c>
      <c r="C204">
        <v>27.08</v>
      </c>
      <c r="D204">
        <v>27</v>
      </c>
      <c r="E204">
        <v>26.39</v>
      </c>
      <c r="F204">
        <v>17.809999999999999</v>
      </c>
      <c r="G204">
        <v>7.7</v>
      </c>
      <c r="H204">
        <v>1.67</v>
      </c>
      <c r="I204">
        <v>0.41</v>
      </c>
      <c r="J204">
        <v>16.2</v>
      </c>
      <c r="K204">
        <v>17.600000000000001</v>
      </c>
      <c r="L204">
        <v>17.600000000000001</v>
      </c>
      <c r="M204">
        <v>19.100000000000001</v>
      </c>
      <c r="N204">
        <v>18.8</v>
      </c>
      <c r="O204">
        <v>19</v>
      </c>
      <c r="P204">
        <v>18</v>
      </c>
      <c r="Q204">
        <v>18</v>
      </c>
      <c r="R204">
        <v>18</v>
      </c>
      <c r="S204">
        <v>18</v>
      </c>
    </row>
    <row r="205" spans="1:19" x14ac:dyDescent="0.25">
      <c r="A205" t="s">
        <v>277</v>
      </c>
      <c r="G205" s="2">
        <v>1993.63</v>
      </c>
      <c r="H205" s="2">
        <v>1852.44</v>
      </c>
      <c r="I205" s="2">
        <v>2059.2199999999998</v>
      </c>
      <c r="J205" s="2">
        <v>4922.1499999999996</v>
      </c>
      <c r="K205" s="2">
        <v>4564.91</v>
      </c>
      <c r="L205" s="2">
        <v>4233.24</v>
      </c>
      <c r="M205" s="2">
        <v>5559.52</v>
      </c>
      <c r="N205" s="2">
        <v>5958.19</v>
      </c>
      <c r="O205" s="2">
        <v>5728.33</v>
      </c>
      <c r="P205" s="2">
        <v>7059</v>
      </c>
      <c r="Q205" s="2">
        <v>7819.5</v>
      </c>
      <c r="R205" s="2">
        <v>4888</v>
      </c>
      <c r="S205" s="2">
        <v>5558</v>
      </c>
    </row>
    <row r="206" spans="1:19" x14ac:dyDescent="0.25">
      <c r="A206" t="s">
        <v>17</v>
      </c>
    </row>
    <row r="207" spans="1:19" x14ac:dyDescent="0.25">
      <c r="A207" t="s">
        <v>282</v>
      </c>
    </row>
    <row r="208" spans="1:19" x14ac:dyDescent="0.25">
      <c r="A208" t="s">
        <v>1467</v>
      </c>
    </row>
    <row r="209" spans="1:14" x14ac:dyDescent="0.25">
      <c r="A209" t="s">
        <v>2500</v>
      </c>
      <c r="B209">
        <v>762.55</v>
      </c>
      <c r="C209" s="2">
        <v>1110.01</v>
      </c>
      <c r="D209" s="2">
        <v>1043.77</v>
      </c>
      <c r="E209" s="2">
        <v>1908.09</v>
      </c>
      <c r="F209" s="2">
        <v>3282.27</v>
      </c>
      <c r="G209" s="2">
        <v>1841.33</v>
      </c>
      <c r="H209" s="2">
        <v>1790.48</v>
      </c>
      <c r="I209" s="2">
        <v>2006.79</v>
      </c>
      <c r="J209" s="2">
        <v>3998.07</v>
      </c>
      <c r="K209" s="2">
        <v>4100.3599999999997</v>
      </c>
      <c r="L209" s="2">
        <v>4224.12</v>
      </c>
      <c r="M209" s="2">
        <v>5031.6499999999996</v>
      </c>
      <c r="N209" s="2">
        <v>5415.09</v>
      </c>
    </row>
    <row r="210" spans="1:14" x14ac:dyDescent="0.25">
      <c r="A210" t="s">
        <v>2501</v>
      </c>
      <c r="G210">
        <v>554.51</v>
      </c>
      <c r="H210" s="2">
        <v>2430.4299999999998</v>
      </c>
      <c r="I210" s="2">
        <v>2224.1</v>
      </c>
      <c r="J210" s="2">
        <v>6842.41</v>
      </c>
      <c r="K210" s="2">
        <v>-2500.5100000000002</v>
      </c>
      <c r="L210" s="2">
        <v>2843.44</v>
      </c>
      <c r="M210" s="2">
        <v>3558.28</v>
      </c>
      <c r="N210" s="2">
        <v>3771.24</v>
      </c>
    </row>
    <row r="211" spans="1:14" x14ac:dyDescent="0.25">
      <c r="A211" t="s">
        <v>2502</v>
      </c>
    </row>
    <row r="212" spans="1:14" x14ac:dyDescent="0.25">
      <c r="A212" t="s">
        <v>2457</v>
      </c>
      <c r="I212">
        <v>0</v>
      </c>
      <c r="J212" s="2">
        <v>2845.62</v>
      </c>
      <c r="K212" s="2">
        <v>4118.25</v>
      </c>
      <c r="L212" s="2">
        <v>5514.9</v>
      </c>
      <c r="M212" s="2">
        <v>6574.61</v>
      </c>
      <c r="N212" s="2">
        <v>7665.11</v>
      </c>
    </row>
    <row r="213" spans="1:14" x14ac:dyDescent="0.25">
      <c r="A213" t="s">
        <v>2503</v>
      </c>
      <c r="B213" s="2">
        <v>7826.08</v>
      </c>
      <c r="C213" s="2">
        <v>4778.2299999999996</v>
      </c>
      <c r="D213" s="2">
        <v>4672.63</v>
      </c>
      <c r="E213">
        <v>342.9</v>
      </c>
      <c r="F213" s="2">
        <v>1203.1600000000001</v>
      </c>
      <c r="G213" s="2">
        <v>1254.83</v>
      </c>
      <c r="H213" s="2">
        <v>3161.88</v>
      </c>
      <c r="I213" s="2">
        <v>3642.8</v>
      </c>
      <c r="J213" s="2">
        <v>7924.68</v>
      </c>
      <c r="K213" s="2">
        <v>-2984.03</v>
      </c>
      <c r="L213" s="2">
        <v>2790.12</v>
      </c>
      <c r="M213" s="2">
        <v>2019.77</v>
      </c>
      <c r="N213" s="2">
        <v>3760.38</v>
      </c>
    </row>
    <row r="214" spans="1:14" x14ac:dyDescent="0.25">
      <c r="A214" t="s">
        <v>2504</v>
      </c>
      <c r="J214" s="2">
        <v>2346.29</v>
      </c>
      <c r="K214" s="2">
        <v>1321.59</v>
      </c>
      <c r="L214" s="2">
        <v>2152.12</v>
      </c>
      <c r="M214" s="2">
        <v>8137.24</v>
      </c>
      <c r="N214" s="2">
        <v>3653.95</v>
      </c>
    </row>
    <row r="215" spans="1:14" x14ac:dyDescent="0.25">
      <c r="A215" t="s">
        <v>398</v>
      </c>
      <c r="B215">
        <v>474.76</v>
      </c>
      <c r="C215">
        <v>909.21</v>
      </c>
      <c r="D215" s="2">
        <v>1219.2</v>
      </c>
      <c r="E215" s="2">
        <v>1021.81</v>
      </c>
      <c r="F215" s="2">
        <v>1242.42</v>
      </c>
      <c r="G215" s="2">
        <v>1396.53</v>
      </c>
      <c r="H215" s="2">
        <v>1418.52</v>
      </c>
      <c r="I215" s="2">
        <v>1403.44</v>
      </c>
      <c r="J215" s="2">
        <v>1485.47</v>
      </c>
      <c r="K215" s="2">
        <v>1895.28</v>
      </c>
      <c r="L215" s="2">
        <v>3369.45</v>
      </c>
      <c r="M215" s="2">
        <v>3458.53</v>
      </c>
      <c r="N215" s="2">
        <v>3181.87</v>
      </c>
    </row>
    <row r="216" spans="1:14" x14ac:dyDescent="0.25">
      <c r="A216" t="s">
        <v>17</v>
      </c>
    </row>
    <row r="217" spans="1:14" x14ac:dyDescent="0.25">
      <c r="A217" t="s">
        <v>2505</v>
      </c>
      <c r="B217" s="2">
        <v>1767.14</v>
      </c>
      <c r="C217" s="2">
        <v>2196.0700000000002</v>
      </c>
      <c r="D217" s="2">
        <v>1871.23</v>
      </c>
      <c r="E217" s="2">
        <v>1695.47</v>
      </c>
      <c r="F217" s="2">
        <v>2336.69</v>
      </c>
      <c r="G217" s="2">
        <v>2089.48</v>
      </c>
      <c r="H217" s="2">
        <v>2908.43</v>
      </c>
      <c r="I217" s="2">
        <v>2933.13</v>
      </c>
      <c r="J217" s="2">
        <v>11422.52</v>
      </c>
      <c r="K217" s="2">
        <v>6781.81</v>
      </c>
      <c r="L217" s="2">
        <v>12358.61</v>
      </c>
      <c r="M217" s="2">
        <v>20985.86</v>
      </c>
      <c r="N217" s="2">
        <v>19012.32</v>
      </c>
    </row>
    <row r="218" spans="1:14" x14ac:dyDescent="0.25">
      <c r="A218" t="s">
        <v>2104</v>
      </c>
      <c r="B218" s="2">
        <v>1266.5899999999999</v>
      </c>
      <c r="C218" s="2">
        <v>1263.8499999999999</v>
      </c>
      <c r="D218" s="2">
        <v>1180.5899999999999</v>
      </c>
      <c r="E218" s="2">
        <v>1063.81</v>
      </c>
      <c r="F218" s="2">
        <v>1695.49</v>
      </c>
      <c r="G218" s="2">
        <v>1374.36</v>
      </c>
      <c r="H218" s="2">
        <v>2116.89</v>
      </c>
      <c r="I218" s="2">
        <v>2152.4899999999998</v>
      </c>
      <c r="J218" s="2">
        <v>4428.74</v>
      </c>
      <c r="K218" s="2">
        <v>1144.67</v>
      </c>
      <c r="L218" s="2">
        <v>3012.69</v>
      </c>
      <c r="M218" s="2">
        <v>4330.97</v>
      </c>
      <c r="N218" s="2">
        <v>4710.3900000000003</v>
      </c>
    </row>
    <row r="219" spans="1:14" x14ac:dyDescent="0.25">
      <c r="A219" t="s">
        <v>2506</v>
      </c>
      <c r="B219">
        <v>61.72</v>
      </c>
      <c r="C219">
        <v>62.56</v>
      </c>
      <c r="D219">
        <v>65.680000000000007</v>
      </c>
      <c r="E219">
        <v>64.62</v>
      </c>
      <c r="F219">
        <v>58.72</v>
      </c>
      <c r="G219">
        <v>59.71</v>
      </c>
      <c r="H219">
        <v>62.73</v>
      </c>
      <c r="I219">
        <v>72.099999999999994</v>
      </c>
      <c r="J219">
        <v>69.08</v>
      </c>
      <c r="K219">
        <v>77.27</v>
      </c>
      <c r="L219">
        <v>93.39</v>
      </c>
      <c r="M219">
        <v>117.11</v>
      </c>
      <c r="N219">
        <v>135.94</v>
      </c>
    </row>
    <row r="220" spans="1:14" x14ac:dyDescent="0.25">
      <c r="A220" t="s">
        <v>2491</v>
      </c>
      <c r="B220">
        <v>438.83</v>
      </c>
      <c r="C220">
        <v>869.65</v>
      </c>
      <c r="D220">
        <v>624.95000000000005</v>
      </c>
      <c r="E220">
        <v>567.04</v>
      </c>
      <c r="F220">
        <v>582.48</v>
      </c>
      <c r="G220">
        <v>640.41999999999996</v>
      </c>
      <c r="H220">
        <v>728.81</v>
      </c>
      <c r="I220">
        <v>708.54</v>
      </c>
      <c r="J220" s="2">
        <v>1514.4</v>
      </c>
      <c r="K220" s="2">
        <v>1711.97</v>
      </c>
      <c r="L220" s="2">
        <v>1803.11</v>
      </c>
      <c r="M220" s="2">
        <v>2056.77</v>
      </c>
      <c r="N220" s="2">
        <v>2235.8200000000002</v>
      </c>
    </row>
    <row r="221" spans="1:14" x14ac:dyDescent="0.25">
      <c r="A221" t="s">
        <v>2507</v>
      </c>
      <c r="I221">
        <v>0</v>
      </c>
      <c r="J221" s="2">
        <v>4989.76</v>
      </c>
      <c r="K221" s="2">
        <v>3195.42</v>
      </c>
      <c r="L221" s="2">
        <v>6449.53</v>
      </c>
      <c r="M221" s="2">
        <v>13467.45</v>
      </c>
      <c r="N221" s="2">
        <v>11040.47</v>
      </c>
    </row>
    <row r="222" spans="1:14" x14ac:dyDescent="0.25">
      <c r="A222" t="s">
        <v>484</v>
      </c>
      <c r="B222">
        <v>99.62</v>
      </c>
      <c r="C222">
        <v>317.19</v>
      </c>
      <c r="D222">
        <v>573.23</v>
      </c>
      <c r="E222">
        <v>789.95</v>
      </c>
      <c r="F222">
        <v>808.9</v>
      </c>
      <c r="G222">
        <v>876.03</v>
      </c>
      <c r="H222" s="2">
        <v>1043.55</v>
      </c>
      <c r="I222">
        <v>969.87</v>
      </c>
      <c r="J222" s="2">
        <v>1132.03</v>
      </c>
      <c r="K222" s="2">
        <v>1637.96</v>
      </c>
      <c r="L222" s="2">
        <v>2945.97</v>
      </c>
      <c r="M222" s="2">
        <v>3305.91</v>
      </c>
      <c r="N222" s="2">
        <v>3071.92</v>
      </c>
    </row>
    <row r="223" spans="1:14" x14ac:dyDescent="0.25">
      <c r="A223" t="s">
        <v>2508</v>
      </c>
      <c r="I223">
        <v>0</v>
      </c>
      <c r="J223">
        <v>358.88</v>
      </c>
      <c r="K223">
        <v>565.29999999999995</v>
      </c>
      <c r="L223">
        <v>826</v>
      </c>
      <c r="M223">
        <v>741.8</v>
      </c>
      <c r="N223">
        <v>594.72</v>
      </c>
    </row>
    <row r="224" spans="1:14" x14ac:dyDescent="0.25">
      <c r="A224" t="s">
        <v>17</v>
      </c>
    </row>
    <row r="225" spans="1:19" x14ac:dyDescent="0.25">
      <c r="A225" t="s">
        <v>91</v>
      </c>
      <c r="B225" s="2">
        <v>7892.15</v>
      </c>
      <c r="C225" s="2">
        <v>5458.69</v>
      </c>
      <c r="D225" s="2">
        <v>5341.67</v>
      </c>
      <c r="E225">
        <v>975.23</v>
      </c>
      <c r="F225" s="2">
        <v>2784.37</v>
      </c>
      <c r="G225" s="2">
        <v>2256.85</v>
      </c>
      <c r="H225" s="2">
        <v>5168.29</v>
      </c>
      <c r="I225" s="2">
        <v>5726.7</v>
      </c>
      <c r="J225" s="2">
        <v>13648.45</v>
      </c>
      <c r="K225" s="2">
        <v>-1059.2</v>
      </c>
      <c r="L225" s="2">
        <v>6554.61</v>
      </c>
      <c r="M225" s="2">
        <v>5860.43</v>
      </c>
      <c r="N225" s="2">
        <v>7099.16</v>
      </c>
      <c r="O225" s="2">
        <v>6353.48</v>
      </c>
      <c r="P225" s="2">
        <v>8017.28</v>
      </c>
      <c r="Q225" s="2">
        <v>9634.8799999999992</v>
      </c>
      <c r="R225" s="2">
        <v>11224.58</v>
      </c>
    </row>
    <row r="226" spans="1:19" x14ac:dyDescent="0.25">
      <c r="A226" t="s">
        <v>17</v>
      </c>
    </row>
    <row r="227" spans="1:19" x14ac:dyDescent="0.25">
      <c r="A227" t="s">
        <v>100</v>
      </c>
      <c r="C227" s="2">
        <v>1727.17</v>
      </c>
      <c r="D227" s="2">
        <v>1298</v>
      </c>
      <c r="E227">
        <v>794.37</v>
      </c>
      <c r="F227" s="2">
        <v>2435.34</v>
      </c>
      <c r="G227" s="2">
        <v>2256.85</v>
      </c>
      <c r="H227" s="2">
        <v>5168.29</v>
      </c>
      <c r="I227" s="2">
        <v>1256.45</v>
      </c>
      <c r="J227" s="2">
        <v>13648.45</v>
      </c>
      <c r="K227" s="2">
        <v>-1059.2</v>
      </c>
      <c r="L227" s="2">
        <v>6554.61</v>
      </c>
      <c r="M227" s="2">
        <v>5860.43</v>
      </c>
      <c r="N227" s="2">
        <v>7099.16</v>
      </c>
      <c r="O227" s="2">
        <v>6353</v>
      </c>
      <c r="P227" s="2">
        <v>8292.5</v>
      </c>
      <c r="Q227" s="2">
        <v>9930</v>
      </c>
      <c r="R227" s="2">
        <v>11225</v>
      </c>
    </row>
    <row r="228" spans="1:19" x14ac:dyDescent="0.25">
      <c r="A228" t="s">
        <v>17</v>
      </c>
    </row>
    <row r="229" spans="1:19" x14ac:dyDescent="0.25">
      <c r="A229" t="s">
        <v>101</v>
      </c>
      <c r="B229">
        <v>37.93</v>
      </c>
      <c r="C229">
        <v>63.67</v>
      </c>
      <c r="D229">
        <v>66.64</v>
      </c>
      <c r="E229">
        <v>24.56</v>
      </c>
      <c r="F229">
        <v>224.33</v>
      </c>
      <c r="G229">
        <v>-194.1</v>
      </c>
      <c r="H229">
        <v>528.75</v>
      </c>
      <c r="I229">
        <v>609.1</v>
      </c>
      <c r="J229" s="2">
        <v>1353.27</v>
      </c>
      <c r="K229">
        <v>-35.67</v>
      </c>
      <c r="L229" s="2">
        <v>1197.52</v>
      </c>
      <c r="M229">
        <v>954.4</v>
      </c>
      <c r="N229">
        <v>953.75</v>
      </c>
      <c r="O229" s="2">
        <v>1263.3499999999999</v>
      </c>
      <c r="P229" s="2">
        <v>1622.73</v>
      </c>
      <c r="Q229" s="2">
        <v>1861.49</v>
      </c>
      <c r="R229" s="2">
        <v>2341.96</v>
      </c>
      <c r="S229" s="2">
        <v>2219</v>
      </c>
    </row>
    <row r="230" spans="1:19" x14ac:dyDescent="0.25">
      <c r="A230" t="s">
        <v>489</v>
      </c>
      <c r="B230">
        <v>0.48</v>
      </c>
      <c r="C230">
        <v>1.17</v>
      </c>
      <c r="D230">
        <v>1.25</v>
      </c>
      <c r="E230">
        <v>2.52</v>
      </c>
      <c r="F230">
        <v>8.06</v>
      </c>
      <c r="G230">
        <v>-8.6</v>
      </c>
      <c r="H230">
        <v>10.23</v>
      </c>
      <c r="I230">
        <v>10.6</v>
      </c>
      <c r="J230">
        <v>9.9</v>
      </c>
      <c r="K230">
        <v>3.4</v>
      </c>
      <c r="L230">
        <v>18.3</v>
      </c>
      <c r="M230">
        <v>16.3</v>
      </c>
      <c r="N230">
        <v>13.4</v>
      </c>
      <c r="O230">
        <v>17.28</v>
      </c>
      <c r="P230">
        <v>18.670000000000002</v>
      </c>
      <c r="Q230">
        <v>18.37</v>
      </c>
      <c r="R230">
        <v>18</v>
      </c>
    </row>
    <row r="231" spans="1:19" x14ac:dyDescent="0.25">
      <c r="A231" t="s">
        <v>17</v>
      </c>
    </row>
    <row r="232" spans="1:19" x14ac:dyDescent="0.25">
      <c r="A232" t="s">
        <v>2509</v>
      </c>
      <c r="B232" s="2">
        <v>7854.23</v>
      </c>
      <c r="C232" s="2">
        <v>5395.02</v>
      </c>
      <c r="D232" s="2">
        <v>5275.03</v>
      </c>
      <c r="E232">
        <v>950.66</v>
      </c>
      <c r="F232" s="2">
        <v>2560.04</v>
      </c>
      <c r="G232" s="2">
        <v>2450.9499999999998</v>
      </c>
      <c r="H232" s="2">
        <v>4639.54</v>
      </c>
      <c r="I232" s="2">
        <v>5117.6000000000004</v>
      </c>
      <c r="J232" s="2">
        <v>12295.18</v>
      </c>
      <c r="K232" s="2">
        <v>-1023.53</v>
      </c>
      <c r="L232" s="2">
        <v>5357.09</v>
      </c>
      <c r="M232" s="2">
        <v>4906.04</v>
      </c>
      <c r="N232" s="2">
        <v>6145.41</v>
      </c>
      <c r="O232" s="2">
        <v>5082.78</v>
      </c>
      <c r="P232" s="2">
        <v>6413.83</v>
      </c>
      <c r="Q232" s="2">
        <v>7707.9</v>
      </c>
      <c r="R232" s="2">
        <v>8979.67</v>
      </c>
    </row>
    <row r="233" spans="1:19" x14ac:dyDescent="0.25">
      <c r="A233" t="s">
        <v>105</v>
      </c>
      <c r="B233" s="2">
        <v>7163</v>
      </c>
      <c r="C233" s="2">
        <v>4917.41</v>
      </c>
      <c r="D233" s="2">
        <v>4786.55</v>
      </c>
      <c r="E233">
        <v>641.36</v>
      </c>
      <c r="F233" s="2">
        <v>1541.74</v>
      </c>
      <c r="G233" s="2">
        <v>1319.88</v>
      </c>
      <c r="H233" s="2">
        <v>2634.49</v>
      </c>
      <c r="I233" s="2">
        <v>3115.09</v>
      </c>
      <c r="J233" s="2">
        <v>7628.7</v>
      </c>
      <c r="K233">
        <v>-182.4</v>
      </c>
      <c r="L233" s="2">
        <v>1624.83</v>
      </c>
      <c r="M233" s="2">
        <v>1829.79</v>
      </c>
      <c r="N233" s="2">
        <v>3774.95</v>
      </c>
    </row>
    <row r="234" spans="1:19" x14ac:dyDescent="0.25">
      <c r="A234" t="s">
        <v>2510</v>
      </c>
      <c r="B234">
        <v>0</v>
      </c>
      <c r="C234">
        <v>0</v>
      </c>
      <c r="D234">
        <v>0</v>
      </c>
      <c r="E234">
        <v>22.24</v>
      </c>
      <c r="F234">
        <v>33.36</v>
      </c>
      <c r="G234">
        <v>33.36</v>
      </c>
      <c r="H234">
        <v>33.36</v>
      </c>
      <c r="I234">
        <v>56.56</v>
      </c>
      <c r="J234">
        <v>105.65</v>
      </c>
      <c r="K234">
        <v>69</v>
      </c>
      <c r="L234">
        <v>51.75</v>
      </c>
      <c r="M234">
        <v>0</v>
      </c>
      <c r="N234">
        <v>118.6</v>
      </c>
    </row>
    <row r="235" spans="1:19" x14ac:dyDescent="0.25">
      <c r="A235" t="s">
        <v>2511</v>
      </c>
      <c r="B235">
        <v>691.23</v>
      </c>
      <c r="C235">
        <v>477.61</v>
      </c>
      <c r="D235">
        <v>488.48</v>
      </c>
      <c r="E235">
        <v>287.07</v>
      </c>
      <c r="F235">
        <v>984.94</v>
      </c>
      <c r="G235" s="2">
        <v>1097.7</v>
      </c>
      <c r="H235" s="2">
        <v>1971.69</v>
      </c>
      <c r="I235" s="2">
        <v>1945.95</v>
      </c>
      <c r="J235" s="2">
        <v>4560.83</v>
      </c>
      <c r="K235">
        <v>-910.13</v>
      </c>
      <c r="L235" s="2">
        <v>3732.26</v>
      </c>
      <c r="M235" s="2">
        <v>3076.25</v>
      </c>
      <c r="N235" s="2">
        <v>2251.87</v>
      </c>
      <c r="O235" s="2">
        <v>4889.8</v>
      </c>
      <c r="P235" s="2">
        <v>6019.8</v>
      </c>
      <c r="Q235" s="2">
        <v>6808</v>
      </c>
      <c r="R235" s="2">
        <v>6285</v>
      </c>
    </row>
    <row r="236" spans="1:19" x14ac:dyDescent="0.25">
      <c r="A236" t="s">
        <v>17</v>
      </c>
    </row>
    <row r="237" spans="1:19" x14ac:dyDescent="0.25">
      <c r="A237" t="s">
        <v>108</v>
      </c>
      <c r="B237">
        <v>274.91000000000003</v>
      </c>
      <c r="C237">
        <v>381.09</v>
      </c>
      <c r="D237">
        <v>448.88</v>
      </c>
      <c r="E237">
        <v>448.91</v>
      </c>
      <c r="F237">
        <v>468.28</v>
      </c>
      <c r="G237">
        <v>514.1</v>
      </c>
      <c r="H237">
        <v>545.1</v>
      </c>
      <c r="I237">
        <v>562.80999999999995</v>
      </c>
      <c r="J237">
        <v>582.26</v>
      </c>
      <c r="K237">
        <v>749.5</v>
      </c>
      <c r="L237">
        <v>867.5</v>
      </c>
      <c r="M237">
        <v>887.02</v>
      </c>
      <c r="N237">
        <v>890.34</v>
      </c>
      <c r="O237">
        <v>901.84</v>
      </c>
      <c r="P237">
        <v>913.33</v>
      </c>
      <c r="Q237">
        <v>913.48</v>
      </c>
      <c r="R237">
        <v>899.08</v>
      </c>
    </row>
    <row r="238" spans="1:19" x14ac:dyDescent="0.25">
      <c r="A238" t="s">
        <v>109</v>
      </c>
      <c r="B238">
        <v>300.25</v>
      </c>
      <c r="C238">
        <v>412.05</v>
      </c>
      <c r="D238">
        <v>482.7</v>
      </c>
      <c r="E238">
        <v>483.43</v>
      </c>
      <c r="F238">
        <v>506.29</v>
      </c>
      <c r="G238">
        <v>533.71</v>
      </c>
      <c r="H238">
        <v>557.69000000000005</v>
      </c>
      <c r="I238">
        <v>583.69000000000005</v>
      </c>
      <c r="J238">
        <v>633.09</v>
      </c>
      <c r="K238">
        <v>749.5</v>
      </c>
      <c r="L238">
        <v>911.79</v>
      </c>
      <c r="M238">
        <v>938.9</v>
      </c>
      <c r="N238">
        <v>955.76</v>
      </c>
      <c r="O238">
        <v>924.25</v>
      </c>
      <c r="P238">
        <v>935</v>
      </c>
      <c r="Q238">
        <v>935.61</v>
      </c>
      <c r="R238">
        <v>919.44</v>
      </c>
      <c r="S238">
        <v>894</v>
      </c>
    </row>
    <row r="239" spans="1:19" x14ac:dyDescent="0.25">
      <c r="A239" t="s">
        <v>124</v>
      </c>
      <c r="B239">
        <v>2.2999999999999998</v>
      </c>
      <c r="C239">
        <v>1.1599999999999999</v>
      </c>
      <c r="D239">
        <v>1.01</v>
      </c>
      <c r="E239">
        <v>0.59</v>
      </c>
      <c r="F239">
        <v>1.95</v>
      </c>
      <c r="G239">
        <v>2.06</v>
      </c>
      <c r="H239">
        <v>3.54</v>
      </c>
      <c r="I239">
        <v>3.37</v>
      </c>
      <c r="J239">
        <v>7.31</v>
      </c>
      <c r="K239">
        <v>3.9</v>
      </c>
      <c r="L239">
        <v>4.09</v>
      </c>
      <c r="M239">
        <v>3.28</v>
      </c>
      <c r="N239">
        <v>2.34</v>
      </c>
      <c r="O239">
        <v>8.58</v>
      </c>
      <c r="P239">
        <v>7.95</v>
      </c>
      <c r="Q239">
        <v>10.85</v>
      </c>
      <c r="R239">
        <v>13.48</v>
      </c>
      <c r="S239">
        <v>19</v>
      </c>
    </row>
    <row r="240" spans="1:19" x14ac:dyDescent="0.25">
      <c r="A240" t="s">
        <v>17</v>
      </c>
    </row>
    <row r="241" spans="1:19" x14ac:dyDescent="0.25">
      <c r="A241" t="s">
        <v>2512</v>
      </c>
      <c r="B241">
        <v>384.87</v>
      </c>
      <c r="C241">
        <v>773.62</v>
      </c>
      <c r="D241">
        <v>709.24</v>
      </c>
      <c r="E241">
        <v>287.3</v>
      </c>
      <c r="F241">
        <v>313.75</v>
      </c>
      <c r="G241">
        <v>326.45999999999998</v>
      </c>
      <c r="H241">
        <v>327.06</v>
      </c>
      <c r="I241">
        <v>303.92</v>
      </c>
      <c r="J241">
        <v>337.71</v>
      </c>
      <c r="K241">
        <v>457.2</v>
      </c>
      <c r="L241">
        <v>563.87</v>
      </c>
      <c r="M241">
        <v>620.91999999999996</v>
      </c>
      <c r="N241">
        <v>658.85</v>
      </c>
      <c r="O241">
        <v>700.57</v>
      </c>
      <c r="P241">
        <v>757.18</v>
      </c>
      <c r="Q241">
        <v>847.56</v>
      </c>
      <c r="R241">
        <v>904.37</v>
      </c>
      <c r="S241" s="2">
        <v>1364.41</v>
      </c>
    </row>
    <row r="242" spans="1:19" x14ac:dyDescent="0.25">
      <c r="A242" t="s">
        <v>1276</v>
      </c>
      <c r="B242">
        <v>1.4</v>
      </c>
      <c r="C242">
        <v>2.0299999999999998</v>
      </c>
      <c r="D242">
        <v>1.58</v>
      </c>
      <c r="E242">
        <v>0.64</v>
      </c>
      <c r="F242">
        <v>0.67</v>
      </c>
      <c r="G242">
        <v>0.64</v>
      </c>
      <c r="H242">
        <v>0.6</v>
      </c>
      <c r="I242">
        <v>0.54</v>
      </c>
      <c r="J242">
        <v>0.57999999999999996</v>
      </c>
      <c r="K242">
        <v>0.61</v>
      </c>
      <c r="L242">
        <v>0.65</v>
      </c>
      <c r="M242">
        <v>0.7</v>
      </c>
      <c r="N242">
        <v>0.74</v>
      </c>
      <c r="O242">
        <v>0.78</v>
      </c>
      <c r="P242">
        <v>0.87</v>
      </c>
      <c r="Q242">
        <v>3.33</v>
      </c>
      <c r="R242">
        <v>1.01</v>
      </c>
      <c r="S242">
        <v>1.52</v>
      </c>
    </row>
    <row r="243" spans="1:19" x14ac:dyDescent="0.25">
      <c r="A243" t="s">
        <v>17</v>
      </c>
    </row>
    <row r="244" spans="1:19" x14ac:dyDescent="0.25">
      <c r="A244" t="s">
        <v>1072</v>
      </c>
      <c r="O244">
        <v>100</v>
      </c>
      <c r="P244">
        <v>100</v>
      </c>
      <c r="Q244">
        <v>100</v>
      </c>
    </row>
    <row r="245" spans="1:19" x14ac:dyDescent="0.25">
      <c r="A245" t="s">
        <v>17</v>
      </c>
    </row>
    <row r="246" spans="1:19" x14ac:dyDescent="0.25">
      <c r="A246" t="s">
        <v>651</v>
      </c>
    </row>
    <row r="247" spans="1:19" x14ac:dyDescent="0.25">
      <c r="A247" t="s">
        <v>67</v>
      </c>
      <c r="F247">
        <v>346.04</v>
      </c>
      <c r="G247">
        <v>343.44</v>
      </c>
      <c r="H247">
        <v>299.08999999999997</v>
      </c>
      <c r="I247">
        <v>327.13</v>
      </c>
      <c r="J247">
        <v>261.33</v>
      </c>
      <c r="K247">
        <v>449.69</v>
      </c>
      <c r="L247">
        <v>502.82</v>
      </c>
      <c r="M247">
        <v>611.64</v>
      </c>
      <c r="N247">
        <v>616.91999999999996</v>
      </c>
      <c r="O247">
        <v>686.39</v>
      </c>
      <c r="P247">
        <v>712.71</v>
      </c>
      <c r="Q247">
        <v>781.28</v>
      </c>
      <c r="R247" s="2">
        <v>1210.3800000000001</v>
      </c>
    </row>
    <row r="248" spans="1:19" x14ac:dyDescent="0.25">
      <c r="A248" t="s">
        <v>17</v>
      </c>
    </row>
    <row r="249" spans="1:19" x14ac:dyDescent="0.25">
      <c r="A249" t="s">
        <v>134</v>
      </c>
    </row>
    <row r="250" spans="1:19" x14ac:dyDescent="0.25">
      <c r="A250" t="s">
        <v>135</v>
      </c>
    </row>
    <row r="251" spans="1:19" x14ac:dyDescent="0.25">
      <c r="A251" t="s">
        <v>2513</v>
      </c>
      <c r="B251" s="2">
        <v>1306.3800000000001</v>
      </c>
      <c r="C251">
        <v>918.08</v>
      </c>
      <c r="D251" s="2">
        <v>1047.74</v>
      </c>
      <c r="E251" s="2">
        <v>2508.9</v>
      </c>
      <c r="F251" s="2">
        <v>1876.69</v>
      </c>
      <c r="G251" s="2">
        <v>1751.29</v>
      </c>
      <c r="H251" s="2">
        <v>2346.71</v>
      </c>
      <c r="I251" s="2">
        <v>6507.87</v>
      </c>
      <c r="J251" s="2">
        <v>10091.6</v>
      </c>
      <c r="K251" s="2">
        <v>12823.56</v>
      </c>
      <c r="L251" s="2">
        <v>20348.57</v>
      </c>
      <c r="M251" s="2">
        <v>14878.49</v>
      </c>
      <c r="N251" s="2">
        <v>16892.150000000001</v>
      </c>
    </row>
    <row r="252" spans="1:19" x14ac:dyDescent="0.25">
      <c r="A252" t="s">
        <v>2514</v>
      </c>
      <c r="B252">
        <v>440.81</v>
      </c>
      <c r="C252" s="2">
        <v>1372.78</v>
      </c>
      <c r="D252" s="2">
        <v>1472.12</v>
      </c>
      <c r="E252" s="2">
        <v>1624.76</v>
      </c>
      <c r="F252" s="2">
        <v>1802.37</v>
      </c>
      <c r="G252">
        <v>693.86</v>
      </c>
      <c r="H252">
        <v>816.44</v>
      </c>
      <c r="I252" s="2">
        <v>1144.8699999999999</v>
      </c>
      <c r="K252">
        <v>561.80999999999995</v>
      </c>
      <c r="L252">
        <v>459.55</v>
      </c>
      <c r="M252">
        <v>489.46</v>
      </c>
      <c r="N252">
        <v>259.64</v>
      </c>
    </row>
    <row r="253" spans="1:19" x14ac:dyDescent="0.25">
      <c r="A253" t="s">
        <v>2515</v>
      </c>
      <c r="B253" s="2">
        <v>47383.7</v>
      </c>
      <c r="C253" s="2">
        <v>60167.63</v>
      </c>
      <c r="D253" s="2">
        <v>65305.93</v>
      </c>
      <c r="E253" s="2">
        <v>31409.77</v>
      </c>
      <c r="F253" s="2">
        <v>39013.93</v>
      </c>
      <c r="G253" s="2">
        <v>44907.98</v>
      </c>
      <c r="H253" s="2">
        <v>54936.27</v>
      </c>
      <c r="I253" s="2">
        <v>69274.720000000001</v>
      </c>
      <c r="J253" s="2">
        <v>212539.19</v>
      </c>
      <c r="K253" s="2">
        <v>216574.64</v>
      </c>
      <c r="L253" s="2">
        <v>240005.12</v>
      </c>
      <c r="M253" s="2">
        <v>276597.8</v>
      </c>
      <c r="N253" s="2">
        <v>319958.05</v>
      </c>
    </row>
    <row r="254" spans="1:19" x14ac:dyDescent="0.25">
      <c r="A254" t="s">
        <v>2516</v>
      </c>
      <c r="B254">
        <v>143.91</v>
      </c>
      <c r="C254">
        <v>147.06</v>
      </c>
      <c r="D254">
        <v>139.78</v>
      </c>
      <c r="E254">
        <v>250.45</v>
      </c>
      <c r="F254">
        <v>554.35</v>
      </c>
      <c r="G254">
        <v>657.19</v>
      </c>
      <c r="H254">
        <v>717.4</v>
      </c>
      <c r="I254">
        <v>872.99</v>
      </c>
      <c r="J254">
        <v>0</v>
      </c>
      <c r="K254" s="2">
        <v>1663.3</v>
      </c>
      <c r="L254" s="2">
        <v>1446.85</v>
      </c>
      <c r="M254" s="2">
        <v>1856.05</v>
      </c>
      <c r="N254" s="2">
        <v>2307.6999999999998</v>
      </c>
      <c r="O254" s="2">
        <v>2571.5</v>
      </c>
      <c r="P254" s="2">
        <v>2571.5</v>
      </c>
      <c r="Q254" s="2">
        <v>2571.5</v>
      </c>
      <c r="R254" s="2">
        <v>2703.4</v>
      </c>
    </row>
    <row r="255" spans="1:19" x14ac:dyDescent="0.25">
      <c r="A255" t="s">
        <v>2517</v>
      </c>
      <c r="K255" s="2">
        <v>4130.79</v>
      </c>
      <c r="L255" s="2">
        <v>4107</v>
      </c>
      <c r="M255" s="2">
        <v>3981.06</v>
      </c>
      <c r="N255" s="2">
        <v>3841.4</v>
      </c>
      <c r="O255" s="2">
        <v>3867.9</v>
      </c>
      <c r="P255" s="2">
        <v>3969.9</v>
      </c>
      <c r="Q255" s="2">
        <v>4105.3999999999996</v>
      </c>
      <c r="R255" s="2">
        <v>4359.78</v>
      </c>
      <c r="S255" s="2">
        <v>5806</v>
      </c>
    </row>
    <row r="256" spans="1:19" x14ac:dyDescent="0.25">
      <c r="A256" t="s">
        <v>973</v>
      </c>
      <c r="B256">
        <v>80.569999999999993</v>
      </c>
      <c r="C256">
        <v>76.25</v>
      </c>
      <c r="D256">
        <v>226.34</v>
      </c>
      <c r="E256">
        <v>283.26</v>
      </c>
      <c r="F256">
        <v>364.2</v>
      </c>
      <c r="G256">
        <v>451.21</v>
      </c>
      <c r="H256">
        <v>633.03</v>
      </c>
      <c r="I256">
        <v>760.61</v>
      </c>
      <c r="J256">
        <v>820.14</v>
      </c>
      <c r="K256">
        <v>857.9</v>
      </c>
      <c r="L256">
        <v>863.1</v>
      </c>
      <c r="M256">
        <v>902.9</v>
      </c>
      <c r="N256">
        <v>975.5</v>
      </c>
      <c r="O256" s="2">
        <v>1003</v>
      </c>
      <c r="P256" s="2">
        <v>1097</v>
      </c>
      <c r="Q256" s="2">
        <v>1223</v>
      </c>
      <c r="R256" s="2">
        <v>1280</v>
      </c>
      <c r="S256" s="2">
        <v>1347</v>
      </c>
    </row>
    <row r="257" spans="1:19" x14ac:dyDescent="0.25">
      <c r="A257" t="s">
        <v>2518</v>
      </c>
      <c r="B257">
        <v>89</v>
      </c>
      <c r="C257">
        <v>89</v>
      </c>
      <c r="D257">
        <v>89</v>
      </c>
      <c r="E257">
        <v>89</v>
      </c>
      <c r="F257">
        <v>83.5</v>
      </c>
      <c r="G257">
        <v>83.5</v>
      </c>
      <c r="H257">
        <v>83.5</v>
      </c>
      <c r="I257">
        <v>83.5</v>
      </c>
      <c r="J257">
        <v>585</v>
      </c>
      <c r="K257" s="2">
        <v>1095.77</v>
      </c>
      <c r="L257" s="2">
        <v>1059.78</v>
      </c>
      <c r="M257" s="2">
        <v>1019.53</v>
      </c>
      <c r="N257" s="2">
        <v>1029.55</v>
      </c>
      <c r="O257" s="2">
        <v>1158</v>
      </c>
      <c r="P257" s="2">
        <v>1267</v>
      </c>
      <c r="Q257" s="2">
        <v>1412</v>
      </c>
      <c r="R257" s="2">
        <v>1478</v>
      </c>
      <c r="S257" s="2">
        <v>1556</v>
      </c>
    </row>
    <row r="258" spans="1:19" x14ac:dyDescent="0.25">
      <c r="A258" t="s">
        <v>2519</v>
      </c>
      <c r="B258">
        <v>177.55</v>
      </c>
      <c r="C258">
        <v>209.2</v>
      </c>
      <c r="D258">
        <v>176.99</v>
      </c>
      <c r="E258">
        <v>135.02000000000001</v>
      </c>
      <c r="F258">
        <v>129.18</v>
      </c>
      <c r="G258">
        <v>9.86</v>
      </c>
      <c r="H258">
        <v>0</v>
      </c>
      <c r="I258">
        <v>0</v>
      </c>
      <c r="J258">
        <v>0</v>
      </c>
      <c r="K258" s="2">
        <v>2331.4899999999998</v>
      </c>
      <c r="L258" s="2">
        <v>4450.82</v>
      </c>
      <c r="M258" s="2">
        <v>5198.9399999999996</v>
      </c>
      <c r="N258" s="2">
        <v>5905.23</v>
      </c>
      <c r="O258" s="2">
        <v>5929.07</v>
      </c>
      <c r="P258" s="2">
        <v>5929.07</v>
      </c>
      <c r="Q258" s="2">
        <v>5929.07</v>
      </c>
      <c r="R258" s="2">
        <v>5929.07</v>
      </c>
    </row>
    <row r="259" spans="1:19" x14ac:dyDescent="0.25">
      <c r="A259" t="s">
        <v>2520</v>
      </c>
      <c r="B259">
        <v>199.03</v>
      </c>
      <c r="C259">
        <v>283.39</v>
      </c>
      <c r="D259">
        <v>314.08999999999997</v>
      </c>
      <c r="E259">
        <v>336.82</v>
      </c>
      <c r="F259">
        <v>203.31</v>
      </c>
      <c r="G259">
        <v>538.16</v>
      </c>
      <c r="H259">
        <v>591.77</v>
      </c>
      <c r="I259">
        <v>83.82</v>
      </c>
      <c r="J259">
        <v>841.65</v>
      </c>
      <c r="K259" s="2">
        <v>2326.92</v>
      </c>
      <c r="L259" s="2">
        <v>2322.34</v>
      </c>
      <c r="M259" s="2">
        <v>2839.3</v>
      </c>
      <c r="N259" s="2">
        <v>2882.33</v>
      </c>
    </row>
    <row r="260" spans="1:19" x14ac:dyDescent="0.25">
      <c r="A260" t="s">
        <v>155</v>
      </c>
      <c r="B260" s="2">
        <v>51427.199999999997</v>
      </c>
      <c r="C260" s="2">
        <v>65872.75</v>
      </c>
      <c r="D260" s="2">
        <v>71042.34</v>
      </c>
      <c r="E260" s="2">
        <v>39002.9</v>
      </c>
      <c r="F260" s="2">
        <v>45834.720000000001</v>
      </c>
      <c r="G260" s="2">
        <v>50743.38</v>
      </c>
      <c r="H260" s="2">
        <v>60899.32</v>
      </c>
      <c r="I260" s="2">
        <v>79806.5</v>
      </c>
      <c r="J260" s="2">
        <v>264285.44</v>
      </c>
      <c r="K260" s="2">
        <v>275346.64</v>
      </c>
      <c r="L260" s="2">
        <v>317294.19</v>
      </c>
      <c r="M260" s="2">
        <v>360099.41</v>
      </c>
      <c r="N260" s="2">
        <v>410144.07</v>
      </c>
      <c r="O260" s="2">
        <v>441726.3</v>
      </c>
      <c r="P260" s="2">
        <v>479858.55</v>
      </c>
      <c r="Q260" s="2">
        <v>504306.49</v>
      </c>
      <c r="R260" s="2">
        <v>571920.15</v>
      </c>
      <c r="S260" s="2">
        <v>659887</v>
      </c>
    </row>
    <row r="261" spans="1:19" x14ac:dyDescent="0.25">
      <c r="A261" t="s">
        <v>17</v>
      </c>
    </row>
    <row r="262" spans="1:19" x14ac:dyDescent="0.25">
      <c r="A262" t="s">
        <v>156</v>
      </c>
    </row>
    <row r="263" spans="1:19" x14ac:dyDescent="0.25">
      <c r="A263" t="s">
        <v>2521</v>
      </c>
      <c r="B263" s="2">
        <v>2839.93</v>
      </c>
      <c r="C263" s="2">
        <v>3199.35</v>
      </c>
      <c r="D263" s="2">
        <v>2715.35</v>
      </c>
      <c r="E263" s="2">
        <v>2981.26</v>
      </c>
      <c r="F263" s="2">
        <v>3654.25</v>
      </c>
      <c r="G263" s="2">
        <v>2743.99</v>
      </c>
      <c r="H263" s="2">
        <v>3097.56</v>
      </c>
      <c r="I263" s="2">
        <v>5257.81</v>
      </c>
      <c r="J263">
        <v>0</v>
      </c>
      <c r="K263" s="2">
        <v>11072.15</v>
      </c>
      <c r="L263" s="2">
        <v>10974.42</v>
      </c>
      <c r="M263" s="2">
        <v>13635.47</v>
      </c>
      <c r="N263" s="2">
        <v>17690.03</v>
      </c>
    </row>
    <row r="264" spans="1:19" x14ac:dyDescent="0.25">
      <c r="A264" t="s">
        <v>2522</v>
      </c>
      <c r="B264">
        <v>93.85</v>
      </c>
      <c r="C264">
        <v>131.55000000000001</v>
      </c>
      <c r="D264">
        <v>144.81</v>
      </c>
      <c r="E264">
        <v>359.48</v>
      </c>
      <c r="F264">
        <v>323.81</v>
      </c>
      <c r="G264">
        <v>275.58</v>
      </c>
      <c r="H264">
        <v>286.10000000000002</v>
      </c>
      <c r="I264">
        <v>325.18</v>
      </c>
      <c r="J264">
        <v>0</v>
      </c>
      <c r="K264">
        <v>466.06</v>
      </c>
      <c r="L264">
        <v>538.1</v>
      </c>
      <c r="M264">
        <v>524.52</v>
      </c>
      <c r="N264">
        <v>442.36</v>
      </c>
      <c r="O264">
        <v>415.26</v>
      </c>
      <c r="P264">
        <v>415.26</v>
      </c>
      <c r="Q264">
        <v>415.26</v>
      </c>
      <c r="R264">
        <v>415.26</v>
      </c>
    </row>
    <row r="265" spans="1:19" x14ac:dyDescent="0.25">
      <c r="A265" t="s">
        <v>2523</v>
      </c>
      <c r="K265" s="2">
        <v>22739.42</v>
      </c>
      <c r="L265" s="2">
        <v>34339.519999999997</v>
      </c>
      <c r="M265" s="2">
        <v>43961.91</v>
      </c>
      <c r="N265" s="2">
        <v>46822.74</v>
      </c>
      <c r="O265" s="2">
        <v>49360.33</v>
      </c>
      <c r="P265" s="2">
        <v>49360.33</v>
      </c>
      <c r="Q265" s="2">
        <v>49360.33</v>
      </c>
      <c r="R265" s="2">
        <v>49360.33</v>
      </c>
    </row>
    <row r="266" spans="1:19" x14ac:dyDescent="0.25">
      <c r="A266" t="s">
        <v>2524</v>
      </c>
      <c r="B266" s="2">
        <v>1908.61</v>
      </c>
      <c r="C266" s="2">
        <v>10837.78</v>
      </c>
      <c r="D266" s="2">
        <v>18714.599999999999</v>
      </c>
      <c r="E266" s="2">
        <v>18544.080000000002</v>
      </c>
      <c r="F266" s="2">
        <v>21193.86</v>
      </c>
      <c r="G266" s="2">
        <v>22341.19</v>
      </c>
      <c r="H266" s="2">
        <v>27013.279999999999</v>
      </c>
      <c r="I266" s="2">
        <v>33423.599999999999</v>
      </c>
      <c r="J266" s="2">
        <v>38577.760000000002</v>
      </c>
      <c r="K266" s="2">
        <v>42726.78</v>
      </c>
      <c r="L266" s="2">
        <v>47474.73</v>
      </c>
      <c r="M266" s="2">
        <v>49647.26</v>
      </c>
      <c r="N266" s="2">
        <v>52938.15</v>
      </c>
      <c r="O266" s="2">
        <v>54529.41</v>
      </c>
      <c r="P266" s="2">
        <v>58458.5</v>
      </c>
      <c r="Q266" s="2">
        <v>62213.04</v>
      </c>
      <c r="R266" s="2">
        <v>70786.03</v>
      </c>
      <c r="S266" s="2">
        <v>80799</v>
      </c>
    </row>
    <row r="267" spans="1:19" x14ac:dyDescent="0.25">
      <c r="A267" t="s">
        <v>2525</v>
      </c>
      <c r="E267" s="2">
        <v>3340.74</v>
      </c>
      <c r="F267" s="2">
        <v>3978.06</v>
      </c>
      <c r="G267" s="2">
        <v>3019.57</v>
      </c>
      <c r="H267" s="2">
        <v>3383.66</v>
      </c>
      <c r="I267" s="2">
        <v>5582.99</v>
      </c>
      <c r="J267" s="2">
        <v>167568.46</v>
      </c>
      <c r="K267" s="2">
        <v>138840.75</v>
      </c>
      <c r="L267" s="2">
        <v>161481.51</v>
      </c>
      <c r="M267" s="2">
        <v>186364.51</v>
      </c>
      <c r="N267" s="2">
        <v>206777.47</v>
      </c>
    </row>
    <row r="268" spans="1:19" x14ac:dyDescent="0.25">
      <c r="A268" t="s">
        <v>167</v>
      </c>
      <c r="B268" s="2">
        <v>4842.38</v>
      </c>
      <c r="C268" s="2">
        <v>14168.68</v>
      </c>
      <c r="D268" s="2">
        <v>21574.75</v>
      </c>
      <c r="E268" s="2">
        <v>21884.81</v>
      </c>
      <c r="F268" s="2">
        <v>25171.919999999998</v>
      </c>
      <c r="G268" s="2">
        <v>25360.77</v>
      </c>
      <c r="H268" s="2">
        <v>30396.95</v>
      </c>
      <c r="I268" s="2">
        <v>39006.589999999997</v>
      </c>
      <c r="J268" s="2">
        <v>206146.22</v>
      </c>
      <c r="K268" s="2">
        <v>219975.95</v>
      </c>
      <c r="L268" s="2">
        <v>258915.28</v>
      </c>
      <c r="M268" s="2">
        <v>298114.71999999997</v>
      </c>
      <c r="N268" s="2">
        <v>328512.15999999997</v>
      </c>
      <c r="O268" s="2">
        <v>349924.82</v>
      </c>
      <c r="P268" s="2">
        <v>369973.66</v>
      </c>
      <c r="Q268" s="2">
        <v>393796.09</v>
      </c>
      <c r="R268" s="2">
        <v>440638.25</v>
      </c>
      <c r="S268" s="2">
        <v>497278</v>
      </c>
    </row>
    <row r="269" spans="1:19" x14ac:dyDescent="0.25">
      <c r="A269" t="s">
        <v>2413</v>
      </c>
      <c r="I269">
        <v>0</v>
      </c>
      <c r="J269">
        <v>82.49</v>
      </c>
      <c r="K269">
        <v>152.07</v>
      </c>
      <c r="L269">
        <v>615.42999999999995</v>
      </c>
      <c r="M269" s="2">
        <v>1585.18</v>
      </c>
      <c r="N269" s="2">
        <v>2710.24</v>
      </c>
      <c r="O269" s="2">
        <v>2774.18</v>
      </c>
      <c r="P269" s="2">
        <v>2774.18</v>
      </c>
      <c r="Q269" s="2">
        <v>2767.08</v>
      </c>
      <c r="R269" s="2">
        <v>2753.37</v>
      </c>
    </row>
    <row r="270" spans="1:19" x14ac:dyDescent="0.25">
      <c r="A270" t="s">
        <v>170</v>
      </c>
      <c r="B270" s="2">
        <v>46584.82</v>
      </c>
      <c r="C270" s="2">
        <v>51704.06</v>
      </c>
      <c r="D270" s="2">
        <v>49467.59</v>
      </c>
      <c r="E270" s="2">
        <v>17118.080000000002</v>
      </c>
      <c r="F270" s="2">
        <v>20662.8</v>
      </c>
      <c r="G270" s="2">
        <v>25382.61</v>
      </c>
      <c r="H270" s="2">
        <v>30502.37</v>
      </c>
      <c r="I270" s="2">
        <v>40799.919999999998</v>
      </c>
      <c r="J270" s="2">
        <v>58139.22</v>
      </c>
      <c r="K270" s="2">
        <v>55370.69</v>
      </c>
      <c r="L270" s="2">
        <v>58378.91</v>
      </c>
      <c r="M270" s="2">
        <v>61984.69</v>
      </c>
      <c r="N270" s="2">
        <v>81631.91</v>
      </c>
      <c r="O270" s="2">
        <v>84481.94</v>
      </c>
      <c r="P270" s="2">
        <v>90284.71</v>
      </c>
      <c r="Q270" s="2">
        <v>97062.73</v>
      </c>
      <c r="R270" s="2">
        <v>104912.7</v>
      </c>
      <c r="S270" s="2">
        <v>162609</v>
      </c>
    </row>
    <row r="271" spans="1:19" x14ac:dyDescent="0.25">
      <c r="A271" t="s">
        <v>2062</v>
      </c>
      <c r="B271" s="2">
        <v>2722.01</v>
      </c>
      <c r="C271" s="2">
        <v>5399.59</v>
      </c>
      <c r="D271" s="2">
        <v>5547.18</v>
      </c>
      <c r="E271" s="2">
        <v>5939.83</v>
      </c>
      <c r="F271" s="2">
        <v>7185.94</v>
      </c>
      <c r="G271" s="2">
        <v>8649.61</v>
      </c>
      <c r="H271" s="2">
        <v>10807.49</v>
      </c>
      <c r="I271" s="2">
        <v>13716.82</v>
      </c>
      <c r="J271" s="2">
        <v>17582.16</v>
      </c>
      <c r="K271" s="2">
        <v>18807.77</v>
      </c>
      <c r="L271" s="2">
        <v>22858.69</v>
      </c>
      <c r="M271" s="2">
        <v>23651.57</v>
      </c>
      <c r="N271" s="2">
        <v>30902.560000000001</v>
      </c>
      <c r="O271" s="2">
        <v>34277.29</v>
      </c>
      <c r="P271" s="2">
        <v>40449.74</v>
      </c>
      <c r="Q271" s="2">
        <v>50559.96</v>
      </c>
      <c r="R271" s="2">
        <v>63918.17</v>
      </c>
      <c r="S271" s="2">
        <v>89802</v>
      </c>
    </row>
    <row r="272" spans="1:19" x14ac:dyDescent="0.25">
      <c r="A272" t="s">
        <v>2121</v>
      </c>
      <c r="B272" s="2">
        <v>2727.91</v>
      </c>
      <c r="C272" s="2">
        <v>5403.1</v>
      </c>
      <c r="F272" s="2">
        <v>6722.86</v>
      </c>
      <c r="G272">
        <v>8.34</v>
      </c>
      <c r="H272">
        <v>8.5</v>
      </c>
      <c r="I272">
        <v>8.49</v>
      </c>
      <c r="J272">
        <v>8.5399999999999991</v>
      </c>
      <c r="K272">
        <v>8.61</v>
      </c>
      <c r="L272">
        <v>8.85</v>
      </c>
      <c r="M272">
        <v>8.8800000000000008</v>
      </c>
      <c r="N272">
        <v>8.91</v>
      </c>
      <c r="O272">
        <v>8.9</v>
      </c>
      <c r="P272">
        <v>8.9</v>
      </c>
      <c r="Q272">
        <v>8.9</v>
      </c>
      <c r="R272">
        <v>8.89</v>
      </c>
    </row>
    <row r="273" spans="1:19" x14ac:dyDescent="0.25">
      <c r="A273" t="s">
        <v>2411</v>
      </c>
      <c r="C273">
        <v>16.899999999999999</v>
      </c>
      <c r="G273" s="2">
        <v>8106.41</v>
      </c>
      <c r="H273" s="2">
        <v>8565.92</v>
      </c>
      <c r="I273" s="2">
        <v>8687.82</v>
      </c>
      <c r="J273" s="2">
        <v>8997.44</v>
      </c>
      <c r="K273" s="2">
        <v>16284.06</v>
      </c>
      <c r="L273" s="2">
        <v>17549.16</v>
      </c>
      <c r="M273" s="2">
        <v>18406.72</v>
      </c>
      <c r="N273" s="2">
        <v>19041.5</v>
      </c>
      <c r="O273" s="2">
        <v>18976.939999999999</v>
      </c>
      <c r="P273" s="2">
        <v>18976.939999999999</v>
      </c>
      <c r="Q273" s="2">
        <v>18976.939999999999</v>
      </c>
      <c r="R273" s="2">
        <v>18976.939999999999</v>
      </c>
    </row>
    <row r="274" spans="1:19" x14ac:dyDescent="0.25">
      <c r="A274" t="s">
        <v>2123</v>
      </c>
      <c r="B274">
        <v>0</v>
      </c>
      <c r="C274">
        <v>0</v>
      </c>
      <c r="D274">
        <v>0</v>
      </c>
      <c r="G274">
        <v>91.95</v>
      </c>
      <c r="H274" s="2">
        <v>1792.15</v>
      </c>
      <c r="I274" s="2">
        <v>3440.78</v>
      </c>
      <c r="J274" s="2">
        <v>7670.18</v>
      </c>
      <c r="K274" s="2">
        <v>6701.11</v>
      </c>
      <c r="L274" s="2">
        <v>9818.34</v>
      </c>
      <c r="M274" s="2">
        <v>12282.51</v>
      </c>
      <c r="N274" s="2">
        <v>13884.44</v>
      </c>
      <c r="O274" s="2">
        <v>17574.14</v>
      </c>
      <c r="P274" s="2">
        <v>23139.88</v>
      </c>
      <c r="Q274" s="2">
        <v>29635.15</v>
      </c>
      <c r="R274" s="2">
        <v>38190.879999999997</v>
      </c>
    </row>
    <row r="275" spans="1:19" x14ac:dyDescent="0.25">
      <c r="A275" t="s">
        <v>2526</v>
      </c>
      <c r="B275">
        <v>-5.9</v>
      </c>
      <c r="C275">
        <v>-20.399999999999999</v>
      </c>
      <c r="D275">
        <v>-28.8</v>
      </c>
      <c r="E275">
        <v>-49.1</v>
      </c>
      <c r="F275">
        <v>-19.48</v>
      </c>
      <c r="G275">
        <v>-39.65</v>
      </c>
      <c r="H275">
        <v>-41.64</v>
      </c>
      <c r="I275">
        <v>-18.61</v>
      </c>
      <c r="J275">
        <v>-209.79</v>
      </c>
      <c r="K275" s="2">
        <v>-5301.8</v>
      </c>
      <c r="L275" s="2">
        <v>-4517.6499999999996</v>
      </c>
      <c r="M275" s="2">
        <v>-7046.55</v>
      </c>
      <c r="N275" s="2">
        <v>-4575.6899999999996</v>
      </c>
      <c r="O275" s="2">
        <v>-5117.51</v>
      </c>
      <c r="P275" s="2">
        <v>-5117.51</v>
      </c>
      <c r="Q275" s="2">
        <v>-5117.51</v>
      </c>
      <c r="R275" s="2">
        <v>-5117.51</v>
      </c>
    </row>
    <row r="276" spans="1:19" x14ac:dyDescent="0.25">
      <c r="A276" t="s">
        <v>2527</v>
      </c>
      <c r="B276" s="2">
        <v>43862.81</v>
      </c>
      <c r="C276" s="2">
        <v>46304.480000000003</v>
      </c>
      <c r="D276" s="2">
        <v>43920.4</v>
      </c>
      <c r="E276" s="2">
        <v>11178.25</v>
      </c>
      <c r="F276" s="2">
        <v>13476.86</v>
      </c>
      <c r="G276" s="2">
        <v>16733</v>
      </c>
      <c r="H276" s="2">
        <v>19694.88</v>
      </c>
      <c r="I276" s="2">
        <v>27083.1</v>
      </c>
      <c r="J276" s="2">
        <v>40474.57</v>
      </c>
      <c r="K276" s="2">
        <v>36410.86</v>
      </c>
      <c r="L276" s="2">
        <v>34904.79</v>
      </c>
      <c r="M276" s="2">
        <v>36747.949999999997</v>
      </c>
      <c r="N276" s="2">
        <v>48019.11</v>
      </c>
      <c r="O276" s="2">
        <v>50559.39</v>
      </c>
      <c r="P276" s="2">
        <v>53335.53</v>
      </c>
      <c r="Q276" s="2">
        <v>55789.85</v>
      </c>
      <c r="R276" s="2">
        <v>63493.72</v>
      </c>
    </row>
    <row r="277" spans="1:19" x14ac:dyDescent="0.25">
      <c r="A277" t="s">
        <v>326</v>
      </c>
      <c r="B277" s="2">
        <v>51427.199999999997</v>
      </c>
      <c r="C277" s="2">
        <v>65872.75</v>
      </c>
      <c r="D277" s="2">
        <v>71042.34</v>
      </c>
      <c r="E277" s="2">
        <v>39002.9</v>
      </c>
      <c r="F277" s="2">
        <v>45834.720000000001</v>
      </c>
      <c r="G277" s="2">
        <v>50743.38</v>
      </c>
      <c r="H277" s="2">
        <v>60899.32</v>
      </c>
      <c r="I277" s="2">
        <v>79806.5</v>
      </c>
      <c r="J277" s="2">
        <v>264285.44</v>
      </c>
      <c r="K277" s="2">
        <v>275346.64</v>
      </c>
      <c r="L277" s="2">
        <v>317294.19</v>
      </c>
      <c r="M277" s="2">
        <v>360099.41</v>
      </c>
      <c r="N277" s="2">
        <v>410144.07</v>
      </c>
      <c r="O277" s="2">
        <v>441726.3</v>
      </c>
      <c r="P277" s="2">
        <v>479858.55</v>
      </c>
      <c r="Q277" s="2">
        <v>504306.49</v>
      </c>
      <c r="R277" s="2">
        <v>571920.15</v>
      </c>
      <c r="S277" s="2">
        <v>659887</v>
      </c>
    </row>
    <row r="278" spans="1:19" x14ac:dyDescent="0.25">
      <c r="A278" t="s">
        <v>17</v>
      </c>
    </row>
    <row r="279" spans="1:19" x14ac:dyDescent="0.25">
      <c r="A279" t="s">
        <v>176</v>
      </c>
    </row>
    <row r="280" spans="1:19" x14ac:dyDescent="0.25">
      <c r="A280" t="s">
        <v>183</v>
      </c>
      <c r="B280">
        <v>288.14</v>
      </c>
      <c r="C280">
        <v>433.33</v>
      </c>
      <c r="D280">
        <v>457.83</v>
      </c>
      <c r="E280">
        <v>452.38</v>
      </c>
      <c r="F280">
        <v>486.17</v>
      </c>
      <c r="G280">
        <v>833.94</v>
      </c>
      <c r="H280">
        <v>850.39</v>
      </c>
      <c r="I280">
        <v>572.89</v>
      </c>
      <c r="J280">
        <v>595.66</v>
      </c>
      <c r="K280">
        <v>861.11</v>
      </c>
      <c r="L280">
        <v>885.01</v>
      </c>
      <c r="M280">
        <v>888.23</v>
      </c>
      <c r="N280">
        <v>888.23</v>
      </c>
      <c r="O280">
        <v>905.12</v>
      </c>
      <c r="P280">
        <v>915.58</v>
      </c>
      <c r="Q280">
        <v>922.47</v>
      </c>
      <c r="R280">
        <v>921.19</v>
      </c>
      <c r="S280">
        <v>894</v>
      </c>
    </row>
    <row r="281" spans="1:19" x14ac:dyDescent="0.25">
      <c r="A281" t="s">
        <v>2528</v>
      </c>
      <c r="D281" s="2">
        <v>1415.48</v>
      </c>
      <c r="E281" s="2">
        <v>1213.69</v>
      </c>
      <c r="F281" s="2">
        <v>1620.4</v>
      </c>
      <c r="G281" s="2">
        <v>1223.08</v>
      </c>
      <c r="H281" s="2">
        <v>1982.25</v>
      </c>
      <c r="I281" s="2">
        <v>1070.8</v>
      </c>
      <c r="J281" s="2">
        <v>4043.14</v>
      </c>
      <c r="K281" s="2">
        <v>6740.95</v>
      </c>
      <c r="L281" s="2">
        <v>3375.81</v>
      </c>
      <c r="M281" s="2">
        <v>2000</v>
      </c>
      <c r="N281" s="2">
        <v>2500</v>
      </c>
      <c r="O281" s="2">
        <v>2854.1</v>
      </c>
      <c r="P281" s="2">
        <v>2785.88</v>
      </c>
      <c r="Q281" s="2">
        <v>3063.21</v>
      </c>
    </row>
    <row r="282" spans="1:19" x14ac:dyDescent="0.25">
      <c r="A282" t="s">
        <v>1019</v>
      </c>
      <c r="B282" s="2">
        <v>47926.78</v>
      </c>
      <c r="C282" s="2">
        <v>58649.97</v>
      </c>
      <c r="D282" s="2">
        <v>68457.539999999994</v>
      </c>
      <c r="E282" s="2">
        <v>55022.62</v>
      </c>
      <c r="F282" s="2">
        <v>42418.81</v>
      </c>
      <c r="G282" s="2">
        <v>48289.05</v>
      </c>
      <c r="H282" s="2">
        <v>55821.35</v>
      </c>
      <c r="I282" s="2">
        <v>70352.91</v>
      </c>
      <c r="J282" s="2">
        <v>172045.97</v>
      </c>
      <c r="K282" s="2">
        <v>269816.03999999998</v>
      </c>
      <c r="L282" s="2">
        <v>296320.42</v>
      </c>
      <c r="M282" s="2">
        <v>338696.8</v>
      </c>
      <c r="N282" s="2">
        <v>385121.74</v>
      </c>
      <c r="O282" s="2">
        <v>433846.01</v>
      </c>
      <c r="P282" s="2">
        <v>491805.02</v>
      </c>
      <c r="Q282" s="2">
        <v>492082.52</v>
      </c>
      <c r="R282" s="2">
        <v>538113.31999999995</v>
      </c>
      <c r="S282" s="2">
        <v>615903.57999999996</v>
      </c>
    </row>
    <row r="283" spans="1:19" x14ac:dyDescent="0.25">
      <c r="A283" t="s">
        <v>2529</v>
      </c>
      <c r="B283">
        <v>800</v>
      </c>
      <c r="C283" s="2">
        <v>1446</v>
      </c>
      <c r="D283" s="2">
        <v>1500</v>
      </c>
      <c r="E283" s="2">
        <v>1500</v>
      </c>
      <c r="F283" s="2">
        <v>2237.66</v>
      </c>
      <c r="G283" s="2">
        <v>2201.34</v>
      </c>
      <c r="H283" s="2">
        <v>2194.9</v>
      </c>
      <c r="I283" s="2">
        <v>2455.0100000000002</v>
      </c>
      <c r="J283" s="2">
        <v>2500</v>
      </c>
      <c r="K283" s="2">
        <v>2973.13</v>
      </c>
      <c r="L283" s="2">
        <v>2986.49</v>
      </c>
      <c r="M283" s="2">
        <v>4218.75</v>
      </c>
      <c r="N283" s="2">
        <v>4241.58</v>
      </c>
    </row>
    <row r="284" spans="1:19" x14ac:dyDescent="0.25">
      <c r="A284" t="s">
        <v>701</v>
      </c>
      <c r="B284" s="2">
        <v>2722.01</v>
      </c>
      <c r="C284" s="2">
        <v>5399.59</v>
      </c>
      <c r="D284" s="2">
        <v>5547.18</v>
      </c>
      <c r="E284" s="2">
        <v>5939.83</v>
      </c>
      <c r="F284" s="2">
        <v>7185.94</v>
      </c>
      <c r="G284" s="2">
        <v>8649.61</v>
      </c>
      <c r="H284" s="2">
        <v>10807.49</v>
      </c>
      <c r="I284" s="2">
        <v>20267.36</v>
      </c>
      <c r="J284" s="2">
        <v>25388.880000000001</v>
      </c>
      <c r="K284" s="2">
        <v>17728.82</v>
      </c>
      <c r="L284" s="2">
        <v>22858.69</v>
      </c>
      <c r="M284" s="2">
        <v>23651.57</v>
      </c>
      <c r="N284" s="2">
        <v>78921.67</v>
      </c>
      <c r="O284" s="2">
        <v>86854</v>
      </c>
      <c r="P284" s="2">
        <v>95746.33</v>
      </c>
      <c r="Q284" s="2">
        <v>105508.33</v>
      </c>
      <c r="R284" s="2">
        <v>142328</v>
      </c>
    </row>
    <row r="285" spans="1:19" x14ac:dyDescent="0.25">
      <c r="A285" t="s">
        <v>182</v>
      </c>
      <c r="B285">
        <v>9.4499999999999993</v>
      </c>
      <c r="C285">
        <v>12.46</v>
      </c>
      <c r="D285">
        <v>12.18</v>
      </c>
      <c r="E285">
        <v>12.15</v>
      </c>
      <c r="F285">
        <v>14.2</v>
      </c>
      <c r="G285">
        <v>15.27</v>
      </c>
      <c r="H285">
        <v>19.239999999999998</v>
      </c>
      <c r="I285">
        <v>21.15</v>
      </c>
      <c r="J285">
        <v>28.77</v>
      </c>
      <c r="K285">
        <v>27.27</v>
      </c>
      <c r="L285">
        <v>30.95</v>
      </c>
      <c r="M285">
        <v>31.1</v>
      </c>
      <c r="N285">
        <v>31.1</v>
      </c>
      <c r="O285">
        <v>37.869999999999997</v>
      </c>
      <c r="P285">
        <v>56.3</v>
      </c>
      <c r="Q285">
        <v>73.59</v>
      </c>
      <c r="R285">
        <v>67.66</v>
      </c>
    </row>
    <row r="286" spans="1:19" x14ac:dyDescent="0.25">
      <c r="A286" t="s">
        <v>2322</v>
      </c>
      <c r="C286" s="2">
        <v>18272.400000000001</v>
      </c>
      <c r="I286" s="2">
        <v>66960</v>
      </c>
      <c r="J286" s="2">
        <v>111822</v>
      </c>
      <c r="K286" s="2">
        <v>107679</v>
      </c>
      <c r="L286" s="2">
        <v>98557</v>
      </c>
      <c r="M286" s="2">
        <v>109555</v>
      </c>
      <c r="N286" s="2">
        <v>118433</v>
      </c>
      <c r="O286" s="2">
        <v>205018.63</v>
      </c>
      <c r="P286" s="2">
        <v>232601.54</v>
      </c>
      <c r="Q286" s="2">
        <v>126799.82</v>
      </c>
      <c r="R286" s="2">
        <v>122875.02</v>
      </c>
      <c r="S286">
        <v>0.4</v>
      </c>
    </row>
    <row r="287" spans="1:19" x14ac:dyDescent="0.25">
      <c r="A287" t="s">
        <v>17</v>
      </c>
    </row>
    <row r="288" spans="1:19" x14ac:dyDescent="0.25">
      <c r="A288" t="s">
        <v>188</v>
      </c>
    </row>
    <row r="289" spans="1:19" x14ac:dyDescent="0.25">
      <c r="A289" t="s">
        <v>189</v>
      </c>
    </row>
    <row r="290" spans="1:19" x14ac:dyDescent="0.25">
      <c r="A290" t="s">
        <v>190</v>
      </c>
      <c r="G290">
        <v>14.99</v>
      </c>
      <c r="H290">
        <v>17.7</v>
      </c>
      <c r="I290">
        <v>18.600000000000001</v>
      </c>
      <c r="J290">
        <v>46.5</v>
      </c>
      <c r="K290">
        <v>54.6</v>
      </c>
      <c r="L290">
        <v>68.400000000000006</v>
      </c>
      <c r="M290">
        <v>71.599999999999994</v>
      </c>
      <c r="N290">
        <v>81.400000000000006</v>
      </c>
    </row>
    <row r="291" spans="1:19" x14ac:dyDescent="0.25">
      <c r="A291" t="s">
        <v>2530</v>
      </c>
      <c r="B291">
        <v>-451.53</v>
      </c>
      <c r="C291">
        <v>522.64</v>
      </c>
      <c r="D291">
        <v>296.98</v>
      </c>
      <c r="E291">
        <v>-264.39</v>
      </c>
      <c r="F291" s="2">
        <v>-1118.3900000000001</v>
      </c>
      <c r="G291">
        <v>-195.96</v>
      </c>
      <c r="H291" s="2">
        <v>-2723.06</v>
      </c>
      <c r="I291" s="2">
        <v>-2496.91</v>
      </c>
      <c r="J291" s="2">
        <v>-3566.19</v>
      </c>
      <c r="K291" s="2">
        <v>7382.57</v>
      </c>
      <c r="L291" s="2">
        <v>1831.86</v>
      </c>
      <c r="M291" s="2">
        <v>3110.75</v>
      </c>
      <c r="N291" s="2">
        <v>4386.1499999999996</v>
      </c>
    </row>
    <row r="292" spans="1:19" x14ac:dyDescent="0.25">
      <c r="A292" t="s">
        <v>2531</v>
      </c>
      <c r="B292" s="2">
        <v>-7826.08</v>
      </c>
      <c r="C292" s="2">
        <v>-4778.2299999999996</v>
      </c>
      <c r="D292" s="2">
        <v>-4672.63</v>
      </c>
      <c r="E292">
        <v>-210.97</v>
      </c>
      <c r="F292">
        <v>-928.14</v>
      </c>
      <c r="G292" s="2">
        <v>-1254.83</v>
      </c>
      <c r="H292" s="2">
        <v>-3161.88</v>
      </c>
      <c r="I292" s="2">
        <v>-3642.8</v>
      </c>
      <c r="J292" s="2">
        <v>-6860.76</v>
      </c>
      <c r="K292" s="2">
        <v>2701.42</v>
      </c>
      <c r="L292" s="2">
        <v>-3025.38</v>
      </c>
      <c r="M292" s="2">
        <v>-3442.85</v>
      </c>
      <c r="N292" s="2">
        <v>-4801.45</v>
      </c>
    </row>
    <row r="293" spans="1:19" x14ac:dyDescent="0.25">
      <c r="A293" t="s">
        <v>1239</v>
      </c>
      <c r="B293">
        <v>307.51</v>
      </c>
      <c r="C293">
        <v>310.39999999999998</v>
      </c>
      <c r="D293">
        <v>261.58</v>
      </c>
      <c r="E293">
        <v>264.89</v>
      </c>
      <c r="F293">
        <v>334.82</v>
      </c>
      <c r="G293">
        <v>331.71</v>
      </c>
      <c r="H293">
        <v>297.70999999999998</v>
      </c>
      <c r="I293">
        <v>326.76</v>
      </c>
      <c r="J293">
        <v>529.82000000000005</v>
      </c>
      <c r="K293">
        <v>730.24</v>
      </c>
      <c r="L293">
        <v>618.47</v>
      </c>
      <c r="M293">
        <v>746.44</v>
      </c>
      <c r="N293">
        <v>722.11</v>
      </c>
      <c r="O293">
        <v>787.84</v>
      </c>
      <c r="P293">
        <v>901.13</v>
      </c>
      <c r="Q293" s="2">
        <v>1207.68</v>
      </c>
      <c r="R293" s="2">
        <v>1855.82</v>
      </c>
    </row>
    <row r="294" spans="1:19" x14ac:dyDescent="0.25">
      <c r="A294" t="s">
        <v>2532</v>
      </c>
      <c r="B294" s="2">
        <v>7067.04</v>
      </c>
      <c r="C294" s="2">
        <v>4990.47</v>
      </c>
      <c r="D294" s="2">
        <v>4708.03</v>
      </c>
      <c r="E294">
        <v>-318.31</v>
      </c>
      <c r="F294">
        <v>-525.07000000000005</v>
      </c>
      <c r="G294">
        <v>727.17</v>
      </c>
      <c r="H294">
        <v>141.12</v>
      </c>
      <c r="I294">
        <v>819.14</v>
      </c>
      <c r="J294" s="2">
        <v>2764.75</v>
      </c>
      <c r="K294" s="2">
        <v>3950.92</v>
      </c>
      <c r="L294" s="2">
        <v>4238.7700000000004</v>
      </c>
      <c r="M294" s="2">
        <v>5807.16</v>
      </c>
      <c r="N294" s="2">
        <v>8465.49</v>
      </c>
    </row>
    <row r="295" spans="1:19" x14ac:dyDescent="0.25">
      <c r="A295" t="s">
        <v>2533</v>
      </c>
      <c r="B295" s="2">
        <v>2338.0500000000002</v>
      </c>
      <c r="C295">
        <v>488.4</v>
      </c>
      <c r="D295">
        <v>-400.06</v>
      </c>
      <c r="E295" s="2">
        <v>-1486.14</v>
      </c>
      <c r="F295" s="2">
        <v>-3432.08</v>
      </c>
      <c r="G295" s="2">
        <v>-8556.58</v>
      </c>
      <c r="H295" s="2">
        <v>-4981.84</v>
      </c>
      <c r="I295" s="2">
        <v>-5477.89</v>
      </c>
      <c r="J295" s="2">
        <v>-8323.49</v>
      </c>
      <c r="K295" s="2">
        <v>-11875.3</v>
      </c>
      <c r="L295" s="2">
        <v>-7126.33</v>
      </c>
      <c r="M295">
        <v>391.28</v>
      </c>
      <c r="N295" s="2">
        <v>-6360.25</v>
      </c>
    </row>
    <row r="296" spans="1:19" x14ac:dyDescent="0.25">
      <c r="A296" t="s">
        <v>204</v>
      </c>
      <c r="B296" s="2">
        <v>2577.75</v>
      </c>
      <c r="C296" s="2">
        <v>1488.65</v>
      </c>
      <c r="D296">
        <v>385.4</v>
      </c>
      <c r="E296" s="2">
        <v>-1441.22</v>
      </c>
      <c r="F296" s="2">
        <v>-3532.17</v>
      </c>
      <c r="G296" s="2">
        <v>-7606.48</v>
      </c>
      <c r="H296" s="2">
        <v>-5682.16</v>
      </c>
      <c r="I296" s="2">
        <v>-5953.69</v>
      </c>
      <c r="J296" s="2">
        <v>-7176.71</v>
      </c>
      <c r="K296" s="2">
        <v>-5279.26</v>
      </c>
      <c r="L296" s="2">
        <v>-1493.81</v>
      </c>
      <c r="M296" s="2">
        <v>6649.88</v>
      </c>
      <c r="N296">
        <v>477.76</v>
      </c>
    </row>
    <row r="297" spans="1:19" x14ac:dyDescent="0.25">
      <c r="A297" t="s">
        <v>17</v>
      </c>
    </row>
    <row r="298" spans="1:19" x14ac:dyDescent="0.25">
      <c r="A298" t="s">
        <v>205</v>
      </c>
    </row>
    <row r="299" spans="1:19" x14ac:dyDescent="0.25">
      <c r="A299" t="s">
        <v>206</v>
      </c>
      <c r="B299">
        <v>-14.4</v>
      </c>
      <c r="C299">
        <v>-12.16</v>
      </c>
      <c r="D299">
        <v>-169.42</v>
      </c>
      <c r="E299">
        <v>-62.66</v>
      </c>
      <c r="F299">
        <v>-97.07</v>
      </c>
      <c r="G299">
        <v>-102.66</v>
      </c>
      <c r="H299">
        <v>-194.57</v>
      </c>
      <c r="I299">
        <v>-142.26</v>
      </c>
      <c r="J299">
        <v>-102.05</v>
      </c>
      <c r="K299">
        <v>-85.06</v>
      </c>
      <c r="L299">
        <v>-108.39</v>
      </c>
      <c r="M299">
        <v>-141.54</v>
      </c>
      <c r="N299">
        <v>-160.77000000000001</v>
      </c>
      <c r="O299">
        <v>-183</v>
      </c>
      <c r="P299">
        <v>-213</v>
      </c>
      <c r="Q299">
        <v>-223</v>
      </c>
      <c r="R299">
        <v>-262</v>
      </c>
      <c r="S299">
        <v>-246</v>
      </c>
    </row>
    <row r="300" spans="1:19" x14ac:dyDescent="0.25">
      <c r="A300" t="s">
        <v>2534</v>
      </c>
    </row>
    <row r="301" spans="1:19" x14ac:dyDescent="0.25">
      <c r="A301" t="s">
        <v>2535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s="2">
        <v>49567.360000000001</v>
      </c>
      <c r="K301" s="2">
        <v>35356.269999999997</v>
      </c>
      <c r="L301" s="2">
        <v>25654.31</v>
      </c>
      <c r="M301" s="2">
        <v>56877.14</v>
      </c>
      <c r="N301" s="2">
        <v>76815</v>
      </c>
    </row>
    <row r="302" spans="1:19" x14ac:dyDescent="0.25">
      <c r="A302" t="s">
        <v>2536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s="2">
        <v>-58617.58</v>
      </c>
      <c r="K302" s="2">
        <v>-47191.31</v>
      </c>
      <c r="L302" s="2">
        <v>-29488.32</v>
      </c>
      <c r="M302" s="2">
        <v>-75817.740000000005</v>
      </c>
      <c r="N302" s="2">
        <v>-92789.77</v>
      </c>
    </row>
    <row r="303" spans="1:19" x14ac:dyDescent="0.25">
      <c r="A303" t="s">
        <v>213</v>
      </c>
      <c r="B303">
        <v>15.46</v>
      </c>
      <c r="C303">
        <v>-22.88</v>
      </c>
      <c r="D303">
        <v>-425.15</v>
      </c>
      <c r="E303">
        <v>-63.93</v>
      </c>
      <c r="F303">
        <v>-98.12</v>
      </c>
      <c r="G303">
        <v>-78.599999999999994</v>
      </c>
      <c r="H303">
        <v>-207.36</v>
      </c>
      <c r="I303">
        <v>-153.38999999999999</v>
      </c>
      <c r="J303" s="2">
        <v>-9605.5499999999993</v>
      </c>
      <c r="K303" s="2">
        <v>-13647.27</v>
      </c>
      <c r="L303" s="2">
        <v>-3882.94</v>
      </c>
      <c r="M303" s="2">
        <v>-19047.419999999998</v>
      </c>
      <c r="N303" s="2">
        <v>-16281.8</v>
      </c>
    </row>
    <row r="304" spans="1:19" x14ac:dyDescent="0.25">
      <c r="A304" t="s">
        <v>17</v>
      </c>
    </row>
    <row r="305" spans="1:19" x14ac:dyDescent="0.25">
      <c r="A305" t="s">
        <v>214</v>
      </c>
    </row>
    <row r="306" spans="1:19" x14ac:dyDescent="0.25">
      <c r="A306" t="s">
        <v>347</v>
      </c>
      <c r="B306">
        <v>-431.58</v>
      </c>
      <c r="C306">
        <v>-785</v>
      </c>
      <c r="D306">
        <v>0</v>
      </c>
      <c r="E306">
        <v>-285.41000000000003</v>
      </c>
      <c r="F306">
        <v>-311.97000000000003</v>
      </c>
      <c r="G306">
        <v>-322.33999999999997</v>
      </c>
      <c r="H306">
        <v>-271.49</v>
      </c>
      <c r="I306">
        <v>-297.32</v>
      </c>
      <c r="J306">
        <v>-331.43</v>
      </c>
      <c r="K306">
        <v>-444.34</v>
      </c>
      <c r="L306">
        <v>-563.29</v>
      </c>
      <c r="M306">
        <v>-612.07000000000005</v>
      </c>
      <c r="N306">
        <v>-649.94000000000005</v>
      </c>
      <c r="O306">
        <v>-716.08</v>
      </c>
      <c r="P306">
        <v>-791.99</v>
      </c>
      <c r="Q306">
        <v>-820.27</v>
      </c>
      <c r="R306">
        <v>-857.99</v>
      </c>
    </row>
    <row r="307" spans="1:19" x14ac:dyDescent="0.25">
      <c r="A307" t="s">
        <v>2537</v>
      </c>
      <c r="B307" s="2">
        <v>1374.34</v>
      </c>
      <c r="C307" s="2">
        <v>5433.14</v>
      </c>
      <c r="D307" s="2">
        <v>14014.51</v>
      </c>
      <c r="E307" s="2">
        <v>7895.32</v>
      </c>
      <c r="F307" s="2">
        <v>11657.95</v>
      </c>
      <c r="G307" s="2">
        <v>17117.990000000002</v>
      </c>
      <c r="H307" s="2">
        <v>14811.7</v>
      </c>
      <c r="I307" s="2">
        <v>16620.419999999998</v>
      </c>
      <c r="J307" s="2">
        <v>45089.93</v>
      </c>
      <c r="K307" s="2">
        <v>43031.8</v>
      </c>
      <c r="L307" s="2">
        <v>35697.870000000003</v>
      </c>
      <c r="M307" s="2">
        <v>57625.279999999999</v>
      </c>
      <c r="N307" s="2">
        <v>55581.79</v>
      </c>
    </row>
    <row r="308" spans="1:19" x14ac:dyDescent="0.25">
      <c r="A308" t="s">
        <v>2538</v>
      </c>
      <c r="B308">
        <v>-594.97</v>
      </c>
      <c r="C308" s="2">
        <v>-3728.2</v>
      </c>
      <c r="D308" s="2">
        <v>-5926.16</v>
      </c>
      <c r="E308" s="2">
        <v>-5482.13</v>
      </c>
      <c r="F308" s="2">
        <v>-9514.56</v>
      </c>
      <c r="G308" s="2">
        <v>-11712.01</v>
      </c>
      <c r="H308" s="2">
        <v>-9310.77</v>
      </c>
      <c r="I308" s="2">
        <v>-11293.65</v>
      </c>
      <c r="J308" s="2">
        <v>-30250.880000000001</v>
      </c>
      <c r="K308" s="2">
        <v>-27226.17</v>
      </c>
      <c r="L308" s="2">
        <v>-30149.74</v>
      </c>
      <c r="M308" s="2">
        <v>-46245.88</v>
      </c>
      <c r="N308" s="2">
        <v>-46606.25</v>
      </c>
    </row>
    <row r="309" spans="1:19" x14ac:dyDescent="0.25">
      <c r="A309" t="s">
        <v>674</v>
      </c>
      <c r="B309">
        <v>0</v>
      </c>
      <c r="C309">
        <v>0</v>
      </c>
      <c r="D309">
        <v>0</v>
      </c>
      <c r="E309">
        <v>482.55</v>
      </c>
      <c r="F309">
        <v>0</v>
      </c>
      <c r="G309">
        <v>0</v>
      </c>
      <c r="H309">
        <v>0</v>
      </c>
      <c r="I309" s="2">
        <v>1115.79</v>
      </c>
      <c r="J309">
        <v>38.46</v>
      </c>
      <c r="K309">
        <v>0</v>
      </c>
      <c r="L309">
        <v>0</v>
      </c>
      <c r="M309">
        <v>0</v>
      </c>
      <c r="N309" s="2">
        <v>2543.4</v>
      </c>
    </row>
    <row r="310" spans="1:19" x14ac:dyDescent="0.25">
      <c r="A310" t="s">
        <v>563</v>
      </c>
      <c r="B310">
        <v>0</v>
      </c>
      <c r="C310">
        <v>0</v>
      </c>
      <c r="D310">
        <v>-161.93</v>
      </c>
      <c r="E310">
        <v>-296.83999999999997</v>
      </c>
      <c r="F310">
        <v>-33.36</v>
      </c>
      <c r="G310">
        <v>-33.36</v>
      </c>
      <c r="H310">
        <v>-72.12</v>
      </c>
      <c r="I310">
        <v>-246.16</v>
      </c>
      <c r="J310">
        <v>-936.55</v>
      </c>
      <c r="K310">
        <v>-346.65</v>
      </c>
      <c r="L310">
        <v>-289.83999999999997</v>
      </c>
      <c r="M310">
        <v>0</v>
      </c>
      <c r="N310">
        <v>-3.36</v>
      </c>
    </row>
    <row r="311" spans="1:19" x14ac:dyDescent="0.25">
      <c r="A311" t="s">
        <v>522</v>
      </c>
      <c r="B311" s="2">
        <v>-2865.08</v>
      </c>
      <c r="C311" s="2">
        <v>-2774.02</v>
      </c>
      <c r="D311" s="2">
        <v>-7757.01</v>
      </c>
      <c r="E311">
        <v>772.37</v>
      </c>
      <c r="F311" s="2">
        <v>1142.03</v>
      </c>
      <c r="G311" s="2">
        <v>1565.66</v>
      </c>
      <c r="H311" s="2">
        <v>1327.67</v>
      </c>
      <c r="I311" s="2">
        <v>3904.63</v>
      </c>
      <c r="J311" s="2">
        <v>6754.47</v>
      </c>
      <c r="K311" s="2">
        <v>7040.72</v>
      </c>
      <c r="L311" s="2">
        <v>8079.08</v>
      </c>
      <c r="M311" s="2">
        <v>-3691</v>
      </c>
      <c r="N311" s="2">
        <v>6566.67</v>
      </c>
    </row>
    <row r="312" spans="1:19" x14ac:dyDescent="0.25">
      <c r="A312" t="s">
        <v>218</v>
      </c>
      <c r="B312" s="2">
        <v>-2517.29</v>
      </c>
      <c r="C312" s="2">
        <v>-1854.08</v>
      </c>
      <c r="D312">
        <v>169.41</v>
      </c>
      <c r="E312" s="2">
        <v>3085.86</v>
      </c>
      <c r="F312" s="2">
        <v>2940.08</v>
      </c>
      <c r="G312" s="2">
        <v>6615.93</v>
      </c>
      <c r="H312" s="2">
        <v>6484.99</v>
      </c>
      <c r="I312" s="2">
        <v>9803.7000000000007</v>
      </c>
      <c r="J312" s="2">
        <v>20363.990000000002</v>
      </c>
      <c r="K312" s="2">
        <v>22055.37</v>
      </c>
      <c r="L312" s="2">
        <v>12774.09</v>
      </c>
      <c r="M312" s="2">
        <v>7076.33</v>
      </c>
      <c r="N312" s="2">
        <v>17432.310000000001</v>
      </c>
    </row>
    <row r="313" spans="1:19" x14ac:dyDescent="0.25">
      <c r="A313" t="s">
        <v>17</v>
      </c>
    </row>
    <row r="314" spans="1:19" x14ac:dyDescent="0.25">
      <c r="A314" t="s">
        <v>176</v>
      </c>
    </row>
    <row r="315" spans="1:19" x14ac:dyDescent="0.25">
      <c r="A315" t="s">
        <v>219</v>
      </c>
      <c r="B315">
        <v>0</v>
      </c>
      <c r="C315">
        <v>0</v>
      </c>
      <c r="D315">
        <v>0</v>
      </c>
      <c r="E315">
        <v>-22.39</v>
      </c>
      <c r="F315">
        <v>79.75</v>
      </c>
      <c r="G315">
        <v>-24.71</v>
      </c>
      <c r="H315">
        <v>0.43</v>
      </c>
      <c r="I315">
        <v>59.42</v>
      </c>
      <c r="J315">
        <v>-48.89</v>
      </c>
      <c r="K315">
        <v>-269.77</v>
      </c>
      <c r="L315">
        <v>25.41</v>
      </c>
      <c r="M315">
        <v>-118.95</v>
      </c>
      <c r="N315">
        <v>155.57</v>
      </c>
    </row>
    <row r="316" spans="1:19" x14ac:dyDescent="0.25">
      <c r="A316" t="s">
        <v>220</v>
      </c>
      <c r="B316">
        <v>75.92</v>
      </c>
      <c r="C316">
        <v>-388.3</v>
      </c>
      <c r="D316">
        <v>129.66</v>
      </c>
      <c r="E316" s="2">
        <v>1558.33</v>
      </c>
      <c r="F316">
        <v>-610.45000000000005</v>
      </c>
      <c r="G316" s="2">
        <v>-1093.8499999999999</v>
      </c>
      <c r="H316">
        <v>595.9</v>
      </c>
      <c r="I316" s="2">
        <v>3756.04</v>
      </c>
      <c r="J316" s="2">
        <v>3532.85</v>
      </c>
      <c r="K316" s="2">
        <v>2859.07</v>
      </c>
      <c r="L316" s="2">
        <v>7422.75</v>
      </c>
      <c r="M316" s="2">
        <v>-5440.17</v>
      </c>
      <c r="N316" s="2">
        <v>1783.84</v>
      </c>
    </row>
    <row r="317" spans="1:19" x14ac:dyDescent="0.25">
      <c r="A317" t="s">
        <v>178</v>
      </c>
    </row>
    <row r="318" spans="1:19" x14ac:dyDescent="0.25">
      <c r="A318" t="s">
        <v>1973</v>
      </c>
      <c r="B318">
        <v>0</v>
      </c>
      <c r="C318">
        <v>-151.49</v>
      </c>
      <c r="D318">
        <v>0</v>
      </c>
      <c r="E318">
        <v>0</v>
      </c>
      <c r="I318">
        <v>0</v>
      </c>
      <c r="J318">
        <v>473.78</v>
      </c>
      <c r="K318" s="2">
        <v>1690.7</v>
      </c>
      <c r="L318">
        <v>0</v>
      </c>
      <c r="M318">
        <v>0</v>
      </c>
      <c r="N318">
        <v>146.27000000000001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t="s">
        <v>17</v>
      </c>
    </row>
    <row r="320" spans="1:19" x14ac:dyDescent="0.25">
      <c r="A320" t="s">
        <v>231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17A5-5F14-40D2-A5F7-F0D9179FCFF7}">
  <dimension ref="A1:U300"/>
  <sheetViews>
    <sheetView workbookViewId="0">
      <selection sqref="A1:U300"/>
    </sheetView>
  </sheetViews>
  <sheetFormatPr defaultRowHeight="15" x14ac:dyDescent="0.25"/>
  <sheetData>
    <row r="1" spans="1:21" x14ac:dyDescent="0.25">
      <c r="A1" t="s">
        <v>2539</v>
      </c>
    </row>
    <row r="2" spans="1:21" x14ac:dyDescent="0.25">
      <c r="A2" t="s">
        <v>2540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3.07</v>
      </c>
      <c r="C6">
        <v>3.76</v>
      </c>
      <c r="D6">
        <v>1.82</v>
      </c>
      <c r="E6">
        <v>2</v>
      </c>
      <c r="F6">
        <v>2.81</v>
      </c>
      <c r="G6">
        <v>2.17</v>
      </c>
      <c r="H6">
        <v>2.31</v>
      </c>
      <c r="I6">
        <v>2.65</v>
      </c>
      <c r="J6">
        <v>4.7699999999999996</v>
      </c>
      <c r="K6">
        <v>5.17</v>
      </c>
      <c r="L6">
        <v>3.95</v>
      </c>
      <c r="M6">
        <v>4.6399999999999997</v>
      </c>
      <c r="N6">
        <v>5.57</v>
      </c>
      <c r="O6">
        <v>6.01</v>
      </c>
      <c r="P6">
        <v>7.42</v>
      </c>
      <c r="Q6">
        <v>8.15</v>
      </c>
      <c r="R6">
        <v>9.34</v>
      </c>
      <c r="S6">
        <v>11.02</v>
      </c>
    </row>
    <row r="7" spans="1:21" x14ac:dyDescent="0.25">
      <c r="A7" t="s">
        <v>2541</v>
      </c>
      <c r="B7" s="2">
        <v>1457.31</v>
      </c>
      <c r="C7" s="2">
        <v>7537.29</v>
      </c>
      <c r="D7" s="2">
        <v>4555.93</v>
      </c>
      <c r="E7" s="2">
        <v>5061.8599999999997</v>
      </c>
      <c r="F7" s="2">
        <v>6786.77</v>
      </c>
      <c r="G7" s="2">
        <v>5208.12</v>
      </c>
      <c r="H7" s="2">
        <v>5581.03</v>
      </c>
      <c r="I7" s="2">
        <v>6514.77</v>
      </c>
      <c r="J7" s="2">
        <v>11663.36</v>
      </c>
      <c r="K7" s="2">
        <v>12590.04</v>
      </c>
      <c r="L7" s="2">
        <v>9693.81</v>
      </c>
      <c r="M7" s="2">
        <v>11649.04</v>
      </c>
      <c r="N7" s="2">
        <v>13076.75</v>
      </c>
      <c r="O7" s="2">
        <v>14900.22</v>
      </c>
      <c r="P7" s="2">
        <v>18448</v>
      </c>
      <c r="Q7" s="2">
        <v>19847.8</v>
      </c>
      <c r="R7" s="2">
        <v>22339</v>
      </c>
    </row>
    <row r="8" spans="1:21" x14ac:dyDescent="0.25">
      <c r="A8" t="s">
        <v>17</v>
      </c>
    </row>
    <row r="9" spans="1:21" x14ac:dyDescent="0.25">
      <c r="A9" t="s">
        <v>2417</v>
      </c>
      <c r="B9" s="2">
        <v>265757.63</v>
      </c>
      <c r="C9" s="2">
        <v>290381.07</v>
      </c>
      <c r="D9" s="2">
        <v>336384.58</v>
      </c>
      <c r="E9" s="2">
        <v>366553.47</v>
      </c>
      <c r="F9" s="2">
        <v>434128.24</v>
      </c>
      <c r="G9" s="2">
        <v>472242.32</v>
      </c>
      <c r="H9" s="2">
        <v>571122.46</v>
      </c>
      <c r="I9" s="2">
        <v>618556.93000000005</v>
      </c>
      <c r="J9" s="2">
        <v>880901.72</v>
      </c>
      <c r="K9" s="2">
        <v>974673.08</v>
      </c>
      <c r="L9" s="2">
        <v>1040192.45</v>
      </c>
      <c r="M9" s="2">
        <v>1127180</v>
      </c>
      <c r="N9" s="2">
        <v>1274931.23</v>
      </c>
      <c r="O9" s="2">
        <v>1408549.9</v>
      </c>
      <c r="P9" s="2">
        <v>1545232.21</v>
      </c>
      <c r="Q9" s="2">
        <v>1713426.07</v>
      </c>
      <c r="R9" s="2">
        <v>1450327.57</v>
      </c>
      <c r="S9">
        <v>0.16</v>
      </c>
    </row>
    <row r="10" spans="1:21" x14ac:dyDescent="0.25">
      <c r="A10" t="s">
        <v>2361</v>
      </c>
      <c r="B10" s="2">
        <v>79410.789999999994</v>
      </c>
      <c r="C10" s="2">
        <v>80863.19</v>
      </c>
      <c r="D10" s="2">
        <v>93917.82</v>
      </c>
      <c r="E10" s="2">
        <v>101963.65</v>
      </c>
      <c r="F10" s="2">
        <v>115340.36</v>
      </c>
      <c r="G10" s="2">
        <v>136247.23000000001</v>
      </c>
      <c r="H10" s="2">
        <v>163156.06</v>
      </c>
      <c r="I10" s="2">
        <v>187191.25</v>
      </c>
      <c r="J10" s="2">
        <v>279474.11</v>
      </c>
      <c r="K10" s="2">
        <v>326146.90000000002</v>
      </c>
      <c r="L10" s="2">
        <v>336940.1</v>
      </c>
      <c r="M10" s="2">
        <v>315353</v>
      </c>
      <c r="N10" s="2">
        <v>319342.88</v>
      </c>
      <c r="O10" s="2">
        <v>316818.09999999998</v>
      </c>
      <c r="P10" s="2">
        <v>336306.19</v>
      </c>
      <c r="Q10" s="2">
        <v>378288.48</v>
      </c>
      <c r="R10" s="2">
        <v>405905.48</v>
      </c>
    </row>
    <row r="11" spans="1:21" x14ac:dyDescent="0.25">
      <c r="A11" t="s">
        <v>2360</v>
      </c>
      <c r="B11" s="2">
        <v>65675.03</v>
      </c>
      <c r="C11" s="2">
        <v>73073.25</v>
      </c>
      <c r="D11" s="2">
        <v>94280.07</v>
      </c>
      <c r="E11" s="2">
        <v>100192.95</v>
      </c>
      <c r="F11" s="2">
        <v>105560.58</v>
      </c>
      <c r="G11" s="2">
        <v>130665.29</v>
      </c>
      <c r="H11" s="2">
        <v>182886.11</v>
      </c>
      <c r="I11" s="2">
        <v>197549.22</v>
      </c>
      <c r="J11" s="2">
        <v>272810.23</v>
      </c>
      <c r="K11" s="2">
        <v>299850.65999999997</v>
      </c>
      <c r="L11" s="2">
        <v>314391.40000000002</v>
      </c>
      <c r="M11" s="2">
        <v>352169</v>
      </c>
      <c r="N11" s="2">
        <v>416423.16</v>
      </c>
      <c r="O11" s="2">
        <v>478533.06</v>
      </c>
      <c r="P11" s="2">
        <v>526497.49</v>
      </c>
      <c r="Q11" s="2">
        <v>576025.17000000004</v>
      </c>
      <c r="R11" s="2">
        <v>655137.39</v>
      </c>
    </row>
    <row r="12" spans="1:21" x14ac:dyDescent="0.25">
      <c r="A12" t="s">
        <v>2542</v>
      </c>
      <c r="B12" s="2">
        <v>65014.35</v>
      </c>
      <c r="C12" s="2">
        <v>72858.960000000006</v>
      </c>
      <c r="D12" s="2">
        <v>79081.25</v>
      </c>
      <c r="E12" s="2">
        <v>93277.15</v>
      </c>
      <c r="F12" s="2">
        <v>138136.47</v>
      </c>
      <c r="G12" s="2">
        <v>127515.29</v>
      </c>
      <c r="H12" s="2">
        <v>144342.18</v>
      </c>
      <c r="I12" s="2">
        <v>154393.59</v>
      </c>
      <c r="J12" s="2">
        <v>258622.47</v>
      </c>
      <c r="K12" s="2">
        <v>273746.56</v>
      </c>
      <c r="L12" s="2">
        <v>312674.03999999998</v>
      </c>
      <c r="M12" s="2">
        <v>375508</v>
      </c>
      <c r="N12" s="2">
        <v>442951.61</v>
      </c>
      <c r="O12" s="2">
        <v>494216.67</v>
      </c>
      <c r="P12" s="2">
        <v>550586.01</v>
      </c>
      <c r="Q12" s="2">
        <v>615042.81000000006</v>
      </c>
      <c r="R12" s="2">
        <v>724620.15</v>
      </c>
    </row>
    <row r="13" spans="1:21" x14ac:dyDescent="0.25">
      <c r="A13" t="s">
        <v>2543</v>
      </c>
      <c r="B13" s="2">
        <v>55657.46</v>
      </c>
      <c r="C13" s="2">
        <v>63585.67</v>
      </c>
      <c r="D13" s="2">
        <v>69105.429999999993</v>
      </c>
      <c r="E13" s="2">
        <v>71119.72</v>
      </c>
      <c r="F13" s="2">
        <v>75090.83</v>
      </c>
      <c r="G13" s="2">
        <v>77814.52</v>
      </c>
      <c r="H13" s="2">
        <v>80738.11</v>
      </c>
      <c r="I13" s="2">
        <v>79422.87</v>
      </c>
      <c r="J13" s="2">
        <v>77466.490000000005</v>
      </c>
      <c r="K13" s="2">
        <v>74928.960000000006</v>
      </c>
      <c r="L13" s="2">
        <v>76186.92</v>
      </c>
      <c r="M13" s="2">
        <v>84150</v>
      </c>
      <c r="N13" s="2">
        <v>96213.6</v>
      </c>
      <c r="O13" s="2">
        <v>115585.21</v>
      </c>
      <c r="P13" s="2">
        <v>128575.41</v>
      </c>
      <c r="Q13" s="2">
        <v>140536.29999999999</v>
      </c>
      <c r="R13" s="2">
        <v>148107.04</v>
      </c>
    </row>
    <row r="14" spans="1:21" x14ac:dyDescent="0.25">
      <c r="A14" t="s">
        <v>17</v>
      </c>
    </row>
    <row r="15" spans="1:21" x14ac:dyDescent="0.25">
      <c r="A15" t="s">
        <v>2544</v>
      </c>
    </row>
    <row r="16" spans="1:21" x14ac:dyDescent="0.25">
      <c r="A16" t="s">
        <v>2295</v>
      </c>
      <c r="B16" s="2">
        <v>60278.94</v>
      </c>
      <c r="C16" s="2">
        <v>57259.21</v>
      </c>
      <c r="D16" s="2">
        <v>93584.68</v>
      </c>
      <c r="E16" s="2">
        <v>69660.78</v>
      </c>
      <c r="F16" s="2">
        <v>107955.72</v>
      </c>
      <c r="G16" s="2">
        <v>100975.61</v>
      </c>
      <c r="H16" s="2">
        <v>134377.28</v>
      </c>
      <c r="I16" s="2">
        <v>95013</v>
      </c>
      <c r="J16" s="2">
        <v>270471.65000000002</v>
      </c>
      <c r="K16" s="2">
        <v>226039.44</v>
      </c>
      <c r="L16" s="2">
        <v>148518.41</v>
      </c>
      <c r="M16" s="2">
        <v>171458.64</v>
      </c>
      <c r="N16" s="2">
        <v>239385</v>
      </c>
      <c r="O16" s="2">
        <v>248692.74</v>
      </c>
      <c r="P16" s="2">
        <v>263659.05</v>
      </c>
      <c r="Q16" s="2">
        <v>302238.58</v>
      </c>
      <c r="R16" s="2">
        <v>329033.05</v>
      </c>
    </row>
    <row r="17" spans="1:20" x14ac:dyDescent="0.25">
      <c r="A17" t="s">
        <v>2545</v>
      </c>
      <c r="B17" s="2">
        <v>-8368.25</v>
      </c>
      <c r="C17" s="2">
        <v>-11714.44</v>
      </c>
      <c r="D17" s="2">
        <v>-12681.46</v>
      </c>
      <c r="E17" s="2">
        <v>-18431.8</v>
      </c>
      <c r="F17" s="2">
        <v>-19456.91</v>
      </c>
      <c r="G17" s="2">
        <v>-42618.26</v>
      </c>
      <c r="H17" s="2">
        <v>-28793.13</v>
      </c>
      <c r="I17" s="2">
        <v>-29279</v>
      </c>
      <c r="J17" s="2">
        <v>-36089.730000000003</v>
      </c>
      <c r="K17" s="2">
        <v>-52061.58</v>
      </c>
      <c r="L17" s="2">
        <v>-45717.98</v>
      </c>
      <c r="M17" s="2">
        <v>-47804.56</v>
      </c>
      <c r="N17" s="2">
        <v>-47126</v>
      </c>
      <c r="O17" s="2">
        <v>-58827.49</v>
      </c>
      <c r="P17" s="2">
        <v>-63013.97</v>
      </c>
      <c r="Q17" s="2">
        <v>-72776.399999999994</v>
      </c>
      <c r="R17" s="2">
        <v>-86228.5</v>
      </c>
    </row>
    <row r="18" spans="1:20" x14ac:dyDescent="0.25">
      <c r="A18" t="s">
        <v>2296</v>
      </c>
      <c r="B18" s="2">
        <v>-29526.45</v>
      </c>
      <c r="C18" s="2">
        <v>-45487.199999999997</v>
      </c>
      <c r="D18" s="2">
        <v>-42670.11</v>
      </c>
      <c r="E18" s="2">
        <v>-39258.910000000003</v>
      </c>
      <c r="F18" s="2">
        <v>-55186.5</v>
      </c>
      <c r="G18" s="2">
        <v>-34060.629999999997</v>
      </c>
      <c r="H18" s="2">
        <v>-40201.83</v>
      </c>
      <c r="I18" s="2">
        <v>-42625</v>
      </c>
      <c r="J18" s="2">
        <v>-77209.5</v>
      </c>
      <c r="K18" s="2">
        <v>-81767.64</v>
      </c>
      <c r="L18" s="2">
        <v>-65690.84</v>
      </c>
      <c r="M18" s="2">
        <v>-87142.48</v>
      </c>
      <c r="N18" s="2">
        <v>-125551</v>
      </c>
      <c r="O18" s="2">
        <v>-130237.33</v>
      </c>
      <c r="P18" s="2">
        <v>-144025.9</v>
      </c>
      <c r="Q18" s="2">
        <v>-159889.79</v>
      </c>
      <c r="R18" s="2">
        <v>-155767.74</v>
      </c>
    </row>
    <row r="19" spans="1:20" x14ac:dyDescent="0.25">
      <c r="A19" t="s">
        <v>17</v>
      </c>
    </row>
    <row r="20" spans="1:20" x14ac:dyDescent="0.25">
      <c r="A20" t="s">
        <v>2546</v>
      </c>
      <c r="E20" s="2">
        <v>277092.67</v>
      </c>
      <c r="F20" s="2">
        <v>335344</v>
      </c>
      <c r="G20" s="2">
        <v>342527.51</v>
      </c>
      <c r="H20" s="2">
        <v>408074.85</v>
      </c>
      <c r="I20" s="2">
        <v>469433.11</v>
      </c>
      <c r="J20" s="2">
        <v>649969.06000000006</v>
      </c>
      <c r="K20" s="2">
        <v>718386.89</v>
      </c>
      <c r="L20" s="2">
        <v>762607.9</v>
      </c>
      <c r="M20" s="2">
        <v>830708.6</v>
      </c>
      <c r="N20" s="2">
        <v>921674.45</v>
      </c>
      <c r="O20" s="2">
        <v>1004982.13</v>
      </c>
      <c r="P20" s="2">
        <v>1113081.0900000001</v>
      </c>
      <c r="Q20" s="2">
        <v>1269034.17</v>
      </c>
      <c r="R20" s="2">
        <v>1439996.73</v>
      </c>
    </row>
    <row r="21" spans="1:20" x14ac:dyDescent="0.25">
      <c r="A21" t="s">
        <v>17</v>
      </c>
    </row>
    <row r="22" spans="1:20" x14ac:dyDescent="0.25">
      <c r="A22" t="s">
        <v>2421</v>
      </c>
      <c r="E22" s="2">
        <v>23100</v>
      </c>
      <c r="F22" s="2">
        <v>50700</v>
      </c>
      <c r="G22" s="2">
        <v>44700</v>
      </c>
      <c r="H22" s="2">
        <v>62948</v>
      </c>
      <c r="I22" s="2">
        <v>61696</v>
      </c>
      <c r="J22" s="2">
        <v>144426</v>
      </c>
      <c r="K22" s="2">
        <v>120553.94</v>
      </c>
      <c r="L22" s="2">
        <v>73810.320000000007</v>
      </c>
      <c r="M22" s="2">
        <v>133862.91</v>
      </c>
      <c r="N22" s="2">
        <v>138212</v>
      </c>
      <c r="O22" s="2">
        <v>147608.44</v>
      </c>
      <c r="P22" s="2">
        <v>166906.89000000001</v>
      </c>
      <c r="Q22" s="2">
        <v>161250</v>
      </c>
      <c r="R22" s="2">
        <v>166752</v>
      </c>
    </row>
    <row r="23" spans="1:20" x14ac:dyDescent="0.25">
      <c r="A23" t="s">
        <v>17</v>
      </c>
    </row>
    <row r="24" spans="1:20" x14ac:dyDescent="0.25">
      <c r="A24" t="s">
        <v>2547</v>
      </c>
      <c r="B24">
        <v>745.47</v>
      </c>
      <c r="C24" s="2">
        <v>1071.3</v>
      </c>
      <c r="D24" s="2">
        <v>1081.3699999999999</v>
      </c>
      <c r="E24" s="2">
        <v>1078.1500000000001</v>
      </c>
      <c r="F24" s="2">
        <v>1329.73</v>
      </c>
      <c r="G24" s="2">
        <v>1455.81</v>
      </c>
      <c r="H24" s="2">
        <v>1788.52</v>
      </c>
      <c r="I24" s="2">
        <v>2370.0500000000002</v>
      </c>
      <c r="J24" s="2">
        <v>4050.8</v>
      </c>
      <c r="K24" s="2">
        <v>4412.6499999999996</v>
      </c>
      <c r="L24" s="2">
        <v>4349.33</v>
      </c>
      <c r="M24" s="2">
        <v>5282.07</v>
      </c>
      <c r="N24" s="2">
        <v>5737.54</v>
      </c>
      <c r="O24" s="2">
        <v>6595.86</v>
      </c>
      <c r="P24" s="2">
        <v>7861.8</v>
      </c>
      <c r="Q24" s="2">
        <v>8675.26</v>
      </c>
      <c r="R24" s="2">
        <v>9456.49</v>
      </c>
    </row>
    <row r="25" spans="1:20" x14ac:dyDescent="0.25">
      <c r="A25" t="s">
        <v>2548</v>
      </c>
      <c r="J25">
        <v>0</v>
      </c>
      <c r="O25">
        <v>58.52</v>
      </c>
      <c r="P25">
        <v>59.23</v>
      </c>
      <c r="Q25">
        <v>61.07</v>
      </c>
      <c r="R25">
        <v>59.55</v>
      </c>
    </row>
    <row r="26" spans="1:20" x14ac:dyDescent="0.25">
      <c r="A26" t="s">
        <v>2549</v>
      </c>
      <c r="F26">
        <v>1.1100000000000001</v>
      </c>
      <c r="G26">
        <v>1.21</v>
      </c>
      <c r="H26">
        <v>1.49</v>
      </c>
      <c r="I26">
        <v>1.97</v>
      </c>
      <c r="J26">
        <v>3.37</v>
      </c>
      <c r="K26">
        <v>3.65</v>
      </c>
      <c r="L26">
        <v>3.58</v>
      </c>
      <c r="M26">
        <v>4.32</v>
      </c>
      <c r="N26">
        <v>4.67</v>
      </c>
      <c r="O26">
        <v>5.55</v>
      </c>
      <c r="P26">
        <v>6.57</v>
      </c>
      <c r="Q26">
        <v>7.63</v>
      </c>
      <c r="R26">
        <v>7.64</v>
      </c>
    </row>
    <row r="27" spans="1:20" x14ac:dyDescent="0.25">
      <c r="A27" t="s">
        <v>17</v>
      </c>
    </row>
    <row r="28" spans="1:20" x14ac:dyDescent="0.25">
      <c r="A28" t="s">
        <v>37</v>
      </c>
    </row>
    <row r="29" spans="1:20" x14ac:dyDescent="0.25">
      <c r="A29" t="s">
        <v>17</v>
      </c>
    </row>
    <row r="30" spans="1:20" x14ac:dyDescent="0.25">
      <c r="A30" t="s">
        <v>38</v>
      </c>
    </row>
    <row r="31" spans="1:20" x14ac:dyDescent="0.25">
      <c r="A31" t="s">
        <v>2550</v>
      </c>
      <c r="B31" s="2">
        <v>210219.96</v>
      </c>
      <c r="C31" s="2">
        <v>265757.63</v>
      </c>
      <c r="D31" s="2">
        <v>290381.07</v>
      </c>
      <c r="E31" s="2">
        <v>336384.58</v>
      </c>
      <c r="F31" s="2">
        <v>366553.47</v>
      </c>
      <c r="G31" s="2">
        <v>434128.24</v>
      </c>
      <c r="H31" s="2">
        <v>472242.32</v>
      </c>
      <c r="I31" s="2">
        <v>571122.46</v>
      </c>
      <c r="J31" s="2">
        <v>618556.93000000005</v>
      </c>
      <c r="K31" s="2">
        <v>880901.72</v>
      </c>
      <c r="L31" s="2">
        <v>974673.08</v>
      </c>
      <c r="M31" s="2">
        <v>1040192.45</v>
      </c>
      <c r="N31" s="2">
        <v>1127180</v>
      </c>
      <c r="O31" s="2">
        <v>1284079.71</v>
      </c>
      <c r="P31" s="2">
        <v>1417352.85</v>
      </c>
      <c r="Q31" s="2">
        <v>1586567.46</v>
      </c>
      <c r="R31" s="2">
        <v>1737656.6</v>
      </c>
      <c r="S31" s="2">
        <v>1450327.57</v>
      </c>
      <c r="T31">
        <v>0.16</v>
      </c>
    </row>
    <row r="32" spans="1:20" x14ac:dyDescent="0.25">
      <c r="A32" t="s">
        <v>17</v>
      </c>
    </row>
    <row r="33" spans="1:18" x14ac:dyDescent="0.25">
      <c r="A33" t="s">
        <v>58</v>
      </c>
    </row>
    <row r="34" spans="1:18" x14ac:dyDescent="0.25">
      <c r="A34" t="s">
        <v>2434</v>
      </c>
    </row>
    <row r="35" spans="1:18" x14ac:dyDescent="0.25">
      <c r="A35" t="s">
        <v>60</v>
      </c>
      <c r="B35" s="2">
        <v>1457.31</v>
      </c>
      <c r="C35" s="2">
        <v>2715.92</v>
      </c>
      <c r="D35" s="2">
        <v>1371.55</v>
      </c>
      <c r="E35">
        <v>878.71</v>
      </c>
      <c r="F35" s="2">
        <v>1614.29</v>
      </c>
      <c r="G35" s="2">
        <v>1697.02</v>
      </c>
      <c r="H35" s="2">
        <v>1623.57</v>
      </c>
      <c r="I35" s="2">
        <v>2219.42</v>
      </c>
      <c r="J35" s="2">
        <v>4401.53</v>
      </c>
      <c r="K35" s="2">
        <v>3158.88</v>
      </c>
      <c r="L35" s="2">
        <v>3243.98</v>
      </c>
      <c r="M35" s="2">
        <v>4828.51</v>
      </c>
      <c r="N35" s="2">
        <v>5056.2</v>
      </c>
      <c r="O35" s="2">
        <v>6436.98</v>
      </c>
      <c r="P35" s="2">
        <v>8407.42</v>
      </c>
      <c r="Q35" s="2">
        <v>9117.1</v>
      </c>
      <c r="R35" s="2">
        <v>10046.67</v>
      </c>
    </row>
    <row r="36" spans="1:18" x14ac:dyDescent="0.25">
      <c r="A36" t="s">
        <v>2551</v>
      </c>
      <c r="B36">
        <v>362.46</v>
      </c>
      <c r="C36">
        <v>396.7</v>
      </c>
      <c r="D36">
        <v>465.88</v>
      </c>
      <c r="E36">
        <v>519.32000000000005</v>
      </c>
      <c r="F36">
        <v>706.81</v>
      </c>
      <c r="G36">
        <v>771.72</v>
      </c>
      <c r="H36">
        <v>949.16</v>
      </c>
      <c r="I36" s="2">
        <v>2280.0100000000002</v>
      </c>
      <c r="J36" s="2">
        <v>1604.41</v>
      </c>
      <c r="K36" s="2">
        <v>1826.12</v>
      </c>
      <c r="L36" s="2">
        <v>1898.74</v>
      </c>
      <c r="M36" s="2">
        <v>2198.2800000000002</v>
      </c>
      <c r="N36" s="2">
        <v>2771.61</v>
      </c>
      <c r="O36" s="2">
        <v>2665.41</v>
      </c>
      <c r="P36" s="2">
        <v>3065.52</v>
      </c>
      <c r="Q36" s="2">
        <v>3215.56</v>
      </c>
      <c r="R36" s="2">
        <v>4033.65</v>
      </c>
    </row>
    <row r="37" spans="1:18" x14ac:dyDescent="0.25">
      <c r="A37" t="s">
        <v>2552</v>
      </c>
      <c r="B37">
        <v>368.15</v>
      </c>
      <c r="C37">
        <v>415.84</v>
      </c>
      <c r="D37">
        <v>502.64</v>
      </c>
      <c r="E37">
        <v>554.13</v>
      </c>
      <c r="F37">
        <v>724.82</v>
      </c>
      <c r="G37">
        <v>785.22</v>
      </c>
      <c r="H37">
        <v>986.48</v>
      </c>
      <c r="I37" s="2">
        <v>1232.03</v>
      </c>
      <c r="J37" s="2">
        <v>1638.3</v>
      </c>
      <c r="K37" s="2">
        <v>1882.2</v>
      </c>
      <c r="L37" s="2">
        <v>1903.97</v>
      </c>
      <c r="M37" s="2">
        <v>2027.86</v>
      </c>
      <c r="N37" s="2">
        <v>2457.98</v>
      </c>
      <c r="O37" s="2">
        <v>2812.31</v>
      </c>
      <c r="P37" s="2">
        <v>3346.71</v>
      </c>
      <c r="Q37" s="2">
        <v>3763.86</v>
      </c>
      <c r="R37" s="2">
        <v>4220.1899999999996</v>
      </c>
    </row>
    <row r="38" spans="1:18" x14ac:dyDescent="0.25">
      <c r="A38" t="s">
        <v>2553</v>
      </c>
      <c r="B38">
        <v>96.99</v>
      </c>
      <c r="C38">
        <v>134.63999999999999</v>
      </c>
      <c r="D38">
        <v>36.26</v>
      </c>
      <c r="E38">
        <v>41.87</v>
      </c>
      <c r="F38">
        <v>57.62</v>
      </c>
      <c r="G38">
        <v>58.17</v>
      </c>
      <c r="H38">
        <v>115.17</v>
      </c>
      <c r="I38">
        <v>82.44</v>
      </c>
      <c r="J38">
        <v>179.2</v>
      </c>
      <c r="K38">
        <v>97.97</v>
      </c>
      <c r="L38">
        <v>108.85</v>
      </c>
      <c r="M38">
        <v>176.47</v>
      </c>
      <c r="N38">
        <v>362.53</v>
      </c>
      <c r="O38">
        <v>503.33</v>
      </c>
      <c r="P38">
        <v>518.84</v>
      </c>
      <c r="Q38">
        <v>613.79999999999995</v>
      </c>
      <c r="R38">
        <v>680.3</v>
      </c>
    </row>
    <row r="39" spans="1:18" x14ac:dyDescent="0.25">
      <c r="A39" t="s">
        <v>2554</v>
      </c>
      <c r="B39">
        <v>-5.68</v>
      </c>
      <c r="C39">
        <v>-19.149999999999999</v>
      </c>
      <c r="D39">
        <v>-36.76</v>
      </c>
      <c r="E39">
        <v>-34.81</v>
      </c>
      <c r="F39">
        <v>-18.010000000000002</v>
      </c>
      <c r="G39">
        <v>-13.5</v>
      </c>
      <c r="H39">
        <v>-37.33</v>
      </c>
      <c r="I39">
        <v>-44.63</v>
      </c>
      <c r="J39">
        <v>-33.590000000000003</v>
      </c>
      <c r="K39">
        <v>-56.08</v>
      </c>
      <c r="L39">
        <v>-5.23</v>
      </c>
      <c r="M39">
        <v>-6.04</v>
      </c>
      <c r="N39">
        <v>-48.9</v>
      </c>
      <c r="O39">
        <v>-47.08</v>
      </c>
      <c r="P39">
        <v>-45.25</v>
      </c>
      <c r="Q39">
        <v>-51.33</v>
      </c>
      <c r="R39">
        <v>-60.71</v>
      </c>
    </row>
    <row r="40" spans="1:18" x14ac:dyDescent="0.25">
      <c r="A40" t="s">
        <v>2555</v>
      </c>
      <c r="F40">
        <v>907.48</v>
      </c>
      <c r="G40">
        <v>548.97</v>
      </c>
      <c r="H40">
        <v>366.68</v>
      </c>
      <c r="I40">
        <v>582.63</v>
      </c>
      <c r="J40" s="2">
        <v>1612.8</v>
      </c>
      <c r="K40">
        <v>800.87</v>
      </c>
      <c r="L40">
        <v>835.93</v>
      </c>
      <c r="M40">
        <v>811.31</v>
      </c>
      <c r="N40" s="2">
        <v>1031.67</v>
      </c>
      <c r="O40" s="2">
        <v>1448.57</v>
      </c>
      <c r="P40" s="2">
        <v>2042.82</v>
      </c>
      <c r="Q40" s="2">
        <v>2276.67</v>
      </c>
      <c r="R40" s="2">
        <v>2163.9</v>
      </c>
    </row>
    <row r="41" spans="1:18" x14ac:dyDescent="0.25">
      <c r="A41" t="s">
        <v>2319</v>
      </c>
      <c r="B41">
        <v>459.45</v>
      </c>
      <c r="C41">
        <v>531.34</v>
      </c>
      <c r="D41">
        <v>512.70000000000005</v>
      </c>
      <c r="E41">
        <v>561.20000000000005</v>
      </c>
      <c r="F41">
        <v>764.44</v>
      </c>
      <c r="G41">
        <v>829.88</v>
      </c>
      <c r="H41" s="2">
        <v>1064.33</v>
      </c>
      <c r="I41" s="2">
        <v>1269.8399999999999</v>
      </c>
      <c r="J41" s="2">
        <v>2052.31</v>
      </c>
      <c r="K41" s="2">
        <v>1924.09</v>
      </c>
      <c r="L41" s="2">
        <v>2007.59</v>
      </c>
      <c r="M41" s="2">
        <v>2198.2800000000002</v>
      </c>
      <c r="N41" s="2">
        <v>2771.61</v>
      </c>
      <c r="O41" s="2">
        <v>3269.35</v>
      </c>
      <c r="P41" s="2">
        <v>3826.37</v>
      </c>
      <c r="Q41" s="2">
        <v>4326.33</v>
      </c>
      <c r="R41" s="2">
        <v>4839.78</v>
      </c>
    </row>
    <row r="42" spans="1:18" x14ac:dyDescent="0.25">
      <c r="A42" t="s">
        <v>2556</v>
      </c>
      <c r="B42">
        <v>728.23</v>
      </c>
      <c r="C42" s="2">
        <v>1977.23</v>
      </c>
      <c r="D42">
        <v>757.03</v>
      </c>
      <c r="E42">
        <v>0</v>
      </c>
      <c r="F42">
        <v>0</v>
      </c>
      <c r="G42">
        <v>0</v>
      </c>
      <c r="H42">
        <v>0</v>
      </c>
      <c r="I42">
        <v>0</v>
      </c>
      <c r="J42">
        <v>212.13</v>
      </c>
      <c r="K42">
        <v>-0.65</v>
      </c>
      <c r="L42">
        <v>0</v>
      </c>
      <c r="M42" s="2">
        <v>1185.43</v>
      </c>
      <c r="N42">
        <v>547.99</v>
      </c>
      <c r="O42">
        <v>965.07</v>
      </c>
      <c r="P42" s="2">
        <v>1851.97</v>
      </c>
      <c r="Q42" s="2">
        <v>1421.9</v>
      </c>
      <c r="R42" s="2">
        <v>1463.18</v>
      </c>
    </row>
    <row r="43" spans="1:18" x14ac:dyDescent="0.25">
      <c r="A43" t="s">
        <v>2557</v>
      </c>
      <c r="E43">
        <v>298.14999999999998</v>
      </c>
      <c r="F43">
        <v>347.56</v>
      </c>
      <c r="G43">
        <v>375.45</v>
      </c>
      <c r="H43">
        <v>423.75</v>
      </c>
      <c r="I43">
        <v>455.54</v>
      </c>
      <c r="J43">
        <v>687.41</v>
      </c>
      <c r="K43">
        <v>599.76</v>
      </c>
      <c r="L43">
        <v>619.67999999999995</v>
      </c>
      <c r="M43" s="2">
        <v>1164.24</v>
      </c>
      <c r="N43">
        <v>961.45</v>
      </c>
      <c r="O43" s="2">
        <v>1176.4100000000001</v>
      </c>
      <c r="P43" s="2">
        <v>1701.78</v>
      </c>
      <c r="Q43" s="2">
        <v>1467.02</v>
      </c>
      <c r="R43" s="2">
        <v>1787.42</v>
      </c>
    </row>
    <row r="44" spans="1:18" x14ac:dyDescent="0.25">
      <c r="A44" t="s">
        <v>2107</v>
      </c>
      <c r="B44">
        <v>124.14</v>
      </c>
      <c r="C44">
        <v>142.9</v>
      </c>
      <c r="D44">
        <v>199.16</v>
      </c>
      <c r="E44">
        <v>130.69</v>
      </c>
      <c r="F44">
        <v>121</v>
      </c>
      <c r="G44">
        <v>133.1</v>
      </c>
      <c r="H44">
        <v>160.01</v>
      </c>
      <c r="I44">
        <v>195.21</v>
      </c>
      <c r="J44">
        <v>274.36</v>
      </c>
      <c r="K44">
        <v>314.97000000000003</v>
      </c>
      <c r="L44">
        <v>329.22</v>
      </c>
      <c r="M44">
        <v>391.31</v>
      </c>
      <c r="N44">
        <v>482.31</v>
      </c>
      <c r="O44">
        <v>539.04999999999995</v>
      </c>
      <c r="P44">
        <v>604.29</v>
      </c>
      <c r="Q44">
        <v>663.99</v>
      </c>
      <c r="R44">
        <v>784</v>
      </c>
    </row>
    <row r="45" spans="1:18" x14ac:dyDescent="0.25">
      <c r="A45" t="s">
        <v>2479</v>
      </c>
      <c r="E45">
        <v>131.22999999999999</v>
      </c>
      <c r="F45">
        <v>295.88</v>
      </c>
      <c r="G45">
        <v>321.33999999999997</v>
      </c>
      <c r="H45">
        <v>480.57</v>
      </c>
      <c r="I45">
        <v>619.09</v>
      </c>
      <c r="J45" s="2">
        <v>1034.28</v>
      </c>
      <c r="K45" s="2">
        <v>1008.72</v>
      </c>
      <c r="L45" s="2">
        <v>1058.69</v>
      </c>
      <c r="M45" s="2">
        <v>1828.16</v>
      </c>
      <c r="N45" s="2">
        <v>1875.83</v>
      </c>
      <c r="O45" s="2">
        <v>2514.54</v>
      </c>
      <c r="P45" s="2">
        <v>3349.7</v>
      </c>
      <c r="Q45" s="2">
        <v>3670.53</v>
      </c>
      <c r="R45" s="2">
        <v>3731.55</v>
      </c>
    </row>
    <row r="46" spans="1:18" x14ac:dyDescent="0.25">
      <c r="A46" t="s">
        <v>2558</v>
      </c>
      <c r="E46">
        <v>245.27</v>
      </c>
      <c r="F46" s="2">
        <v>1157.19</v>
      </c>
      <c r="G46">
        <v>757.41</v>
      </c>
      <c r="H46">
        <v>468.99</v>
      </c>
      <c r="I46">
        <v>877.49</v>
      </c>
      <c r="J46" s="2">
        <v>2296.04</v>
      </c>
      <c r="K46" s="2">
        <v>1206.5899999999999</v>
      </c>
      <c r="L46" s="2">
        <v>1343.87</v>
      </c>
      <c r="M46" s="2">
        <v>1392.45</v>
      </c>
      <c r="N46" s="2">
        <v>1670.11</v>
      </c>
      <c r="O46" s="2">
        <v>2296.83</v>
      </c>
      <c r="P46" s="2">
        <v>3136.46</v>
      </c>
      <c r="Q46" s="2">
        <v>3424.75</v>
      </c>
      <c r="R46" s="2">
        <v>3605.42</v>
      </c>
    </row>
    <row r="47" spans="1:18" x14ac:dyDescent="0.25">
      <c r="A47" t="s">
        <v>2559</v>
      </c>
      <c r="E47">
        <v>110.88</v>
      </c>
      <c r="F47">
        <v>404.54</v>
      </c>
      <c r="G47">
        <v>318.17</v>
      </c>
      <c r="H47">
        <v>192.57</v>
      </c>
      <c r="I47">
        <v>366.95</v>
      </c>
      <c r="J47">
        <v>-952.91</v>
      </c>
      <c r="K47">
        <v>-550.30999999999995</v>
      </c>
      <c r="L47">
        <v>584.15</v>
      </c>
      <c r="M47">
        <v>633.49</v>
      </c>
      <c r="N47">
        <v>704.94</v>
      </c>
      <c r="O47" s="2">
        <v>1073.5899999999999</v>
      </c>
      <c r="P47" s="2">
        <v>1406.84</v>
      </c>
      <c r="Q47" s="2">
        <v>1583.47</v>
      </c>
      <c r="R47" s="2">
        <v>1609.97</v>
      </c>
    </row>
    <row r="48" spans="1:18" x14ac:dyDescent="0.25">
      <c r="A48" t="s">
        <v>2560</v>
      </c>
      <c r="B48">
        <v>249.78</v>
      </c>
      <c r="C48">
        <v>178.81</v>
      </c>
      <c r="D48">
        <v>73.31</v>
      </c>
      <c r="E48">
        <v>73.38</v>
      </c>
      <c r="F48">
        <v>154.84</v>
      </c>
      <c r="G48">
        <v>109.73</v>
      </c>
      <c r="H48">
        <v>90.25</v>
      </c>
      <c r="I48">
        <v>72.09</v>
      </c>
      <c r="J48">
        <v>269.68</v>
      </c>
      <c r="K48">
        <v>144.59</v>
      </c>
      <c r="L48">
        <v>76.22</v>
      </c>
      <c r="M48">
        <v>52.36</v>
      </c>
      <c r="N48">
        <v>66.5</v>
      </c>
      <c r="O48">
        <v>130.21</v>
      </c>
      <c r="P48">
        <v>145.18</v>
      </c>
      <c r="Q48">
        <v>190.38</v>
      </c>
      <c r="R48">
        <v>168.46</v>
      </c>
    </row>
    <row r="49" spans="1:18" x14ac:dyDescent="0.25">
      <c r="A49" t="s">
        <v>2561</v>
      </c>
      <c r="E49">
        <v>339</v>
      </c>
      <c r="F49" s="2">
        <v>1203.3599999999999</v>
      </c>
      <c r="G49">
        <v>870.31</v>
      </c>
      <c r="H49">
        <v>847.24</v>
      </c>
      <c r="I49" s="2">
        <v>1201.72</v>
      </c>
      <c r="J49" s="2">
        <v>2647.08</v>
      </c>
      <c r="K49" s="2">
        <v>1809.59</v>
      </c>
      <c r="L49" s="2">
        <v>1894.62</v>
      </c>
      <c r="M49" s="2">
        <v>2639.47</v>
      </c>
      <c r="N49" s="2">
        <v>2907.5</v>
      </c>
      <c r="O49" s="2">
        <v>3877.44</v>
      </c>
      <c r="P49" s="2">
        <v>5226.95</v>
      </c>
      <c r="Q49" s="2">
        <v>5798.47</v>
      </c>
      <c r="R49" s="2">
        <v>5895.46</v>
      </c>
    </row>
    <row r="50" spans="1:18" x14ac:dyDescent="0.25">
      <c r="A50" t="s">
        <v>2562</v>
      </c>
      <c r="B50">
        <v>617.80999999999995</v>
      </c>
      <c r="C50">
        <v>753.29</v>
      </c>
      <c r="D50">
        <v>527</v>
      </c>
      <c r="E50">
        <v>585.28</v>
      </c>
      <c r="F50">
        <v>752.11</v>
      </c>
      <c r="G50">
        <v>693.61</v>
      </c>
      <c r="H50">
        <v>616.32000000000005</v>
      </c>
      <c r="I50">
        <v>822.49</v>
      </c>
      <c r="J50" s="2">
        <v>1606.02</v>
      </c>
      <c r="O50" s="2">
        <v>2244.15</v>
      </c>
      <c r="P50" s="2">
        <v>3250.86</v>
      </c>
    </row>
    <row r="51" spans="1:18" x14ac:dyDescent="0.25">
      <c r="A51" t="s">
        <v>17</v>
      </c>
    </row>
    <row r="52" spans="1:18" x14ac:dyDescent="0.25">
      <c r="A52" t="s">
        <v>2563</v>
      </c>
    </row>
    <row r="53" spans="1:18" x14ac:dyDescent="0.25">
      <c r="A53" t="s">
        <v>60</v>
      </c>
      <c r="B53" s="2">
        <v>3205.13</v>
      </c>
      <c r="C53" s="2">
        <v>2986.68</v>
      </c>
      <c r="D53" s="2">
        <v>1790.72</v>
      </c>
      <c r="E53" s="2">
        <v>2238.98</v>
      </c>
      <c r="F53" s="2">
        <v>2502.0100000000002</v>
      </c>
      <c r="G53" s="2">
        <v>2258.48</v>
      </c>
      <c r="H53" s="2">
        <v>2575.4899999999998</v>
      </c>
      <c r="I53" s="2">
        <v>2789.38</v>
      </c>
      <c r="J53" s="2">
        <v>2765.17</v>
      </c>
      <c r="K53" s="2">
        <v>6834.99</v>
      </c>
      <c r="L53" s="2">
        <v>3389.58</v>
      </c>
      <c r="M53" s="2">
        <v>3294.2</v>
      </c>
      <c r="N53" s="2">
        <v>3551.03</v>
      </c>
      <c r="O53" s="2">
        <v>4143.38</v>
      </c>
      <c r="P53" s="2">
        <v>4744.05</v>
      </c>
      <c r="Q53" s="2">
        <v>5224.45</v>
      </c>
      <c r="R53" s="2">
        <v>5542.99</v>
      </c>
    </row>
    <row r="54" spans="1:18" x14ac:dyDescent="0.25">
      <c r="A54" t="s">
        <v>2551</v>
      </c>
      <c r="B54">
        <v>542.36</v>
      </c>
      <c r="C54">
        <v>594.05999999999995</v>
      </c>
      <c r="D54">
        <v>641.74</v>
      </c>
      <c r="E54">
        <v>787.84</v>
      </c>
      <c r="F54">
        <v>856.26</v>
      </c>
      <c r="G54">
        <v>973.96</v>
      </c>
      <c r="H54" s="2">
        <v>1116.18</v>
      </c>
      <c r="I54" s="2">
        <v>1540.46</v>
      </c>
      <c r="J54" s="2">
        <v>1891.91</v>
      </c>
      <c r="K54" s="2">
        <v>2451.64</v>
      </c>
      <c r="L54" s="2">
        <v>2764.88</v>
      </c>
      <c r="M54" s="2">
        <v>2875.28</v>
      </c>
      <c r="N54" s="2">
        <v>2781.92</v>
      </c>
      <c r="O54" s="2">
        <v>2504.5</v>
      </c>
      <c r="P54" s="2">
        <v>2622.95</v>
      </c>
      <c r="Q54" s="2">
        <v>2664.71</v>
      </c>
      <c r="R54" s="2">
        <v>2767.47</v>
      </c>
    </row>
    <row r="55" spans="1:18" x14ac:dyDescent="0.25">
      <c r="A55" t="s">
        <v>2552</v>
      </c>
      <c r="B55">
        <v>565.17999999999995</v>
      </c>
      <c r="C55">
        <v>628.5</v>
      </c>
      <c r="D55">
        <v>668.58</v>
      </c>
      <c r="E55">
        <v>795.16</v>
      </c>
      <c r="F55">
        <v>872.19</v>
      </c>
      <c r="G55">
        <v>985.4</v>
      </c>
      <c r="H55" s="2">
        <v>1116.18</v>
      </c>
      <c r="I55" s="2">
        <v>1553.48</v>
      </c>
      <c r="J55" s="2">
        <v>1895.41</v>
      </c>
      <c r="K55" s="2">
        <v>2462.1799999999998</v>
      </c>
      <c r="L55" s="2">
        <v>2794.23</v>
      </c>
      <c r="M55" s="2">
        <v>2716.98</v>
      </c>
      <c r="N55" s="2">
        <v>2653.29</v>
      </c>
      <c r="O55" s="2">
        <v>2532.86</v>
      </c>
      <c r="P55" s="2">
        <v>2647.89</v>
      </c>
      <c r="Q55" s="2">
        <v>2937.87</v>
      </c>
      <c r="R55" s="2">
        <v>3210.56</v>
      </c>
    </row>
    <row r="56" spans="1:18" x14ac:dyDescent="0.25">
      <c r="A56" t="s">
        <v>2553</v>
      </c>
      <c r="B56">
        <v>79.680000000000007</v>
      </c>
      <c r="C56">
        <v>91.61</v>
      </c>
      <c r="D56">
        <v>110.58</v>
      </c>
      <c r="E56">
        <v>95.32</v>
      </c>
      <c r="F56">
        <v>82.78</v>
      </c>
      <c r="G56">
        <v>152.51</v>
      </c>
      <c r="H56">
        <v>175.83</v>
      </c>
      <c r="I56">
        <v>98.23</v>
      </c>
      <c r="J56">
        <v>160.4</v>
      </c>
      <c r="K56">
        <v>171.42</v>
      </c>
      <c r="L56">
        <v>78.48</v>
      </c>
      <c r="M56">
        <v>175.01</v>
      </c>
      <c r="N56">
        <v>141.69999999999999</v>
      </c>
      <c r="O56">
        <v>268.19</v>
      </c>
      <c r="P56">
        <v>241.57</v>
      </c>
      <c r="Q56">
        <v>262.23</v>
      </c>
      <c r="R56">
        <v>261.31</v>
      </c>
    </row>
    <row r="57" spans="1:18" x14ac:dyDescent="0.25">
      <c r="A57" t="s">
        <v>2554</v>
      </c>
      <c r="B57">
        <v>-22.82</v>
      </c>
      <c r="C57">
        <v>-34.44</v>
      </c>
      <c r="D57">
        <v>-26.84</v>
      </c>
      <c r="E57">
        <v>-7.32</v>
      </c>
      <c r="F57">
        <v>-15.93</v>
      </c>
      <c r="G57">
        <v>-11.44</v>
      </c>
      <c r="H57">
        <v>-26.84</v>
      </c>
      <c r="I57">
        <v>-13.02</v>
      </c>
      <c r="J57">
        <v>-3.5</v>
      </c>
      <c r="K57">
        <v>-10.54</v>
      </c>
      <c r="L57">
        <v>-29.36</v>
      </c>
      <c r="M57">
        <v>-16.72</v>
      </c>
      <c r="N57">
        <v>-13.07</v>
      </c>
      <c r="O57">
        <v>-28.82</v>
      </c>
      <c r="P57">
        <v>-22.14</v>
      </c>
      <c r="Q57">
        <v>-20.32</v>
      </c>
      <c r="R57">
        <v>-23.67</v>
      </c>
    </row>
    <row r="58" spans="1:18" x14ac:dyDescent="0.25">
      <c r="A58" t="s">
        <v>2555</v>
      </c>
      <c r="F58" s="2">
        <v>1645.75</v>
      </c>
      <c r="G58">
        <v>723.19</v>
      </c>
      <c r="H58">
        <v>737.97</v>
      </c>
      <c r="I58">
        <v>499.83</v>
      </c>
      <c r="J58">
        <v>873.26</v>
      </c>
      <c r="K58" s="2">
        <v>1968.46</v>
      </c>
      <c r="L58">
        <v>128.69</v>
      </c>
      <c r="M58">
        <v>114.49</v>
      </c>
      <c r="N58">
        <v>149.1</v>
      </c>
      <c r="O58">
        <v>317.88</v>
      </c>
      <c r="P58">
        <v>528.21</v>
      </c>
      <c r="Q58">
        <v>807.33</v>
      </c>
      <c r="R58">
        <v>762.79</v>
      </c>
    </row>
    <row r="59" spans="1:18" x14ac:dyDescent="0.25">
      <c r="A59" t="s">
        <v>2319</v>
      </c>
      <c r="B59">
        <v>622.04</v>
      </c>
      <c r="C59">
        <v>685.67</v>
      </c>
      <c r="D59">
        <v>752.31</v>
      </c>
      <c r="E59">
        <v>883.16</v>
      </c>
      <c r="F59">
        <v>939.04</v>
      </c>
      <c r="G59" s="2">
        <v>1126.47</v>
      </c>
      <c r="H59" s="2">
        <v>1265.18</v>
      </c>
      <c r="I59" s="2">
        <v>1638.69</v>
      </c>
      <c r="J59" s="2">
        <v>2052.31</v>
      </c>
      <c r="K59" s="2">
        <v>2623.07</v>
      </c>
      <c r="L59" s="2">
        <v>2843.36</v>
      </c>
      <c r="M59" s="2">
        <v>2875.28</v>
      </c>
      <c r="N59" s="2">
        <v>2781.92</v>
      </c>
      <c r="O59" s="2">
        <v>2773.13</v>
      </c>
      <c r="P59" s="2">
        <v>2864.61</v>
      </c>
      <c r="Q59" s="2">
        <v>3179.78</v>
      </c>
      <c r="R59" s="2">
        <v>3448.2</v>
      </c>
    </row>
    <row r="60" spans="1:18" x14ac:dyDescent="0.25">
      <c r="A60" t="s">
        <v>2556</v>
      </c>
      <c r="B60" s="2">
        <v>2155.58</v>
      </c>
      <c r="C60" s="2">
        <v>2017.79</v>
      </c>
      <c r="D60">
        <v>992.15</v>
      </c>
      <c r="E60">
        <v>18.18</v>
      </c>
      <c r="F60">
        <v>79.5</v>
      </c>
      <c r="G60">
        <v>124.5</v>
      </c>
      <c r="H60">
        <v>198.24</v>
      </c>
      <c r="I60">
        <v>338.16</v>
      </c>
      <c r="J60" s="2">
        <v>1695.02</v>
      </c>
      <c r="K60" s="2">
        <v>1075.42</v>
      </c>
      <c r="L60">
        <v>294.24</v>
      </c>
      <c r="M60">
        <v>203.43</v>
      </c>
      <c r="N60">
        <v>489.65</v>
      </c>
      <c r="O60">
        <v>808.55</v>
      </c>
      <c r="P60">
        <v>901.43</v>
      </c>
      <c r="Q60">
        <v>888.45</v>
      </c>
      <c r="R60">
        <v>921.36</v>
      </c>
    </row>
    <row r="61" spans="1:18" x14ac:dyDescent="0.25">
      <c r="A61" t="s">
        <v>2557</v>
      </c>
      <c r="E61">
        <v>379.33</v>
      </c>
      <c r="F61">
        <v>437.31</v>
      </c>
      <c r="G61">
        <v>459.43</v>
      </c>
      <c r="H61">
        <v>531.26</v>
      </c>
      <c r="I61">
        <v>618.11</v>
      </c>
      <c r="J61" s="2">
        <v>1161.3499999999999</v>
      </c>
      <c r="K61" s="2">
        <v>1039.1300000000001</v>
      </c>
      <c r="L61">
        <v>675.88</v>
      </c>
      <c r="M61">
        <v>674.97</v>
      </c>
      <c r="N61">
        <v>690.29</v>
      </c>
      <c r="O61">
        <v>841.11</v>
      </c>
      <c r="P61">
        <v>827.73</v>
      </c>
      <c r="Q61">
        <v>890.64</v>
      </c>
      <c r="R61">
        <v>990.98</v>
      </c>
    </row>
    <row r="62" spans="1:18" x14ac:dyDescent="0.25">
      <c r="A62" t="s">
        <v>2107</v>
      </c>
      <c r="B62">
        <v>116.39</v>
      </c>
      <c r="C62">
        <v>146.08000000000001</v>
      </c>
      <c r="D62">
        <v>179.18</v>
      </c>
      <c r="E62">
        <v>137.58000000000001</v>
      </c>
      <c r="F62">
        <v>136.04</v>
      </c>
      <c r="G62">
        <v>146.26</v>
      </c>
      <c r="H62">
        <v>168.33</v>
      </c>
      <c r="I62">
        <v>183.13</v>
      </c>
      <c r="J62">
        <v>234.51</v>
      </c>
      <c r="K62">
        <v>315.33</v>
      </c>
      <c r="L62">
        <v>325.05</v>
      </c>
      <c r="M62">
        <v>380.32</v>
      </c>
      <c r="N62">
        <v>370</v>
      </c>
      <c r="O62">
        <v>388.84</v>
      </c>
      <c r="P62">
        <v>411.51</v>
      </c>
      <c r="Q62">
        <v>447.8</v>
      </c>
      <c r="R62">
        <v>462.18</v>
      </c>
    </row>
    <row r="63" spans="1:18" x14ac:dyDescent="0.25">
      <c r="A63" t="s">
        <v>2479</v>
      </c>
      <c r="E63">
        <v>384.43</v>
      </c>
      <c r="F63">
        <v>445.19</v>
      </c>
      <c r="G63">
        <v>645.28</v>
      </c>
      <c r="H63">
        <v>763.82</v>
      </c>
      <c r="I63" s="2">
        <v>1175.6099999999999</v>
      </c>
      <c r="J63" s="2">
        <v>2351.4699999999998</v>
      </c>
      <c r="K63" s="2">
        <v>2344.0300000000002</v>
      </c>
      <c r="L63" s="2">
        <v>2136.67</v>
      </c>
      <c r="M63" s="2">
        <v>2023.42</v>
      </c>
      <c r="N63" s="2">
        <v>2211.2800000000002</v>
      </c>
      <c r="O63" s="2">
        <v>2349.1799999999998</v>
      </c>
      <c r="P63" s="2">
        <v>2532.98</v>
      </c>
      <c r="Q63" s="2">
        <v>2731.03</v>
      </c>
      <c r="R63" s="2">
        <v>2916.41</v>
      </c>
    </row>
    <row r="64" spans="1:18" x14ac:dyDescent="0.25">
      <c r="A64" t="s">
        <v>2564</v>
      </c>
      <c r="E64" s="2">
        <v>1214.93</v>
      </c>
      <c r="F64" s="2">
        <v>2141.37</v>
      </c>
      <c r="G64">
        <v>914.98</v>
      </c>
      <c r="H64" s="2">
        <v>1032.3399999999999</v>
      </c>
      <c r="I64">
        <v>787.77</v>
      </c>
      <c r="J64" s="2">
        <v>1119.6099999999999</v>
      </c>
      <c r="K64" s="2">
        <v>2985.71</v>
      </c>
      <c r="L64">
        <v>244.36</v>
      </c>
      <c r="M64">
        <v>200.97</v>
      </c>
      <c r="N64">
        <v>268.77</v>
      </c>
      <c r="O64">
        <v>546.17999999999995</v>
      </c>
      <c r="P64">
        <v>894.47</v>
      </c>
      <c r="Q64" s="2">
        <v>1418.09</v>
      </c>
      <c r="R64" s="2">
        <v>1247.82</v>
      </c>
    </row>
    <row r="65" spans="1:18" x14ac:dyDescent="0.25">
      <c r="A65" t="s">
        <v>2559</v>
      </c>
      <c r="E65">
        <v>335.15</v>
      </c>
      <c r="F65">
        <v>751.53</v>
      </c>
      <c r="G65">
        <v>284.32</v>
      </c>
      <c r="H65">
        <v>374.1</v>
      </c>
      <c r="I65">
        <v>312.7</v>
      </c>
      <c r="J65">
        <v>443.22</v>
      </c>
      <c r="K65" s="2">
        <v>1168.05</v>
      </c>
      <c r="L65">
        <v>123.3</v>
      </c>
      <c r="M65">
        <v>101.01</v>
      </c>
      <c r="N65">
        <v>130.36000000000001</v>
      </c>
      <c r="O65">
        <v>238.72</v>
      </c>
      <c r="P65">
        <v>395.46</v>
      </c>
      <c r="Q65">
        <v>614.80999999999995</v>
      </c>
      <c r="R65">
        <v>551.62</v>
      </c>
    </row>
    <row r="66" spans="1:18" x14ac:dyDescent="0.25">
      <c r="A66" t="s">
        <v>2560</v>
      </c>
      <c r="B66">
        <v>402.56</v>
      </c>
      <c r="C66">
        <v>250.17</v>
      </c>
      <c r="D66">
        <v>3.69</v>
      </c>
      <c r="E66">
        <v>122.71</v>
      </c>
      <c r="F66">
        <v>255.9</v>
      </c>
      <c r="G66">
        <v>92.53</v>
      </c>
      <c r="H66">
        <v>79.73</v>
      </c>
      <c r="I66">
        <v>24.76</v>
      </c>
      <c r="J66">
        <v>196.87</v>
      </c>
      <c r="K66">
        <v>150.79</v>
      </c>
      <c r="L66">
        <v>7.63</v>
      </c>
      <c r="M66">
        <v>14.52</v>
      </c>
      <c r="N66">
        <v>10.69</v>
      </c>
      <c r="O66">
        <v>14.67</v>
      </c>
      <c r="P66">
        <v>50.17</v>
      </c>
      <c r="Q66">
        <v>87.31</v>
      </c>
      <c r="R66">
        <v>66.59</v>
      </c>
    </row>
    <row r="67" spans="1:18" x14ac:dyDescent="0.25">
      <c r="A67" t="s">
        <v>2561</v>
      </c>
      <c r="E67" s="2">
        <v>1386.93</v>
      </c>
      <c r="F67" s="2">
        <v>2090.94</v>
      </c>
      <c r="G67" s="2">
        <v>1368.47</v>
      </c>
      <c r="H67" s="2">
        <v>1501.8</v>
      </c>
      <c r="I67" s="2">
        <v>1675.45</v>
      </c>
      <c r="J67" s="2">
        <v>3224.73</v>
      </c>
      <c r="K67" s="2">
        <v>4312.49</v>
      </c>
      <c r="L67" s="2">
        <v>2265.36</v>
      </c>
      <c r="M67" s="2">
        <v>2137.9</v>
      </c>
      <c r="N67" s="2">
        <v>2360.38</v>
      </c>
      <c r="O67" s="2">
        <v>2689.01</v>
      </c>
      <c r="P67" s="2">
        <v>3120.24</v>
      </c>
      <c r="Q67" s="2">
        <v>3674.8</v>
      </c>
      <c r="R67" s="2">
        <v>3679.2</v>
      </c>
    </row>
    <row r="68" spans="1:18" x14ac:dyDescent="0.25">
      <c r="A68" t="s">
        <v>2562</v>
      </c>
      <c r="B68" s="2">
        <v>1018.76</v>
      </c>
      <c r="C68">
        <v>959.72</v>
      </c>
      <c r="D68">
        <v>663.57</v>
      </c>
      <c r="E68">
        <v>791.71</v>
      </c>
      <c r="F68" s="2">
        <v>1188.8399999999999</v>
      </c>
      <c r="G68">
        <v>743.75</v>
      </c>
      <c r="H68">
        <v>905.36</v>
      </c>
      <c r="I68">
        <v>930.8</v>
      </c>
      <c r="J68" s="2">
        <v>1604.57</v>
      </c>
      <c r="O68" s="2">
        <v>1042.4000000000001</v>
      </c>
      <c r="P68" s="2">
        <v>1219.47</v>
      </c>
    </row>
    <row r="69" spans="1:18" x14ac:dyDescent="0.25">
      <c r="A69" t="s">
        <v>17</v>
      </c>
    </row>
    <row r="70" spans="1:18" x14ac:dyDescent="0.25">
      <c r="A70" t="s">
        <v>2565</v>
      </c>
    </row>
    <row r="71" spans="1:18" x14ac:dyDescent="0.25">
      <c r="A71" t="s">
        <v>60</v>
      </c>
      <c r="B71">
        <v>880.25</v>
      </c>
      <c r="C71">
        <v>742.55</v>
      </c>
      <c r="D71">
        <v>484.75</v>
      </c>
      <c r="E71">
        <v>888.86</v>
      </c>
      <c r="F71">
        <v>645.4</v>
      </c>
      <c r="G71">
        <v>670.29</v>
      </c>
      <c r="H71">
        <v>673.57</v>
      </c>
      <c r="I71">
        <v>683.99</v>
      </c>
      <c r="J71">
        <v>945.02</v>
      </c>
      <c r="K71" s="2">
        <v>1863.03</v>
      </c>
      <c r="L71" s="2">
        <v>2280.0100000000002</v>
      </c>
      <c r="M71" s="2">
        <v>2681.85</v>
      </c>
      <c r="N71" s="2">
        <v>3439.99</v>
      </c>
      <c r="O71" s="2">
        <v>3090.96</v>
      </c>
      <c r="P71" s="2">
        <v>3674.51</v>
      </c>
      <c r="Q71" s="2">
        <v>4678.78</v>
      </c>
      <c r="R71" s="2">
        <v>5259.48</v>
      </c>
    </row>
    <row r="72" spans="1:18" x14ac:dyDescent="0.25">
      <c r="A72" t="s">
        <v>2551</v>
      </c>
      <c r="B72">
        <v>357.83</v>
      </c>
      <c r="C72">
        <v>432.04</v>
      </c>
      <c r="D72">
        <v>470.92</v>
      </c>
      <c r="E72">
        <v>489.24</v>
      </c>
      <c r="F72">
        <v>534.95000000000005</v>
      </c>
      <c r="G72">
        <v>541.59</v>
      </c>
      <c r="H72">
        <v>574.72</v>
      </c>
      <c r="I72">
        <v>550.77</v>
      </c>
      <c r="J72">
        <v>713.48</v>
      </c>
      <c r="K72" s="2">
        <v>1179.8599999999999</v>
      </c>
      <c r="L72" s="2">
        <v>1293.5</v>
      </c>
      <c r="M72" s="2">
        <v>1581.81</v>
      </c>
      <c r="N72" s="2">
        <v>1929.59</v>
      </c>
      <c r="O72" s="2">
        <v>1963.39</v>
      </c>
      <c r="P72" s="2">
        <v>2119.3200000000002</v>
      </c>
      <c r="Q72" s="2">
        <v>2381.3200000000002</v>
      </c>
      <c r="R72" s="2">
        <v>2733</v>
      </c>
    </row>
    <row r="73" spans="1:18" x14ac:dyDescent="0.25">
      <c r="A73" t="s">
        <v>2552</v>
      </c>
      <c r="B73">
        <v>398.16</v>
      </c>
      <c r="C73">
        <v>460.21</v>
      </c>
      <c r="D73">
        <v>500.98</v>
      </c>
      <c r="E73">
        <v>526.75</v>
      </c>
      <c r="F73">
        <v>567.33000000000004</v>
      </c>
      <c r="G73">
        <v>553.91999999999996</v>
      </c>
      <c r="H73">
        <v>586.54</v>
      </c>
      <c r="I73">
        <v>561.23</v>
      </c>
      <c r="J73">
        <v>720.13</v>
      </c>
      <c r="K73" s="2">
        <v>1185.29</v>
      </c>
      <c r="L73" s="2">
        <v>1297.4100000000001</v>
      </c>
      <c r="M73" s="2">
        <v>1561.65</v>
      </c>
      <c r="N73" s="2">
        <v>1909.15</v>
      </c>
      <c r="O73" s="2">
        <v>2019.18</v>
      </c>
      <c r="P73" s="2">
        <v>2219.83</v>
      </c>
      <c r="Q73" s="2">
        <v>2526.17</v>
      </c>
      <c r="R73" s="2">
        <v>3053.17</v>
      </c>
    </row>
    <row r="74" spans="1:18" x14ac:dyDescent="0.25">
      <c r="A74" t="s">
        <v>2553</v>
      </c>
      <c r="B74">
        <v>28.59</v>
      </c>
      <c r="C74">
        <v>18.16</v>
      </c>
      <c r="D74">
        <v>6.37</v>
      </c>
      <c r="E74">
        <v>6.6</v>
      </c>
      <c r="F74">
        <v>13.43</v>
      </c>
      <c r="G74">
        <v>15.64</v>
      </c>
      <c r="H74">
        <v>19.88</v>
      </c>
      <c r="I74">
        <v>21.31</v>
      </c>
      <c r="J74">
        <v>44.87</v>
      </c>
      <c r="K74">
        <v>34.619999999999997</v>
      </c>
      <c r="L74">
        <v>44.56</v>
      </c>
      <c r="M74">
        <v>44.35</v>
      </c>
      <c r="N74">
        <v>74.12</v>
      </c>
      <c r="O74">
        <v>171.92</v>
      </c>
      <c r="P74">
        <v>151.47999999999999</v>
      </c>
      <c r="Q74">
        <v>150.80000000000001</v>
      </c>
      <c r="R74">
        <v>133.76</v>
      </c>
    </row>
    <row r="75" spans="1:18" x14ac:dyDescent="0.25">
      <c r="A75" t="s">
        <v>2554</v>
      </c>
      <c r="B75">
        <v>-40.33</v>
      </c>
      <c r="C75">
        <v>-28.17</v>
      </c>
      <c r="D75">
        <v>-30.07</v>
      </c>
      <c r="E75">
        <v>-37.51</v>
      </c>
      <c r="F75">
        <v>-32.380000000000003</v>
      </c>
      <c r="G75">
        <v>-12.33</v>
      </c>
      <c r="H75">
        <v>-11.81</v>
      </c>
      <c r="I75">
        <v>-10.47</v>
      </c>
      <c r="J75">
        <v>-6.65</v>
      </c>
      <c r="K75">
        <v>-5.43</v>
      </c>
      <c r="L75">
        <v>-3.91</v>
      </c>
      <c r="M75">
        <v>-24.2</v>
      </c>
      <c r="N75">
        <v>-53.67</v>
      </c>
      <c r="O75">
        <v>-45.69</v>
      </c>
      <c r="P75">
        <v>-43.3</v>
      </c>
      <c r="Q75">
        <v>-42.54</v>
      </c>
      <c r="R75">
        <v>-50.67</v>
      </c>
    </row>
    <row r="76" spans="1:18" x14ac:dyDescent="0.25">
      <c r="A76" t="s">
        <v>2555</v>
      </c>
      <c r="F76">
        <v>110.45</v>
      </c>
      <c r="G76">
        <v>59.86</v>
      </c>
      <c r="H76">
        <v>52.23</v>
      </c>
      <c r="I76">
        <v>25.14</v>
      </c>
      <c r="J76">
        <v>182.68</v>
      </c>
      <c r="K76">
        <v>163.19999999999999</v>
      </c>
      <c r="L76">
        <v>199.16</v>
      </c>
      <c r="M76">
        <v>223.13</v>
      </c>
      <c r="N76">
        <v>561.11</v>
      </c>
      <c r="O76">
        <v>206.87</v>
      </c>
      <c r="P76">
        <v>334.41</v>
      </c>
      <c r="Q76">
        <v>442.69</v>
      </c>
      <c r="R76">
        <v>620.66</v>
      </c>
    </row>
    <row r="77" spans="1:18" x14ac:dyDescent="0.25">
      <c r="A77" t="s">
        <v>2319</v>
      </c>
      <c r="B77">
        <v>386.42</v>
      </c>
      <c r="C77">
        <v>450.2</v>
      </c>
      <c r="D77">
        <v>477.29</v>
      </c>
      <c r="E77">
        <v>495.84</v>
      </c>
      <c r="F77">
        <v>548.38</v>
      </c>
      <c r="G77">
        <v>557.23</v>
      </c>
      <c r="H77">
        <v>594.6</v>
      </c>
      <c r="I77">
        <v>614.55999999999995</v>
      </c>
      <c r="J77">
        <v>804.12</v>
      </c>
      <c r="K77" s="2">
        <v>1214.3399999999999</v>
      </c>
      <c r="L77" s="2">
        <v>1338.04</v>
      </c>
      <c r="M77" s="2">
        <v>1581.81</v>
      </c>
      <c r="N77" s="2">
        <v>1929.59</v>
      </c>
      <c r="O77" s="2">
        <v>2144.5300000000002</v>
      </c>
      <c r="P77" s="2">
        <v>2324.39</v>
      </c>
      <c r="Q77" s="2">
        <v>2634.44</v>
      </c>
      <c r="R77" s="2">
        <v>3136.26</v>
      </c>
    </row>
    <row r="78" spans="1:18" x14ac:dyDescent="0.25">
      <c r="A78" t="s">
        <v>2556</v>
      </c>
      <c r="B78">
        <v>457.11</v>
      </c>
      <c r="C78">
        <v>257.20999999999998</v>
      </c>
      <c r="D78">
        <v>-13.24</v>
      </c>
      <c r="E78">
        <v>83.25</v>
      </c>
      <c r="F78">
        <v>89.95</v>
      </c>
      <c r="G78">
        <v>-0.67</v>
      </c>
      <c r="H78">
        <v>13.76</v>
      </c>
      <c r="I78">
        <v>40.520000000000003</v>
      </c>
      <c r="J78">
        <v>118.1</v>
      </c>
      <c r="K78">
        <v>374.72</v>
      </c>
      <c r="L78">
        <v>564.29</v>
      </c>
      <c r="M78">
        <v>747.09</v>
      </c>
      <c r="N78">
        <v>787.8</v>
      </c>
      <c r="O78">
        <v>670.67</v>
      </c>
      <c r="P78">
        <v>759.13</v>
      </c>
      <c r="Q78">
        <v>916.34</v>
      </c>
      <c r="R78" s="2">
        <v>1130.96</v>
      </c>
    </row>
    <row r="79" spans="1:18" x14ac:dyDescent="0.25">
      <c r="A79" t="s">
        <v>2557</v>
      </c>
      <c r="E79">
        <v>223.31</v>
      </c>
      <c r="F79">
        <v>253.84</v>
      </c>
      <c r="G79">
        <v>219.1</v>
      </c>
      <c r="H79">
        <v>229.61</v>
      </c>
      <c r="I79">
        <v>261.20999999999998</v>
      </c>
      <c r="J79">
        <v>367.32</v>
      </c>
      <c r="K79">
        <v>512.73</v>
      </c>
      <c r="L79">
        <v>628.05999999999995</v>
      </c>
      <c r="M79">
        <v>755.62</v>
      </c>
      <c r="N79">
        <v>869.64</v>
      </c>
      <c r="O79">
        <v>917.6</v>
      </c>
      <c r="P79">
        <v>989.04</v>
      </c>
      <c r="Q79" s="2">
        <v>1127.8800000000001</v>
      </c>
      <c r="R79" s="2">
        <v>1334.02</v>
      </c>
    </row>
    <row r="80" spans="1:18" x14ac:dyDescent="0.25">
      <c r="A80" t="s">
        <v>2107</v>
      </c>
      <c r="B80">
        <v>96.94</v>
      </c>
      <c r="C80">
        <v>90.52</v>
      </c>
      <c r="D80">
        <v>93.63</v>
      </c>
      <c r="E80">
        <v>87.7</v>
      </c>
      <c r="F80">
        <v>99.56</v>
      </c>
      <c r="G80">
        <v>131.19999999999999</v>
      </c>
      <c r="H80">
        <v>160.80000000000001</v>
      </c>
      <c r="I80">
        <v>165.11</v>
      </c>
      <c r="J80">
        <v>199.91</v>
      </c>
      <c r="K80">
        <v>260.02999999999997</v>
      </c>
      <c r="L80">
        <v>323.77</v>
      </c>
      <c r="M80">
        <v>371.35</v>
      </c>
      <c r="N80">
        <v>450.4</v>
      </c>
      <c r="O80">
        <v>502.01</v>
      </c>
      <c r="P80">
        <v>543.53</v>
      </c>
      <c r="Q80">
        <v>587.39</v>
      </c>
      <c r="R80">
        <v>632.27</v>
      </c>
    </row>
    <row r="81" spans="1:18" x14ac:dyDescent="0.25">
      <c r="A81" t="s">
        <v>2479</v>
      </c>
      <c r="E81">
        <v>269.20999999999998</v>
      </c>
      <c r="F81">
        <v>284.92</v>
      </c>
      <c r="G81">
        <v>206.27</v>
      </c>
      <c r="H81">
        <v>217.96</v>
      </c>
      <c r="I81">
        <v>228.75</v>
      </c>
      <c r="J81">
        <v>354.98</v>
      </c>
      <c r="K81">
        <v>840.66</v>
      </c>
      <c r="L81">
        <v>972.42</v>
      </c>
      <c r="M81" s="2">
        <v>1201.93</v>
      </c>
      <c r="N81" s="2">
        <v>1397.35</v>
      </c>
      <c r="O81" s="2">
        <v>1396.65</v>
      </c>
      <c r="P81" s="2">
        <v>1562.03</v>
      </c>
      <c r="Q81" s="2">
        <v>1891.3</v>
      </c>
      <c r="R81" s="2">
        <v>2300.9299999999998</v>
      </c>
    </row>
    <row r="82" spans="1:18" x14ac:dyDescent="0.25">
      <c r="A82" t="s">
        <v>2564</v>
      </c>
      <c r="E82">
        <v>43.21</v>
      </c>
      <c r="F82">
        <v>194.9</v>
      </c>
      <c r="G82">
        <v>96.96</v>
      </c>
      <c r="H82">
        <v>32.74</v>
      </c>
      <c r="I82">
        <v>20.94</v>
      </c>
      <c r="J82">
        <v>209.42</v>
      </c>
      <c r="K82">
        <v>147.41</v>
      </c>
      <c r="L82">
        <v>317.76</v>
      </c>
      <c r="M82">
        <v>313.08999999999997</v>
      </c>
      <c r="N82">
        <v>386.73</v>
      </c>
      <c r="O82">
        <v>285.19</v>
      </c>
      <c r="P82">
        <v>556.28</v>
      </c>
      <c r="Q82">
        <v>792</v>
      </c>
      <c r="R82">
        <v>907.01</v>
      </c>
    </row>
    <row r="83" spans="1:18" x14ac:dyDescent="0.25">
      <c r="A83" t="s">
        <v>2559</v>
      </c>
      <c r="E83">
        <v>22.2</v>
      </c>
      <c r="F83">
        <v>100.83</v>
      </c>
      <c r="G83">
        <v>53.86</v>
      </c>
      <c r="H83">
        <v>12.97</v>
      </c>
      <c r="I83">
        <v>3.48</v>
      </c>
      <c r="J83">
        <v>94.45</v>
      </c>
      <c r="K83">
        <v>63.85</v>
      </c>
      <c r="L83">
        <v>140.49</v>
      </c>
      <c r="M83">
        <v>129.81</v>
      </c>
      <c r="N83">
        <v>161.49</v>
      </c>
      <c r="O83">
        <v>115.12</v>
      </c>
      <c r="P83">
        <v>247.23</v>
      </c>
      <c r="Q83">
        <v>364.42</v>
      </c>
      <c r="R83">
        <v>403.41</v>
      </c>
    </row>
    <row r="84" spans="1:18" x14ac:dyDescent="0.25">
      <c r="A84" t="s">
        <v>2560</v>
      </c>
      <c r="B84">
        <v>18.05</v>
      </c>
      <c r="C84">
        <v>14.41</v>
      </c>
      <c r="D84">
        <v>-9.07</v>
      </c>
      <c r="E84">
        <v>11</v>
      </c>
      <c r="F84">
        <v>16.38</v>
      </c>
      <c r="G84">
        <v>16.760000000000002</v>
      </c>
      <c r="H84">
        <v>32.47</v>
      </c>
      <c r="I84">
        <v>7.97</v>
      </c>
      <c r="J84">
        <v>70.8</v>
      </c>
      <c r="K84">
        <v>80.989999999999995</v>
      </c>
      <c r="L84">
        <v>21.9</v>
      </c>
      <c r="M84">
        <v>39.86</v>
      </c>
      <c r="N84">
        <v>335.87</v>
      </c>
      <c r="O84">
        <v>19.61</v>
      </c>
      <c r="P84">
        <v>79.069999999999993</v>
      </c>
      <c r="Q84">
        <v>119.62</v>
      </c>
      <c r="R84">
        <v>117.06</v>
      </c>
    </row>
    <row r="85" spans="1:18" x14ac:dyDescent="0.25">
      <c r="A85" t="s">
        <v>2561</v>
      </c>
      <c r="E85">
        <v>301.22000000000003</v>
      </c>
      <c r="F85">
        <v>395.37</v>
      </c>
      <c r="G85">
        <v>266.13</v>
      </c>
      <c r="H85">
        <v>270.19</v>
      </c>
      <c r="I85">
        <v>254.18</v>
      </c>
      <c r="J85">
        <v>540.75</v>
      </c>
      <c r="K85" s="2">
        <v>1005.22</v>
      </c>
      <c r="L85" s="2">
        <v>1171.5899999999999</v>
      </c>
      <c r="M85" s="2">
        <v>1425.06</v>
      </c>
      <c r="N85" s="2">
        <v>1958.46</v>
      </c>
      <c r="O85" s="2">
        <v>1586.33</v>
      </c>
      <c r="P85" s="2">
        <v>1945.49</v>
      </c>
      <c r="Q85" s="2">
        <v>2478.04</v>
      </c>
      <c r="R85" s="2">
        <v>2921.59</v>
      </c>
    </row>
    <row r="86" spans="1:18" x14ac:dyDescent="0.25">
      <c r="A86" t="s">
        <v>2562</v>
      </c>
      <c r="B86">
        <v>424.82</v>
      </c>
      <c r="C86">
        <v>321.29000000000002</v>
      </c>
      <c r="D86">
        <v>177.75</v>
      </c>
      <c r="E86">
        <v>369.07</v>
      </c>
      <c r="F86">
        <v>354.68</v>
      </c>
      <c r="G86">
        <v>272.95999999999998</v>
      </c>
      <c r="H86">
        <v>242.58</v>
      </c>
      <c r="I86">
        <v>264.69</v>
      </c>
      <c r="J86">
        <v>461.77</v>
      </c>
      <c r="O86" s="2">
        <v>1018.53</v>
      </c>
      <c r="P86" s="2">
        <v>1181</v>
      </c>
    </row>
    <row r="87" spans="1:18" x14ac:dyDescent="0.25">
      <c r="A87" t="s">
        <v>17</v>
      </c>
    </row>
    <row r="88" spans="1:18" x14ac:dyDescent="0.25">
      <c r="A88" t="s">
        <v>2566</v>
      </c>
    </row>
    <row r="89" spans="1:18" x14ac:dyDescent="0.25">
      <c r="A89" t="s">
        <v>60</v>
      </c>
      <c r="B89">
        <v>648.61</v>
      </c>
      <c r="C89">
        <v>657.84</v>
      </c>
      <c r="D89">
        <v>590.30999999999995</v>
      </c>
      <c r="E89">
        <v>557.75</v>
      </c>
      <c r="F89">
        <v>638.66999999999996</v>
      </c>
      <c r="G89">
        <v>582.33000000000004</v>
      </c>
      <c r="H89">
        <v>708.41</v>
      </c>
      <c r="I89">
        <v>821.98</v>
      </c>
      <c r="J89">
        <v>809.77</v>
      </c>
      <c r="K89">
        <v>733.13</v>
      </c>
      <c r="L89">
        <v>780.24</v>
      </c>
      <c r="M89">
        <v>844.48</v>
      </c>
      <c r="N89" s="2">
        <v>1029.53</v>
      </c>
      <c r="O89" s="2">
        <v>1155.04</v>
      </c>
      <c r="P89" s="2">
        <v>1268.79</v>
      </c>
      <c r="Q89" s="2">
        <v>1387.15</v>
      </c>
      <c r="R89" s="2">
        <v>1490.2</v>
      </c>
    </row>
    <row r="90" spans="1:18" x14ac:dyDescent="0.25">
      <c r="A90" t="s">
        <v>2551</v>
      </c>
      <c r="B90">
        <v>405.93</v>
      </c>
      <c r="C90">
        <v>477.97</v>
      </c>
      <c r="D90">
        <v>524.55999999999995</v>
      </c>
      <c r="E90">
        <v>521.74</v>
      </c>
      <c r="F90">
        <v>515.96</v>
      </c>
      <c r="G90">
        <v>519.69000000000005</v>
      </c>
      <c r="H90">
        <v>556.59</v>
      </c>
      <c r="I90">
        <v>549.47</v>
      </c>
      <c r="J90">
        <v>565.20000000000005</v>
      </c>
      <c r="K90">
        <v>515.21</v>
      </c>
      <c r="L90">
        <v>470.23</v>
      </c>
      <c r="M90">
        <v>478.17</v>
      </c>
      <c r="N90">
        <v>532.91999999999996</v>
      </c>
    </row>
    <row r="91" spans="1:18" x14ac:dyDescent="0.25">
      <c r="A91" t="s">
        <v>2552</v>
      </c>
      <c r="B91">
        <v>409.32</v>
      </c>
      <c r="C91">
        <v>482.98</v>
      </c>
      <c r="D91">
        <v>524.39</v>
      </c>
      <c r="E91">
        <v>521.74</v>
      </c>
      <c r="F91">
        <v>516.04999999999995</v>
      </c>
      <c r="G91">
        <v>519.78</v>
      </c>
      <c r="H91">
        <v>556.73</v>
      </c>
      <c r="I91">
        <v>549.58000000000004</v>
      </c>
      <c r="J91">
        <v>565.42999999999995</v>
      </c>
      <c r="K91">
        <v>515.37</v>
      </c>
      <c r="L91">
        <v>470.24</v>
      </c>
      <c r="M91">
        <v>474.4</v>
      </c>
      <c r="N91">
        <v>528.44000000000005</v>
      </c>
      <c r="O91">
        <v>638.53</v>
      </c>
      <c r="P91">
        <v>733.16</v>
      </c>
      <c r="Q91">
        <v>818.89</v>
      </c>
      <c r="R91">
        <v>889.16</v>
      </c>
    </row>
    <row r="92" spans="1:18" x14ac:dyDescent="0.25">
      <c r="A92" t="s">
        <v>2567</v>
      </c>
      <c r="B92">
        <v>0.62</v>
      </c>
      <c r="C92">
        <v>0.56999999999999995</v>
      </c>
      <c r="D92">
        <v>0.32</v>
      </c>
      <c r="E92">
        <v>1.06</v>
      </c>
      <c r="F92">
        <v>2.98</v>
      </c>
      <c r="G92">
        <v>3.18</v>
      </c>
      <c r="H92">
        <v>3.53</v>
      </c>
      <c r="I92">
        <v>5.9</v>
      </c>
      <c r="J92">
        <v>7.66</v>
      </c>
      <c r="K92">
        <v>6.24</v>
      </c>
      <c r="L92">
        <v>4.0199999999999996</v>
      </c>
      <c r="M92">
        <v>3.86</v>
      </c>
      <c r="N92">
        <v>4.49</v>
      </c>
      <c r="O92">
        <v>0.73</v>
      </c>
      <c r="P92">
        <v>4.37</v>
      </c>
      <c r="Q92">
        <v>4.1100000000000003</v>
      </c>
      <c r="R92">
        <v>6.37</v>
      </c>
    </row>
    <row r="93" spans="1:18" x14ac:dyDescent="0.25">
      <c r="A93" t="s">
        <v>2554</v>
      </c>
      <c r="B93">
        <v>-3.39</v>
      </c>
      <c r="C93">
        <v>-5.01</v>
      </c>
      <c r="D93">
        <v>0.17</v>
      </c>
      <c r="E93">
        <v>0</v>
      </c>
      <c r="F93">
        <v>-0.09</v>
      </c>
      <c r="G93">
        <v>-0.09</v>
      </c>
      <c r="H93">
        <v>-0.14000000000000001</v>
      </c>
      <c r="I93">
        <v>-0.1</v>
      </c>
      <c r="J93">
        <v>-0.23</v>
      </c>
      <c r="K93">
        <v>-0.16</v>
      </c>
      <c r="L93">
        <v>0</v>
      </c>
      <c r="M93">
        <v>-0.08</v>
      </c>
      <c r="N93">
        <v>0</v>
      </c>
      <c r="O93">
        <v>-0.2</v>
      </c>
      <c r="P93">
        <v>-0.44</v>
      </c>
    </row>
    <row r="94" spans="1:18" x14ac:dyDescent="0.25">
      <c r="A94" t="s">
        <v>2555</v>
      </c>
      <c r="F94">
        <v>122.71</v>
      </c>
      <c r="G94">
        <v>37.67</v>
      </c>
      <c r="H94">
        <v>123.98</v>
      </c>
      <c r="I94">
        <v>202.85</v>
      </c>
      <c r="J94">
        <v>244.57</v>
      </c>
      <c r="K94">
        <v>110.96</v>
      </c>
      <c r="L94">
        <v>112.24</v>
      </c>
      <c r="M94">
        <v>279.38</v>
      </c>
      <c r="N94">
        <v>402.81</v>
      </c>
      <c r="O94">
        <v>346.59</v>
      </c>
      <c r="P94">
        <v>373.63</v>
      </c>
      <c r="Q94">
        <v>352.43</v>
      </c>
      <c r="R94">
        <v>374.56</v>
      </c>
    </row>
    <row r="95" spans="1:18" x14ac:dyDescent="0.25">
      <c r="A95" t="s">
        <v>2319</v>
      </c>
      <c r="B95">
        <v>406.56</v>
      </c>
      <c r="C95">
        <v>478.54</v>
      </c>
      <c r="D95">
        <v>524.87</v>
      </c>
      <c r="E95">
        <v>522.79999999999995</v>
      </c>
      <c r="F95">
        <v>518.94000000000005</v>
      </c>
      <c r="G95">
        <v>522.87</v>
      </c>
      <c r="H95">
        <v>560.13</v>
      </c>
      <c r="I95">
        <v>588.08000000000004</v>
      </c>
      <c r="J95">
        <v>572.86</v>
      </c>
      <c r="K95">
        <v>521.45000000000005</v>
      </c>
      <c r="L95">
        <v>474.25</v>
      </c>
      <c r="M95">
        <v>478.17</v>
      </c>
      <c r="N95">
        <v>532.91999999999996</v>
      </c>
      <c r="O95">
        <v>638.79</v>
      </c>
      <c r="P95">
        <v>735.83</v>
      </c>
      <c r="Q95">
        <v>821.63</v>
      </c>
      <c r="R95">
        <v>892.02</v>
      </c>
    </row>
    <row r="96" spans="1:18" x14ac:dyDescent="0.25">
      <c r="A96" t="s">
        <v>2557</v>
      </c>
      <c r="E96">
        <v>153.65</v>
      </c>
      <c r="F96">
        <v>146.91999999999999</v>
      </c>
      <c r="G96">
        <v>162.16999999999999</v>
      </c>
      <c r="H96">
        <v>151.96</v>
      </c>
      <c r="I96">
        <v>161.71</v>
      </c>
      <c r="J96">
        <v>150.43</v>
      </c>
      <c r="K96">
        <v>179.17</v>
      </c>
      <c r="L96">
        <v>164.49</v>
      </c>
      <c r="M96">
        <v>144.5</v>
      </c>
      <c r="N96">
        <v>169.33</v>
      </c>
      <c r="O96">
        <v>191.21</v>
      </c>
      <c r="P96">
        <v>222.26</v>
      </c>
      <c r="Q96">
        <v>238.8</v>
      </c>
      <c r="R96">
        <v>254.53</v>
      </c>
    </row>
    <row r="97" spans="1:19" x14ac:dyDescent="0.25">
      <c r="A97" t="s">
        <v>2107</v>
      </c>
      <c r="B97">
        <v>66.97</v>
      </c>
      <c r="C97">
        <v>86.13</v>
      </c>
      <c r="D97">
        <v>90.07</v>
      </c>
      <c r="E97">
        <v>75.87</v>
      </c>
      <c r="F97">
        <v>68.27</v>
      </c>
      <c r="G97">
        <v>77.77</v>
      </c>
      <c r="H97">
        <v>82</v>
      </c>
      <c r="I97">
        <v>79.760000000000005</v>
      </c>
      <c r="J97">
        <v>-88.36</v>
      </c>
      <c r="K97">
        <v>98.7</v>
      </c>
      <c r="L97">
        <v>106.29</v>
      </c>
      <c r="M97">
        <v>105.11</v>
      </c>
      <c r="N97">
        <v>110.53</v>
      </c>
      <c r="O97">
        <v>121.27</v>
      </c>
      <c r="P97">
        <v>133.19</v>
      </c>
      <c r="Q97">
        <v>139.12</v>
      </c>
      <c r="R97">
        <v>153.4</v>
      </c>
    </row>
    <row r="98" spans="1:19" x14ac:dyDescent="0.25">
      <c r="A98" t="s">
        <v>2479</v>
      </c>
      <c r="E98">
        <v>293.27999999999997</v>
      </c>
      <c r="F98">
        <v>303.75</v>
      </c>
      <c r="G98">
        <v>282.93</v>
      </c>
      <c r="H98">
        <v>326.17</v>
      </c>
      <c r="I98">
        <v>346.61</v>
      </c>
      <c r="J98">
        <v>334.08</v>
      </c>
      <c r="K98">
        <v>243.59</v>
      </c>
      <c r="L98">
        <v>203.48</v>
      </c>
      <c r="M98">
        <v>228.56</v>
      </c>
      <c r="N98">
        <v>253.07</v>
      </c>
      <c r="O98">
        <v>327.84</v>
      </c>
      <c r="P98">
        <v>384.48</v>
      </c>
      <c r="Q98">
        <v>454.31</v>
      </c>
      <c r="R98">
        <v>507.6</v>
      </c>
    </row>
    <row r="99" spans="1:19" x14ac:dyDescent="0.25">
      <c r="A99" t="s">
        <v>2564</v>
      </c>
      <c r="E99">
        <v>42.18</v>
      </c>
      <c r="F99">
        <v>154.34</v>
      </c>
      <c r="G99">
        <v>42.42</v>
      </c>
      <c r="H99">
        <v>126.58</v>
      </c>
      <c r="I99">
        <v>179.79</v>
      </c>
      <c r="J99">
        <v>258.33999999999997</v>
      </c>
      <c r="K99">
        <v>121.75</v>
      </c>
      <c r="L99">
        <v>155.26</v>
      </c>
      <c r="M99">
        <v>380.52</v>
      </c>
      <c r="N99">
        <v>489.92</v>
      </c>
      <c r="O99">
        <v>495.27</v>
      </c>
      <c r="P99">
        <v>532.57000000000005</v>
      </c>
      <c r="Q99">
        <v>578.59</v>
      </c>
      <c r="R99">
        <v>500.04</v>
      </c>
    </row>
    <row r="100" spans="1:19" x14ac:dyDescent="0.25">
      <c r="A100" t="s">
        <v>2559</v>
      </c>
      <c r="E100">
        <v>15.03</v>
      </c>
      <c r="F100">
        <v>40.71</v>
      </c>
      <c r="G100">
        <v>21.79</v>
      </c>
      <c r="H100">
        <v>24.3</v>
      </c>
      <c r="I100">
        <v>31.22</v>
      </c>
      <c r="J100">
        <v>-66.989999999999995</v>
      </c>
      <c r="K100">
        <v>-31.9</v>
      </c>
      <c r="L100">
        <v>48.35</v>
      </c>
      <c r="M100">
        <v>86.93</v>
      </c>
      <c r="N100">
        <v>93.8</v>
      </c>
      <c r="O100">
        <v>158.51</v>
      </c>
      <c r="P100">
        <v>169.8</v>
      </c>
      <c r="Q100">
        <v>194.09</v>
      </c>
      <c r="R100">
        <v>146.47</v>
      </c>
    </row>
    <row r="101" spans="1:19" x14ac:dyDescent="0.25">
      <c r="A101" t="s">
        <v>2560</v>
      </c>
      <c r="B101">
        <v>18.309999999999999</v>
      </c>
      <c r="C101">
        <v>26.68</v>
      </c>
      <c r="D101">
        <v>-14.18</v>
      </c>
      <c r="E101">
        <v>-7.22</v>
      </c>
      <c r="F101">
        <v>9.07</v>
      </c>
      <c r="G101">
        <v>17.04</v>
      </c>
      <c r="H101">
        <v>21.71</v>
      </c>
      <c r="I101">
        <v>54.11</v>
      </c>
      <c r="J101">
        <v>269.68</v>
      </c>
      <c r="K101">
        <v>144.59</v>
      </c>
      <c r="L101">
        <v>5.33</v>
      </c>
      <c r="M101">
        <v>-14.21</v>
      </c>
      <c r="N101">
        <v>6.69</v>
      </c>
      <c r="O101">
        <v>12.25</v>
      </c>
      <c r="P101">
        <v>17.2</v>
      </c>
      <c r="Q101">
        <v>22.18</v>
      </c>
      <c r="R101">
        <v>21</v>
      </c>
    </row>
    <row r="102" spans="1:19" x14ac:dyDescent="0.25">
      <c r="A102" t="s">
        <v>2561</v>
      </c>
      <c r="E102">
        <v>313.20999999999998</v>
      </c>
      <c r="F102">
        <v>426.46</v>
      </c>
      <c r="G102">
        <v>320.58999999999997</v>
      </c>
      <c r="H102">
        <v>450.15</v>
      </c>
      <c r="I102">
        <v>549.28</v>
      </c>
      <c r="J102">
        <v>578.65</v>
      </c>
      <c r="K102">
        <v>354.55</v>
      </c>
      <c r="L102">
        <v>315.70999999999998</v>
      </c>
      <c r="M102">
        <v>507.94</v>
      </c>
      <c r="N102">
        <v>655.88</v>
      </c>
      <c r="O102">
        <v>671.05</v>
      </c>
      <c r="P102">
        <v>757.42</v>
      </c>
      <c r="Q102">
        <v>850.02</v>
      </c>
      <c r="R102">
        <v>882.16</v>
      </c>
    </row>
    <row r="103" spans="1:19" x14ac:dyDescent="0.25">
      <c r="A103" t="s">
        <v>2562</v>
      </c>
      <c r="B103">
        <v>205.12</v>
      </c>
      <c r="C103">
        <v>173.84</v>
      </c>
      <c r="D103">
        <v>204.55</v>
      </c>
      <c r="E103">
        <v>205.19</v>
      </c>
      <c r="F103">
        <v>187.63</v>
      </c>
      <c r="G103">
        <v>183.96</v>
      </c>
      <c r="H103">
        <v>176.26</v>
      </c>
      <c r="I103">
        <v>192.94</v>
      </c>
      <c r="J103">
        <v>233.22</v>
      </c>
      <c r="O103">
        <v>342.68</v>
      </c>
      <c r="P103">
        <v>363.59</v>
      </c>
      <c r="Q103">
        <v>210.94</v>
      </c>
      <c r="R103">
        <v>210.94</v>
      </c>
    </row>
    <row r="104" spans="1:19" x14ac:dyDescent="0.25">
      <c r="A104" t="s">
        <v>17</v>
      </c>
    </row>
    <row r="105" spans="1:19" x14ac:dyDescent="0.25">
      <c r="A105" t="s">
        <v>2417</v>
      </c>
      <c r="B105" s="2">
        <v>265757.63</v>
      </c>
      <c r="C105" s="2">
        <v>290381.07</v>
      </c>
      <c r="D105" s="2">
        <v>336384.58</v>
      </c>
      <c r="E105" s="2">
        <v>366553.47</v>
      </c>
      <c r="F105" s="2">
        <v>434128.24</v>
      </c>
      <c r="G105" s="2">
        <v>472242.32</v>
      </c>
      <c r="H105" s="2">
        <v>571122.46</v>
      </c>
      <c r="I105" s="2">
        <v>618556.93000000005</v>
      </c>
      <c r="J105" s="2">
        <v>880901.72</v>
      </c>
      <c r="K105" s="2">
        <v>974673.08</v>
      </c>
      <c r="L105" s="2">
        <v>1040192.45</v>
      </c>
      <c r="M105" s="2">
        <v>1127180</v>
      </c>
      <c r="N105" s="2">
        <v>1274931.23</v>
      </c>
      <c r="O105" s="2">
        <v>1408549.9</v>
      </c>
      <c r="P105" s="2">
        <v>1545232.21</v>
      </c>
      <c r="Q105" s="2">
        <v>1713426.07</v>
      </c>
      <c r="R105" s="2">
        <v>1450327.57</v>
      </c>
      <c r="S105">
        <v>0.16</v>
      </c>
    </row>
    <row r="106" spans="1:19" x14ac:dyDescent="0.25">
      <c r="A106" t="s">
        <v>2428</v>
      </c>
    </row>
    <row r="107" spans="1:19" x14ac:dyDescent="0.25">
      <c r="A107" t="s">
        <v>2568</v>
      </c>
      <c r="B107" s="2">
        <v>60278.94</v>
      </c>
      <c r="C107" s="2">
        <v>57259.21</v>
      </c>
      <c r="D107" s="2">
        <v>93584.68</v>
      </c>
      <c r="E107" s="2">
        <v>69660.78</v>
      </c>
      <c r="F107" s="2">
        <v>107955.72</v>
      </c>
      <c r="G107" s="2">
        <v>100975.61</v>
      </c>
      <c r="H107" s="2">
        <v>134377.28</v>
      </c>
      <c r="I107" s="2">
        <v>95013</v>
      </c>
      <c r="J107" s="2">
        <v>270471.65000000002</v>
      </c>
      <c r="K107" s="2">
        <v>226039.44</v>
      </c>
      <c r="L107" s="2">
        <v>148518.41</v>
      </c>
      <c r="M107" s="2">
        <v>171458.64</v>
      </c>
      <c r="N107" s="2">
        <v>239385</v>
      </c>
      <c r="O107" s="2">
        <v>248692.74</v>
      </c>
      <c r="P107" s="2">
        <v>263659.05</v>
      </c>
      <c r="Q107" s="2">
        <v>302238.58</v>
      </c>
      <c r="R107" s="2">
        <v>329033.05</v>
      </c>
    </row>
    <row r="108" spans="1:19" x14ac:dyDescent="0.25">
      <c r="A108" t="s">
        <v>2569</v>
      </c>
      <c r="B108" s="2">
        <v>-8368.25</v>
      </c>
      <c r="C108" s="2">
        <v>-11714.44</v>
      </c>
      <c r="D108" s="2">
        <v>-12681.46</v>
      </c>
      <c r="E108" s="2">
        <v>-18431.8</v>
      </c>
      <c r="F108" s="2">
        <v>-19456.91</v>
      </c>
      <c r="G108" s="2">
        <v>-42618.26</v>
      </c>
      <c r="H108" s="2">
        <v>-28793.13</v>
      </c>
      <c r="I108" s="2">
        <v>-29279</v>
      </c>
      <c r="J108" s="2">
        <v>-36089.730000000003</v>
      </c>
      <c r="K108" s="2">
        <v>-52061.58</v>
      </c>
      <c r="L108" s="2">
        <v>-45717.98</v>
      </c>
      <c r="M108" s="2">
        <v>-47804.56</v>
      </c>
      <c r="N108" s="2">
        <v>-47126</v>
      </c>
      <c r="O108" s="2">
        <v>-58827.49</v>
      </c>
      <c r="P108" s="2">
        <v>-63013.97</v>
      </c>
      <c r="Q108" s="2">
        <v>-72776.399999999994</v>
      </c>
      <c r="R108" s="2">
        <v>-86228.5</v>
      </c>
    </row>
    <row r="109" spans="1:19" x14ac:dyDescent="0.25">
      <c r="A109" t="s">
        <v>2570</v>
      </c>
      <c r="B109" s="2">
        <v>33153.42</v>
      </c>
      <c r="C109" s="2">
        <v>24565.87</v>
      </c>
      <c r="D109" s="2">
        <v>7770.4</v>
      </c>
      <c r="E109" s="2">
        <v>18198.830000000002</v>
      </c>
      <c r="F109" s="2">
        <v>34262.46</v>
      </c>
      <c r="G109" s="2">
        <v>13817.35</v>
      </c>
      <c r="H109" s="2">
        <v>33497.83</v>
      </c>
      <c r="I109" s="2">
        <v>24324</v>
      </c>
      <c r="J109" s="2">
        <v>105172.37</v>
      </c>
      <c r="K109" s="2">
        <v>1561.14</v>
      </c>
      <c r="L109" s="2">
        <v>28409.77</v>
      </c>
      <c r="M109" s="2">
        <v>50475.95</v>
      </c>
      <c r="N109" s="2">
        <v>81043</v>
      </c>
      <c r="O109" s="2">
        <v>64424.77</v>
      </c>
      <c r="P109" s="2">
        <v>78759.23</v>
      </c>
      <c r="Q109" s="2">
        <v>86627.11</v>
      </c>
      <c r="R109" s="2">
        <v>96435.06</v>
      </c>
    </row>
    <row r="110" spans="1:19" x14ac:dyDescent="0.25">
      <c r="A110" t="s">
        <v>2315</v>
      </c>
      <c r="B110" s="2">
        <v>-29526.45</v>
      </c>
      <c r="C110" s="2">
        <v>-45487.199999999997</v>
      </c>
      <c r="D110" s="2">
        <v>-42670.11</v>
      </c>
      <c r="E110" s="2">
        <v>-39258.910000000003</v>
      </c>
      <c r="F110" s="2">
        <v>-55186.5</v>
      </c>
      <c r="G110" s="2">
        <v>-34060.629999999997</v>
      </c>
      <c r="H110" s="2">
        <v>-40201.83</v>
      </c>
      <c r="I110" s="2">
        <v>-42625</v>
      </c>
      <c r="J110" s="2">
        <v>-77209.5</v>
      </c>
      <c r="K110" s="2">
        <v>-81767.64</v>
      </c>
      <c r="L110" s="2">
        <v>-65690.84</v>
      </c>
      <c r="M110" s="2">
        <v>-87142.48</v>
      </c>
      <c r="N110" s="2">
        <v>-125551</v>
      </c>
      <c r="O110" s="2">
        <v>-130237.33</v>
      </c>
      <c r="P110" s="2">
        <v>-144025.9</v>
      </c>
      <c r="Q110" s="2">
        <v>-159889.79</v>
      </c>
      <c r="R110" s="2">
        <v>-155767.74</v>
      </c>
    </row>
    <row r="111" spans="1:19" x14ac:dyDescent="0.25">
      <c r="A111" t="s">
        <v>2360</v>
      </c>
      <c r="B111" s="2">
        <v>65675.03</v>
      </c>
      <c r="C111" s="2">
        <v>73073.25</v>
      </c>
      <c r="D111" s="2">
        <v>94280.07</v>
      </c>
      <c r="E111" s="2">
        <v>100192.95</v>
      </c>
      <c r="F111" s="2">
        <v>105560.58</v>
      </c>
      <c r="G111" s="2">
        <v>130665.29</v>
      </c>
      <c r="H111" s="2">
        <v>182886.11</v>
      </c>
      <c r="I111" s="2">
        <v>197549.22</v>
      </c>
      <c r="J111" s="2">
        <v>272810.23</v>
      </c>
      <c r="K111" s="2">
        <v>299850.65999999997</v>
      </c>
      <c r="L111" s="2">
        <v>314391.40000000002</v>
      </c>
      <c r="M111" s="2">
        <v>352169</v>
      </c>
      <c r="N111" s="2">
        <v>416423.16</v>
      </c>
      <c r="O111" s="2">
        <v>478533.06</v>
      </c>
      <c r="P111" s="2">
        <v>526497.49</v>
      </c>
      <c r="Q111" s="2">
        <v>576025.17000000004</v>
      </c>
      <c r="R111" s="2">
        <v>655137.39</v>
      </c>
    </row>
    <row r="112" spans="1:19" x14ac:dyDescent="0.25">
      <c r="A112" t="s">
        <v>2568</v>
      </c>
      <c r="B112" s="2">
        <v>14420.28</v>
      </c>
      <c r="C112" s="2">
        <v>13677</v>
      </c>
      <c r="D112" s="2">
        <v>30034.91</v>
      </c>
      <c r="E112" s="2">
        <v>16867.64</v>
      </c>
      <c r="F112" s="2">
        <v>12631.11</v>
      </c>
      <c r="G112" s="2">
        <v>26639.96</v>
      </c>
      <c r="H112" s="2">
        <v>56836.57</v>
      </c>
      <c r="I112" s="2">
        <v>23030.46</v>
      </c>
      <c r="J112" s="2">
        <v>55633.27</v>
      </c>
      <c r="K112" s="2">
        <v>52712.94</v>
      </c>
      <c r="L112" s="2">
        <v>23986.57</v>
      </c>
      <c r="M112" s="2">
        <v>41285</v>
      </c>
      <c r="N112" s="2">
        <v>68141</v>
      </c>
      <c r="O112" s="2">
        <v>78398.89</v>
      </c>
      <c r="P112" s="2">
        <v>69193.41</v>
      </c>
      <c r="Q112" s="2">
        <v>80229.88</v>
      </c>
      <c r="R112" s="2">
        <v>84354.98</v>
      </c>
    </row>
    <row r="113" spans="1:18" x14ac:dyDescent="0.25">
      <c r="A113" t="s">
        <v>2570</v>
      </c>
      <c r="B113" s="2">
        <v>10489.41</v>
      </c>
      <c r="C113" s="2">
        <v>10723.99</v>
      </c>
      <c r="D113" s="2">
        <v>5072.03</v>
      </c>
      <c r="E113" s="2">
        <v>4812.03</v>
      </c>
      <c r="F113" s="2">
        <v>9730.61</v>
      </c>
      <c r="G113" s="2">
        <v>10478.94</v>
      </c>
      <c r="H113" s="2">
        <v>9990.61</v>
      </c>
      <c r="I113" s="2">
        <v>11645.29</v>
      </c>
      <c r="J113" s="2">
        <v>49648.9</v>
      </c>
      <c r="K113" s="2">
        <v>2949.52</v>
      </c>
      <c r="L113" s="2">
        <v>17652.66</v>
      </c>
      <c r="M113" s="2">
        <v>32648</v>
      </c>
      <c r="N113" s="2">
        <v>40873</v>
      </c>
      <c r="O113" s="2">
        <v>39419.5</v>
      </c>
      <c r="P113" s="2">
        <v>38858.769999999997</v>
      </c>
      <c r="Q113" s="2">
        <v>39668.44</v>
      </c>
      <c r="R113" s="2">
        <v>47779.360000000001</v>
      </c>
    </row>
    <row r="114" spans="1:18" x14ac:dyDescent="0.25">
      <c r="A114" t="s">
        <v>2569</v>
      </c>
      <c r="B114">
        <v>-653.36</v>
      </c>
      <c r="C114" s="2">
        <v>-1624</v>
      </c>
      <c r="D114">
        <v>-406.96</v>
      </c>
      <c r="E114" s="2">
        <v>-1544.93</v>
      </c>
      <c r="F114" s="2">
        <v>-1230.4100000000001</v>
      </c>
      <c r="G114" s="2">
        <v>-1617.59</v>
      </c>
      <c r="H114" s="2">
        <v>-1065.45</v>
      </c>
      <c r="I114" s="2">
        <v>-2707.86</v>
      </c>
      <c r="J114" s="2">
        <v>-2969.03</v>
      </c>
      <c r="K114" s="2">
        <v>-3989.73</v>
      </c>
      <c r="L114" s="2">
        <v>-3085.26</v>
      </c>
      <c r="M114" s="2">
        <v>-7226</v>
      </c>
      <c r="N114" s="2">
        <v>-10881</v>
      </c>
      <c r="O114" s="2">
        <v>-9360.2099999999991</v>
      </c>
      <c r="P114" s="2">
        <v>-11399.31</v>
      </c>
      <c r="Q114" s="2">
        <v>-12164.77</v>
      </c>
      <c r="R114" s="2">
        <v>-11477.63</v>
      </c>
    </row>
    <row r="115" spans="1:18" x14ac:dyDescent="0.25">
      <c r="A115" t="s">
        <v>2571</v>
      </c>
      <c r="D115" s="2">
        <v>11415.47</v>
      </c>
      <c r="E115" s="2">
        <v>7911.51</v>
      </c>
      <c r="F115" s="2">
        <v>20179.009999999998</v>
      </c>
      <c r="G115" s="2">
        <v>16651</v>
      </c>
      <c r="H115" s="2">
        <v>26601</v>
      </c>
      <c r="I115" s="2">
        <v>22888</v>
      </c>
      <c r="J115" s="2">
        <v>48043</v>
      </c>
      <c r="K115" s="2">
        <v>28926</v>
      </c>
      <c r="L115" s="2">
        <v>24477</v>
      </c>
      <c r="M115" s="2">
        <v>42191</v>
      </c>
      <c r="N115" s="2">
        <v>46503</v>
      </c>
      <c r="O115" s="2">
        <v>55659.22</v>
      </c>
      <c r="P115" s="2">
        <v>57904.79</v>
      </c>
      <c r="Q115" s="2">
        <v>64817.07</v>
      </c>
      <c r="R115" s="2">
        <v>70537.22</v>
      </c>
    </row>
    <row r="116" spans="1:18" x14ac:dyDescent="0.25">
      <c r="A116" t="s">
        <v>2572</v>
      </c>
      <c r="B116" s="2">
        <v>17700</v>
      </c>
      <c r="C116" s="2">
        <v>19600</v>
      </c>
      <c r="D116" s="2">
        <v>37400</v>
      </c>
      <c r="E116" s="2">
        <v>43600</v>
      </c>
      <c r="F116" s="2">
        <v>36300</v>
      </c>
      <c r="G116" s="2">
        <v>44431.88</v>
      </c>
      <c r="H116" s="2">
        <v>74013.16</v>
      </c>
      <c r="I116" s="2">
        <v>71600</v>
      </c>
      <c r="J116" s="2">
        <v>65600</v>
      </c>
      <c r="K116" s="2">
        <v>86700</v>
      </c>
      <c r="L116" s="2">
        <v>80000</v>
      </c>
      <c r="M116" s="2">
        <v>69000</v>
      </c>
      <c r="N116" s="2">
        <v>77400</v>
      </c>
      <c r="O116" s="2">
        <v>79346.740000000005</v>
      </c>
      <c r="P116" s="2">
        <v>76797.38</v>
      </c>
      <c r="Q116" s="2">
        <v>122818.26</v>
      </c>
      <c r="R116" s="2">
        <v>118230.26</v>
      </c>
    </row>
    <row r="117" spans="1:18" x14ac:dyDescent="0.25">
      <c r="A117" t="s">
        <v>2315</v>
      </c>
      <c r="B117" s="2">
        <v>-9584.2800000000007</v>
      </c>
      <c r="C117" s="2">
        <v>-15379.07</v>
      </c>
      <c r="D117" s="2">
        <v>-13493.16</v>
      </c>
      <c r="E117" s="2">
        <v>-14221.87</v>
      </c>
      <c r="F117" s="2">
        <v>-15760.73</v>
      </c>
      <c r="G117" s="2">
        <v>-10396.61</v>
      </c>
      <c r="H117" s="2">
        <v>-13540.91</v>
      </c>
      <c r="I117" s="2">
        <v>-17304.78</v>
      </c>
      <c r="J117" s="2">
        <v>37169.69</v>
      </c>
      <c r="K117" s="2">
        <v>-24926.99</v>
      </c>
      <c r="L117" s="2">
        <v>-24426.639999999999</v>
      </c>
      <c r="M117" s="2">
        <v>-28931</v>
      </c>
      <c r="N117" s="2">
        <v>-33878</v>
      </c>
      <c r="O117" s="2">
        <v>-46737.71</v>
      </c>
      <c r="P117" s="2">
        <v>-49563.24</v>
      </c>
      <c r="Q117" s="2">
        <v>-51308.57</v>
      </c>
      <c r="R117" s="2">
        <v>-53843.58</v>
      </c>
    </row>
    <row r="118" spans="1:18" x14ac:dyDescent="0.25">
      <c r="A118" t="s">
        <v>2361</v>
      </c>
      <c r="B118" s="2">
        <v>79410.789999999994</v>
      </c>
      <c r="C118" s="2">
        <v>80863.19</v>
      </c>
      <c r="D118" s="2">
        <v>93917.82</v>
      </c>
      <c r="E118" s="2">
        <v>101963.65</v>
      </c>
      <c r="F118" s="2">
        <v>115340.36</v>
      </c>
      <c r="G118" s="2">
        <v>136247.23000000001</v>
      </c>
      <c r="H118" s="2">
        <v>163156.06</v>
      </c>
      <c r="I118" s="2">
        <v>187191.25</v>
      </c>
      <c r="J118" s="2">
        <v>279474.11</v>
      </c>
      <c r="K118" s="2">
        <v>326146.90000000002</v>
      </c>
      <c r="L118" s="2">
        <v>336940.1</v>
      </c>
      <c r="M118" s="2">
        <v>315353</v>
      </c>
      <c r="N118" s="2">
        <v>319342.88</v>
      </c>
      <c r="O118" s="2">
        <v>316818.09999999998</v>
      </c>
      <c r="P118" s="2">
        <v>336306.19</v>
      </c>
      <c r="Q118" s="2">
        <v>378288.48</v>
      </c>
      <c r="R118" s="2">
        <v>405905.48</v>
      </c>
    </row>
    <row r="119" spans="1:18" x14ac:dyDescent="0.25">
      <c r="A119" t="s">
        <v>2568</v>
      </c>
      <c r="B119" s="2">
        <v>17686.59</v>
      </c>
      <c r="C119" s="2">
        <v>11080</v>
      </c>
      <c r="D119" s="2">
        <v>29473.7</v>
      </c>
      <c r="E119" s="2">
        <v>19047.47</v>
      </c>
      <c r="F119" s="2">
        <v>23844.27</v>
      </c>
      <c r="G119" s="2">
        <v>31478.43</v>
      </c>
      <c r="H119" s="2">
        <v>34190.57</v>
      </c>
      <c r="I119" s="2">
        <v>33426.6</v>
      </c>
      <c r="J119" s="2">
        <v>75257.78</v>
      </c>
      <c r="K119" s="2">
        <v>90199.88</v>
      </c>
      <c r="L119" s="2">
        <v>53922.51</v>
      </c>
      <c r="M119" s="2">
        <v>27941</v>
      </c>
      <c r="N119" s="2">
        <v>25527</v>
      </c>
      <c r="O119" s="2">
        <v>29129.279999999999</v>
      </c>
      <c r="P119" s="2">
        <v>43830.76</v>
      </c>
      <c r="Q119" s="2">
        <v>57296.7</v>
      </c>
      <c r="R119" s="2">
        <v>61139.62</v>
      </c>
    </row>
    <row r="120" spans="1:18" x14ac:dyDescent="0.25">
      <c r="A120" t="s">
        <v>2569</v>
      </c>
      <c r="B120" s="2">
        <v>-1049.5999999999999</v>
      </c>
      <c r="C120">
        <v>-896</v>
      </c>
      <c r="D120">
        <v>-342.23</v>
      </c>
      <c r="E120">
        <v>-500.73</v>
      </c>
      <c r="F120" s="2">
        <v>-1399.74</v>
      </c>
      <c r="G120" s="2">
        <v>-2162.96</v>
      </c>
      <c r="H120" s="2">
        <v>-2664.72</v>
      </c>
      <c r="I120" s="2">
        <v>-3836.84</v>
      </c>
      <c r="J120" s="2">
        <v>-5145.88</v>
      </c>
      <c r="K120" s="2">
        <v>-13577.1</v>
      </c>
      <c r="L120" s="2">
        <v>-15642.09</v>
      </c>
      <c r="M120" s="2">
        <v>-24543</v>
      </c>
      <c r="N120" s="2">
        <v>-8544</v>
      </c>
      <c r="O120" s="2">
        <v>-9158.0300000000007</v>
      </c>
      <c r="P120" s="2">
        <v>-10085.709999999999</v>
      </c>
      <c r="Q120" s="2">
        <v>-11451.75</v>
      </c>
      <c r="R120" s="2">
        <v>-14714.92</v>
      </c>
    </row>
    <row r="121" spans="1:18" x14ac:dyDescent="0.25">
      <c r="A121" t="s">
        <v>2570</v>
      </c>
      <c r="B121" s="2">
        <v>14376.37</v>
      </c>
      <c r="C121" s="2">
        <v>11658.22</v>
      </c>
      <c r="D121" s="2">
        <v>4939.71</v>
      </c>
      <c r="E121" s="2">
        <v>7425.32</v>
      </c>
      <c r="F121" s="2">
        <v>15460.13</v>
      </c>
      <c r="G121" s="2">
        <v>6266.49</v>
      </c>
      <c r="H121" s="2">
        <v>13480.89</v>
      </c>
      <c r="I121" s="2">
        <v>10702</v>
      </c>
      <c r="J121" s="2">
        <v>41660.980000000003</v>
      </c>
      <c r="K121" s="2">
        <v>7111.86</v>
      </c>
      <c r="L121" s="2">
        <v>-8743.15</v>
      </c>
      <c r="M121" s="2">
        <v>-2820</v>
      </c>
      <c r="N121" s="2">
        <v>12558</v>
      </c>
      <c r="O121" s="2">
        <v>3367.82</v>
      </c>
      <c r="P121" s="2">
        <v>14363.92</v>
      </c>
      <c r="Q121" s="2">
        <v>16386.54</v>
      </c>
      <c r="R121" s="2">
        <v>14706.58</v>
      </c>
    </row>
    <row r="122" spans="1:18" x14ac:dyDescent="0.25">
      <c r="A122" t="s">
        <v>2571</v>
      </c>
      <c r="D122" s="2">
        <v>16603.47</v>
      </c>
      <c r="E122" s="2">
        <v>11176.26</v>
      </c>
      <c r="F122" s="2">
        <v>19882.22</v>
      </c>
      <c r="G122" s="2">
        <v>18726</v>
      </c>
      <c r="H122" s="2">
        <v>22458</v>
      </c>
      <c r="I122" s="2">
        <v>25008</v>
      </c>
      <c r="J122" s="2">
        <v>45909</v>
      </c>
      <c r="K122" s="2">
        <v>47943</v>
      </c>
      <c r="L122" s="2">
        <v>15025</v>
      </c>
      <c r="M122" s="2">
        <v>25280</v>
      </c>
      <c r="N122" s="2">
        <v>20474</v>
      </c>
      <c r="O122" s="2">
        <v>25695.31</v>
      </c>
      <c r="P122" s="2">
        <v>28749.03</v>
      </c>
      <c r="Q122" s="2">
        <v>32118.47</v>
      </c>
      <c r="R122" s="2">
        <v>30266.76</v>
      </c>
    </row>
    <row r="123" spans="1:18" x14ac:dyDescent="0.25">
      <c r="A123" t="s">
        <v>2572</v>
      </c>
      <c r="B123" s="2">
        <v>17100</v>
      </c>
      <c r="C123" s="2">
        <v>14100</v>
      </c>
      <c r="D123" s="2">
        <v>23500</v>
      </c>
      <c r="E123" s="2">
        <v>32100</v>
      </c>
      <c r="F123" s="2">
        <v>32300</v>
      </c>
      <c r="G123" s="2">
        <v>40627.68</v>
      </c>
      <c r="H123" s="2">
        <v>45698.16</v>
      </c>
      <c r="I123" s="2">
        <v>46100</v>
      </c>
      <c r="J123" s="2">
        <v>37200</v>
      </c>
      <c r="K123" s="2">
        <v>62900</v>
      </c>
      <c r="L123" s="2">
        <v>65200</v>
      </c>
      <c r="M123" s="2">
        <v>54800</v>
      </c>
      <c r="N123" s="2">
        <v>52800</v>
      </c>
      <c r="O123" s="2">
        <v>44285.13</v>
      </c>
      <c r="P123" s="2">
        <v>44267.3</v>
      </c>
      <c r="Q123" s="2">
        <v>55314.76</v>
      </c>
      <c r="R123" s="2">
        <v>52198.85</v>
      </c>
    </row>
    <row r="124" spans="1:18" x14ac:dyDescent="0.25">
      <c r="A124" t="s">
        <v>2315</v>
      </c>
      <c r="B124" s="2">
        <v>-8298.2199999999993</v>
      </c>
      <c r="C124" s="2">
        <v>-20389.810000000001</v>
      </c>
      <c r="D124" s="2">
        <v>-21016.54</v>
      </c>
      <c r="E124" s="2">
        <v>-17926.240000000002</v>
      </c>
      <c r="F124" s="2">
        <v>-24527.95</v>
      </c>
      <c r="G124" s="2">
        <v>-14675.1</v>
      </c>
      <c r="H124" s="2">
        <v>-18097.900000000001</v>
      </c>
      <c r="I124" s="2">
        <v>-16256.58</v>
      </c>
      <c r="J124" s="2">
        <v>-19490.02</v>
      </c>
      <c r="K124" s="2">
        <v>-37061.839999999997</v>
      </c>
      <c r="L124" s="2">
        <v>-18744.080000000002</v>
      </c>
      <c r="M124" s="2">
        <v>-22164</v>
      </c>
      <c r="N124" s="2">
        <v>-25551</v>
      </c>
      <c r="O124" s="2">
        <v>-27282.26</v>
      </c>
      <c r="P124" s="2">
        <v>-27996.77</v>
      </c>
      <c r="Q124" s="2">
        <v>-29216.14</v>
      </c>
      <c r="R124" s="2">
        <v>-32794.28</v>
      </c>
    </row>
    <row r="125" spans="1:18" x14ac:dyDescent="0.25">
      <c r="A125" t="s">
        <v>2542</v>
      </c>
      <c r="B125" s="2">
        <v>65014.35</v>
      </c>
      <c r="C125" s="2">
        <v>72858.960000000006</v>
      </c>
      <c r="D125" s="2">
        <v>79081.25</v>
      </c>
      <c r="E125" s="2">
        <v>93277.15</v>
      </c>
      <c r="F125" s="2">
        <v>138136.47</v>
      </c>
      <c r="G125" s="2">
        <v>127515.29</v>
      </c>
      <c r="H125" s="2">
        <v>144342.18</v>
      </c>
      <c r="I125" s="2">
        <v>154393.59</v>
      </c>
      <c r="J125" s="2">
        <v>258622.47</v>
      </c>
      <c r="K125" s="2">
        <v>273746.56</v>
      </c>
      <c r="L125" s="2">
        <v>312674.03999999998</v>
      </c>
      <c r="M125" s="2">
        <v>375508</v>
      </c>
      <c r="N125" s="2">
        <v>442951.61</v>
      </c>
      <c r="O125" s="2">
        <v>494216.67</v>
      </c>
      <c r="P125" s="2">
        <v>550586.01</v>
      </c>
      <c r="Q125" s="2">
        <v>615042.81000000006</v>
      </c>
      <c r="R125" s="2">
        <v>724620.15</v>
      </c>
    </row>
    <row r="126" spans="1:18" x14ac:dyDescent="0.25">
      <c r="A126" t="s">
        <v>2568</v>
      </c>
      <c r="B126" s="2">
        <v>18834.43</v>
      </c>
      <c r="C126" s="2">
        <v>20764</v>
      </c>
      <c r="D126" s="2">
        <v>23035.119999999999</v>
      </c>
      <c r="E126" s="2">
        <v>22962.83</v>
      </c>
      <c r="F126" s="2">
        <v>59373.88</v>
      </c>
      <c r="G126" s="2">
        <v>29578.89</v>
      </c>
      <c r="H126" s="2">
        <v>31107.29</v>
      </c>
      <c r="I126" s="2">
        <v>28141.08</v>
      </c>
      <c r="J126" s="2">
        <v>129433.69</v>
      </c>
      <c r="K126" s="2">
        <v>72038.47</v>
      </c>
      <c r="L126" s="2">
        <v>62498.17</v>
      </c>
      <c r="M126" s="2">
        <v>91200</v>
      </c>
      <c r="N126" s="2">
        <v>132135</v>
      </c>
      <c r="O126" s="2">
        <v>124429.31</v>
      </c>
      <c r="P126" s="2">
        <v>133813.44</v>
      </c>
      <c r="Q126" s="2">
        <v>145374.18</v>
      </c>
      <c r="R126" s="2">
        <v>163889.1</v>
      </c>
    </row>
    <row r="127" spans="1:18" x14ac:dyDescent="0.25">
      <c r="A127" t="s">
        <v>2569</v>
      </c>
      <c r="B127" s="2">
        <v>-2810.71</v>
      </c>
      <c r="C127" s="2">
        <v>-4221</v>
      </c>
      <c r="D127" s="2">
        <v>-6372.79</v>
      </c>
      <c r="E127" s="2">
        <v>-6514.44</v>
      </c>
      <c r="F127" s="2">
        <v>-6165.22</v>
      </c>
      <c r="G127" s="2">
        <v>-28057.66</v>
      </c>
      <c r="H127" s="2">
        <v>-11629.27</v>
      </c>
      <c r="I127" s="2">
        <v>-9380.39</v>
      </c>
      <c r="J127" s="2">
        <v>-13411.9</v>
      </c>
      <c r="K127" s="2">
        <v>-22995.06</v>
      </c>
      <c r="L127" s="2">
        <v>-17213.849999999999</v>
      </c>
      <c r="M127" s="2">
        <v>-6348</v>
      </c>
      <c r="N127" s="2">
        <v>-20385</v>
      </c>
      <c r="O127" s="2">
        <v>-31826.05</v>
      </c>
      <c r="P127" s="2">
        <v>-30871.68</v>
      </c>
      <c r="Q127" s="2">
        <v>-34355.99</v>
      </c>
      <c r="R127" s="2">
        <v>-38042.78</v>
      </c>
    </row>
    <row r="128" spans="1:18" x14ac:dyDescent="0.25">
      <c r="A128" t="s">
        <v>2570</v>
      </c>
      <c r="B128" s="2">
        <v>3757.78</v>
      </c>
      <c r="C128">
        <v>-163.44</v>
      </c>
      <c r="D128" s="2">
        <v>-2834.21</v>
      </c>
      <c r="E128" s="2">
        <v>4421.34</v>
      </c>
      <c r="F128" s="2">
        <v>4135.54</v>
      </c>
      <c r="G128" s="2">
        <v>-3625.42</v>
      </c>
      <c r="H128" s="2">
        <v>4639.92</v>
      </c>
      <c r="I128" s="2">
        <v>-1038.54</v>
      </c>
      <c r="J128" s="2">
        <v>7682.5</v>
      </c>
      <c r="K128" s="2">
        <v>-9405.11</v>
      </c>
      <c r="L128" s="2">
        <v>14091.87</v>
      </c>
      <c r="M128" s="2">
        <v>11300</v>
      </c>
      <c r="N128" s="2">
        <v>18102</v>
      </c>
      <c r="O128" s="2">
        <v>9003.98</v>
      </c>
      <c r="P128" s="2">
        <v>16297.64</v>
      </c>
      <c r="Q128" s="2">
        <v>22000.01</v>
      </c>
      <c r="R128" s="2">
        <v>27978.75</v>
      </c>
    </row>
    <row r="129" spans="1:18" x14ac:dyDescent="0.25">
      <c r="A129" t="s">
        <v>2571</v>
      </c>
      <c r="D129" s="2">
        <v>4084</v>
      </c>
      <c r="E129" s="2">
        <v>3413.2</v>
      </c>
      <c r="F129" s="2">
        <v>9655.67</v>
      </c>
      <c r="G129" s="2">
        <v>7636</v>
      </c>
      <c r="H129" s="2">
        <v>10185</v>
      </c>
      <c r="I129" s="2">
        <v>11112</v>
      </c>
      <c r="J129" s="2">
        <v>45502</v>
      </c>
      <c r="K129" s="2">
        <v>42336</v>
      </c>
      <c r="L129" s="2">
        <v>31005</v>
      </c>
      <c r="M129" s="2">
        <v>63783</v>
      </c>
      <c r="N129" s="2">
        <v>67693</v>
      </c>
      <c r="O129" s="2">
        <v>58951.12</v>
      </c>
      <c r="P129" s="2">
        <v>76196.38</v>
      </c>
      <c r="Q129" s="2">
        <v>91712.86</v>
      </c>
      <c r="R129" s="2">
        <v>78778.03</v>
      </c>
    </row>
    <row r="130" spans="1:18" x14ac:dyDescent="0.25">
      <c r="A130" t="s">
        <v>2572</v>
      </c>
      <c r="B130" s="2">
        <v>9900</v>
      </c>
      <c r="C130" s="2">
        <v>10000</v>
      </c>
      <c r="D130" s="2">
        <v>14800</v>
      </c>
      <c r="E130" s="2">
        <v>21300</v>
      </c>
      <c r="F130" s="2">
        <v>22300</v>
      </c>
      <c r="G130" s="2">
        <v>24542.240000000002</v>
      </c>
      <c r="H130" s="2">
        <v>28716.91</v>
      </c>
      <c r="I130" s="2">
        <v>25800</v>
      </c>
      <c r="J130" s="2">
        <v>27000</v>
      </c>
      <c r="K130" s="2">
        <v>30000</v>
      </c>
      <c r="L130" s="2">
        <v>45000</v>
      </c>
      <c r="M130" s="2">
        <v>40100</v>
      </c>
      <c r="N130" s="2">
        <v>63700</v>
      </c>
      <c r="O130" s="2">
        <v>94626.39</v>
      </c>
      <c r="P130" s="2">
        <v>120576.2</v>
      </c>
      <c r="Q130" s="2">
        <v>92023</v>
      </c>
      <c r="R130" s="2">
        <v>93241.81</v>
      </c>
    </row>
    <row r="131" spans="1:18" x14ac:dyDescent="0.25">
      <c r="A131" t="s">
        <v>2315</v>
      </c>
      <c r="B131" s="2">
        <v>-11195.99</v>
      </c>
      <c r="C131" s="2">
        <v>-9301.44</v>
      </c>
      <c r="D131" s="2">
        <v>-7605.82</v>
      </c>
      <c r="E131" s="2">
        <v>-6673.83</v>
      </c>
      <c r="F131" s="2">
        <v>-12487.83</v>
      </c>
      <c r="G131" s="2">
        <v>-8517</v>
      </c>
      <c r="H131" s="2">
        <v>-7291.05</v>
      </c>
      <c r="I131" s="2">
        <v>-7670.74</v>
      </c>
      <c r="J131" s="2">
        <v>-19475.41</v>
      </c>
      <c r="K131" s="2">
        <v>-18352.740000000002</v>
      </c>
      <c r="L131" s="2">
        <v>-20368.54</v>
      </c>
      <c r="M131" s="2">
        <v>-33319</v>
      </c>
      <c r="N131" s="2">
        <v>-62408</v>
      </c>
      <c r="O131" s="2">
        <v>-53404.65</v>
      </c>
      <c r="P131" s="2">
        <v>-63008.69</v>
      </c>
      <c r="Q131" s="2">
        <v>-74805.73</v>
      </c>
      <c r="R131" s="2">
        <v>-66857.429999999993</v>
      </c>
    </row>
    <row r="132" spans="1:18" x14ac:dyDescent="0.25">
      <c r="A132" t="s">
        <v>2543</v>
      </c>
      <c r="B132" s="2">
        <v>55657.46</v>
      </c>
      <c r="C132" s="2">
        <v>63585.67</v>
      </c>
      <c r="D132" s="2">
        <v>69105.429999999993</v>
      </c>
      <c r="E132" s="2">
        <v>71119.72</v>
      </c>
      <c r="F132" s="2">
        <v>75090.83</v>
      </c>
      <c r="G132" s="2">
        <v>77814.52</v>
      </c>
      <c r="H132" s="2">
        <v>80738.11</v>
      </c>
      <c r="I132" s="2">
        <v>79422.87</v>
      </c>
      <c r="J132" s="2">
        <v>77466.490000000005</v>
      </c>
      <c r="K132" s="2">
        <v>74928.960000000006</v>
      </c>
      <c r="L132" s="2">
        <v>76186.92</v>
      </c>
      <c r="M132" s="2">
        <v>84150</v>
      </c>
      <c r="N132" s="2">
        <v>96213.6</v>
      </c>
      <c r="O132" s="2">
        <v>115585.21</v>
      </c>
      <c r="P132" s="2">
        <v>128575.41</v>
      </c>
      <c r="Q132" s="2">
        <v>140536.29999999999</v>
      </c>
      <c r="R132" s="2">
        <v>148107.04</v>
      </c>
    </row>
    <row r="133" spans="1:18" x14ac:dyDescent="0.25">
      <c r="A133" t="s">
        <v>2568</v>
      </c>
      <c r="B133" s="2">
        <v>9337.64</v>
      </c>
      <c r="C133" s="2">
        <v>11429</v>
      </c>
      <c r="D133" s="2">
        <v>11040.95</v>
      </c>
      <c r="E133" s="2">
        <v>10782.84</v>
      </c>
      <c r="F133" s="2">
        <v>12106.47</v>
      </c>
      <c r="G133" s="2">
        <v>13278.33</v>
      </c>
      <c r="H133" s="2">
        <v>12242.86</v>
      </c>
      <c r="I133" s="2">
        <v>10415.36</v>
      </c>
      <c r="J133" s="2">
        <v>10747.03</v>
      </c>
      <c r="K133" s="2">
        <v>11431.03</v>
      </c>
      <c r="L133" s="2">
        <v>8476.7199999999993</v>
      </c>
      <c r="M133" s="2">
        <v>11032</v>
      </c>
      <c r="N133" s="2">
        <v>13583</v>
      </c>
      <c r="O133" s="2">
        <v>16735.41</v>
      </c>
      <c r="P133" s="2">
        <v>16821.439999999999</v>
      </c>
      <c r="Q133" s="2">
        <v>19337.830000000002</v>
      </c>
      <c r="R133" s="2">
        <v>19649.349999999999</v>
      </c>
    </row>
    <row r="134" spans="1:18" x14ac:dyDescent="0.25">
      <c r="A134" t="s">
        <v>2569</v>
      </c>
      <c r="B134" s="2">
        <v>-3854.59</v>
      </c>
      <c r="C134" s="2">
        <v>-5430</v>
      </c>
      <c r="D134" s="2">
        <v>-5559.48</v>
      </c>
      <c r="E134" s="2">
        <v>-9871.7099999999991</v>
      </c>
      <c r="F134" s="2">
        <v>-10661.54</v>
      </c>
      <c r="G134" s="2">
        <v>-10780.06</v>
      </c>
      <c r="H134" s="2">
        <v>-13433.7</v>
      </c>
      <c r="I134" s="2">
        <v>-13353.44</v>
      </c>
      <c r="J134" s="2">
        <v>-14562.92</v>
      </c>
      <c r="K134" s="2">
        <v>-11499.69</v>
      </c>
      <c r="L134" s="2">
        <v>-9776.7800000000007</v>
      </c>
      <c r="M134" s="2">
        <v>-9688</v>
      </c>
      <c r="N134" s="2">
        <v>-7316</v>
      </c>
      <c r="O134" s="2">
        <v>-8252.83</v>
      </c>
      <c r="P134" s="2">
        <v>-9833.84</v>
      </c>
      <c r="Q134" s="2">
        <v>-12554.9</v>
      </c>
      <c r="R134" s="2">
        <v>-13352.36</v>
      </c>
    </row>
    <row r="135" spans="1:18" x14ac:dyDescent="0.25">
      <c r="A135" t="s">
        <v>2570</v>
      </c>
      <c r="B135" s="2">
        <v>4529.8599999999997</v>
      </c>
      <c r="C135" s="2">
        <v>2347.11</v>
      </c>
      <c r="D135">
        <v>592.87</v>
      </c>
      <c r="E135" s="2">
        <v>1540.14</v>
      </c>
      <c r="F135" s="2">
        <v>4936.17</v>
      </c>
      <c r="G135">
        <v>697.34</v>
      </c>
      <c r="H135" s="2">
        <v>5386.41</v>
      </c>
      <c r="I135" s="2">
        <v>3015.73</v>
      </c>
      <c r="J135" s="2">
        <v>6179.99</v>
      </c>
      <c r="K135">
        <v>904.86</v>
      </c>
      <c r="L135" s="2">
        <v>5408.39</v>
      </c>
      <c r="M135" s="2">
        <v>9348</v>
      </c>
      <c r="N135" s="2">
        <v>9509</v>
      </c>
      <c r="O135" s="2">
        <v>13015.68</v>
      </c>
      <c r="P135" s="2">
        <v>9396.7800000000007</v>
      </c>
      <c r="Q135" s="2">
        <v>10073.549999999999</v>
      </c>
      <c r="R135" s="2">
        <v>9945.7199999999993</v>
      </c>
    </row>
    <row r="136" spans="1:18" x14ac:dyDescent="0.25">
      <c r="A136" t="s">
        <v>2571</v>
      </c>
      <c r="D136">
        <v>252.37</v>
      </c>
      <c r="E136">
        <v>561.07000000000005</v>
      </c>
      <c r="F136">
        <v>961.57</v>
      </c>
      <c r="G136" s="2">
        <v>1702</v>
      </c>
      <c r="H136" s="2">
        <v>3704</v>
      </c>
      <c r="I136" s="2">
        <v>2689</v>
      </c>
      <c r="J136" s="2">
        <v>4973</v>
      </c>
      <c r="K136" s="2">
        <v>1348</v>
      </c>
      <c r="L136" s="2">
        <v>3303</v>
      </c>
      <c r="M136" s="2">
        <v>2609</v>
      </c>
      <c r="N136" s="2">
        <v>3541</v>
      </c>
      <c r="O136" s="2">
        <v>4137.3999999999996</v>
      </c>
      <c r="P136" s="2">
        <v>4888.55</v>
      </c>
      <c r="Q136" s="2">
        <v>3830.64</v>
      </c>
      <c r="R136" s="2">
        <v>4029.72</v>
      </c>
    </row>
    <row r="137" spans="1:18" x14ac:dyDescent="0.25">
      <c r="A137" t="s">
        <v>2572</v>
      </c>
      <c r="B137" s="2">
        <v>2000</v>
      </c>
      <c r="C137" s="2">
        <v>2400</v>
      </c>
      <c r="D137" s="2">
        <v>4100</v>
      </c>
      <c r="E137" s="2">
        <v>4300</v>
      </c>
      <c r="F137" s="2">
        <v>3900</v>
      </c>
      <c r="G137" s="2">
        <v>3275.77</v>
      </c>
      <c r="H137" s="2">
        <v>2677.75</v>
      </c>
      <c r="I137" s="2">
        <v>4200</v>
      </c>
      <c r="J137" s="2">
        <v>6000</v>
      </c>
      <c r="K137" s="2">
        <v>7100</v>
      </c>
      <c r="L137" s="2">
        <v>7100</v>
      </c>
      <c r="M137" s="2">
        <v>4700</v>
      </c>
      <c r="N137" s="2">
        <v>4400</v>
      </c>
      <c r="O137" s="2">
        <v>8471.24</v>
      </c>
      <c r="P137" s="2">
        <v>12110.54</v>
      </c>
      <c r="Q137" s="2">
        <v>6311.35</v>
      </c>
      <c r="R137" s="2">
        <v>6520.98</v>
      </c>
    </row>
    <row r="138" spans="1:18" x14ac:dyDescent="0.25">
      <c r="A138" t="s">
        <v>2315</v>
      </c>
      <c r="B138">
        <v>-447.96</v>
      </c>
      <c r="C138">
        <v>-416.88</v>
      </c>
      <c r="D138">
        <v>-554.58000000000004</v>
      </c>
      <c r="E138">
        <v>-436.97</v>
      </c>
      <c r="F138" s="2">
        <v>-2409.9899999999998</v>
      </c>
      <c r="G138">
        <v>-471.93</v>
      </c>
      <c r="H138" s="2">
        <v>-1271.97</v>
      </c>
      <c r="I138" s="2">
        <v>-1392.89</v>
      </c>
      <c r="J138" s="2">
        <v>-1320.14</v>
      </c>
      <c r="K138" s="2">
        <v>-1646.78</v>
      </c>
      <c r="L138" s="2">
        <v>-2439.39</v>
      </c>
      <c r="M138" s="2">
        <v>-2729</v>
      </c>
      <c r="N138" s="2">
        <v>-3713</v>
      </c>
      <c r="O138" s="2">
        <v>-2953.71</v>
      </c>
      <c r="P138" s="2">
        <v>-3358.42</v>
      </c>
      <c r="Q138" s="2">
        <v>-3703.7</v>
      </c>
      <c r="R138" s="2">
        <v>-4225.4799999999996</v>
      </c>
    </row>
    <row r="139" spans="1:18" x14ac:dyDescent="0.25">
      <c r="A139" t="s">
        <v>17</v>
      </c>
    </row>
    <row r="140" spans="1:18" x14ac:dyDescent="0.25">
      <c r="A140" t="s">
        <v>2546</v>
      </c>
      <c r="E140" s="2">
        <v>277092.67</v>
      </c>
      <c r="F140" s="2">
        <v>335344</v>
      </c>
      <c r="G140" s="2">
        <v>342527.51</v>
      </c>
      <c r="H140" s="2">
        <v>408074.85</v>
      </c>
      <c r="I140" s="2">
        <v>469433.11</v>
      </c>
      <c r="J140" s="2">
        <v>649969.06000000006</v>
      </c>
      <c r="K140" s="2">
        <v>718386.89</v>
      </c>
      <c r="L140" s="2">
        <v>762607.9</v>
      </c>
      <c r="M140" s="2">
        <v>830708.6</v>
      </c>
      <c r="N140" s="2">
        <v>921674.45</v>
      </c>
      <c r="O140" s="2">
        <v>1004982.13</v>
      </c>
      <c r="P140" s="2">
        <v>1113081.0900000001</v>
      </c>
      <c r="Q140" s="2">
        <v>1269034.17</v>
      </c>
      <c r="R140" s="2">
        <v>1439996.73</v>
      </c>
    </row>
    <row r="141" spans="1:18" x14ac:dyDescent="0.25">
      <c r="A141" t="s">
        <v>2428</v>
      </c>
    </row>
    <row r="142" spans="1:18" x14ac:dyDescent="0.25">
      <c r="A142" t="s">
        <v>2568</v>
      </c>
      <c r="E142" s="2">
        <v>68325.649999999994</v>
      </c>
      <c r="F142" s="2">
        <v>97215.59</v>
      </c>
      <c r="G142" s="2">
        <v>71000.13</v>
      </c>
      <c r="H142" s="2">
        <v>112242.57</v>
      </c>
      <c r="I142" s="2">
        <v>109179</v>
      </c>
      <c r="J142" s="2">
        <v>224546.95</v>
      </c>
      <c r="K142" s="2">
        <v>172269.79</v>
      </c>
      <c r="L142" s="2">
        <v>119352.1</v>
      </c>
      <c r="M142" s="2">
        <v>155432.07999999999</v>
      </c>
      <c r="N142" s="2">
        <v>166992</v>
      </c>
      <c r="O142" s="2">
        <v>173126.02</v>
      </c>
      <c r="P142" s="2">
        <v>199041.47</v>
      </c>
      <c r="Q142" s="2">
        <v>230116.66</v>
      </c>
      <c r="R142" s="2">
        <v>242340.34</v>
      </c>
    </row>
    <row r="143" spans="1:18" x14ac:dyDescent="0.25">
      <c r="A143" t="s">
        <v>2569</v>
      </c>
      <c r="E143" s="2">
        <v>-19835.41</v>
      </c>
      <c r="F143" s="2">
        <v>-18111.66</v>
      </c>
      <c r="G143" s="2">
        <v>-41807.9</v>
      </c>
      <c r="H143" s="2">
        <v>-33039.35</v>
      </c>
      <c r="I143" s="2">
        <v>-31430</v>
      </c>
      <c r="J143" s="2">
        <v>-33438.89</v>
      </c>
      <c r="K143" s="2">
        <v>-58093.37</v>
      </c>
      <c r="L143" s="2">
        <v>-41862.49</v>
      </c>
      <c r="M143" s="2">
        <v>-46365.21</v>
      </c>
      <c r="N143" s="2">
        <v>-39872</v>
      </c>
      <c r="O143" s="2">
        <v>-51047.09</v>
      </c>
      <c r="P143" s="2">
        <v>-48871.32</v>
      </c>
      <c r="Q143" s="2">
        <v>-57463.56</v>
      </c>
      <c r="R143" s="2">
        <v>-65983.179999999993</v>
      </c>
    </row>
    <row r="144" spans="1:18" x14ac:dyDescent="0.25">
      <c r="A144" t="s">
        <v>2315</v>
      </c>
      <c r="E144" s="2">
        <v>-22447.24</v>
      </c>
      <c r="F144" s="2">
        <v>-30988.79</v>
      </c>
      <c r="G144" s="2">
        <v>-20613.43</v>
      </c>
      <c r="H144" s="2">
        <v>-25349.54</v>
      </c>
      <c r="I144" s="2">
        <v>-23151</v>
      </c>
      <c r="J144" s="2">
        <v>-41742.660000000003</v>
      </c>
      <c r="K144" s="2">
        <v>-42406.19</v>
      </c>
      <c r="L144" s="2">
        <v>-45600.97</v>
      </c>
      <c r="M144" s="2">
        <v>-59163.45</v>
      </c>
      <c r="N144" s="2">
        <v>-76560</v>
      </c>
      <c r="O144" s="2">
        <v>-78907.73</v>
      </c>
      <c r="P144" s="2">
        <v>-90337.53</v>
      </c>
      <c r="Q144" s="2">
        <v>-101023.64</v>
      </c>
      <c r="R144" s="2">
        <v>-104016.73</v>
      </c>
    </row>
    <row r="145" spans="1:18" x14ac:dyDescent="0.25">
      <c r="A145" t="s">
        <v>2570</v>
      </c>
      <c r="E145" s="2">
        <v>4903.29</v>
      </c>
      <c r="F145" s="2">
        <v>10136.19</v>
      </c>
      <c r="G145" s="2">
        <v>-1395.29</v>
      </c>
      <c r="H145" s="2">
        <v>11693.68</v>
      </c>
      <c r="I145" s="2">
        <v>6760</v>
      </c>
      <c r="J145" s="2">
        <v>31170.54</v>
      </c>
      <c r="K145" s="2">
        <v>-3352.39</v>
      </c>
      <c r="L145" s="2">
        <v>12332.37</v>
      </c>
      <c r="M145" s="2">
        <v>18197.28</v>
      </c>
      <c r="N145" s="2">
        <v>40406</v>
      </c>
      <c r="O145" s="2">
        <v>35382.769999999997</v>
      </c>
      <c r="P145" s="2">
        <v>41413.14</v>
      </c>
      <c r="Q145" s="2">
        <v>52739.63</v>
      </c>
      <c r="R145" s="2">
        <v>54885.24</v>
      </c>
    </row>
    <row r="146" spans="1:18" x14ac:dyDescent="0.25">
      <c r="A146" t="s">
        <v>2360</v>
      </c>
      <c r="B146" s="2">
        <v>42600.52</v>
      </c>
      <c r="C146" s="2">
        <v>43890.17</v>
      </c>
      <c r="D146" s="2">
        <v>51451.199999999997</v>
      </c>
      <c r="E146" s="2">
        <v>69113.41</v>
      </c>
      <c r="F146" s="2">
        <v>70140.88</v>
      </c>
      <c r="G146" s="2">
        <v>80008.17</v>
      </c>
      <c r="H146" s="2">
        <v>97773.96</v>
      </c>
      <c r="I146" s="2">
        <v>129539.63</v>
      </c>
      <c r="J146" s="2">
        <v>166331.76999999999</v>
      </c>
      <c r="K146" s="2">
        <v>175990.97</v>
      </c>
      <c r="L146" s="2">
        <v>176997.27</v>
      </c>
      <c r="M146" s="2">
        <v>212182.9</v>
      </c>
      <c r="N146" s="2">
        <v>240959.06</v>
      </c>
      <c r="O146" s="2">
        <v>287940.17</v>
      </c>
      <c r="P146" s="2">
        <v>324280.5</v>
      </c>
      <c r="Q146" s="2">
        <v>371112.59</v>
      </c>
      <c r="R146" s="2">
        <v>420525.66</v>
      </c>
    </row>
    <row r="147" spans="1:18" x14ac:dyDescent="0.25">
      <c r="A147" t="s">
        <v>2568</v>
      </c>
      <c r="B147" s="2">
        <v>9884.34</v>
      </c>
      <c r="C147" s="2">
        <v>6757.45</v>
      </c>
      <c r="D147" s="2">
        <v>13882.26</v>
      </c>
      <c r="E147" s="2">
        <v>28917.9</v>
      </c>
      <c r="F147" s="2">
        <v>8257.43</v>
      </c>
      <c r="G147" s="2">
        <v>16096.54</v>
      </c>
      <c r="H147" s="2">
        <v>27260.48</v>
      </c>
      <c r="I147" s="2">
        <v>45359.95</v>
      </c>
      <c r="J147" s="2">
        <v>37527.019999999997</v>
      </c>
      <c r="K147" s="2">
        <v>52712.94</v>
      </c>
      <c r="L147" s="2">
        <v>23986.57</v>
      </c>
      <c r="M147" s="2">
        <v>46270</v>
      </c>
      <c r="N147" s="2">
        <v>40166</v>
      </c>
      <c r="O147" s="2">
        <v>63299.39</v>
      </c>
      <c r="P147" s="2">
        <v>54962.98</v>
      </c>
      <c r="Q147" s="2">
        <v>63813.27</v>
      </c>
      <c r="R147" s="2">
        <v>66995.820000000007</v>
      </c>
    </row>
    <row r="148" spans="1:18" x14ac:dyDescent="0.25">
      <c r="A148" t="s">
        <v>2569</v>
      </c>
      <c r="B148">
        <v>-392.88</v>
      </c>
      <c r="C148" s="2">
        <v>-1124.3599999999999</v>
      </c>
      <c r="D148" s="2">
        <v>-1395.02</v>
      </c>
      <c r="E148" s="2">
        <v>-3154.42</v>
      </c>
      <c r="F148" s="2">
        <v>-1196.5</v>
      </c>
      <c r="G148" s="2">
        <v>-1888.22</v>
      </c>
      <c r="H148" s="2">
        <v>-2352.7199999999998</v>
      </c>
      <c r="I148" s="2">
        <v>-5956.36</v>
      </c>
      <c r="J148" s="2">
        <v>-3693.89</v>
      </c>
      <c r="K148" s="2">
        <v>-3799.65</v>
      </c>
      <c r="L148">
        <v>-737.83</v>
      </c>
      <c r="M148" s="2">
        <v>-7998</v>
      </c>
      <c r="N148" s="2">
        <v>-8601</v>
      </c>
      <c r="O148" s="2">
        <v>-14070.26</v>
      </c>
      <c r="P148" s="2">
        <v>-10505.84</v>
      </c>
      <c r="Q148" s="2">
        <v>-12201.42</v>
      </c>
      <c r="R148" s="2">
        <v>-11285.94</v>
      </c>
    </row>
    <row r="149" spans="1:18" x14ac:dyDescent="0.25">
      <c r="A149" t="s">
        <v>2570</v>
      </c>
      <c r="B149">
        <v>84.06</v>
      </c>
      <c r="C149">
        <v>390</v>
      </c>
      <c r="D149">
        <v>180.44</v>
      </c>
      <c r="E149">
        <v>92.05</v>
      </c>
      <c r="F149">
        <v>527.89</v>
      </c>
      <c r="G149">
        <v>388.81</v>
      </c>
      <c r="H149">
        <v>71.03</v>
      </c>
      <c r="I149">
        <v>-346.99</v>
      </c>
      <c r="J149" s="2">
        <v>6372.18</v>
      </c>
      <c r="K149" s="2">
        <v>3028.3</v>
      </c>
      <c r="L149" s="2">
        <v>2614.56</v>
      </c>
      <c r="M149" s="2">
        <v>6322</v>
      </c>
      <c r="N149" s="2">
        <v>13149</v>
      </c>
      <c r="O149" s="2">
        <v>15740</v>
      </c>
      <c r="P149" s="2">
        <v>13571.33</v>
      </c>
      <c r="Q149" s="2">
        <v>16228.35</v>
      </c>
      <c r="R149" s="2">
        <v>19540.009999999998</v>
      </c>
    </row>
    <row r="150" spans="1:18" x14ac:dyDescent="0.25">
      <c r="A150" t="s">
        <v>2315</v>
      </c>
      <c r="B150" s="2">
        <v>-4025.17</v>
      </c>
      <c r="C150" s="2">
        <v>-4734</v>
      </c>
      <c r="D150" s="2">
        <v>-5106.6499999999996</v>
      </c>
      <c r="E150" s="2">
        <v>-8193.32</v>
      </c>
      <c r="F150" s="2">
        <v>-6558.39</v>
      </c>
      <c r="G150" s="2">
        <v>-4729.84</v>
      </c>
      <c r="H150" s="2">
        <v>-7212.99</v>
      </c>
      <c r="I150" s="2">
        <v>-7290.93</v>
      </c>
      <c r="J150" s="2">
        <v>-13187.98</v>
      </c>
      <c r="K150" s="2">
        <v>-9111.4699999999993</v>
      </c>
      <c r="L150" s="2">
        <v>-8693.83</v>
      </c>
      <c r="M150" s="2">
        <v>-9409</v>
      </c>
      <c r="N150" s="2">
        <v>-15938</v>
      </c>
      <c r="O150" s="2">
        <v>-20907.05</v>
      </c>
      <c r="P150" s="2">
        <v>-23039.33</v>
      </c>
      <c r="Q150" s="2">
        <v>-23099.16</v>
      </c>
      <c r="R150" s="2">
        <v>-25320.95</v>
      </c>
    </row>
    <row r="151" spans="1:18" x14ac:dyDescent="0.25">
      <c r="A151" t="s">
        <v>2361</v>
      </c>
      <c r="B151" s="2">
        <v>50792.800000000003</v>
      </c>
      <c r="C151" s="2">
        <v>52563.07</v>
      </c>
      <c r="D151" s="2">
        <v>67345.36</v>
      </c>
      <c r="E151" s="2">
        <v>72030.05</v>
      </c>
      <c r="F151" s="2">
        <v>83984.82</v>
      </c>
      <c r="G151" s="2">
        <v>93252.72</v>
      </c>
      <c r="H151" s="2">
        <v>128214.14</v>
      </c>
      <c r="I151" s="2">
        <v>149121.46</v>
      </c>
      <c r="J151" s="2">
        <v>221476.7</v>
      </c>
      <c r="K151" s="2">
        <v>281967.15000000002</v>
      </c>
      <c r="L151" s="2">
        <v>298889.48</v>
      </c>
      <c r="M151" s="2">
        <v>278914.94</v>
      </c>
      <c r="N151" s="2">
        <v>279427.15000000002</v>
      </c>
      <c r="O151" s="2">
        <v>280586.59999999998</v>
      </c>
      <c r="P151" s="2">
        <v>297271.28999999998</v>
      </c>
      <c r="Q151" s="2">
        <v>337288.35</v>
      </c>
      <c r="R151" s="2">
        <v>364039.85</v>
      </c>
    </row>
    <row r="152" spans="1:18" x14ac:dyDescent="0.25">
      <c r="A152" t="s">
        <v>2568</v>
      </c>
      <c r="B152" s="2">
        <v>13835.63</v>
      </c>
      <c r="C152" s="2">
        <v>11536.44</v>
      </c>
      <c r="D152" s="2">
        <v>27698.2</v>
      </c>
      <c r="E152" s="2">
        <v>14230.16</v>
      </c>
      <c r="F152" s="2">
        <v>23555.87</v>
      </c>
      <c r="G152" s="2">
        <v>17961.22</v>
      </c>
      <c r="H152" s="2">
        <v>52424.66</v>
      </c>
      <c r="I152" s="2">
        <v>28071.47</v>
      </c>
      <c r="J152" s="2">
        <v>73051.75</v>
      </c>
      <c r="K152" s="2">
        <v>90199.88</v>
      </c>
      <c r="L152" s="2">
        <v>53922.51</v>
      </c>
      <c r="M152" s="2">
        <v>28674</v>
      </c>
      <c r="N152" s="2">
        <v>23255</v>
      </c>
      <c r="O152" s="2">
        <v>24817.040000000001</v>
      </c>
      <c r="P152" s="2">
        <v>37281.42</v>
      </c>
      <c r="Q152" s="2">
        <v>53422.15</v>
      </c>
      <c r="R152" s="2">
        <v>50325.37</v>
      </c>
    </row>
    <row r="153" spans="1:18" x14ac:dyDescent="0.25">
      <c r="A153" t="s">
        <v>2569</v>
      </c>
      <c r="B153" s="2">
        <v>-1329.76</v>
      </c>
      <c r="C153">
        <v>-295.07</v>
      </c>
      <c r="D153" s="2">
        <v>-4165.5200000000004</v>
      </c>
      <c r="E153" s="2">
        <v>-2180.1799999999998</v>
      </c>
      <c r="F153" s="2">
        <v>-2773.18</v>
      </c>
      <c r="G153" s="2">
        <v>-2000.37</v>
      </c>
      <c r="H153" s="2">
        <v>-9690.14</v>
      </c>
      <c r="I153" s="2">
        <v>-3517.88</v>
      </c>
      <c r="J153" s="2">
        <v>-3092.93</v>
      </c>
      <c r="K153" s="2">
        <v>-20168.57</v>
      </c>
      <c r="L153" s="2">
        <v>-18176.93</v>
      </c>
      <c r="M153" s="2">
        <v>-23207</v>
      </c>
      <c r="N153" s="2">
        <v>-7539</v>
      </c>
      <c r="O153" s="2">
        <v>-5926.09</v>
      </c>
      <c r="P153" s="2">
        <v>-8029.39</v>
      </c>
      <c r="Q153" s="2">
        <v>-9355.66</v>
      </c>
      <c r="R153" s="2">
        <v>-11997.44</v>
      </c>
    </row>
    <row r="154" spans="1:18" x14ac:dyDescent="0.25">
      <c r="A154" t="s">
        <v>2570</v>
      </c>
      <c r="B154">
        <v>5.0999999999999996</v>
      </c>
      <c r="C154">
        <v>-750</v>
      </c>
      <c r="D154">
        <v>-236.62</v>
      </c>
      <c r="E154">
        <v>653.91999999999996</v>
      </c>
      <c r="F154" s="2">
        <v>3023.95</v>
      </c>
      <c r="G154" s="2">
        <v>2088.1799999999998</v>
      </c>
      <c r="H154" s="2">
        <v>3580.57</v>
      </c>
      <c r="I154" s="2">
        <v>5361.22</v>
      </c>
      <c r="J154" s="2">
        <v>16606.810000000001</v>
      </c>
      <c r="K154" s="2">
        <v>4751.49</v>
      </c>
      <c r="L154" s="2">
        <v>-5038.79</v>
      </c>
      <c r="M154" s="2">
        <v>-2033</v>
      </c>
      <c r="N154" s="2">
        <v>8309</v>
      </c>
      <c r="O154" s="2">
        <v>2712.68</v>
      </c>
      <c r="P154" s="2">
        <v>10399.15</v>
      </c>
      <c r="Q154" s="2">
        <v>12318.5</v>
      </c>
      <c r="R154" s="2">
        <v>11332.56</v>
      </c>
    </row>
    <row r="155" spans="1:18" x14ac:dyDescent="0.25">
      <c r="A155" t="s">
        <v>2315</v>
      </c>
      <c r="B155" s="2">
        <v>-3649.49</v>
      </c>
      <c r="C155" s="2">
        <v>-8720</v>
      </c>
      <c r="D155" s="2">
        <v>-8513.77</v>
      </c>
      <c r="E155" s="2">
        <v>-8019.2</v>
      </c>
      <c r="F155" s="2">
        <v>-11851.87</v>
      </c>
      <c r="G155" s="2">
        <v>-8781.14</v>
      </c>
      <c r="H155" s="2">
        <v>-11353.68</v>
      </c>
      <c r="I155" s="2">
        <v>-9007.49</v>
      </c>
      <c r="J155" s="2">
        <v>-14210.39</v>
      </c>
      <c r="K155" s="2">
        <v>-22661.83</v>
      </c>
      <c r="L155" s="2">
        <v>-20266.34</v>
      </c>
      <c r="M155" s="2">
        <v>-23409</v>
      </c>
      <c r="N155" s="2">
        <v>-23513</v>
      </c>
      <c r="O155" s="2">
        <v>-20321.009999999998</v>
      </c>
      <c r="P155" s="2">
        <v>-21233.37</v>
      </c>
      <c r="Q155" s="2">
        <v>-22386.47</v>
      </c>
      <c r="R155" s="2">
        <v>-24376.09</v>
      </c>
    </row>
    <row r="156" spans="1:18" x14ac:dyDescent="0.25">
      <c r="A156" t="s">
        <v>2542</v>
      </c>
      <c r="B156" s="2">
        <v>51722.58</v>
      </c>
      <c r="C156" s="2">
        <v>58821.01</v>
      </c>
      <c r="D156" s="2">
        <v>61684.38</v>
      </c>
      <c r="E156" s="2">
        <v>68961.66</v>
      </c>
      <c r="F156" s="2">
        <v>111304.23</v>
      </c>
      <c r="G156" s="2">
        <v>96986.01</v>
      </c>
      <c r="H156" s="2">
        <v>106450.75</v>
      </c>
      <c r="I156" s="2">
        <v>116645.41</v>
      </c>
      <c r="J156" s="2">
        <v>197900.83</v>
      </c>
      <c r="K156" s="2">
        <v>198162.93</v>
      </c>
      <c r="L156" s="2">
        <v>223844.08</v>
      </c>
      <c r="M156" s="2">
        <v>264617.56</v>
      </c>
      <c r="N156" s="2">
        <v>315640.58</v>
      </c>
      <c r="O156" s="2">
        <v>334330.23</v>
      </c>
      <c r="P156" s="2">
        <v>377251.12</v>
      </c>
      <c r="Q156" s="2">
        <v>430773.33</v>
      </c>
      <c r="R156" s="2">
        <v>516017.18</v>
      </c>
    </row>
    <row r="157" spans="1:18" x14ac:dyDescent="0.25">
      <c r="A157" t="s">
        <v>2568</v>
      </c>
      <c r="B157" s="2">
        <v>15382.43</v>
      </c>
      <c r="C157" s="2">
        <v>19845.689999999999</v>
      </c>
      <c r="D157" s="2">
        <v>17310.41</v>
      </c>
      <c r="E157" s="2">
        <v>15045.18</v>
      </c>
      <c r="F157" s="2">
        <v>55099.85</v>
      </c>
      <c r="G157" s="2">
        <v>24587.96</v>
      </c>
      <c r="H157" s="2">
        <v>21069.19</v>
      </c>
      <c r="I157" s="2">
        <v>26035.01</v>
      </c>
      <c r="J157" s="2">
        <v>103311.87</v>
      </c>
      <c r="K157" s="2">
        <v>71695.59</v>
      </c>
      <c r="L157" s="2">
        <v>62132.62</v>
      </c>
      <c r="M157" s="2">
        <v>71530</v>
      </c>
      <c r="N157" s="2">
        <v>91521</v>
      </c>
      <c r="O157" s="2">
        <v>70725.38</v>
      </c>
      <c r="P157" s="2">
        <v>93542.85</v>
      </c>
      <c r="Q157" s="2">
        <v>105010.66</v>
      </c>
      <c r="R157" s="2">
        <v>118671.02</v>
      </c>
    </row>
    <row r="158" spans="1:18" x14ac:dyDescent="0.25">
      <c r="A158" t="s">
        <v>2569</v>
      </c>
      <c r="B158" s="2">
        <v>-2085.21</v>
      </c>
      <c r="C158" s="2">
        <v>-3458.71</v>
      </c>
      <c r="D158" s="2">
        <v>-5711.57</v>
      </c>
      <c r="E158" s="2">
        <v>-4756.7299999999996</v>
      </c>
      <c r="F158" s="2">
        <v>-4364.92</v>
      </c>
      <c r="G158" s="2">
        <v>-27640.91</v>
      </c>
      <c r="H158" s="2">
        <v>-9067.5499999999993</v>
      </c>
      <c r="I158" s="2">
        <v>-9417.1299999999992</v>
      </c>
      <c r="J158" s="2">
        <v>-11948.06</v>
      </c>
      <c r="K158" s="2">
        <v>-22426.32</v>
      </c>
      <c r="L158" s="2">
        <v>-13525.08</v>
      </c>
      <c r="M158" s="2">
        <v>-6392</v>
      </c>
      <c r="N158" s="2">
        <v>-16998</v>
      </c>
      <c r="O158" s="2">
        <v>-24028.81</v>
      </c>
      <c r="P158" s="2">
        <v>-21552.26</v>
      </c>
      <c r="Q158" s="2">
        <v>-23008.080000000002</v>
      </c>
      <c r="R158" s="2">
        <v>-24831.26</v>
      </c>
    </row>
    <row r="159" spans="1:18" x14ac:dyDescent="0.25">
      <c r="A159" t="s">
        <v>2570</v>
      </c>
      <c r="B159" s="2">
        <v>1876.77</v>
      </c>
      <c r="C159" s="2">
        <v>-1494</v>
      </c>
      <c r="D159" s="2">
        <v>-2417.41</v>
      </c>
      <c r="E159" s="2">
        <v>2806.96</v>
      </c>
      <c r="F159" s="2">
        <v>2001.01</v>
      </c>
      <c r="G159" s="2">
        <v>-4592.7299999999996</v>
      </c>
      <c r="H159" s="2">
        <v>3092.19</v>
      </c>
      <c r="I159">
        <v>-916.93</v>
      </c>
      <c r="J159" s="2">
        <v>2666.84</v>
      </c>
      <c r="K159" s="2">
        <v>-11783.11</v>
      </c>
      <c r="L159" s="2">
        <v>9611.4</v>
      </c>
      <c r="M159" s="2">
        <v>5131</v>
      </c>
      <c r="N159" s="2">
        <v>10246</v>
      </c>
      <c r="O159" s="2">
        <v>5546.34</v>
      </c>
      <c r="P159" s="2">
        <v>11040.56</v>
      </c>
      <c r="Q159" s="2">
        <v>15324.19</v>
      </c>
      <c r="R159" s="2">
        <v>19679.34</v>
      </c>
    </row>
    <row r="160" spans="1:18" x14ac:dyDescent="0.25">
      <c r="A160" t="s">
        <v>2315</v>
      </c>
      <c r="B160" s="2">
        <v>-8871.5400000000009</v>
      </c>
      <c r="C160" s="2">
        <v>-7029</v>
      </c>
      <c r="D160" s="2">
        <v>-6318.06</v>
      </c>
      <c r="E160" s="2">
        <v>-5818.14</v>
      </c>
      <c r="F160" s="2">
        <v>-10396.31</v>
      </c>
      <c r="G160" s="2">
        <v>-6672.54</v>
      </c>
      <c r="H160" s="2">
        <v>-5629.09</v>
      </c>
      <c r="I160" s="2">
        <v>-5506.29</v>
      </c>
      <c r="J160" s="2">
        <v>-12775.23</v>
      </c>
      <c r="K160" s="2">
        <v>-8644.65</v>
      </c>
      <c r="L160" s="2">
        <v>-13454.68</v>
      </c>
      <c r="M160" s="2">
        <v>-23840</v>
      </c>
      <c r="N160" s="2">
        <v>-33745</v>
      </c>
      <c r="O160" s="2">
        <v>-35003.82</v>
      </c>
      <c r="P160" s="2">
        <v>-42301.31</v>
      </c>
      <c r="Q160" s="2">
        <v>-49386.27</v>
      </c>
      <c r="R160" s="2">
        <v>-45588.03</v>
      </c>
    </row>
    <row r="161" spans="1:18" x14ac:dyDescent="0.25">
      <c r="A161" t="s">
        <v>2543</v>
      </c>
      <c r="B161" s="2">
        <v>52865.84</v>
      </c>
      <c r="C161" s="2">
        <v>61417.56</v>
      </c>
      <c r="D161" s="2">
        <v>65665.440000000002</v>
      </c>
      <c r="E161" s="2">
        <v>66987.55</v>
      </c>
      <c r="F161" s="2">
        <v>69914.06</v>
      </c>
      <c r="G161" s="2">
        <v>72280.61</v>
      </c>
      <c r="H161" s="2">
        <v>75636</v>
      </c>
      <c r="I161" s="2">
        <v>74126.61</v>
      </c>
      <c r="J161" s="2">
        <v>70985.929999999993</v>
      </c>
      <c r="K161" s="2">
        <v>67893.08</v>
      </c>
      <c r="L161" s="2">
        <v>68532.23</v>
      </c>
      <c r="M161" s="2">
        <v>74993.210000000006</v>
      </c>
      <c r="N161" s="2">
        <v>85647.67</v>
      </c>
      <c r="O161" s="2">
        <v>105001.68</v>
      </c>
      <c r="P161" s="2">
        <v>117334.11</v>
      </c>
      <c r="Q161" s="2">
        <v>129859.91</v>
      </c>
      <c r="R161" s="2">
        <v>139414.04</v>
      </c>
    </row>
    <row r="162" spans="1:18" x14ac:dyDescent="0.25">
      <c r="A162" t="s">
        <v>2568</v>
      </c>
      <c r="B162" s="2">
        <v>9098</v>
      </c>
      <c r="C162" s="2">
        <v>12021.21</v>
      </c>
      <c r="D162" s="2">
        <v>9667.27</v>
      </c>
      <c r="E162" s="2">
        <v>10132.41</v>
      </c>
      <c r="F162" s="2">
        <v>10302.44</v>
      </c>
      <c r="G162" s="2">
        <v>12354.41</v>
      </c>
      <c r="H162" s="2">
        <v>11488.23</v>
      </c>
      <c r="I162" s="2">
        <v>9712.93</v>
      </c>
      <c r="J162" s="2">
        <v>10656.31</v>
      </c>
      <c r="K162" s="2">
        <v>11431.03</v>
      </c>
      <c r="L162" s="2">
        <v>8476.7199999999993</v>
      </c>
      <c r="M162" s="2">
        <v>8958</v>
      </c>
      <c r="N162" s="2">
        <v>12051</v>
      </c>
      <c r="O162" s="2">
        <v>16903.310000000001</v>
      </c>
      <c r="P162" s="2">
        <v>15744.41</v>
      </c>
      <c r="Q162" s="2">
        <v>18007.560000000001</v>
      </c>
      <c r="R162" s="2">
        <v>17790.82</v>
      </c>
    </row>
    <row r="163" spans="1:18" x14ac:dyDescent="0.25">
      <c r="A163" t="s">
        <v>2569</v>
      </c>
      <c r="B163" s="2">
        <v>-3626.64</v>
      </c>
      <c r="C163" s="2">
        <v>-5362.97</v>
      </c>
      <c r="D163" s="2">
        <v>-5430.09</v>
      </c>
      <c r="E163" s="2">
        <v>-9744.08</v>
      </c>
      <c r="F163" s="2">
        <v>-9777.06</v>
      </c>
      <c r="G163" s="2">
        <v>-10278.4</v>
      </c>
      <c r="H163" s="2">
        <v>-11928.94</v>
      </c>
      <c r="I163" s="2">
        <v>-12538.75</v>
      </c>
      <c r="J163" s="2">
        <v>-14704.01</v>
      </c>
      <c r="K163" s="2">
        <v>-11698.83</v>
      </c>
      <c r="L163" s="2">
        <v>-9422.65</v>
      </c>
      <c r="M163" s="2">
        <v>-8769</v>
      </c>
      <c r="N163" s="2">
        <v>-6734</v>
      </c>
      <c r="O163" s="2">
        <v>-7597.88</v>
      </c>
      <c r="P163" s="2">
        <v>-9173.35</v>
      </c>
      <c r="Q163" s="2">
        <v>-11163.4</v>
      </c>
      <c r="R163" s="2">
        <v>-11272.67</v>
      </c>
    </row>
    <row r="164" spans="1:18" x14ac:dyDescent="0.25">
      <c r="A164" t="s">
        <v>2570</v>
      </c>
      <c r="B164" s="2">
        <v>4263.8100000000004</v>
      </c>
      <c r="C164" s="2">
        <v>2206</v>
      </c>
      <c r="D164">
        <v>527.32000000000005</v>
      </c>
      <c r="E164" s="2">
        <v>1350.37</v>
      </c>
      <c r="F164" s="2">
        <v>4583.3500000000004</v>
      </c>
      <c r="G164">
        <v>720.45</v>
      </c>
      <c r="H164" s="2">
        <v>4949.8900000000003</v>
      </c>
      <c r="I164" s="2">
        <v>2662.58</v>
      </c>
      <c r="J164" s="2">
        <v>5524.72</v>
      </c>
      <c r="K164">
        <v>650.92999999999995</v>
      </c>
      <c r="L164" s="2">
        <v>5145.2</v>
      </c>
      <c r="M164" s="2">
        <v>8777</v>
      </c>
      <c r="N164" s="2">
        <v>8702</v>
      </c>
      <c r="O164" s="2">
        <v>11980.01</v>
      </c>
      <c r="P164" s="2">
        <v>8565.67</v>
      </c>
      <c r="Q164" s="2">
        <v>9255.1299999999992</v>
      </c>
      <c r="R164" s="2">
        <v>9294.58</v>
      </c>
    </row>
    <row r="165" spans="1:18" x14ac:dyDescent="0.25">
      <c r="A165" t="s">
        <v>2315</v>
      </c>
      <c r="B165">
        <v>-348.13</v>
      </c>
      <c r="C165">
        <v>-312</v>
      </c>
      <c r="D165">
        <v>-516.62</v>
      </c>
      <c r="E165">
        <v>-416.58</v>
      </c>
      <c r="F165" s="2">
        <v>-2182.2199999999998</v>
      </c>
      <c r="G165">
        <v>-429.91</v>
      </c>
      <c r="H165" s="2">
        <v>-1153.79</v>
      </c>
      <c r="I165" s="2">
        <v>-1346.15</v>
      </c>
      <c r="J165" s="2">
        <v>-1569.06</v>
      </c>
      <c r="K165" s="2">
        <v>-1988.24</v>
      </c>
      <c r="L165" s="2">
        <v>-3186.12</v>
      </c>
      <c r="M165" s="2">
        <v>-2505</v>
      </c>
      <c r="N165" s="2">
        <v>-3364</v>
      </c>
      <c r="O165" s="2">
        <v>-2675.31</v>
      </c>
      <c r="P165" s="2">
        <v>-2943.71</v>
      </c>
      <c r="Q165" s="2">
        <v>-3079.05</v>
      </c>
      <c r="R165" s="2">
        <v>-3015.7</v>
      </c>
    </row>
    <row r="166" spans="1:18" x14ac:dyDescent="0.25">
      <c r="A166" t="s">
        <v>17</v>
      </c>
    </row>
    <row r="167" spans="1:18" x14ac:dyDescent="0.25">
      <c r="A167" t="s">
        <v>2421</v>
      </c>
      <c r="E167" s="2">
        <v>23100</v>
      </c>
      <c r="F167" s="2">
        <v>50700</v>
      </c>
      <c r="G167" s="2">
        <v>44700</v>
      </c>
      <c r="H167" s="2">
        <v>62948</v>
      </c>
      <c r="I167" s="2">
        <v>61696</v>
      </c>
      <c r="J167" s="2">
        <v>144426</v>
      </c>
      <c r="K167" s="2">
        <v>120553.94</v>
      </c>
      <c r="L167" s="2">
        <v>73810.320000000007</v>
      </c>
      <c r="M167" s="2">
        <v>133862.91</v>
      </c>
      <c r="N167" s="2">
        <v>138212</v>
      </c>
      <c r="O167" s="2">
        <v>147608.44</v>
      </c>
      <c r="P167" s="2">
        <v>166906.89000000001</v>
      </c>
      <c r="Q167" s="2">
        <v>161250</v>
      </c>
      <c r="R167" s="2">
        <v>166752</v>
      </c>
    </row>
    <row r="168" spans="1:18" x14ac:dyDescent="0.25">
      <c r="A168" t="s">
        <v>17</v>
      </c>
    </row>
    <row r="169" spans="1:18" x14ac:dyDescent="0.25">
      <c r="A169" t="s">
        <v>274</v>
      </c>
    </row>
    <row r="170" spans="1:18" x14ac:dyDescent="0.25">
      <c r="A170" t="s">
        <v>2573</v>
      </c>
      <c r="B170" s="2">
        <v>1457.31</v>
      </c>
      <c r="C170" s="2">
        <v>7537.29</v>
      </c>
      <c r="D170" s="2">
        <v>4555.93</v>
      </c>
      <c r="E170" s="2">
        <v>5061.8599999999997</v>
      </c>
      <c r="F170" s="2">
        <v>6786.77</v>
      </c>
      <c r="G170" s="2">
        <v>5208.12</v>
      </c>
      <c r="H170" s="2">
        <v>5581.03</v>
      </c>
      <c r="I170" s="2">
        <v>6514.77</v>
      </c>
      <c r="J170" s="2">
        <v>11663.36</v>
      </c>
      <c r="K170" s="2">
        <v>12590.04</v>
      </c>
      <c r="L170" s="2">
        <v>9693.81</v>
      </c>
      <c r="M170" s="2">
        <v>11649.04</v>
      </c>
      <c r="N170" s="2">
        <v>13076.75</v>
      </c>
      <c r="O170" s="2">
        <v>14900.22</v>
      </c>
      <c r="P170" s="2">
        <v>18448</v>
      </c>
      <c r="Q170" s="2">
        <v>19847.8</v>
      </c>
      <c r="R170" s="2">
        <v>22339</v>
      </c>
    </row>
    <row r="171" spans="1:18" x14ac:dyDescent="0.25">
      <c r="A171" t="s">
        <v>17</v>
      </c>
    </row>
    <row r="172" spans="1:18" x14ac:dyDescent="0.25">
      <c r="A172" t="s">
        <v>2547</v>
      </c>
    </row>
    <row r="173" spans="1:18" x14ac:dyDescent="0.25">
      <c r="A173" t="s">
        <v>2574</v>
      </c>
      <c r="C173" s="2">
        <v>1900.76</v>
      </c>
      <c r="D173" s="2">
        <v>2103.09</v>
      </c>
      <c r="E173" s="2">
        <v>2318.14</v>
      </c>
      <c r="F173" s="2">
        <v>2613.98</v>
      </c>
      <c r="G173" s="2">
        <v>2806.95</v>
      </c>
      <c r="H173" s="2">
        <v>3169.82</v>
      </c>
      <c r="I173" s="2">
        <v>3903.29</v>
      </c>
      <c r="J173" s="2">
        <v>4775.3</v>
      </c>
      <c r="K173" s="2">
        <v>5972.83</v>
      </c>
      <c r="L173" s="2">
        <v>6427.35</v>
      </c>
      <c r="M173" s="2">
        <v>6733.85</v>
      </c>
      <c r="N173" s="2">
        <v>7548.86</v>
      </c>
      <c r="O173" s="2">
        <v>7994.94</v>
      </c>
      <c r="P173" s="2">
        <v>8940.5</v>
      </c>
      <c r="Q173" s="2">
        <v>10046.790000000001</v>
      </c>
      <c r="R173" s="2">
        <v>11373.07</v>
      </c>
    </row>
    <row r="174" spans="1:18" x14ac:dyDescent="0.25">
      <c r="A174" t="s">
        <v>2575</v>
      </c>
      <c r="C174">
        <v>667.28</v>
      </c>
      <c r="D174">
        <v>461.82</v>
      </c>
      <c r="E174">
        <v>144.86000000000001</v>
      </c>
      <c r="F174">
        <v>156.82</v>
      </c>
      <c r="G174">
        <v>229.5</v>
      </c>
      <c r="H174">
        <v>314.42</v>
      </c>
      <c r="I174">
        <v>207.88</v>
      </c>
      <c r="J174">
        <v>391.94</v>
      </c>
      <c r="K174">
        <v>310.12</v>
      </c>
      <c r="L174">
        <v>235.89</v>
      </c>
      <c r="M174">
        <v>399.69</v>
      </c>
      <c r="N174">
        <v>582.83000000000004</v>
      </c>
      <c r="O174">
        <v>944.32</v>
      </c>
      <c r="P174">
        <v>916.27</v>
      </c>
      <c r="Q174" s="2">
        <v>1030.94</v>
      </c>
      <c r="R174" s="2">
        <v>1081.75</v>
      </c>
    </row>
    <row r="175" spans="1:18" x14ac:dyDescent="0.25">
      <c r="A175" t="s">
        <v>2576</v>
      </c>
      <c r="B175" s="2">
        <v>2286.08</v>
      </c>
      <c r="C175" s="2">
        <v>2568.04</v>
      </c>
      <c r="D175" s="2">
        <v>2564.91</v>
      </c>
      <c r="E175" s="2">
        <v>2462.9899999999998</v>
      </c>
      <c r="F175" s="2">
        <v>2770.79</v>
      </c>
      <c r="G175" s="2">
        <v>3036.45</v>
      </c>
      <c r="H175" s="2">
        <v>3484.24</v>
      </c>
      <c r="I175" s="2">
        <v>4111.17</v>
      </c>
      <c r="J175" s="2">
        <v>5167.24</v>
      </c>
      <c r="K175" s="2">
        <v>6282.95</v>
      </c>
      <c r="L175" s="2">
        <v>6663.24</v>
      </c>
      <c r="M175" s="2">
        <v>7133.53</v>
      </c>
      <c r="N175" s="2">
        <v>8016.05</v>
      </c>
      <c r="O175" s="2">
        <v>8809.01</v>
      </c>
      <c r="P175" s="2">
        <v>9759.64</v>
      </c>
      <c r="Q175" s="2">
        <v>10938.47</v>
      </c>
      <c r="R175" s="2">
        <v>12319.78</v>
      </c>
    </row>
    <row r="176" spans="1:18" x14ac:dyDescent="0.25">
      <c r="A176" t="s">
        <v>17</v>
      </c>
    </row>
    <row r="177" spans="1:19" x14ac:dyDescent="0.25">
      <c r="A177" t="s">
        <v>2577</v>
      </c>
      <c r="C177">
        <v>63.92</v>
      </c>
      <c r="D177">
        <v>101.12</v>
      </c>
      <c r="E177">
        <v>101.43</v>
      </c>
      <c r="F177">
        <v>169.45</v>
      </c>
      <c r="G177">
        <v>123.84</v>
      </c>
      <c r="H177">
        <v>212</v>
      </c>
      <c r="I177">
        <v>378.68</v>
      </c>
      <c r="J177" s="2">
        <v>2025.24</v>
      </c>
      <c r="K177" s="2">
        <v>1449.5</v>
      </c>
      <c r="L177">
        <v>858.53</v>
      </c>
      <c r="M177" s="2">
        <v>2135.9499999999998</v>
      </c>
      <c r="N177" s="2">
        <v>1825.43</v>
      </c>
      <c r="O177" s="2">
        <v>2444.3000000000002</v>
      </c>
      <c r="P177" s="2">
        <v>3513.25</v>
      </c>
      <c r="Q177" s="2">
        <v>3230.98</v>
      </c>
      <c r="R177" s="2">
        <v>3535.51</v>
      </c>
    </row>
    <row r="178" spans="1:19" x14ac:dyDescent="0.25">
      <c r="A178" t="s">
        <v>2578</v>
      </c>
      <c r="F178" s="2">
        <v>-1185.6400000000001</v>
      </c>
      <c r="G178" s="2">
        <v>-1216.1500000000001</v>
      </c>
      <c r="H178" s="2">
        <v>-1336.58</v>
      </c>
      <c r="I178" s="2">
        <v>-1496.57</v>
      </c>
      <c r="J178" s="2">
        <v>-2348.0100000000002</v>
      </c>
      <c r="K178" s="2">
        <v>-2330.7800000000002</v>
      </c>
      <c r="L178" s="2">
        <v>-2088.11</v>
      </c>
      <c r="M178" s="2">
        <v>-2739.32</v>
      </c>
      <c r="N178" s="2">
        <v>-2690.7</v>
      </c>
      <c r="O178" s="2">
        <v>-3124.72</v>
      </c>
      <c r="P178" s="2">
        <v>-3722.49</v>
      </c>
      <c r="Q178" s="2">
        <v>-3686.11</v>
      </c>
      <c r="R178" s="2">
        <v>-4366.9399999999996</v>
      </c>
    </row>
    <row r="179" spans="1:19" x14ac:dyDescent="0.25">
      <c r="A179" t="s">
        <v>2107</v>
      </c>
      <c r="F179">
        <v>-424.87</v>
      </c>
      <c r="G179">
        <v>-488.33</v>
      </c>
      <c r="H179">
        <v>-571.14</v>
      </c>
      <c r="I179">
        <v>-623.22</v>
      </c>
      <c r="J179">
        <v>-793.68</v>
      </c>
      <c r="K179">
        <v>-989.02</v>
      </c>
      <c r="L179" s="2">
        <v>-1084.33</v>
      </c>
      <c r="M179" s="2">
        <v>-1248.0899999999999</v>
      </c>
      <c r="N179" s="2">
        <v>-1413.24</v>
      </c>
      <c r="O179" s="2">
        <v>-1551.72</v>
      </c>
      <c r="P179" s="2">
        <v>-1692.6</v>
      </c>
      <c r="Q179" s="2">
        <v>-1833.14</v>
      </c>
      <c r="R179" s="2">
        <v>-2031.85</v>
      </c>
    </row>
    <row r="180" spans="1:19" x14ac:dyDescent="0.25">
      <c r="A180" t="s">
        <v>2547</v>
      </c>
      <c r="B180">
        <v>745.47</v>
      </c>
      <c r="C180" s="2">
        <v>1071.3</v>
      </c>
      <c r="D180" s="2">
        <v>1081.3699999999999</v>
      </c>
      <c r="E180" s="2">
        <v>1078.1500000000001</v>
      </c>
      <c r="F180" s="2">
        <v>1329.73</v>
      </c>
      <c r="G180" s="2">
        <v>1455.81</v>
      </c>
      <c r="H180" s="2">
        <v>1788.52</v>
      </c>
      <c r="I180" s="2">
        <v>2370.0500000000002</v>
      </c>
      <c r="J180" s="2">
        <v>4050.8</v>
      </c>
      <c r="K180" s="2">
        <v>4412.6499999999996</v>
      </c>
      <c r="L180" s="2">
        <v>4349.33</v>
      </c>
      <c r="M180" s="2">
        <v>5282.07</v>
      </c>
      <c r="N180" s="2">
        <v>5737.54</v>
      </c>
      <c r="O180" s="2">
        <v>6595.86</v>
      </c>
      <c r="P180" s="2">
        <v>7861.8</v>
      </c>
      <c r="Q180" s="2">
        <v>8675.26</v>
      </c>
      <c r="R180" s="2">
        <v>9456.49</v>
      </c>
    </row>
    <row r="181" spans="1:19" x14ac:dyDescent="0.25">
      <c r="A181" t="s">
        <v>17</v>
      </c>
    </row>
    <row r="182" spans="1:19" x14ac:dyDescent="0.25">
      <c r="A182" t="s">
        <v>2579</v>
      </c>
    </row>
    <row r="183" spans="1:19" x14ac:dyDescent="0.25">
      <c r="A183" t="s">
        <v>2577</v>
      </c>
      <c r="F183" s="2">
        <v>3647.81</v>
      </c>
      <c r="G183" s="2">
        <v>1811.77</v>
      </c>
      <c r="H183" s="2">
        <v>1660.64</v>
      </c>
      <c r="I183" s="2">
        <v>1865.99</v>
      </c>
      <c r="J183" s="2">
        <v>3883.11</v>
      </c>
      <c r="K183" s="2">
        <v>4461.34</v>
      </c>
      <c r="L183" s="2">
        <v>2061.1</v>
      </c>
      <c r="M183" s="2">
        <v>2287.0300000000002</v>
      </c>
      <c r="N183" s="2">
        <v>2815.53</v>
      </c>
      <c r="O183" s="2">
        <v>3623.6</v>
      </c>
      <c r="P183" s="2">
        <v>5120.07</v>
      </c>
      <c r="Q183" s="2">
        <v>6213.44</v>
      </c>
      <c r="R183" s="2">
        <v>6260.29</v>
      </c>
    </row>
    <row r="184" spans="1:19" x14ac:dyDescent="0.25">
      <c r="A184" t="s">
        <v>2580</v>
      </c>
      <c r="F184" s="2">
        <v>-1297.6099999999999</v>
      </c>
      <c r="G184">
        <v>-678.14</v>
      </c>
      <c r="H184">
        <v>-603.94000000000005</v>
      </c>
      <c r="I184">
        <v>-714.35</v>
      </c>
      <c r="J184" s="2">
        <v>-1557.57</v>
      </c>
      <c r="K184" s="2">
        <v>-1814.1</v>
      </c>
      <c r="L184">
        <v>-896.02</v>
      </c>
      <c r="M184">
        <v>-951.25</v>
      </c>
      <c r="N184" s="2">
        <v>-1090.5999999999999</v>
      </c>
      <c r="O184" s="2">
        <v>-1582.78</v>
      </c>
      <c r="P184" s="2">
        <v>-2214.39</v>
      </c>
      <c r="Q184" s="2">
        <v>-2698.83</v>
      </c>
      <c r="R184" s="2">
        <v>-2711.48</v>
      </c>
    </row>
    <row r="185" spans="1:19" x14ac:dyDescent="0.25">
      <c r="A185" t="s">
        <v>2581</v>
      </c>
      <c r="F185">
        <v>436.19</v>
      </c>
      <c r="G185">
        <v>236.06</v>
      </c>
      <c r="H185">
        <v>224.16</v>
      </c>
      <c r="I185">
        <v>158.93</v>
      </c>
      <c r="J185">
        <v>587.77</v>
      </c>
      <c r="K185">
        <v>396.26</v>
      </c>
      <c r="L185">
        <v>110.93</v>
      </c>
      <c r="M185">
        <v>92.53</v>
      </c>
      <c r="N185">
        <v>419.74</v>
      </c>
      <c r="O185">
        <v>177.16</v>
      </c>
      <c r="P185">
        <v>290.43</v>
      </c>
      <c r="Q185">
        <v>416.32</v>
      </c>
      <c r="R185">
        <v>373.1</v>
      </c>
    </row>
    <row r="186" spans="1:19" x14ac:dyDescent="0.25">
      <c r="A186" t="s">
        <v>17</v>
      </c>
    </row>
    <row r="187" spans="1:19" x14ac:dyDescent="0.25">
      <c r="A187" t="s">
        <v>97</v>
      </c>
      <c r="B187">
        <v>64.510000000000005</v>
      </c>
      <c r="C187">
        <v>69.81</v>
      </c>
      <c r="D187">
        <v>94.96</v>
      </c>
      <c r="E187">
        <v>95.72</v>
      </c>
      <c r="F187">
        <v>678.37</v>
      </c>
      <c r="G187">
        <v>465.78</v>
      </c>
      <c r="H187">
        <v>608.48</v>
      </c>
      <c r="I187">
        <v>277.02</v>
      </c>
      <c r="J187" s="2">
        <v>2460.02</v>
      </c>
      <c r="K187">
        <v>-713.52</v>
      </c>
      <c r="L187">
        <v>-299.33</v>
      </c>
      <c r="M187">
        <v>712.85</v>
      </c>
      <c r="N187">
        <v>945.94</v>
      </c>
      <c r="O187">
        <v>278.42</v>
      </c>
    </row>
    <row r="188" spans="1:19" x14ac:dyDescent="0.25">
      <c r="A188" t="s">
        <v>17</v>
      </c>
    </row>
    <row r="189" spans="1:19" x14ac:dyDescent="0.25">
      <c r="A189" t="s">
        <v>2582</v>
      </c>
      <c r="C189" s="2">
        <v>4544.5</v>
      </c>
      <c r="D189" s="2">
        <v>2177.8000000000002</v>
      </c>
      <c r="E189" s="2">
        <v>2481.2800000000002</v>
      </c>
      <c r="F189" s="2">
        <v>4117.1000000000004</v>
      </c>
      <c r="G189" s="2">
        <v>2825.5</v>
      </c>
      <c r="H189" s="2">
        <v>3069.38</v>
      </c>
      <c r="I189" s="2">
        <v>3680.63</v>
      </c>
      <c r="J189" s="2">
        <v>12375</v>
      </c>
      <c r="K189" s="2">
        <v>7456.14</v>
      </c>
      <c r="L189" s="2">
        <v>5625.35</v>
      </c>
      <c r="M189" s="2">
        <v>6710.38</v>
      </c>
      <c r="N189" s="2">
        <v>7882.21</v>
      </c>
      <c r="O189" s="2">
        <v>8946.6299999999992</v>
      </c>
      <c r="P189" s="2">
        <v>11274.5</v>
      </c>
      <c r="Q189" s="2">
        <v>12926.13</v>
      </c>
      <c r="R189" s="2">
        <v>13822</v>
      </c>
    </row>
    <row r="190" spans="1:19" x14ac:dyDescent="0.25">
      <c r="A190" t="s">
        <v>2583</v>
      </c>
      <c r="E190">
        <v>-51.62</v>
      </c>
      <c r="F190">
        <v>-49.92</v>
      </c>
      <c r="G190">
        <v>21.93</v>
      </c>
      <c r="H190">
        <v>-2.44</v>
      </c>
      <c r="I190">
        <v>-34.909999999999997</v>
      </c>
      <c r="J190">
        <v>-33.590000000000003</v>
      </c>
      <c r="K190">
        <v>-31.49</v>
      </c>
      <c r="L190">
        <v>106.12</v>
      </c>
      <c r="M190">
        <v>33.44</v>
      </c>
      <c r="N190">
        <v>81</v>
      </c>
      <c r="O190">
        <v>61.18</v>
      </c>
      <c r="P190">
        <v>54.76</v>
      </c>
      <c r="Q190">
        <v>64.81</v>
      </c>
      <c r="R190">
        <v>61.21</v>
      </c>
    </row>
    <row r="191" spans="1:19" x14ac:dyDescent="0.25">
      <c r="A191" t="s">
        <v>2374</v>
      </c>
      <c r="B191">
        <v>-156.72999999999999</v>
      </c>
      <c r="C191">
        <v>-280.79000000000002</v>
      </c>
      <c r="D191">
        <v>-90.47</v>
      </c>
      <c r="E191">
        <v>-167.15</v>
      </c>
      <c r="F191">
        <v>-189.99</v>
      </c>
      <c r="G191">
        <v>-153.87</v>
      </c>
      <c r="H191">
        <v>-196.16</v>
      </c>
      <c r="I191">
        <v>-304.13</v>
      </c>
      <c r="J191">
        <v>-759.68</v>
      </c>
      <c r="K191">
        <v>-791.87</v>
      </c>
      <c r="L191">
        <v>-670.51</v>
      </c>
      <c r="M191">
        <v>-710.2</v>
      </c>
      <c r="N191">
        <v>-690.35</v>
      </c>
      <c r="O191">
        <v>-928.04</v>
      </c>
      <c r="P191" s="2">
        <v>-1259.96</v>
      </c>
      <c r="Q191" s="2">
        <v>-1532.22</v>
      </c>
      <c r="R191" s="2">
        <v>-1623.48</v>
      </c>
    </row>
    <row r="192" spans="1:19" x14ac:dyDescent="0.25">
      <c r="A192" t="s">
        <v>2584</v>
      </c>
      <c r="B192" s="2">
        <v>1862.7</v>
      </c>
      <c r="C192" s="2">
        <v>4344.99</v>
      </c>
      <c r="D192" s="2">
        <v>2150.27</v>
      </c>
      <c r="E192" s="2">
        <v>2389.02</v>
      </c>
      <c r="F192" s="2">
        <v>3376.09</v>
      </c>
      <c r="G192" s="2">
        <v>2693.56</v>
      </c>
      <c r="H192" s="2">
        <v>2870.78</v>
      </c>
      <c r="I192" s="2">
        <v>3341.6</v>
      </c>
      <c r="J192" s="2">
        <v>6170.84</v>
      </c>
      <c r="K192" s="2">
        <v>6632.78</v>
      </c>
      <c r="L192" s="2">
        <v>5060.96</v>
      </c>
      <c r="M192" s="2">
        <v>5966.74</v>
      </c>
      <c r="N192" s="2">
        <v>7110.86</v>
      </c>
      <c r="O192" s="2">
        <v>7803.06</v>
      </c>
      <c r="P192" s="2">
        <v>9400.35</v>
      </c>
      <c r="Q192" s="2">
        <v>10199.11</v>
      </c>
      <c r="R192" s="2">
        <v>11812.25</v>
      </c>
      <c r="S192" s="2">
        <v>13318</v>
      </c>
    </row>
    <row r="193" spans="1:19" x14ac:dyDescent="0.25">
      <c r="A193" t="s">
        <v>17</v>
      </c>
    </row>
    <row r="194" spans="1:19" x14ac:dyDescent="0.25">
      <c r="A194" t="s">
        <v>2585</v>
      </c>
      <c r="B194" s="2">
        <v>1135.19</v>
      </c>
      <c r="C194" s="2">
        <v>1148.02</v>
      </c>
      <c r="D194" s="2">
        <v>1184.26</v>
      </c>
      <c r="E194" s="2">
        <v>1192.23</v>
      </c>
      <c r="F194" s="2">
        <v>1199.21</v>
      </c>
      <c r="G194" s="2">
        <v>1199.1300000000001</v>
      </c>
      <c r="H194" s="2">
        <v>1198.98</v>
      </c>
      <c r="I194" s="2">
        <v>1200.02</v>
      </c>
      <c r="J194" s="2">
        <v>1200.48</v>
      </c>
      <c r="K194" s="2">
        <v>1206.4100000000001</v>
      </c>
      <c r="L194" s="2">
        <v>1216.58</v>
      </c>
      <c r="M194" s="2">
        <v>1221.17</v>
      </c>
      <c r="N194" s="2">
        <v>1228.77</v>
      </c>
      <c r="O194" s="2">
        <v>1239.33</v>
      </c>
      <c r="P194" s="2">
        <v>1243.67</v>
      </c>
      <c r="Q194" s="2">
        <v>1242.93</v>
      </c>
      <c r="R194" s="2">
        <v>1234.43</v>
      </c>
      <c r="S194" s="2">
        <v>1209</v>
      </c>
    </row>
    <row r="195" spans="1:19" x14ac:dyDescent="0.25">
      <c r="A195" t="s">
        <v>110</v>
      </c>
      <c r="B195">
        <v>3.07</v>
      </c>
      <c r="C195">
        <v>3.76</v>
      </c>
      <c r="D195">
        <v>1.82</v>
      </c>
      <c r="E195">
        <v>2</v>
      </c>
      <c r="F195">
        <v>2.81</v>
      </c>
      <c r="G195">
        <v>2.17</v>
      </c>
      <c r="H195">
        <v>2.31</v>
      </c>
      <c r="I195">
        <v>2.65</v>
      </c>
      <c r="J195">
        <v>4.7699999999999996</v>
      </c>
      <c r="K195">
        <v>5.17</v>
      </c>
      <c r="L195">
        <v>3.95</v>
      </c>
      <c r="M195">
        <v>4.6399999999999997</v>
      </c>
      <c r="N195">
        <v>5.57</v>
      </c>
      <c r="O195">
        <v>6.01</v>
      </c>
      <c r="P195">
        <v>7.42</v>
      </c>
      <c r="Q195">
        <v>8.15</v>
      </c>
      <c r="R195">
        <v>9.34</v>
      </c>
      <c r="S195">
        <v>11.02</v>
      </c>
    </row>
    <row r="196" spans="1:19" x14ac:dyDescent="0.25">
      <c r="A196" t="s">
        <v>17</v>
      </c>
    </row>
    <row r="197" spans="1:19" x14ac:dyDescent="0.25">
      <c r="A197" t="s">
        <v>2549</v>
      </c>
      <c r="F197">
        <v>1.1100000000000001</v>
      </c>
      <c r="G197">
        <v>1.21</v>
      </c>
      <c r="H197">
        <v>1.49</v>
      </c>
      <c r="I197">
        <v>1.97</v>
      </c>
      <c r="J197">
        <v>3.37</v>
      </c>
      <c r="K197">
        <v>3.65</v>
      </c>
      <c r="L197">
        <v>3.58</v>
      </c>
      <c r="M197">
        <v>4.32</v>
      </c>
      <c r="N197">
        <v>4.67</v>
      </c>
      <c r="O197">
        <v>5.55</v>
      </c>
      <c r="P197">
        <v>6.57</v>
      </c>
      <c r="Q197">
        <v>7.63</v>
      </c>
      <c r="R197">
        <v>7.64</v>
      </c>
    </row>
    <row r="198" spans="1:19" x14ac:dyDescent="0.25">
      <c r="A198" t="s">
        <v>2586</v>
      </c>
      <c r="J198">
        <v>0</v>
      </c>
      <c r="O198">
        <v>58.52</v>
      </c>
      <c r="P198">
        <v>59.23</v>
      </c>
      <c r="Q198">
        <v>61.07</v>
      </c>
      <c r="R198">
        <v>59.55</v>
      </c>
    </row>
    <row r="199" spans="1:19" x14ac:dyDescent="0.25">
      <c r="A199" t="s">
        <v>17</v>
      </c>
    </row>
    <row r="200" spans="1:19" x14ac:dyDescent="0.25">
      <c r="A200" t="s">
        <v>2587</v>
      </c>
      <c r="E200">
        <v>82.32</v>
      </c>
      <c r="F200">
        <v>98.1</v>
      </c>
      <c r="G200">
        <v>102.73</v>
      </c>
      <c r="H200">
        <v>142.65</v>
      </c>
      <c r="I200">
        <v>233.12</v>
      </c>
      <c r="J200">
        <v>667.94</v>
      </c>
      <c r="K200">
        <v>626.4</v>
      </c>
      <c r="L200">
        <v>438.08</v>
      </c>
      <c r="M200">
        <v>514.47</v>
      </c>
      <c r="N200">
        <v>475.51</v>
      </c>
      <c r="O200">
        <v>685.9</v>
      </c>
      <c r="P200">
        <v>863.48</v>
      </c>
      <c r="Q200">
        <v>956.35</v>
      </c>
      <c r="R200">
        <v>656.67</v>
      </c>
    </row>
    <row r="201" spans="1:19" x14ac:dyDescent="0.25">
      <c r="A201" t="s">
        <v>589</v>
      </c>
      <c r="E201" s="2">
        <v>1232.1600000000001</v>
      </c>
      <c r="F201" s="2">
        <v>2208.09</v>
      </c>
      <c r="G201" s="2">
        <v>1576.65</v>
      </c>
      <c r="H201" s="2">
        <v>1700.37</v>
      </c>
      <c r="I201" s="2">
        <v>2084.4699999999998</v>
      </c>
      <c r="J201" s="2">
        <v>4112.08</v>
      </c>
      <c r="K201" s="2">
        <v>4454.4799999999996</v>
      </c>
      <c r="L201" s="2">
        <v>3415.85</v>
      </c>
      <c r="M201" s="2">
        <v>4068.52</v>
      </c>
      <c r="N201" s="2">
        <v>4825.1499999999996</v>
      </c>
      <c r="O201" s="2">
        <v>5465.01</v>
      </c>
      <c r="P201" s="2">
        <v>6858.27</v>
      </c>
      <c r="Q201" s="2">
        <v>7769.08</v>
      </c>
      <c r="R201" s="2">
        <v>8074.62</v>
      </c>
    </row>
    <row r="202" spans="1:19" x14ac:dyDescent="0.25">
      <c r="A202" t="s">
        <v>17</v>
      </c>
    </row>
    <row r="203" spans="1:19" x14ac:dyDescent="0.25">
      <c r="A203" t="s">
        <v>2584</v>
      </c>
      <c r="B203" s="2">
        <v>1862.7</v>
      </c>
      <c r="C203" s="2">
        <v>4344.99</v>
      </c>
      <c r="D203" s="2">
        <v>2150.27</v>
      </c>
      <c r="E203" s="2">
        <v>2389.02</v>
      </c>
      <c r="F203" s="2">
        <v>3376.09</v>
      </c>
      <c r="G203" s="2">
        <v>2693.56</v>
      </c>
      <c r="H203" s="2">
        <v>2870.78</v>
      </c>
      <c r="I203" s="2">
        <v>3341.6</v>
      </c>
      <c r="J203" s="2">
        <v>6170.84</v>
      </c>
      <c r="K203" s="2">
        <v>6632.78</v>
      </c>
      <c r="L203" s="2">
        <v>5060.96</v>
      </c>
      <c r="M203" s="2">
        <v>5966.74</v>
      </c>
      <c r="N203" s="2">
        <v>7110.86</v>
      </c>
      <c r="O203" s="2">
        <v>7803.06</v>
      </c>
      <c r="P203" s="2">
        <v>9400.35</v>
      </c>
      <c r="Q203" s="2">
        <v>10199.11</v>
      </c>
      <c r="R203" s="2">
        <v>11812.25</v>
      </c>
      <c r="S203" s="2">
        <v>13318</v>
      </c>
    </row>
    <row r="204" spans="1:19" x14ac:dyDescent="0.25">
      <c r="A204" t="s">
        <v>2581</v>
      </c>
      <c r="F204">
        <v>436.19</v>
      </c>
      <c r="G204">
        <v>236.06</v>
      </c>
      <c r="H204">
        <v>224.16</v>
      </c>
      <c r="I204">
        <v>158.93</v>
      </c>
      <c r="J204">
        <v>587.77</v>
      </c>
      <c r="K204">
        <v>396.26</v>
      </c>
      <c r="L204">
        <v>110.93</v>
      </c>
      <c r="M204">
        <v>92.53</v>
      </c>
      <c r="N204">
        <v>419.74</v>
      </c>
      <c r="O204">
        <v>177.16</v>
      </c>
      <c r="P204">
        <v>290.43</v>
      </c>
      <c r="Q204">
        <v>416.32</v>
      </c>
      <c r="R204">
        <v>373.1</v>
      </c>
    </row>
    <row r="205" spans="1:19" x14ac:dyDescent="0.25">
      <c r="A205" t="s">
        <v>120</v>
      </c>
      <c r="G205">
        <v>153.87</v>
      </c>
      <c r="H205">
        <v>196.16</v>
      </c>
      <c r="I205">
        <v>304.13</v>
      </c>
      <c r="J205">
        <v>759.68</v>
      </c>
      <c r="K205">
        <v>791.87</v>
      </c>
      <c r="L205">
        <v>670.51</v>
      </c>
      <c r="M205">
        <v>710.2</v>
      </c>
      <c r="N205">
        <v>690.35</v>
      </c>
    </row>
    <row r="206" spans="1:19" x14ac:dyDescent="0.25">
      <c r="A206" t="s">
        <v>29</v>
      </c>
      <c r="F206" s="2">
        <v>4259.04</v>
      </c>
      <c r="G206" s="2">
        <v>3007.27</v>
      </c>
      <c r="H206" s="2">
        <v>3261.97</v>
      </c>
      <c r="I206" s="2">
        <v>3810.75</v>
      </c>
      <c r="J206" s="2">
        <v>7127.15</v>
      </c>
      <c r="K206" s="2">
        <v>7741.22</v>
      </c>
      <c r="L206" s="2">
        <v>6160.99</v>
      </c>
      <c r="M206" s="2">
        <v>7121.36</v>
      </c>
      <c r="N206" s="2">
        <v>7255.97</v>
      </c>
      <c r="O206" s="2">
        <v>8581.33</v>
      </c>
      <c r="P206" s="2">
        <v>11166.67</v>
      </c>
      <c r="Q206" s="2">
        <v>11816</v>
      </c>
      <c r="R206" s="2">
        <v>8847</v>
      </c>
      <c r="S206" s="2">
        <v>8869</v>
      </c>
    </row>
    <row r="207" spans="1:19" x14ac:dyDescent="0.25">
      <c r="A207" t="s">
        <v>190</v>
      </c>
      <c r="D207">
        <v>27.21</v>
      </c>
      <c r="E207">
        <v>31.97</v>
      </c>
      <c r="F207">
        <v>25.23</v>
      </c>
      <c r="G207">
        <v>23.88</v>
      </c>
      <c r="H207">
        <v>26.35</v>
      </c>
      <c r="I207">
        <v>35.14</v>
      </c>
      <c r="J207">
        <v>52.19</v>
      </c>
      <c r="K207">
        <v>69.22</v>
      </c>
      <c r="L207">
        <v>94.12</v>
      </c>
      <c r="M207">
        <v>98.76</v>
      </c>
      <c r="N207">
        <v>98.99</v>
      </c>
      <c r="O207">
        <v>97.46</v>
      </c>
      <c r="P207">
        <v>104.44</v>
      </c>
      <c r="Q207">
        <v>95.25</v>
      </c>
      <c r="R207">
        <v>120.33</v>
      </c>
      <c r="S207">
        <v>122</v>
      </c>
    </row>
    <row r="208" spans="1:19" x14ac:dyDescent="0.25">
      <c r="A208" t="s">
        <v>680</v>
      </c>
      <c r="B208" s="2">
        <v>2158.7800000000002</v>
      </c>
      <c r="C208" s="2">
        <v>3503.78</v>
      </c>
      <c r="D208" s="2">
        <v>4137.1499999999996</v>
      </c>
      <c r="E208" s="2">
        <v>2572.91</v>
      </c>
      <c r="F208" s="2">
        <v>4284.2700000000004</v>
      </c>
      <c r="G208" s="2">
        <v>3031.15</v>
      </c>
      <c r="H208" s="2">
        <v>3288.32</v>
      </c>
      <c r="I208" s="2">
        <v>3845.88</v>
      </c>
      <c r="J208" s="2">
        <v>7179.34</v>
      </c>
      <c r="K208" s="2">
        <v>7810.44</v>
      </c>
      <c r="L208" s="2">
        <v>6255.11</v>
      </c>
      <c r="M208" s="2">
        <v>7220.11</v>
      </c>
      <c r="N208" s="2">
        <v>8397.2900000000009</v>
      </c>
      <c r="O208" s="2">
        <v>9226.3799999999992</v>
      </c>
      <c r="P208" s="2">
        <v>11602.75</v>
      </c>
      <c r="Q208" s="2">
        <v>12333</v>
      </c>
      <c r="R208" s="2">
        <v>13621.67</v>
      </c>
      <c r="S208" s="2">
        <v>14253</v>
      </c>
    </row>
    <row r="209" spans="1:19" x14ac:dyDescent="0.25">
      <c r="A209" t="s">
        <v>17</v>
      </c>
    </row>
    <row r="210" spans="1:19" x14ac:dyDescent="0.25">
      <c r="A210" t="s">
        <v>2380</v>
      </c>
    </row>
    <row r="211" spans="1:19" x14ac:dyDescent="0.25">
      <c r="A211" t="s">
        <v>16</v>
      </c>
      <c r="B211" s="2">
        <v>6613.17</v>
      </c>
      <c r="C211" s="2">
        <v>7484.73</v>
      </c>
      <c r="D211" s="2">
        <v>4646.55</v>
      </c>
      <c r="E211" s="2">
        <v>5125.83</v>
      </c>
      <c r="F211" s="2">
        <v>7145.02</v>
      </c>
      <c r="G211" s="2">
        <v>6833.26</v>
      </c>
      <c r="H211" s="2">
        <v>7338.27</v>
      </c>
      <c r="I211" s="2">
        <v>6101.93</v>
      </c>
      <c r="J211" s="2">
        <v>22577.15</v>
      </c>
      <c r="K211" s="2">
        <v>8517.67</v>
      </c>
      <c r="L211" s="2">
        <v>8022.84</v>
      </c>
      <c r="M211" s="2">
        <v>13229.97</v>
      </c>
      <c r="N211" s="2">
        <v>14450.27</v>
      </c>
      <c r="O211" s="2">
        <v>14926.81</v>
      </c>
      <c r="P211" s="2">
        <v>19691.38</v>
      </c>
      <c r="Q211" s="2">
        <v>20181.43</v>
      </c>
      <c r="R211" s="2">
        <v>22272.58</v>
      </c>
      <c r="S211" s="2">
        <v>18794</v>
      </c>
    </row>
    <row r="212" spans="1:19" x14ac:dyDescent="0.25">
      <c r="A212" t="s">
        <v>2588</v>
      </c>
      <c r="B212" s="2">
        <v>2193.9899999999998</v>
      </c>
      <c r="C212" s="2">
        <v>2497.25</v>
      </c>
      <c r="D212" s="2">
        <v>2542.5100000000002</v>
      </c>
      <c r="E212" s="2">
        <v>2442.98</v>
      </c>
      <c r="F212" s="2">
        <v>2993.84</v>
      </c>
      <c r="G212" s="2">
        <v>3085.34</v>
      </c>
      <c r="H212" s="2">
        <v>3602.07</v>
      </c>
      <c r="I212" s="2">
        <v>4231.21</v>
      </c>
      <c r="J212" s="2">
        <v>5424.7</v>
      </c>
      <c r="K212" s="2">
        <v>6828.44</v>
      </c>
      <c r="L212" s="2">
        <v>7366.43</v>
      </c>
      <c r="M212" s="2">
        <v>8153.11</v>
      </c>
      <c r="N212" s="2">
        <v>9053.7999999999993</v>
      </c>
    </row>
    <row r="213" spans="1:19" x14ac:dyDescent="0.25">
      <c r="A213" t="s">
        <v>2589</v>
      </c>
      <c r="B213" s="2">
        <v>3544.06</v>
      </c>
      <c r="C213" s="2">
        <v>4374.26</v>
      </c>
      <c r="D213" s="2">
        <v>1796.67</v>
      </c>
      <c r="E213" s="2">
        <v>2176.33</v>
      </c>
      <c r="F213" s="2">
        <v>3466.34</v>
      </c>
      <c r="G213" s="2">
        <v>2437.88</v>
      </c>
      <c r="H213" s="2">
        <v>2865.33</v>
      </c>
      <c r="I213" s="2">
        <v>1721.61</v>
      </c>
      <c r="J213" s="2">
        <v>14328.7</v>
      </c>
      <c r="K213" s="2">
        <v>1946.58</v>
      </c>
      <c r="L213">
        <v>532.16999999999996</v>
      </c>
      <c r="M213" s="2">
        <v>3829.15</v>
      </c>
      <c r="N213" s="2">
        <v>4305.3100000000004</v>
      </c>
      <c r="O213" s="2">
        <v>3338.94</v>
      </c>
    </row>
    <row r="214" spans="1:19" x14ac:dyDescent="0.25">
      <c r="A214" t="s">
        <v>2590</v>
      </c>
      <c r="B214">
        <v>64.510000000000005</v>
      </c>
      <c r="C214">
        <v>69.81</v>
      </c>
      <c r="D214">
        <v>94.96</v>
      </c>
      <c r="E214">
        <v>95.72</v>
      </c>
      <c r="F214">
        <v>678.37</v>
      </c>
      <c r="G214">
        <v>465.78</v>
      </c>
      <c r="H214">
        <v>608.48</v>
      </c>
      <c r="I214">
        <v>277.02</v>
      </c>
      <c r="J214" s="2">
        <v>2460.02</v>
      </c>
      <c r="K214">
        <v>-713.52</v>
      </c>
      <c r="L214">
        <v>-299.33</v>
      </c>
      <c r="M214">
        <v>712.85</v>
      </c>
      <c r="N214">
        <v>945.94</v>
      </c>
      <c r="O214">
        <v>278.42</v>
      </c>
    </row>
    <row r="215" spans="1:19" x14ac:dyDescent="0.25">
      <c r="A215" t="s">
        <v>2591</v>
      </c>
      <c r="B215">
        <v>800.31</v>
      </c>
      <c r="C215">
        <v>534</v>
      </c>
      <c r="D215">
        <v>204.64</v>
      </c>
      <c r="E215">
        <v>356.05</v>
      </c>
      <c r="F215">
        <v>139.69999999999999</v>
      </c>
      <c r="G215">
        <v>171.95</v>
      </c>
      <c r="H215">
        <v>182.4</v>
      </c>
      <c r="I215">
        <v>125.23</v>
      </c>
      <c r="J215">
        <v>160.63999999999999</v>
      </c>
      <c r="K215">
        <v>271.61</v>
      </c>
      <c r="L215">
        <v>516.5</v>
      </c>
      <c r="M215">
        <v>411.16</v>
      </c>
      <c r="N215">
        <v>416.09</v>
      </c>
      <c r="O215">
        <v>485.05</v>
      </c>
      <c r="P215">
        <v>519.73</v>
      </c>
      <c r="Q215">
        <v>513</v>
      </c>
      <c r="R215">
        <v>460</v>
      </c>
    </row>
    <row r="216" spans="1:19" x14ac:dyDescent="0.25">
      <c r="A216" t="s">
        <v>212</v>
      </c>
      <c r="B216">
        <v>10.31</v>
      </c>
      <c r="C216">
        <v>9.41</v>
      </c>
      <c r="D216">
        <v>7.78</v>
      </c>
      <c r="E216">
        <v>54.75</v>
      </c>
      <c r="F216">
        <v>-133.22999999999999</v>
      </c>
      <c r="G216">
        <v>672.32</v>
      </c>
      <c r="H216">
        <v>79.989999999999995</v>
      </c>
      <c r="I216">
        <v>-253.14</v>
      </c>
      <c r="J216">
        <v>203.09</v>
      </c>
      <c r="K216">
        <v>184.56</v>
      </c>
      <c r="L216">
        <v>-92.93</v>
      </c>
      <c r="M216">
        <v>123.69</v>
      </c>
      <c r="N216">
        <v>-270.87</v>
      </c>
      <c r="O216">
        <v>66.25</v>
      </c>
      <c r="P216">
        <v>20</v>
      </c>
    </row>
    <row r="217" spans="1:19" x14ac:dyDescent="0.25">
      <c r="A217" t="s">
        <v>17</v>
      </c>
    </row>
    <row r="218" spans="1:19" x14ac:dyDescent="0.25">
      <c r="A218" t="s">
        <v>275</v>
      </c>
      <c r="B218" s="2">
        <v>3866.74</v>
      </c>
      <c r="C218" s="2">
        <v>3855.86</v>
      </c>
      <c r="D218" s="2">
        <v>3090.88</v>
      </c>
      <c r="E218" s="2">
        <v>2928.57</v>
      </c>
      <c r="F218" s="2">
        <v>3752.38</v>
      </c>
      <c r="G218" s="2">
        <v>3512.04</v>
      </c>
      <c r="H218" s="2">
        <v>3964.65</v>
      </c>
      <c r="I218" s="2">
        <v>3479.57</v>
      </c>
      <c r="J218" s="2">
        <v>9476.6200000000008</v>
      </c>
      <c r="K218" s="2">
        <v>4973.03</v>
      </c>
      <c r="L218" s="2">
        <v>4981.13</v>
      </c>
      <c r="M218" s="2">
        <v>6819.33</v>
      </c>
      <c r="N218" s="2">
        <v>7702.61</v>
      </c>
      <c r="O218" s="2">
        <v>6764.24</v>
      </c>
      <c r="P218" s="2">
        <v>10228.780000000001</v>
      </c>
      <c r="Q218" s="2">
        <v>11176.61</v>
      </c>
      <c r="R218" s="2">
        <v>11991.12</v>
      </c>
    </row>
    <row r="219" spans="1:19" x14ac:dyDescent="0.25">
      <c r="A219" t="s">
        <v>2592</v>
      </c>
      <c r="B219" s="2">
        <v>3257.67</v>
      </c>
      <c r="C219" s="2">
        <v>3154.37</v>
      </c>
      <c r="D219" s="2">
        <v>2290.75</v>
      </c>
      <c r="E219" s="2">
        <v>2203.4299999999998</v>
      </c>
      <c r="F219" s="2">
        <v>2933.52</v>
      </c>
      <c r="G219" s="2">
        <v>2674.69</v>
      </c>
      <c r="H219" s="2">
        <v>3067.86</v>
      </c>
      <c r="I219" s="2">
        <v>2588.7600000000002</v>
      </c>
      <c r="J219" s="2">
        <v>8350.1299999999992</v>
      </c>
      <c r="K219" s="2">
        <v>3532.45</v>
      </c>
      <c r="L219" s="2">
        <v>3312.97</v>
      </c>
      <c r="M219" s="2">
        <v>4994.05</v>
      </c>
      <c r="N219" s="2">
        <v>5620.53</v>
      </c>
      <c r="O219" s="2">
        <v>5258.31</v>
      </c>
      <c r="P219" s="2">
        <v>8183.69</v>
      </c>
      <c r="Q219" s="2">
        <v>9002.86</v>
      </c>
      <c r="R219" s="2">
        <v>9627.2800000000007</v>
      </c>
    </row>
    <row r="220" spans="1:19" x14ac:dyDescent="0.25">
      <c r="A220" t="s">
        <v>2388</v>
      </c>
      <c r="B220">
        <v>474.44</v>
      </c>
      <c r="C220">
        <v>549.46</v>
      </c>
      <c r="D220">
        <v>576.1</v>
      </c>
      <c r="E220">
        <v>520.30999999999995</v>
      </c>
      <c r="F220">
        <v>488.58</v>
      </c>
      <c r="G220">
        <v>594.87</v>
      </c>
      <c r="H220">
        <v>679.41</v>
      </c>
      <c r="I220">
        <v>711.78</v>
      </c>
      <c r="J220">
        <v>917.85</v>
      </c>
      <c r="K220" s="2">
        <v>1092.67</v>
      </c>
      <c r="L220" s="2">
        <v>1117.31</v>
      </c>
      <c r="M220" s="2">
        <v>1361.91</v>
      </c>
      <c r="N220" s="2">
        <v>1524.55</v>
      </c>
      <c r="O220" s="2">
        <v>1122.46</v>
      </c>
      <c r="P220" s="2">
        <v>1595.08</v>
      </c>
      <c r="Q220" s="2">
        <v>1718.75</v>
      </c>
      <c r="R220" s="2">
        <v>1903.85</v>
      </c>
    </row>
    <row r="221" spans="1:19" x14ac:dyDescent="0.25">
      <c r="A221" t="s">
        <v>484</v>
      </c>
      <c r="B221">
        <v>107.97</v>
      </c>
      <c r="C221">
        <v>121.52</v>
      </c>
      <c r="D221">
        <v>144.52000000000001</v>
      </c>
      <c r="E221">
        <v>152.65</v>
      </c>
      <c r="F221">
        <v>197.49</v>
      </c>
      <c r="G221">
        <v>163.99</v>
      </c>
      <c r="H221">
        <v>199.65</v>
      </c>
      <c r="I221">
        <v>166.16</v>
      </c>
      <c r="J221">
        <v>198.27</v>
      </c>
      <c r="K221">
        <v>317.23</v>
      </c>
      <c r="L221">
        <v>431.87</v>
      </c>
      <c r="M221">
        <v>443.69</v>
      </c>
      <c r="N221">
        <v>508.31</v>
      </c>
      <c r="O221">
        <v>519.4</v>
      </c>
      <c r="P221">
        <v>480.16</v>
      </c>
      <c r="Q221">
        <v>416.08</v>
      </c>
      <c r="R221">
        <v>455</v>
      </c>
    </row>
    <row r="222" spans="1:19" x14ac:dyDescent="0.25">
      <c r="A222" t="s">
        <v>2593</v>
      </c>
      <c r="B222">
        <v>26.66</v>
      </c>
      <c r="C222">
        <v>30.5</v>
      </c>
      <c r="D222">
        <v>79.5</v>
      </c>
      <c r="E222">
        <v>52.18</v>
      </c>
      <c r="F222">
        <v>132.79</v>
      </c>
      <c r="G222">
        <v>78.489999999999995</v>
      </c>
      <c r="H222">
        <v>17.739999999999998</v>
      </c>
      <c r="I222">
        <v>12.86</v>
      </c>
      <c r="J222">
        <v>10.38</v>
      </c>
      <c r="K222">
        <v>30.68</v>
      </c>
      <c r="L222">
        <v>118.99</v>
      </c>
      <c r="M222">
        <v>19.68</v>
      </c>
      <c r="N222">
        <v>49.22</v>
      </c>
      <c r="O222">
        <v>11.35</v>
      </c>
    </row>
    <row r="223" spans="1:19" x14ac:dyDescent="0.25">
      <c r="A223" t="s">
        <v>17</v>
      </c>
    </row>
    <row r="224" spans="1:19" x14ac:dyDescent="0.25">
      <c r="A224" t="s">
        <v>2594</v>
      </c>
    </row>
    <row r="225" spans="1:19" x14ac:dyDescent="0.25">
      <c r="A225" t="s">
        <v>2595</v>
      </c>
      <c r="B225">
        <v>-20.47</v>
      </c>
      <c r="C225">
        <v>0</v>
      </c>
      <c r="D225">
        <v>-82.71</v>
      </c>
      <c r="E225">
        <v>0</v>
      </c>
      <c r="F225">
        <v>-403.86</v>
      </c>
      <c r="G225">
        <v>0</v>
      </c>
      <c r="H225">
        <v>-161.57</v>
      </c>
      <c r="I225">
        <v>35.380000000000003</v>
      </c>
      <c r="J225">
        <v>-461.62</v>
      </c>
      <c r="K225">
        <v>105.14</v>
      </c>
      <c r="L225">
        <v>56.8</v>
      </c>
      <c r="M225">
        <v>-90.08</v>
      </c>
      <c r="N225">
        <v>-417.4</v>
      </c>
      <c r="O225">
        <v>-189.96</v>
      </c>
    </row>
    <row r="226" spans="1:19" x14ac:dyDescent="0.25">
      <c r="A226" t="s">
        <v>2596</v>
      </c>
      <c r="I226">
        <v>35.380000000000003</v>
      </c>
      <c r="J226">
        <v>2.76</v>
      </c>
      <c r="K226">
        <v>-22.28</v>
      </c>
      <c r="L226">
        <v>27.2</v>
      </c>
      <c r="M226">
        <v>41.25</v>
      </c>
      <c r="N226">
        <v>-6.59</v>
      </c>
    </row>
    <row r="227" spans="1:19" x14ac:dyDescent="0.25">
      <c r="A227" t="s">
        <v>17</v>
      </c>
    </row>
    <row r="228" spans="1:19" x14ac:dyDescent="0.25">
      <c r="A228" t="s">
        <v>119</v>
      </c>
      <c r="B228" s="2">
        <v>3148.56</v>
      </c>
      <c r="C228" s="2">
        <v>3986.73</v>
      </c>
      <c r="D228" s="2">
        <v>1814.75</v>
      </c>
      <c r="E228" s="2">
        <v>2382.0100000000002</v>
      </c>
      <c r="F228" s="2">
        <v>4118.09</v>
      </c>
      <c r="G228" s="2">
        <v>3512.94</v>
      </c>
      <c r="H228" s="2">
        <v>3818.02</v>
      </c>
      <c r="I228" s="2">
        <v>2617.52</v>
      </c>
      <c r="J228" s="2">
        <v>13559.4</v>
      </c>
      <c r="K228" s="2">
        <v>3461.79</v>
      </c>
      <c r="L228" s="2">
        <v>2957.71</v>
      </c>
      <c r="M228" s="2">
        <v>6459.48</v>
      </c>
      <c r="N228" s="2">
        <v>7171.65</v>
      </c>
      <c r="O228" s="2">
        <v>7991.76</v>
      </c>
      <c r="P228" s="2">
        <v>10965.71</v>
      </c>
      <c r="Q228" s="2">
        <v>12247.68</v>
      </c>
      <c r="R228" s="2">
        <v>13954.55</v>
      </c>
    </row>
    <row r="229" spans="1:19" x14ac:dyDescent="0.25">
      <c r="A229" t="s">
        <v>2597</v>
      </c>
      <c r="B229">
        <v>255.64</v>
      </c>
      <c r="C229">
        <v>291.17</v>
      </c>
      <c r="D229">
        <v>190.4</v>
      </c>
      <c r="E229">
        <v>132.36000000000001</v>
      </c>
      <c r="F229">
        <v>743.15</v>
      </c>
      <c r="G229">
        <v>249.39</v>
      </c>
      <c r="H229">
        <v>-47.95</v>
      </c>
      <c r="I229">
        <v>356.01</v>
      </c>
      <c r="J229" s="2">
        <v>1184.4000000000001</v>
      </c>
      <c r="K229">
        <v>472.88</v>
      </c>
      <c r="L229">
        <v>513.46</v>
      </c>
      <c r="M229" s="2">
        <v>1021.67</v>
      </c>
      <c r="N229" s="2">
        <v>1125.02</v>
      </c>
      <c r="O229">
        <v>979.82</v>
      </c>
      <c r="P229" s="2">
        <v>1513.17</v>
      </c>
      <c r="Q229" s="2">
        <v>1454.49</v>
      </c>
      <c r="R229" s="2">
        <v>1497.27</v>
      </c>
      <c r="S229" s="2">
        <v>1460</v>
      </c>
    </row>
    <row r="230" spans="1:19" x14ac:dyDescent="0.25">
      <c r="A230" t="s">
        <v>598</v>
      </c>
      <c r="B230" s="2">
        <v>2892.92</v>
      </c>
      <c r="C230" s="2">
        <v>3695.55</v>
      </c>
      <c r="D230" s="2">
        <v>1624.35</v>
      </c>
      <c r="E230" s="2">
        <v>2249.65</v>
      </c>
      <c r="F230" s="2">
        <v>3374.94</v>
      </c>
      <c r="G230" s="2">
        <v>3263.55</v>
      </c>
      <c r="H230" s="2">
        <v>3865.97</v>
      </c>
      <c r="I230" s="2">
        <v>2261.5100000000002</v>
      </c>
      <c r="J230" s="2">
        <v>12375</v>
      </c>
      <c r="K230" s="2">
        <v>2988.91</v>
      </c>
      <c r="L230" s="2">
        <v>2444.25</v>
      </c>
      <c r="M230" s="2">
        <v>5437.81</v>
      </c>
      <c r="N230" s="2">
        <v>6046.62</v>
      </c>
      <c r="O230" s="2">
        <v>7108</v>
      </c>
      <c r="P230" s="2">
        <v>9552.4599999999991</v>
      </c>
      <c r="Q230" s="2">
        <v>10588.94</v>
      </c>
      <c r="R230" s="2">
        <v>12280</v>
      </c>
    </row>
    <row r="231" spans="1:19" x14ac:dyDescent="0.25">
      <c r="A231" t="s">
        <v>2598</v>
      </c>
      <c r="B231" s="2">
        <v>1721.72</v>
      </c>
      <c r="C231" s="2">
        <v>2110.96</v>
      </c>
      <c r="D231">
        <v>914.56</v>
      </c>
      <c r="E231" s="2">
        <v>1210.4100000000001</v>
      </c>
      <c r="F231" s="2">
        <v>1903.57</v>
      </c>
      <c r="G231" s="2">
        <v>1721.76</v>
      </c>
      <c r="H231" s="2">
        <v>1816.29</v>
      </c>
      <c r="I231" s="2">
        <v>1216.1400000000001</v>
      </c>
      <c r="J231" s="2">
        <v>6517.6</v>
      </c>
      <c r="K231" s="2">
        <v>1241.28</v>
      </c>
      <c r="L231" s="2">
        <v>1053.3699999999999</v>
      </c>
      <c r="M231" s="2">
        <v>2661.3</v>
      </c>
      <c r="N231" s="2">
        <v>3027.41</v>
      </c>
    </row>
    <row r="232" spans="1:19" x14ac:dyDescent="0.25">
      <c r="A232" t="s">
        <v>121</v>
      </c>
      <c r="B232" s="2">
        <v>1171.2</v>
      </c>
      <c r="C232" s="2">
        <v>1584.59</v>
      </c>
      <c r="D232">
        <v>709.79</v>
      </c>
      <c r="E232" s="2">
        <v>1039.24</v>
      </c>
      <c r="F232" s="2">
        <v>1470.83</v>
      </c>
      <c r="G232" s="2">
        <v>1541.79</v>
      </c>
      <c r="H232" s="2">
        <v>2049.6799999999998</v>
      </c>
      <c r="I232" s="2">
        <v>1045.3599999999999</v>
      </c>
      <c r="J232" s="2">
        <v>5857.4</v>
      </c>
      <c r="K232" s="2">
        <v>1747.63</v>
      </c>
      <c r="L232" s="2">
        <v>1390.88</v>
      </c>
      <c r="M232" s="2">
        <v>2776.51</v>
      </c>
      <c r="N232" s="2">
        <v>3019.21</v>
      </c>
      <c r="O232" s="2">
        <v>5229.8599999999997</v>
      </c>
      <c r="P232" s="2">
        <v>6467.57</v>
      </c>
      <c r="Q232" s="2">
        <v>5958.25</v>
      </c>
      <c r="R232" s="2">
        <v>7208</v>
      </c>
    </row>
    <row r="233" spans="1:19" x14ac:dyDescent="0.25">
      <c r="A233" t="s">
        <v>17</v>
      </c>
    </row>
    <row r="234" spans="1:19" x14ac:dyDescent="0.25">
      <c r="A234" t="s">
        <v>1423</v>
      </c>
      <c r="B234">
        <v>590.54999999999995</v>
      </c>
      <c r="C234">
        <v>613.17999999999995</v>
      </c>
      <c r="D234" s="2">
        <v>1188.0899999999999</v>
      </c>
      <c r="E234" s="2">
        <v>1195.1099999999999</v>
      </c>
      <c r="F234">
        <v>666.25</v>
      </c>
      <c r="G234" s="2">
        <v>1206.96</v>
      </c>
      <c r="H234">
        <v>676.17</v>
      </c>
      <c r="I234">
        <v>697.26</v>
      </c>
      <c r="J234">
        <v>720.13</v>
      </c>
      <c r="K234">
        <v>740.94</v>
      </c>
      <c r="L234">
        <v>755.42</v>
      </c>
      <c r="M234">
        <v>766.65</v>
      </c>
      <c r="N234">
        <v>780.22</v>
      </c>
      <c r="O234">
        <v>797.54</v>
      </c>
      <c r="P234">
        <v>806.51</v>
      </c>
      <c r="Q234">
        <v>812.09</v>
      </c>
      <c r="R234">
        <v>816.37</v>
      </c>
    </row>
    <row r="235" spans="1:19" x14ac:dyDescent="0.25">
      <c r="A235" t="s">
        <v>124</v>
      </c>
      <c r="B235">
        <v>1.98</v>
      </c>
      <c r="C235">
        <v>2.58</v>
      </c>
      <c r="D235">
        <v>1.04</v>
      </c>
      <c r="E235">
        <v>1.56</v>
      </c>
      <c r="F235">
        <v>2.21</v>
      </c>
      <c r="G235">
        <v>2.2599999999999998</v>
      </c>
      <c r="H235">
        <v>3.03</v>
      </c>
      <c r="I235">
        <v>1.5</v>
      </c>
      <c r="J235">
        <v>8.14</v>
      </c>
      <c r="K235">
        <v>2.36</v>
      </c>
      <c r="L235">
        <v>1.84</v>
      </c>
      <c r="M235">
        <v>3.62</v>
      </c>
      <c r="N235">
        <v>3.87</v>
      </c>
      <c r="O235">
        <v>6.14</v>
      </c>
      <c r="P235">
        <v>7.25</v>
      </c>
      <c r="Q235">
        <v>7.95</v>
      </c>
      <c r="R235">
        <v>9.5</v>
      </c>
      <c r="S235">
        <v>11.02</v>
      </c>
    </row>
    <row r="236" spans="1:19" x14ac:dyDescent="0.25">
      <c r="A236" t="s">
        <v>17</v>
      </c>
    </row>
    <row r="237" spans="1:19" x14ac:dyDescent="0.25">
      <c r="A237" t="s">
        <v>2397</v>
      </c>
      <c r="B237">
        <v>786.61</v>
      </c>
      <c r="C237" s="2">
        <v>1290.6600000000001</v>
      </c>
      <c r="D237" s="2">
        <v>1731.74</v>
      </c>
      <c r="E237" s="2">
        <v>1078.1300000000001</v>
      </c>
      <c r="F237" s="2">
        <v>1796.72</v>
      </c>
      <c r="G237" s="2">
        <v>1459.53</v>
      </c>
      <c r="H237" s="2">
        <v>1318.01</v>
      </c>
      <c r="I237" s="2">
        <v>1575.07</v>
      </c>
      <c r="J237" s="2">
        <v>2922.25</v>
      </c>
      <c r="K237" s="2">
        <v>3258.92</v>
      </c>
      <c r="L237" s="2">
        <v>2529.94</v>
      </c>
      <c r="M237" s="2">
        <v>3027.63</v>
      </c>
      <c r="N237" s="2">
        <v>3697.29</v>
      </c>
      <c r="O237" s="2">
        <v>6402.01</v>
      </c>
      <c r="P237" s="2">
        <v>8033.76</v>
      </c>
      <c r="Q237" s="2">
        <v>9068.36</v>
      </c>
      <c r="R237" s="2">
        <v>9580.61</v>
      </c>
      <c r="S237" s="2">
        <v>9208.08</v>
      </c>
    </row>
    <row r="238" spans="1:19" x14ac:dyDescent="0.25">
      <c r="A238" t="s">
        <v>281</v>
      </c>
      <c r="B238">
        <v>1.18</v>
      </c>
      <c r="C238">
        <v>1.92</v>
      </c>
      <c r="D238">
        <v>2.9</v>
      </c>
      <c r="E238">
        <v>1.66</v>
      </c>
      <c r="F238">
        <v>2.7</v>
      </c>
      <c r="G238">
        <v>2.15</v>
      </c>
      <c r="H238">
        <v>1.95</v>
      </c>
      <c r="I238">
        <v>2.2599999999999998</v>
      </c>
      <c r="J238">
        <v>4.0599999999999996</v>
      </c>
      <c r="K238">
        <v>4.4000000000000004</v>
      </c>
      <c r="L238">
        <v>3.35</v>
      </c>
      <c r="M238">
        <v>3.95</v>
      </c>
      <c r="N238">
        <v>4.74</v>
      </c>
      <c r="O238">
        <v>5.2</v>
      </c>
      <c r="P238">
        <v>6.42</v>
      </c>
      <c r="Q238">
        <v>7.2</v>
      </c>
      <c r="R238">
        <v>7.72</v>
      </c>
      <c r="S238">
        <v>7.42</v>
      </c>
    </row>
    <row r="239" spans="1:19" x14ac:dyDescent="0.25">
      <c r="A239" t="s">
        <v>17</v>
      </c>
    </row>
    <row r="240" spans="1:19" x14ac:dyDescent="0.25">
      <c r="A240" t="s">
        <v>651</v>
      </c>
    </row>
    <row r="241" spans="1:19" x14ac:dyDescent="0.25">
      <c r="A241" t="s">
        <v>396</v>
      </c>
      <c r="D241">
        <v>104.53</v>
      </c>
      <c r="E241">
        <v>84.47</v>
      </c>
      <c r="F241">
        <v>48.3</v>
      </c>
      <c r="G241">
        <v>59.99</v>
      </c>
      <c r="H241">
        <v>65.930000000000007</v>
      </c>
      <c r="I241">
        <v>65.98</v>
      </c>
      <c r="J241">
        <v>68.260000000000005</v>
      </c>
      <c r="K241">
        <v>60.48</v>
      </c>
      <c r="L241">
        <v>33.46</v>
      </c>
      <c r="M241">
        <v>29.33</v>
      </c>
      <c r="N241">
        <v>29.33</v>
      </c>
      <c r="O241">
        <v>21.86</v>
      </c>
    </row>
    <row r="242" spans="1:19" x14ac:dyDescent="0.25">
      <c r="A242" t="s">
        <v>17</v>
      </c>
    </row>
    <row r="243" spans="1:19" x14ac:dyDescent="0.25">
      <c r="A243" t="s">
        <v>134</v>
      </c>
    </row>
    <row r="244" spans="1:19" x14ac:dyDescent="0.25">
      <c r="A244" t="s">
        <v>135</v>
      </c>
    </row>
    <row r="245" spans="1:19" x14ac:dyDescent="0.25">
      <c r="A245" t="s">
        <v>2599</v>
      </c>
      <c r="B245">
        <v>832</v>
      </c>
      <c r="C245" s="2">
        <v>1412.47</v>
      </c>
      <c r="D245" s="2">
        <v>1837.32</v>
      </c>
      <c r="E245" s="2">
        <v>1837.25</v>
      </c>
      <c r="F245" s="2">
        <v>1992.5</v>
      </c>
      <c r="G245" s="2">
        <v>2207.84</v>
      </c>
      <c r="H245" s="2">
        <v>2172.44</v>
      </c>
      <c r="I245" s="2">
        <v>1999.48</v>
      </c>
      <c r="J245" s="2">
        <v>2119.7399999999998</v>
      </c>
      <c r="K245" s="2">
        <v>4252</v>
      </c>
      <c r="L245" s="2">
        <v>2955.87</v>
      </c>
      <c r="M245" s="2">
        <v>1972.14</v>
      </c>
      <c r="N245" s="2">
        <v>2631.24</v>
      </c>
      <c r="O245" s="2">
        <v>3330.17</v>
      </c>
      <c r="P245" s="2">
        <v>4321.6000000000004</v>
      </c>
      <c r="Q245" s="2">
        <v>4904.88</v>
      </c>
      <c r="R245" s="2">
        <v>5535.63</v>
      </c>
      <c r="S245" s="2">
        <v>1306</v>
      </c>
    </row>
    <row r="246" spans="1:19" x14ac:dyDescent="0.25">
      <c r="A246" t="s">
        <v>2600</v>
      </c>
      <c r="B246" s="2">
        <v>1194.8699999999999</v>
      </c>
      <c r="C246" s="2">
        <v>1808.09</v>
      </c>
      <c r="D246">
        <v>792.03</v>
      </c>
      <c r="E246" s="2">
        <v>1123.6600000000001</v>
      </c>
      <c r="F246" s="2">
        <v>1929.53</v>
      </c>
      <c r="G246">
        <v>337.32</v>
      </c>
      <c r="H246">
        <v>351.21</v>
      </c>
      <c r="I246">
        <v>64.97</v>
      </c>
      <c r="J246">
        <v>79.989999999999995</v>
      </c>
      <c r="K246">
        <v>241.71</v>
      </c>
      <c r="L246">
        <v>316.2</v>
      </c>
      <c r="M246">
        <v>204.05</v>
      </c>
      <c r="N246">
        <v>223.44</v>
      </c>
      <c r="O246">
        <v>270.18</v>
      </c>
      <c r="P246">
        <v>280.85000000000002</v>
      </c>
      <c r="Q246">
        <v>301.18</v>
      </c>
      <c r="R246">
        <v>346</v>
      </c>
    </row>
    <row r="247" spans="1:19" x14ac:dyDescent="0.25">
      <c r="A247" t="s">
        <v>2601</v>
      </c>
      <c r="B247" s="2">
        <v>21729.52</v>
      </c>
      <c r="C247" s="2">
        <v>22765.59</v>
      </c>
      <c r="D247" s="2">
        <v>14324.1</v>
      </c>
      <c r="E247" s="2">
        <v>17694.98</v>
      </c>
      <c r="F247" s="2">
        <v>24434.05</v>
      </c>
      <c r="G247" s="2">
        <v>20377.03</v>
      </c>
      <c r="H247" s="2">
        <v>22281.68</v>
      </c>
      <c r="I247" s="2">
        <v>15617.14</v>
      </c>
      <c r="J247" s="2">
        <v>28665.040000000001</v>
      </c>
      <c r="K247" s="2">
        <v>27553.25</v>
      </c>
      <c r="L247" s="2">
        <v>26146.62</v>
      </c>
      <c r="M247" s="2">
        <v>29800.57</v>
      </c>
      <c r="N247" s="2">
        <v>32212.11</v>
      </c>
      <c r="O247" s="2">
        <v>34306.379999999997</v>
      </c>
      <c r="P247" s="2">
        <v>35858.559999999998</v>
      </c>
      <c r="Q247" s="2">
        <v>36886.74</v>
      </c>
      <c r="R247" s="2">
        <v>44280.03</v>
      </c>
    </row>
    <row r="248" spans="1:19" x14ac:dyDescent="0.25">
      <c r="A248" t="s">
        <v>2602</v>
      </c>
      <c r="B248">
        <v>888.36</v>
      </c>
      <c r="C248">
        <v>559.32000000000005</v>
      </c>
      <c r="D248">
        <v>613.15</v>
      </c>
      <c r="E248">
        <v>772.7</v>
      </c>
      <c r="F248">
        <v>875.02</v>
      </c>
      <c r="G248">
        <v>636.24</v>
      </c>
      <c r="H248">
        <v>975.08</v>
      </c>
      <c r="I248">
        <v>866.16</v>
      </c>
      <c r="J248">
        <v>636.62</v>
      </c>
      <c r="K248">
        <v>462.9</v>
      </c>
      <c r="L248">
        <v>193.37</v>
      </c>
      <c r="M248">
        <v>237.93</v>
      </c>
      <c r="N248">
        <v>291.76</v>
      </c>
      <c r="O248">
        <v>609.49</v>
      </c>
      <c r="P248">
        <v>647.48</v>
      </c>
      <c r="Q248">
        <v>658.48</v>
      </c>
      <c r="R248">
        <v>759.38</v>
      </c>
      <c r="S248">
        <v>515</v>
      </c>
    </row>
    <row r="249" spans="1:19" x14ac:dyDescent="0.25">
      <c r="A249" t="s">
        <v>2516</v>
      </c>
      <c r="B249" s="2">
        <v>1192.04</v>
      </c>
      <c r="C249" s="2">
        <v>1128.4100000000001</v>
      </c>
      <c r="D249" s="2">
        <v>1240.8</v>
      </c>
      <c r="E249" s="2">
        <v>1442.38</v>
      </c>
      <c r="F249" s="2">
        <v>2028.14</v>
      </c>
      <c r="G249" s="2">
        <v>1994.12</v>
      </c>
      <c r="H249" s="2">
        <v>2594.87</v>
      </c>
      <c r="I249" s="2">
        <v>3221.52</v>
      </c>
      <c r="J249" s="2">
        <v>4656.87</v>
      </c>
      <c r="K249" s="2">
        <v>4146.71</v>
      </c>
      <c r="L249" s="2">
        <v>4466.5200000000004</v>
      </c>
      <c r="M249" s="2">
        <v>5409.32</v>
      </c>
      <c r="N249" s="2">
        <v>6357.46</v>
      </c>
      <c r="O249" s="2">
        <v>6434.19</v>
      </c>
      <c r="P249" s="2">
        <v>6769.85</v>
      </c>
      <c r="Q249" s="2">
        <v>7382.47</v>
      </c>
      <c r="R249" s="2">
        <v>9463.11</v>
      </c>
    </row>
    <row r="250" spans="1:19" x14ac:dyDescent="0.25">
      <c r="A250" t="s">
        <v>2603</v>
      </c>
      <c r="H250">
        <v>471.06</v>
      </c>
      <c r="I250">
        <v>526.94000000000005</v>
      </c>
      <c r="J250">
        <v>788.99</v>
      </c>
      <c r="K250">
        <v>896.98</v>
      </c>
      <c r="L250">
        <v>841.31</v>
      </c>
      <c r="M250">
        <v>838.62</v>
      </c>
      <c r="N250">
        <v>757.46</v>
      </c>
      <c r="O250">
        <v>757.5</v>
      </c>
      <c r="P250">
        <v>757.5</v>
      </c>
      <c r="Q250">
        <v>762.29</v>
      </c>
      <c r="R250">
        <v>743.13</v>
      </c>
    </row>
    <row r="251" spans="1:19" x14ac:dyDescent="0.25">
      <c r="A251" t="s">
        <v>2604</v>
      </c>
      <c r="B251">
        <v>560.75</v>
      </c>
      <c r="C251">
        <v>458.83</v>
      </c>
      <c r="D251">
        <v>345.55</v>
      </c>
      <c r="E251">
        <v>262.60000000000002</v>
      </c>
      <c r="F251">
        <v>409.83</v>
      </c>
      <c r="G251">
        <v>468.51</v>
      </c>
      <c r="H251">
        <v>397.51</v>
      </c>
      <c r="I251">
        <v>347.96</v>
      </c>
      <c r="J251">
        <v>284.38</v>
      </c>
      <c r="K251">
        <v>217.29</v>
      </c>
      <c r="L251">
        <v>201.21</v>
      </c>
      <c r="M251">
        <v>165.24</v>
      </c>
      <c r="N251">
        <v>131.36000000000001</v>
      </c>
      <c r="O251">
        <v>151.01</v>
      </c>
      <c r="P251">
        <v>165.16</v>
      </c>
      <c r="Q251">
        <v>173.33</v>
      </c>
      <c r="R251">
        <v>185.95</v>
      </c>
      <c r="S251">
        <v>332</v>
      </c>
    </row>
    <row r="252" spans="1:19" x14ac:dyDescent="0.25">
      <c r="A252" t="s">
        <v>2518</v>
      </c>
      <c r="B252" s="2">
        <v>1787.39</v>
      </c>
      <c r="C252" s="2">
        <v>1787.39</v>
      </c>
      <c r="D252" s="2">
        <v>1718.52</v>
      </c>
      <c r="E252" s="2">
        <v>1718.52</v>
      </c>
      <c r="F252" s="2">
        <v>1778.19</v>
      </c>
      <c r="G252" s="2">
        <v>1869.86</v>
      </c>
      <c r="H252" s="2">
        <v>1869.86</v>
      </c>
      <c r="I252" s="2">
        <v>1901.49</v>
      </c>
      <c r="J252" s="2">
        <v>1890.2</v>
      </c>
      <c r="K252" s="2">
        <v>1890.2</v>
      </c>
      <c r="L252" s="2">
        <v>1890.2</v>
      </c>
      <c r="M252" s="2">
        <v>1890.2</v>
      </c>
      <c r="N252" s="2">
        <v>1890.2</v>
      </c>
      <c r="O252" s="2">
        <v>1757.89</v>
      </c>
      <c r="P252" s="2">
        <v>1890.12</v>
      </c>
      <c r="Q252" s="2">
        <v>1882.77</v>
      </c>
      <c r="R252" s="2">
        <v>1865.83</v>
      </c>
      <c r="S252" s="2">
        <v>1946</v>
      </c>
    </row>
    <row r="253" spans="1:19" x14ac:dyDescent="0.25">
      <c r="A253" t="s">
        <v>2520</v>
      </c>
      <c r="B253" s="2">
        <v>1209.21</v>
      </c>
      <c r="C253" s="2">
        <v>1252.23</v>
      </c>
      <c r="D253" s="2">
        <v>1277.43</v>
      </c>
      <c r="E253" s="2">
        <v>1286.47</v>
      </c>
      <c r="F253">
        <v>725.97</v>
      </c>
      <c r="G253">
        <v>739.48</v>
      </c>
      <c r="H253" s="2">
        <v>1089.31</v>
      </c>
      <c r="I253" s="2">
        <v>1242.58</v>
      </c>
      <c r="J253" s="2">
        <v>1581.64</v>
      </c>
      <c r="K253" s="2">
        <v>2062.7199999999998</v>
      </c>
      <c r="L253" s="2">
        <v>2331.39</v>
      </c>
      <c r="M253" s="2">
        <v>2003.95</v>
      </c>
      <c r="N253" s="2">
        <v>2056.2199999999998</v>
      </c>
      <c r="O253" s="2">
        <v>1969.77</v>
      </c>
      <c r="P253" s="2">
        <v>1969.77</v>
      </c>
      <c r="Q253" s="2">
        <v>2000.37</v>
      </c>
      <c r="R253" s="2">
        <v>1877.94</v>
      </c>
    </row>
    <row r="254" spans="1:19" x14ac:dyDescent="0.25">
      <c r="A254" t="s">
        <v>212</v>
      </c>
      <c r="B254">
        <v>284.47000000000003</v>
      </c>
      <c r="C254">
        <v>324.76</v>
      </c>
      <c r="D254">
        <v>377.19</v>
      </c>
      <c r="E254">
        <v>264.79000000000002</v>
      </c>
      <c r="F254">
        <v>242.7</v>
      </c>
      <c r="G254">
        <v>294.25</v>
      </c>
      <c r="H254">
        <v>382.49</v>
      </c>
      <c r="I254">
        <v>481.02</v>
      </c>
      <c r="J254">
        <v>492.94</v>
      </c>
      <c r="K254">
        <v>800.46</v>
      </c>
      <c r="L254">
        <v>944.85</v>
      </c>
      <c r="M254">
        <v>947.86</v>
      </c>
      <c r="N254" s="2">
        <v>1157.72</v>
      </c>
      <c r="O254" s="2">
        <v>1083.58</v>
      </c>
      <c r="P254" s="2">
        <v>1249.6199999999999</v>
      </c>
      <c r="Q254" s="2">
        <v>1577.45</v>
      </c>
      <c r="R254" s="2">
        <v>2250.23</v>
      </c>
    </row>
    <row r="255" spans="1:19" x14ac:dyDescent="0.25">
      <c r="A255" t="s">
        <v>155</v>
      </c>
      <c r="B255" s="2">
        <v>29678.61</v>
      </c>
      <c r="C255" s="2">
        <v>31497.1</v>
      </c>
      <c r="D255" s="2">
        <v>22526.080000000002</v>
      </c>
      <c r="E255" s="2">
        <v>26403.34</v>
      </c>
      <c r="F255" s="2">
        <v>34415.919999999998</v>
      </c>
      <c r="G255" s="2">
        <v>28924.65</v>
      </c>
      <c r="H255" s="2">
        <v>32585.51</v>
      </c>
      <c r="I255" s="2">
        <v>26269.25</v>
      </c>
      <c r="J255" s="2">
        <v>41196.410000000003</v>
      </c>
      <c r="K255" s="2">
        <v>42524.23</v>
      </c>
      <c r="L255" s="2">
        <v>40287.53</v>
      </c>
      <c r="M255" s="2">
        <v>43469.88</v>
      </c>
      <c r="N255" s="2">
        <v>47708.98</v>
      </c>
      <c r="O255" s="2">
        <v>50273.48</v>
      </c>
      <c r="P255" s="2">
        <v>53811.19</v>
      </c>
      <c r="Q255" s="2">
        <v>58766.48</v>
      </c>
      <c r="R255" s="2">
        <v>68587.16</v>
      </c>
      <c r="S255" s="2">
        <v>70130</v>
      </c>
    </row>
    <row r="256" spans="1:19" x14ac:dyDescent="0.25">
      <c r="A256" t="s">
        <v>17</v>
      </c>
    </row>
    <row r="257" spans="1:19" x14ac:dyDescent="0.25">
      <c r="A257" t="s">
        <v>2605</v>
      </c>
    </row>
    <row r="258" spans="1:19" x14ac:dyDescent="0.25">
      <c r="A258" t="s">
        <v>2606</v>
      </c>
      <c r="B258">
        <v>872.09</v>
      </c>
      <c r="C258" s="2">
        <v>1194.58</v>
      </c>
      <c r="D258">
        <v>648.66</v>
      </c>
      <c r="E258" s="2">
        <v>1081.78</v>
      </c>
      <c r="F258" s="2">
        <v>2043.52</v>
      </c>
      <c r="G258">
        <v>875.98</v>
      </c>
      <c r="H258">
        <v>806.16</v>
      </c>
      <c r="I258">
        <v>717.1</v>
      </c>
      <c r="J258">
        <v>937.17</v>
      </c>
      <c r="K258" s="2">
        <v>1158.07</v>
      </c>
      <c r="L258" s="2">
        <v>2273.37</v>
      </c>
      <c r="M258" s="2">
        <v>2792.31</v>
      </c>
      <c r="N258" s="2">
        <v>2885.82</v>
      </c>
      <c r="O258" s="2">
        <v>3056.67</v>
      </c>
      <c r="P258" s="2">
        <v>3235.25</v>
      </c>
      <c r="Q258" s="2">
        <v>3278.1</v>
      </c>
      <c r="R258" s="2">
        <v>4054.15</v>
      </c>
      <c r="S258" s="2">
        <v>3512</v>
      </c>
    </row>
    <row r="259" spans="1:19" x14ac:dyDescent="0.25">
      <c r="A259" t="s">
        <v>2607</v>
      </c>
      <c r="B259" s="2">
        <v>10458.44</v>
      </c>
      <c r="C259" s="2">
        <v>8923.84</v>
      </c>
      <c r="D259" s="2">
        <v>6116.75</v>
      </c>
      <c r="E259" s="2">
        <v>8866.3700000000008</v>
      </c>
      <c r="F259" s="2">
        <v>14815.44</v>
      </c>
      <c r="G259" s="2">
        <v>9951.86</v>
      </c>
      <c r="H259" s="2">
        <v>11080.72</v>
      </c>
      <c r="I259" s="2">
        <v>5644.65</v>
      </c>
      <c r="J259" s="2">
        <v>7748.16</v>
      </c>
      <c r="K259" s="2">
        <v>12349.58</v>
      </c>
      <c r="L259" s="2">
        <v>11304.06</v>
      </c>
      <c r="M259" s="2">
        <v>11320.96</v>
      </c>
      <c r="N259" s="2">
        <v>12445.14</v>
      </c>
      <c r="O259" s="2">
        <v>13311.36</v>
      </c>
      <c r="P259" s="2">
        <v>13964.92</v>
      </c>
      <c r="Q259" s="2">
        <v>15056.61</v>
      </c>
      <c r="R259" s="2">
        <v>16564.78</v>
      </c>
      <c r="S259" s="2">
        <v>12386</v>
      </c>
    </row>
    <row r="260" spans="1:19" x14ac:dyDescent="0.25">
      <c r="A260" t="s">
        <v>2608</v>
      </c>
      <c r="B260" s="2">
        <v>1436.86</v>
      </c>
      <c r="C260" s="2">
        <v>1490.09</v>
      </c>
      <c r="D260" s="2">
        <v>1282.7</v>
      </c>
      <c r="E260" s="2">
        <v>1321.77</v>
      </c>
      <c r="F260">
        <v>937.16</v>
      </c>
      <c r="G260" s="2">
        <v>1035.78</v>
      </c>
      <c r="H260" s="2">
        <v>1026.8699999999999</v>
      </c>
      <c r="I260" s="2">
        <v>1135.04</v>
      </c>
      <c r="J260" s="2">
        <v>1906.1</v>
      </c>
      <c r="K260" s="2">
        <v>2118.48</v>
      </c>
      <c r="L260" s="2">
        <v>2393.41</v>
      </c>
      <c r="M260" s="2">
        <v>2808.15</v>
      </c>
      <c r="N260" s="2">
        <v>3224.43</v>
      </c>
      <c r="O260" s="2">
        <v>3485.96</v>
      </c>
      <c r="P260" s="2">
        <v>3612.59</v>
      </c>
      <c r="Q260" s="2">
        <v>3840.16</v>
      </c>
      <c r="R260" s="2">
        <v>4442.2299999999996</v>
      </c>
    </row>
    <row r="261" spans="1:19" x14ac:dyDescent="0.25">
      <c r="A261" t="s">
        <v>2609</v>
      </c>
      <c r="B261" s="2">
        <v>2132.94</v>
      </c>
      <c r="C261" s="2">
        <v>2439.2600000000002</v>
      </c>
      <c r="D261" s="2">
        <v>2029.92</v>
      </c>
      <c r="E261" s="2">
        <v>2327.7600000000002</v>
      </c>
      <c r="F261" s="2">
        <v>2623.49</v>
      </c>
      <c r="G261" s="2">
        <v>2942.13</v>
      </c>
      <c r="H261" s="2">
        <v>3796.04</v>
      </c>
      <c r="I261" s="2">
        <v>3433.26</v>
      </c>
      <c r="J261" s="2">
        <v>7905.07</v>
      </c>
      <c r="K261" s="2">
        <v>6101.8</v>
      </c>
      <c r="L261" s="2">
        <v>5247.77</v>
      </c>
      <c r="M261" s="2">
        <v>6087.7</v>
      </c>
      <c r="N261" s="2">
        <v>6411.39</v>
      </c>
      <c r="O261" s="2">
        <v>6764.72</v>
      </c>
      <c r="P261" s="2">
        <v>6963.71</v>
      </c>
      <c r="Q261" s="2">
        <v>7265.88</v>
      </c>
      <c r="R261" s="2">
        <v>8725.66</v>
      </c>
    </row>
    <row r="262" spans="1:19" x14ac:dyDescent="0.25">
      <c r="A262" t="s">
        <v>2610</v>
      </c>
      <c r="B262">
        <v>76.2</v>
      </c>
      <c r="C262">
        <v>85.88</v>
      </c>
      <c r="D262">
        <v>176.67</v>
      </c>
      <c r="E262">
        <v>215.4</v>
      </c>
      <c r="F262">
        <v>154.38</v>
      </c>
      <c r="G262">
        <v>142.62</v>
      </c>
      <c r="H262">
        <v>75.55</v>
      </c>
      <c r="I262">
        <v>51.03</v>
      </c>
      <c r="J262">
        <v>27.85</v>
      </c>
      <c r="K262">
        <v>3.83</v>
      </c>
    </row>
    <row r="263" spans="1:19" x14ac:dyDescent="0.25">
      <c r="A263" t="s">
        <v>2611</v>
      </c>
      <c r="B263">
        <v>316.35000000000002</v>
      </c>
      <c r="C263">
        <v>29.91</v>
      </c>
      <c r="D263">
        <v>40.93</v>
      </c>
      <c r="E263">
        <v>75.319999999999993</v>
      </c>
      <c r="F263">
        <v>118.84</v>
      </c>
      <c r="G263">
        <v>222.2</v>
      </c>
      <c r="H263">
        <v>154.12</v>
      </c>
      <c r="I263">
        <v>76.81</v>
      </c>
      <c r="J263">
        <v>57.98</v>
      </c>
      <c r="K263">
        <v>89.94</v>
      </c>
      <c r="L263">
        <v>3.89</v>
      </c>
    </row>
    <row r="264" spans="1:19" x14ac:dyDescent="0.25">
      <c r="A264" t="s">
        <v>2612</v>
      </c>
      <c r="H264">
        <v>542.99</v>
      </c>
      <c r="I264">
        <v>620.84</v>
      </c>
      <c r="J264">
        <v>908.03</v>
      </c>
      <c r="K264" s="2">
        <v>1021.45</v>
      </c>
      <c r="L264">
        <v>989.82</v>
      </c>
      <c r="M264">
        <v>965.74</v>
      </c>
      <c r="N264">
        <v>861.02</v>
      </c>
      <c r="O264">
        <v>867.13</v>
      </c>
      <c r="P264">
        <v>904.68</v>
      </c>
      <c r="Q264" s="2">
        <v>1002.75</v>
      </c>
      <c r="R264" s="2">
        <v>1260.83</v>
      </c>
    </row>
    <row r="265" spans="1:19" x14ac:dyDescent="0.25">
      <c r="A265" t="s">
        <v>167</v>
      </c>
      <c r="B265" s="2">
        <v>15300.94</v>
      </c>
      <c r="C265" s="2">
        <v>14163.55</v>
      </c>
      <c r="D265" s="2">
        <v>10295.620000000001</v>
      </c>
      <c r="E265" s="2">
        <v>13888.4</v>
      </c>
      <c r="F265" s="2">
        <v>20692.830000000002</v>
      </c>
      <c r="G265" s="2">
        <v>15170.56</v>
      </c>
      <c r="H265" s="2">
        <v>17482.45</v>
      </c>
      <c r="I265" s="2">
        <v>11678.74</v>
      </c>
      <c r="J265" s="2">
        <v>19490.36</v>
      </c>
      <c r="K265" s="2">
        <v>22843.16</v>
      </c>
      <c r="L265" s="2">
        <v>22212.32</v>
      </c>
      <c r="M265" s="2">
        <v>23974.86</v>
      </c>
      <c r="N265" s="2">
        <v>25827.8</v>
      </c>
      <c r="O265" s="2">
        <v>27329.54</v>
      </c>
      <c r="P265" s="2">
        <v>28680.76</v>
      </c>
      <c r="Q265" s="2">
        <v>31012</v>
      </c>
      <c r="R265" s="2">
        <v>36032.769999999997</v>
      </c>
      <c r="S265" s="2">
        <v>32883</v>
      </c>
    </row>
    <row r="266" spans="1:19" x14ac:dyDescent="0.25">
      <c r="A266" t="s">
        <v>911</v>
      </c>
      <c r="B266" s="2">
        <v>12427.23</v>
      </c>
      <c r="C266" s="2">
        <v>14891.69</v>
      </c>
      <c r="D266" s="2">
        <v>12047</v>
      </c>
      <c r="E266" s="2">
        <v>12329.54</v>
      </c>
      <c r="F266" s="2">
        <v>13512.15</v>
      </c>
      <c r="G266" s="2">
        <v>13612.31</v>
      </c>
      <c r="H266" s="2">
        <v>15015.4</v>
      </c>
      <c r="I266" s="2">
        <v>14525.35</v>
      </c>
      <c r="J266" s="2">
        <v>21638.02</v>
      </c>
      <c r="K266" s="2">
        <v>17966.060000000001</v>
      </c>
      <c r="L266" s="2">
        <v>16896.14</v>
      </c>
      <c r="M266" s="2">
        <v>18693.62</v>
      </c>
      <c r="N266" s="2">
        <v>20500.669999999998</v>
      </c>
      <c r="O266" s="2">
        <v>22459.68</v>
      </c>
      <c r="P266" s="2">
        <v>24963.86</v>
      </c>
      <c r="Q266" s="2">
        <v>26619.1</v>
      </c>
      <c r="R266" s="2">
        <v>31555.03</v>
      </c>
      <c r="S266" s="2">
        <v>37247</v>
      </c>
    </row>
    <row r="267" spans="1:19" x14ac:dyDescent="0.25">
      <c r="A267" t="s">
        <v>2613</v>
      </c>
      <c r="I267">
        <v>65.16</v>
      </c>
      <c r="J267">
        <v>68.03</v>
      </c>
      <c r="K267" s="2">
        <v>1715.01</v>
      </c>
      <c r="L267" s="2">
        <v>1179.07</v>
      </c>
      <c r="M267">
        <v>801.4</v>
      </c>
      <c r="N267" s="2">
        <v>1380.5</v>
      </c>
      <c r="O267" s="2">
        <v>1375.24</v>
      </c>
      <c r="P267" s="2">
        <v>1367.99</v>
      </c>
      <c r="Q267" s="2">
        <v>1358.2</v>
      </c>
      <c r="R267" s="2">
        <v>1332.48</v>
      </c>
    </row>
    <row r="268" spans="1:19" x14ac:dyDescent="0.25">
      <c r="A268" t="s">
        <v>168</v>
      </c>
      <c r="B268" s="2">
        <v>6306.77</v>
      </c>
      <c r="C268" s="2">
        <v>7060.27</v>
      </c>
      <c r="D268" s="2">
        <v>6269.79</v>
      </c>
      <c r="E268" s="2">
        <v>6461.04</v>
      </c>
      <c r="F268" s="2">
        <v>6634.49</v>
      </c>
      <c r="G268" s="2">
        <v>6379.22</v>
      </c>
      <c r="H268" s="2">
        <v>7009.78</v>
      </c>
      <c r="I268" s="2">
        <v>6652.04</v>
      </c>
      <c r="J268" s="2">
        <v>9422.89</v>
      </c>
      <c r="K268" s="2">
        <v>7655.91</v>
      </c>
      <c r="L268" s="2">
        <v>6816.8</v>
      </c>
      <c r="M268" s="2">
        <v>8212.32</v>
      </c>
      <c r="N268" s="2">
        <v>8665.5300000000007</v>
      </c>
      <c r="O268" s="2">
        <v>9903.0400000000009</v>
      </c>
      <c r="P268" s="2">
        <v>11067.61</v>
      </c>
      <c r="Q268" s="2">
        <v>12626.35</v>
      </c>
      <c r="R268" s="2">
        <v>15500.5</v>
      </c>
      <c r="S268" s="2">
        <v>20059</v>
      </c>
    </row>
    <row r="269" spans="1:19" x14ac:dyDescent="0.25">
      <c r="A269" t="s">
        <v>173</v>
      </c>
      <c r="B269">
        <v>0</v>
      </c>
      <c r="C269">
        <v>0</v>
      </c>
      <c r="H269">
        <v>609.63</v>
      </c>
      <c r="I269">
        <v>335.76</v>
      </c>
      <c r="J269" s="2">
        <v>3647.79</v>
      </c>
      <c r="K269" s="2">
        <v>1748.11</v>
      </c>
      <c r="L269">
        <v>660.73</v>
      </c>
      <c r="M269">
        <v>808.08</v>
      </c>
      <c r="N269">
        <v>191.64</v>
      </c>
      <c r="O269">
        <v>294.83999999999997</v>
      </c>
      <c r="P269" s="2">
        <v>1155.7</v>
      </c>
      <c r="Q269" s="2">
        <v>2089.86</v>
      </c>
      <c r="R269" s="2">
        <v>3222.55</v>
      </c>
    </row>
    <row r="270" spans="1:19" x14ac:dyDescent="0.25">
      <c r="A270" t="s">
        <v>171</v>
      </c>
      <c r="B270" s="2">
        <v>6002.59</v>
      </c>
      <c r="C270" s="2">
        <v>6999.83</v>
      </c>
      <c r="D270" s="2">
        <v>6322.31</v>
      </c>
      <c r="E270" s="2">
        <v>6523.93</v>
      </c>
      <c r="H270">
        <v>0.01</v>
      </c>
      <c r="I270">
        <v>0.01</v>
      </c>
      <c r="J270">
        <v>0.01</v>
      </c>
      <c r="K270">
        <v>0.01</v>
      </c>
      <c r="L270">
        <v>0.01</v>
      </c>
      <c r="M270">
        <v>0.01</v>
      </c>
      <c r="N270">
        <v>0.01</v>
      </c>
      <c r="O270">
        <v>0.01</v>
      </c>
      <c r="P270">
        <v>0.01</v>
      </c>
      <c r="Q270">
        <v>0.01</v>
      </c>
      <c r="R270">
        <v>0.01</v>
      </c>
    </row>
    <row r="271" spans="1:19" x14ac:dyDescent="0.25">
      <c r="A271" t="s">
        <v>503</v>
      </c>
      <c r="B271">
        <v>300.70999999999998</v>
      </c>
      <c r="C271">
        <v>81.3</v>
      </c>
      <c r="D271">
        <v>0</v>
      </c>
      <c r="E271" s="2">
        <v>6523.93</v>
      </c>
      <c r="F271" s="2">
        <v>6668.51</v>
      </c>
      <c r="G271" s="2">
        <v>6415.7</v>
      </c>
      <c r="H271" s="2">
        <v>6428.65</v>
      </c>
      <c r="I271" s="2">
        <v>6332.11</v>
      </c>
      <c r="J271" s="2">
        <v>5794.73</v>
      </c>
      <c r="K271" s="2">
        <v>5935.27</v>
      </c>
      <c r="L271" s="2">
        <v>6175.19</v>
      </c>
      <c r="M271" s="2">
        <v>7444.56</v>
      </c>
      <c r="N271" s="2">
        <v>8479.89</v>
      </c>
      <c r="O271" s="2">
        <v>9397.66</v>
      </c>
      <c r="P271" s="2">
        <v>10718.9</v>
      </c>
      <c r="Q271" s="2">
        <v>12145.56</v>
      </c>
      <c r="R271" s="2">
        <v>16327.3</v>
      </c>
    </row>
    <row r="272" spans="1:19" x14ac:dyDescent="0.25">
      <c r="A272" t="s">
        <v>2614</v>
      </c>
      <c r="B272">
        <v>3.47</v>
      </c>
      <c r="C272">
        <v>-20.86</v>
      </c>
      <c r="D272">
        <v>-52.52</v>
      </c>
      <c r="E272">
        <v>-62.89</v>
      </c>
      <c r="F272">
        <v>-34.020000000000003</v>
      </c>
      <c r="G272">
        <v>-36.479999999999997</v>
      </c>
      <c r="H272">
        <v>-28.5</v>
      </c>
      <c r="I272">
        <v>-15.83</v>
      </c>
      <c r="J272">
        <v>-19.63</v>
      </c>
      <c r="K272">
        <v>-27.48</v>
      </c>
      <c r="L272">
        <v>-19.13</v>
      </c>
      <c r="M272">
        <v>-40.33</v>
      </c>
      <c r="N272">
        <v>-6.01</v>
      </c>
      <c r="O272">
        <v>-17.739999999999998</v>
      </c>
      <c r="P272">
        <v>-17.93</v>
      </c>
      <c r="Q272">
        <v>-18.13</v>
      </c>
      <c r="R272">
        <v>-19.600000000000001</v>
      </c>
    </row>
    <row r="273" spans="1:19" x14ac:dyDescent="0.25">
      <c r="A273" t="s">
        <v>1235</v>
      </c>
      <c r="B273" s="2">
        <v>8070.91</v>
      </c>
      <c r="C273" s="2">
        <v>10273.280000000001</v>
      </c>
      <c r="D273" s="2">
        <v>5960.67</v>
      </c>
      <c r="E273" s="2">
        <v>6053.89</v>
      </c>
      <c r="F273" s="2">
        <v>7088.6</v>
      </c>
      <c r="G273" s="2">
        <v>7374.86</v>
      </c>
      <c r="H273" s="2">
        <v>8093.27</v>
      </c>
      <c r="I273" s="2">
        <v>7938.47</v>
      </c>
      <c r="J273" s="2">
        <v>12283.15</v>
      </c>
      <c r="K273" s="2">
        <v>12025.16</v>
      </c>
      <c r="L273" s="2">
        <v>11258.42</v>
      </c>
      <c r="M273" s="2">
        <v>11282.69</v>
      </c>
      <c r="N273" s="2">
        <v>13215.65</v>
      </c>
      <c r="O273" s="2">
        <v>82534.720000000001</v>
      </c>
      <c r="P273" s="2">
        <v>86193.23</v>
      </c>
      <c r="Q273" s="2">
        <v>94988.58</v>
      </c>
      <c r="R273" s="2">
        <v>16802</v>
      </c>
      <c r="S273" s="2">
        <v>17188</v>
      </c>
    </row>
    <row r="274" spans="1:19" x14ac:dyDescent="0.25">
      <c r="A274" t="s">
        <v>2615</v>
      </c>
      <c r="C274" s="2">
        <v>4416.07</v>
      </c>
      <c r="D274" s="2">
        <v>3368.51</v>
      </c>
      <c r="E274" s="2">
        <v>3439.54</v>
      </c>
      <c r="F274" s="2">
        <v>3624.51</v>
      </c>
      <c r="G274" s="2">
        <v>3584.32</v>
      </c>
      <c r="H274" s="2">
        <v>3819.55</v>
      </c>
      <c r="I274" s="2">
        <v>3831.15</v>
      </c>
      <c r="J274" s="2">
        <v>6614.47</v>
      </c>
      <c r="K274" s="2">
        <v>5253.67</v>
      </c>
      <c r="L274" s="2">
        <v>4902.09</v>
      </c>
      <c r="M274" s="2">
        <v>6154.94</v>
      </c>
      <c r="N274" s="2">
        <v>4610.93</v>
      </c>
      <c r="O274" s="2">
        <v>5117.2299999999996</v>
      </c>
      <c r="P274" s="2">
        <v>5319.79</v>
      </c>
      <c r="Q274" s="2">
        <v>5504.64</v>
      </c>
      <c r="R274" s="2">
        <v>5906.2</v>
      </c>
    </row>
    <row r="275" spans="1:19" x14ac:dyDescent="0.25">
      <c r="A275" t="s">
        <v>326</v>
      </c>
      <c r="B275" s="2">
        <v>29678.61</v>
      </c>
      <c r="C275" s="2">
        <v>31497.1</v>
      </c>
      <c r="D275" s="2">
        <v>22526.080000000002</v>
      </c>
      <c r="E275" s="2">
        <v>26403.34</v>
      </c>
      <c r="F275" s="2">
        <v>34415.919999999998</v>
      </c>
      <c r="G275" s="2">
        <v>28924.65</v>
      </c>
      <c r="H275" s="2">
        <v>32585.51</v>
      </c>
      <c r="I275" s="2">
        <v>26269.25</v>
      </c>
      <c r="J275" s="2">
        <v>41196.410000000003</v>
      </c>
      <c r="K275" s="2">
        <v>42524.23</v>
      </c>
      <c r="L275" s="2">
        <v>40287.53</v>
      </c>
      <c r="M275" s="2">
        <v>43469.88</v>
      </c>
      <c r="N275" s="2">
        <v>47708.98</v>
      </c>
      <c r="O275" s="2">
        <v>50273.48</v>
      </c>
      <c r="P275" s="2">
        <v>53811.19</v>
      </c>
      <c r="Q275" s="2">
        <v>58766.48</v>
      </c>
      <c r="R275" s="2">
        <v>68587.16</v>
      </c>
      <c r="S275" s="2">
        <v>70130</v>
      </c>
    </row>
    <row r="276" spans="1:19" x14ac:dyDescent="0.25">
      <c r="A276" t="s">
        <v>17</v>
      </c>
    </row>
    <row r="277" spans="1:19" x14ac:dyDescent="0.25">
      <c r="A277" t="s">
        <v>176</v>
      </c>
    </row>
    <row r="278" spans="1:19" x14ac:dyDescent="0.25">
      <c r="A278" t="s">
        <v>180</v>
      </c>
      <c r="B278">
        <v>19.899999999999999</v>
      </c>
      <c r="C278">
        <v>23.71</v>
      </c>
      <c r="D278">
        <v>10.65</v>
      </c>
      <c r="E278">
        <v>16.329999999999998</v>
      </c>
      <c r="F278">
        <v>22.47</v>
      </c>
      <c r="G278">
        <v>23.69</v>
      </c>
      <c r="H278">
        <v>30.62</v>
      </c>
      <c r="I278">
        <v>15.3</v>
      </c>
      <c r="J278">
        <v>72.88</v>
      </c>
      <c r="K278">
        <v>20.47</v>
      </c>
      <c r="L278">
        <v>19.22</v>
      </c>
      <c r="M278">
        <v>36.950000000000003</v>
      </c>
      <c r="N278">
        <v>35.78</v>
      </c>
      <c r="O278">
        <v>40.9</v>
      </c>
      <c r="P278">
        <v>45.66</v>
      </c>
      <c r="Q278">
        <v>45.98</v>
      </c>
      <c r="R278">
        <v>37.33</v>
      </c>
      <c r="S278">
        <v>35.799999999999997</v>
      </c>
    </row>
    <row r="279" spans="1:19" x14ac:dyDescent="0.25">
      <c r="A279" t="s">
        <v>185</v>
      </c>
      <c r="E279">
        <v>0</v>
      </c>
      <c r="F279">
        <v>0</v>
      </c>
      <c r="G279">
        <v>16</v>
      </c>
      <c r="H279">
        <v>12.8</v>
      </c>
      <c r="I279">
        <v>9</v>
      </c>
      <c r="J279">
        <v>10.27</v>
      </c>
      <c r="K279">
        <v>3.9</v>
      </c>
      <c r="L279">
        <v>3.7</v>
      </c>
      <c r="M279">
        <v>4</v>
      </c>
      <c r="N279">
        <v>0.8</v>
      </c>
      <c r="O279">
        <v>1.57</v>
      </c>
      <c r="P279">
        <v>2.91</v>
      </c>
      <c r="Q279">
        <v>3</v>
      </c>
      <c r="R279">
        <v>0.8</v>
      </c>
    </row>
    <row r="280" spans="1:19" x14ac:dyDescent="0.25">
      <c r="A280" t="s">
        <v>2616</v>
      </c>
      <c r="E280" s="2">
        <v>3470</v>
      </c>
      <c r="F280">
        <v>3.35</v>
      </c>
      <c r="G280" s="2">
        <v>3523</v>
      </c>
      <c r="H280" s="2">
        <v>4314</v>
      </c>
      <c r="I280" s="2">
        <v>3826</v>
      </c>
      <c r="J280" s="2">
        <v>8738</v>
      </c>
      <c r="K280" s="2">
        <v>6835.14</v>
      </c>
      <c r="L280" s="2">
        <v>5834.58</v>
      </c>
      <c r="M280" s="2">
        <v>6280.56</v>
      </c>
      <c r="N280" s="2">
        <v>6742.52</v>
      </c>
      <c r="O280" s="2">
        <v>7782.97</v>
      </c>
      <c r="P280" s="2">
        <v>9043.1</v>
      </c>
      <c r="Q280" s="2">
        <v>9509.02</v>
      </c>
      <c r="R280" s="2">
        <v>11899.59</v>
      </c>
    </row>
    <row r="281" spans="1:19" x14ac:dyDescent="0.25">
      <c r="A281" t="s">
        <v>17</v>
      </c>
    </row>
    <row r="282" spans="1:19" x14ac:dyDescent="0.25">
      <c r="A282" t="s">
        <v>188</v>
      </c>
    </row>
    <row r="283" spans="1:19" x14ac:dyDescent="0.25">
      <c r="A283" t="s">
        <v>189</v>
      </c>
    </row>
    <row r="284" spans="1:19" x14ac:dyDescent="0.25">
      <c r="A284" t="s">
        <v>121</v>
      </c>
      <c r="B284" s="2">
        <v>1171.2</v>
      </c>
      <c r="C284" s="2">
        <v>1584.59</v>
      </c>
      <c r="D284">
        <v>709.79</v>
      </c>
      <c r="E284" s="2">
        <v>1039.24</v>
      </c>
      <c r="F284" s="2">
        <v>1470.83</v>
      </c>
      <c r="G284" s="2">
        <v>1541.79</v>
      </c>
      <c r="H284" s="2">
        <v>2049.6799999999998</v>
      </c>
      <c r="I284" s="2">
        <v>1045.3599999999999</v>
      </c>
      <c r="J284" s="2">
        <v>5857.4</v>
      </c>
      <c r="K284" s="2">
        <v>1747.63</v>
      </c>
      <c r="L284" s="2">
        <v>1390.88</v>
      </c>
      <c r="M284" s="2">
        <v>2776.51</v>
      </c>
      <c r="N284" s="2">
        <v>3019.21</v>
      </c>
      <c r="O284" s="2">
        <v>5229.8599999999997</v>
      </c>
      <c r="P284" s="2">
        <v>6467.57</v>
      </c>
      <c r="Q284" s="2">
        <v>5958.25</v>
      </c>
      <c r="R284" s="2">
        <v>7208</v>
      </c>
    </row>
    <row r="285" spans="1:19" x14ac:dyDescent="0.25">
      <c r="A285" t="s">
        <v>204</v>
      </c>
      <c r="B285" s="2">
        <v>3547.94</v>
      </c>
      <c r="C285" s="2">
        <v>1654.99</v>
      </c>
      <c r="D285" s="2">
        <v>2397.04</v>
      </c>
      <c r="E285">
        <v>-541.29</v>
      </c>
      <c r="F285" s="2">
        <v>-1626.4</v>
      </c>
      <c r="G285">
        <v>45.74</v>
      </c>
      <c r="H285" s="2">
        <v>1963.11</v>
      </c>
      <c r="I285" s="2">
        <v>1935.95</v>
      </c>
      <c r="J285" s="2">
        <v>3985.99</v>
      </c>
      <c r="K285" s="2">
        <v>6336.25</v>
      </c>
      <c r="L285" s="2">
        <v>4056.91</v>
      </c>
      <c r="M285" s="2">
        <v>3481.66</v>
      </c>
      <c r="N285" s="2">
        <v>4663.16</v>
      </c>
    </row>
    <row r="286" spans="1:19" x14ac:dyDescent="0.25">
      <c r="A286" t="s">
        <v>17</v>
      </c>
    </row>
    <row r="287" spans="1:19" x14ac:dyDescent="0.25">
      <c r="A287" t="s">
        <v>205</v>
      </c>
    </row>
    <row r="288" spans="1:19" x14ac:dyDescent="0.25">
      <c r="A288" t="s">
        <v>206</v>
      </c>
      <c r="B288">
        <v>-25.64</v>
      </c>
      <c r="C288">
        <v>-30.27</v>
      </c>
      <c r="D288">
        <v>-59.25</v>
      </c>
      <c r="E288">
        <v>-21.83</v>
      </c>
      <c r="F288">
        <v>-24.35</v>
      </c>
      <c r="G288">
        <v>-18.38</v>
      </c>
      <c r="H288">
        <v>-60.28</v>
      </c>
      <c r="I288">
        <v>-111.65</v>
      </c>
      <c r="J288">
        <v>-64.319999999999993</v>
      </c>
      <c r="K288">
        <v>-235.5</v>
      </c>
      <c r="L288">
        <v>-224.23</v>
      </c>
      <c r="M288">
        <v>-61.41</v>
      </c>
      <c r="N288">
        <v>-115.7</v>
      </c>
      <c r="O288">
        <v>-74</v>
      </c>
      <c r="P288">
        <v>-54.5</v>
      </c>
      <c r="Q288">
        <v>-196</v>
      </c>
      <c r="R288">
        <v>-228</v>
      </c>
      <c r="S288">
        <v>-108</v>
      </c>
    </row>
    <row r="289" spans="1:17" x14ac:dyDescent="0.25">
      <c r="A289" t="s">
        <v>213</v>
      </c>
      <c r="B289">
        <v>-165.9</v>
      </c>
      <c r="C289">
        <v>-24.43</v>
      </c>
      <c r="D289">
        <v>-53.4</v>
      </c>
      <c r="E289">
        <v>-28.98</v>
      </c>
      <c r="F289">
        <v>-193.26</v>
      </c>
      <c r="G289">
        <v>-116.6</v>
      </c>
      <c r="H289">
        <v>-60.28</v>
      </c>
      <c r="I289">
        <v>-166.82</v>
      </c>
      <c r="J289">
        <v>-64.319999999999993</v>
      </c>
      <c r="K289">
        <v>-235.5</v>
      </c>
      <c r="L289">
        <v>-229.65</v>
      </c>
      <c r="M289">
        <v>-61.41</v>
      </c>
      <c r="N289">
        <v>-115.7</v>
      </c>
    </row>
    <row r="290" spans="1:17" x14ac:dyDescent="0.25">
      <c r="A290" t="s">
        <v>17</v>
      </c>
    </row>
    <row r="291" spans="1:17" x14ac:dyDescent="0.25">
      <c r="A291" t="s">
        <v>214</v>
      </c>
    </row>
    <row r="292" spans="1:17" x14ac:dyDescent="0.25">
      <c r="A292" t="s">
        <v>218</v>
      </c>
      <c r="B292" s="2">
        <v>-3259.61</v>
      </c>
      <c r="C292" s="2">
        <v>-1049.9100000000001</v>
      </c>
      <c r="D292" s="2">
        <v>-1919.4</v>
      </c>
      <c r="E292">
        <v>570.16999999999996</v>
      </c>
      <c r="F292" s="2">
        <v>2771.34</v>
      </c>
      <c r="G292" s="2">
        <v>-1330.19</v>
      </c>
      <c r="H292" s="2">
        <v>-1921.38</v>
      </c>
      <c r="I292" s="2">
        <v>-2244.04</v>
      </c>
      <c r="J292" s="2">
        <v>-3776.59</v>
      </c>
      <c r="K292" s="2">
        <v>-3794.46</v>
      </c>
      <c r="L292" s="2">
        <v>-5053.8999999999996</v>
      </c>
      <c r="M292" s="2">
        <v>-4501.5600000000004</v>
      </c>
      <c r="N292" s="2">
        <v>-3878.81</v>
      </c>
    </row>
    <row r="293" spans="1:17" x14ac:dyDescent="0.25">
      <c r="A293" t="s">
        <v>17</v>
      </c>
    </row>
    <row r="294" spans="1:17" x14ac:dyDescent="0.25">
      <c r="A294" t="s">
        <v>176</v>
      </c>
    </row>
    <row r="295" spans="1:17" x14ac:dyDescent="0.25">
      <c r="A295" t="s">
        <v>1213</v>
      </c>
      <c r="B295">
        <v>122.5</v>
      </c>
      <c r="C295">
        <v>580.47</v>
      </c>
      <c r="D295">
        <v>424.85</v>
      </c>
      <c r="E295">
        <v>-7.0000000000000007E-2</v>
      </c>
      <c r="F295" s="2">
        <v>1075.53</v>
      </c>
      <c r="G295" s="2">
        <v>-1391.33</v>
      </c>
      <c r="H295">
        <v>-21.51</v>
      </c>
      <c r="I295">
        <v>-459.2</v>
      </c>
      <c r="J295">
        <v>135.28</v>
      </c>
      <c r="K295" s="2">
        <v>2293.98</v>
      </c>
      <c r="L295" s="2">
        <v>-2275.0300000000002</v>
      </c>
      <c r="M295" s="2">
        <v>-1095.8699999999999</v>
      </c>
      <c r="N295">
        <v>678.49</v>
      </c>
    </row>
    <row r="296" spans="1:17" x14ac:dyDescent="0.25">
      <c r="A296" t="s">
        <v>178</v>
      </c>
    </row>
    <row r="297" spans="1:17" x14ac:dyDescent="0.25">
      <c r="A297" t="s">
        <v>224</v>
      </c>
      <c r="B297">
        <v>6.05</v>
      </c>
      <c r="C297">
        <v>2.72</v>
      </c>
      <c r="D297">
        <v>3.78</v>
      </c>
      <c r="E297">
        <v>-0.83</v>
      </c>
      <c r="F297">
        <v>-2.44</v>
      </c>
      <c r="G297">
        <v>7.0000000000000007E-2</v>
      </c>
      <c r="H297">
        <v>2.9</v>
      </c>
      <c r="I297">
        <v>2.78</v>
      </c>
      <c r="J297">
        <v>5.54</v>
      </c>
      <c r="K297">
        <v>8.5500000000000007</v>
      </c>
      <c r="L297">
        <v>3.98</v>
      </c>
      <c r="M297">
        <v>4.54</v>
      </c>
      <c r="N297">
        <v>5.98</v>
      </c>
      <c r="O297">
        <v>5.98</v>
      </c>
      <c r="P297">
        <v>6.8</v>
      </c>
      <c r="Q297">
        <v>7.45</v>
      </c>
    </row>
    <row r="298" spans="1:17" x14ac:dyDescent="0.25">
      <c r="A298" t="s">
        <v>225</v>
      </c>
      <c r="B298" s="2">
        <v>3528.07</v>
      </c>
      <c r="C298" s="2">
        <v>1624.72</v>
      </c>
      <c r="D298" s="2">
        <v>2337.8000000000002</v>
      </c>
      <c r="E298">
        <v>-563.11</v>
      </c>
      <c r="F298" s="2">
        <v>-1650.74</v>
      </c>
      <c r="G298">
        <v>27.37</v>
      </c>
      <c r="H298" s="2">
        <v>1902.83</v>
      </c>
      <c r="I298" s="2">
        <v>1824.3</v>
      </c>
      <c r="J298" s="2">
        <v>3921.67</v>
      </c>
      <c r="K298" s="2">
        <v>6100.76</v>
      </c>
      <c r="L298" s="2">
        <v>2779.3</v>
      </c>
      <c r="M298" s="2">
        <v>3420.25</v>
      </c>
      <c r="N298" s="2">
        <v>4547.46</v>
      </c>
      <c r="O298" s="2">
        <v>9501.92</v>
      </c>
      <c r="P298" s="2">
        <v>9472.07</v>
      </c>
      <c r="Q298" s="2">
        <v>10613.31</v>
      </c>
    </row>
    <row r="299" spans="1:17" x14ac:dyDescent="0.25">
      <c r="A299" t="s">
        <v>17</v>
      </c>
    </row>
    <row r="300" spans="1:17" x14ac:dyDescent="0.25">
      <c r="A300" t="s">
        <v>231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71F2-13BF-46F0-8C61-A21FF4213BD9}">
  <dimension ref="A1:U315"/>
  <sheetViews>
    <sheetView workbookViewId="0">
      <selection sqref="A1:U315"/>
    </sheetView>
  </sheetViews>
  <sheetFormatPr defaultRowHeight="15" x14ac:dyDescent="0.25"/>
  <sheetData>
    <row r="1" spans="1:21" x14ac:dyDescent="0.25">
      <c r="A1" t="s">
        <v>2617</v>
      </c>
    </row>
    <row r="2" spans="1:21" x14ac:dyDescent="0.25">
      <c r="A2" t="s">
        <v>2618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C6">
        <v>1.26</v>
      </c>
      <c r="D6">
        <v>0.87</v>
      </c>
      <c r="E6">
        <v>1.42</v>
      </c>
      <c r="F6">
        <v>1.93</v>
      </c>
      <c r="G6">
        <v>1.1200000000000001</v>
      </c>
      <c r="H6">
        <v>1.67</v>
      </c>
      <c r="I6">
        <v>1.86</v>
      </c>
      <c r="J6">
        <v>2.57</v>
      </c>
      <c r="K6">
        <v>3.35</v>
      </c>
      <c r="L6">
        <v>3.65</v>
      </c>
      <c r="M6">
        <v>3.97</v>
      </c>
      <c r="N6">
        <v>4.76</v>
      </c>
      <c r="O6">
        <v>5.84</v>
      </c>
      <c r="P6">
        <v>7.24</v>
      </c>
      <c r="Q6">
        <v>8.3800000000000008</v>
      </c>
      <c r="R6">
        <v>9.73</v>
      </c>
      <c r="S6">
        <v>11.26</v>
      </c>
    </row>
    <row r="7" spans="1:21" x14ac:dyDescent="0.25">
      <c r="A7" t="s">
        <v>2541</v>
      </c>
      <c r="D7">
        <v>853.28</v>
      </c>
      <c r="E7" s="2">
        <v>1199.21</v>
      </c>
      <c r="F7" s="2">
        <v>1137.51</v>
      </c>
      <c r="G7" s="2">
        <v>1274.1600000000001</v>
      </c>
      <c r="H7" s="2">
        <v>1520.49</v>
      </c>
      <c r="I7" s="2">
        <v>1804.6</v>
      </c>
      <c r="J7" s="2">
        <v>2358.9</v>
      </c>
      <c r="K7" s="2">
        <v>3055.44</v>
      </c>
      <c r="L7" s="2">
        <v>3631.88</v>
      </c>
      <c r="M7" s="2">
        <v>3884.78</v>
      </c>
      <c r="N7" s="2">
        <v>5601.48</v>
      </c>
      <c r="O7" s="2">
        <v>5522.78</v>
      </c>
      <c r="P7" s="2">
        <v>6582.11</v>
      </c>
      <c r="Q7" s="2">
        <v>7167.8</v>
      </c>
      <c r="R7" s="2">
        <v>7782</v>
      </c>
      <c r="S7" s="2">
        <v>8194</v>
      </c>
    </row>
    <row r="8" spans="1:21" x14ac:dyDescent="0.25">
      <c r="A8" t="s">
        <v>17</v>
      </c>
    </row>
    <row r="9" spans="1:21" x14ac:dyDescent="0.25">
      <c r="A9" t="s">
        <v>2619</v>
      </c>
      <c r="C9" s="2">
        <v>81761</v>
      </c>
      <c r="D9" s="2">
        <v>93632</v>
      </c>
      <c r="E9" s="2">
        <v>95259</v>
      </c>
      <c r="F9" s="2">
        <v>106491</v>
      </c>
      <c r="G9" s="2">
        <v>130663</v>
      </c>
      <c r="H9" s="2">
        <v>148916</v>
      </c>
      <c r="I9" s="2">
        <v>196980</v>
      </c>
      <c r="J9" s="2">
        <v>305775</v>
      </c>
      <c r="K9" s="2">
        <v>351997</v>
      </c>
      <c r="L9" s="2">
        <v>418846</v>
      </c>
      <c r="M9" s="2">
        <v>484446</v>
      </c>
      <c r="N9" s="2">
        <v>622505</v>
      </c>
      <c r="O9" s="2">
        <v>720446.49</v>
      </c>
      <c r="P9" s="2">
        <v>826511.76</v>
      </c>
      <c r="Q9" s="2">
        <v>935719.57</v>
      </c>
      <c r="R9" s="2">
        <v>1030929.99</v>
      </c>
    </row>
    <row r="10" spans="1:21" x14ac:dyDescent="0.25">
      <c r="A10" t="s">
        <v>2620</v>
      </c>
      <c r="F10">
        <v>767</v>
      </c>
      <c r="G10">
        <v>398</v>
      </c>
      <c r="J10">
        <v>0</v>
      </c>
      <c r="K10" s="2">
        <v>46222</v>
      </c>
      <c r="L10">
        <v>-917</v>
      </c>
      <c r="M10">
        <v>0</v>
      </c>
      <c r="N10" s="2">
        <v>27904</v>
      </c>
    </row>
    <row r="11" spans="1:21" x14ac:dyDescent="0.25">
      <c r="A11" t="s">
        <v>2621</v>
      </c>
      <c r="C11" s="2">
        <v>61359</v>
      </c>
      <c r="D11" s="2">
        <v>59144</v>
      </c>
      <c r="E11" s="2">
        <v>60563</v>
      </c>
      <c r="F11" s="2">
        <v>72497</v>
      </c>
      <c r="G11" s="2">
        <v>81870</v>
      </c>
      <c r="H11" s="2">
        <v>96883</v>
      </c>
      <c r="I11" s="2">
        <v>126037</v>
      </c>
      <c r="J11" s="2">
        <v>187845</v>
      </c>
      <c r="K11" s="2">
        <v>231061</v>
      </c>
      <c r="L11" s="2">
        <v>262357</v>
      </c>
      <c r="M11" s="2">
        <v>292553</v>
      </c>
      <c r="N11" s="2">
        <v>384949</v>
      </c>
      <c r="O11" s="2">
        <v>446440.98</v>
      </c>
      <c r="P11" s="2">
        <v>522200.65</v>
      </c>
      <c r="Q11" s="2">
        <v>587641.91</v>
      </c>
      <c r="R11" s="2">
        <v>681548.08</v>
      </c>
    </row>
    <row r="12" spans="1:21" x14ac:dyDescent="0.25">
      <c r="A12" t="s">
        <v>17</v>
      </c>
    </row>
    <row r="13" spans="1:21" x14ac:dyDescent="0.25">
      <c r="A13" t="s">
        <v>2547</v>
      </c>
      <c r="B13">
        <v>152.66</v>
      </c>
      <c r="C13">
        <v>147.26</v>
      </c>
      <c r="D13">
        <v>176.99</v>
      </c>
      <c r="E13">
        <v>172.35</v>
      </c>
      <c r="F13">
        <v>216.99</v>
      </c>
      <c r="G13">
        <v>255.31</v>
      </c>
      <c r="H13">
        <v>323.66000000000003</v>
      </c>
      <c r="I13">
        <v>424.45</v>
      </c>
      <c r="J13">
        <v>712.31</v>
      </c>
      <c r="K13">
        <v>994.35</v>
      </c>
      <c r="L13" s="2">
        <v>1163.74</v>
      </c>
      <c r="M13" s="2">
        <v>1361.74</v>
      </c>
      <c r="N13" s="2">
        <v>1775.3</v>
      </c>
      <c r="O13" s="2">
        <v>2106.2199999999998</v>
      </c>
      <c r="P13" s="2">
        <v>2530.94</v>
      </c>
      <c r="Q13" s="2">
        <v>2905.97</v>
      </c>
      <c r="R13" s="2">
        <v>3412.69</v>
      </c>
    </row>
    <row r="14" spans="1:21" x14ac:dyDescent="0.25">
      <c r="A14" t="s">
        <v>2622</v>
      </c>
      <c r="C14">
        <v>22.98</v>
      </c>
      <c r="D14">
        <v>27.19</v>
      </c>
      <c r="E14">
        <v>25.4</v>
      </c>
      <c r="F14">
        <v>28.28</v>
      </c>
      <c r="G14">
        <v>29.65</v>
      </c>
      <c r="H14">
        <v>31.4</v>
      </c>
      <c r="I14">
        <v>35.1</v>
      </c>
      <c r="J14">
        <v>39.07</v>
      </c>
      <c r="K14">
        <v>40</v>
      </c>
      <c r="L14">
        <v>40.9</v>
      </c>
      <c r="M14">
        <v>41.5</v>
      </c>
      <c r="N14">
        <v>41.7</v>
      </c>
      <c r="O14">
        <v>42.77</v>
      </c>
      <c r="P14">
        <v>43.96</v>
      </c>
      <c r="Q14">
        <v>44.77</v>
      </c>
      <c r="R14">
        <v>46.16</v>
      </c>
    </row>
    <row r="15" spans="1:21" x14ac:dyDescent="0.25">
      <c r="A15" t="s">
        <v>17</v>
      </c>
    </row>
    <row r="16" spans="1:21" x14ac:dyDescent="0.25">
      <c r="A16" t="s">
        <v>37</v>
      </c>
    </row>
    <row r="17" spans="1:19" x14ac:dyDescent="0.25">
      <c r="A17" t="s">
        <v>17</v>
      </c>
    </row>
    <row r="18" spans="1:19" x14ac:dyDescent="0.25">
      <c r="A18" t="s">
        <v>38</v>
      </c>
    </row>
    <row r="19" spans="1:19" x14ac:dyDescent="0.25">
      <c r="A19" t="s">
        <v>2302</v>
      </c>
      <c r="D19" s="2">
        <v>87696.5</v>
      </c>
      <c r="E19" s="2">
        <v>94445.5</v>
      </c>
      <c r="F19" s="2">
        <v>100875</v>
      </c>
      <c r="G19" s="2">
        <v>118577</v>
      </c>
      <c r="H19" s="2">
        <v>139789.5</v>
      </c>
      <c r="I19" s="2">
        <v>172948</v>
      </c>
      <c r="J19" s="2">
        <v>251377.5</v>
      </c>
      <c r="K19" s="2">
        <v>328886</v>
      </c>
      <c r="L19" s="2">
        <v>385421.5</v>
      </c>
      <c r="M19" s="2">
        <v>451646</v>
      </c>
      <c r="N19" s="2">
        <v>553475.5</v>
      </c>
      <c r="O19" s="2">
        <v>671015.80000000005</v>
      </c>
      <c r="P19" s="2">
        <v>778067.48</v>
      </c>
      <c r="Q19" s="2">
        <v>897549.91</v>
      </c>
      <c r="R19" s="2">
        <v>983324.78</v>
      </c>
    </row>
    <row r="20" spans="1:19" x14ac:dyDescent="0.25">
      <c r="A20" t="s">
        <v>2623</v>
      </c>
      <c r="D20" s="2">
        <v>81761</v>
      </c>
      <c r="E20" s="2">
        <v>93632</v>
      </c>
      <c r="F20" s="2">
        <v>95259</v>
      </c>
      <c r="G20" s="2">
        <v>106491</v>
      </c>
      <c r="H20" s="2">
        <v>130663</v>
      </c>
      <c r="I20" s="2">
        <v>148916</v>
      </c>
      <c r="J20" s="2">
        <v>196980</v>
      </c>
      <c r="K20" s="2">
        <v>305775</v>
      </c>
      <c r="L20" s="2">
        <v>351997</v>
      </c>
      <c r="M20" s="2">
        <v>418846</v>
      </c>
      <c r="N20" s="2">
        <v>484446</v>
      </c>
      <c r="O20" s="2">
        <v>622681.30000000005</v>
      </c>
      <c r="P20" s="2">
        <v>717651.56</v>
      </c>
      <c r="Q20" s="2">
        <v>809499.61</v>
      </c>
      <c r="R20" s="2">
        <v>912981.84</v>
      </c>
      <c r="S20" s="2">
        <v>1030929.99</v>
      </c>
    </row>
    <row r="21" spans="1:19" x14ac:dyDescent="0.25">
      <c r="A21" t="s">
        <v>2624</v>
      </c>
    </row>
    <row r="22" spans="1:19" x14ac:dyDescent="0.25">
      <c r="A22" t="s">
        <v>2625</v>
      </c>
      <c r="C22" s="2">
        <v>81761</v>
      </c>
      <c r="D22" s="2">
        <v>93632</v>
      </c>
      <c r="E22" s="2">
        <v>95259</v>
      </c>
      <c r="F22" s="2">
        <v>106491</v>
      </c>
      <c r="G22" s="2">
        <v>130663</v>
      </c>
      <c r="H22" s="2">
        <v>148916</v>
      </c>
      <c r="I22" s="2">
        <v>196980</v>
      </c>
      <c r="J22" s="2">
        <v>305775</v>
      </c>
      <c r="K22" s="2">
        <v>351997</v>
      </c>
      <c r="L22" s="2">
        <v>418846</v>
      </c>
      <c r="M22" s="2">
        <v>484446</v>
      </c>
      <c r="N22" s="2">
        <v>622505</v>
      </c>
      <c r="O22" s="2">
        <v>720446.49</v>
      </c>
      <c r="P22" s="2">
        <v>826511.76</v>
      </c>
      <c r="Q22" s="2">
        <v>935719.57</v>
      </c>
      <c r="R22" s="2">
        <v>1030929.99</v>
      </c>
    </row>
    <row r="23" spans="1:19" x14ac:dyDescent="0.25">
      <c r="A23" t="s">
        <v>2626</v>
      </c>
      <c r="C23" s="2">
        <v>15757</v>
      </c>
      <c r="D23" s="2">
        <v>22003</v>
      </c>
      <c r="E23" s="2">
        <v>13862</v>
      </c>
      <c r="F23">
        <v>16.32</v>
      </c>
      <c r="G23" s="2">
        <v>34965</v>
      </c>
      <c r="H23" s="2">
        <v>23445</v>
      </c>
      <c r="I23" s="2">
        <v>40854</v>
      </c>
      <c r="J23" s="2">
        <v>75857</v>
      </c>
      <c r="K23" s="2">
        <v>56062</v>
      </c>
      <c r="L23" s="2">
        <v>74369</v>
      </c>
      <c r="M23" s="2">
        <v>92066</v>
      </c>
      <c r="N23" s="2">
        <v>113183</v>
      </c>
      <c r="O23" s="2">
        <v>126107.82</v>
      </c>
      <c r="P23" s="2">
        <v>142235.16</v>
      </c>
      <c r="Q23" s="2">
        <v>158246.21</v>
      </c>
      <c r="R23" s="2">
        <v>168530.7</v>
      </c>
    </row>
    <row r="24" spans="1:19" x14ac:dyDescent="0.25">
      <c r="A24" t="s">
        <v>2627</v>
      </c>
      <c r="N24" s="2">
        <v>-16920</v>
      </c>
      <c r="O24" s="2">
        <v>-17735.810000000001</v>
      </c>
      <c r="P24" s="2">
        <v>-18085.21</v>
      </c>
      <c r="Q24" s="2">
        <v>-18186.669999999998</v>
      </c>
      <c r="R24" s="2">
        <v>-14447.5</v>
      </c>
    </row>
    <row r="25" spans="1:19" x14ac:dyDescent="0.25">
      <c r="A25" t="s">
        <v>2628</v>
      </c>
      <c r="C25" s="2">
        <v>-4841</v>
      </c>
      <c r="D25" s="2">
        <v>-15102</v>
      </c>
      <c r="E25" s="2">
        <v>-16300</v>
      </c>
      <c r="F25">
        <v>-8.64</v>
      </c>
      <c r="G25" s="2">
        <v>-6154</v>
      </c>
      <c r="H25" s="2">
        <v>-7588</v>
      </c>
      <c r="I25" s="2">
        <v>-8314</v>
      </c>
      <c r="J25" s="2">
        <v>-13730</v>
      </c>
      <c r="K25" s="2">
        <v>-15148</v>
      </c>
      <c r="L25" s="2">
        <v>-15829</v>
      </c>
      <c r="M25" s="2">
        <v>-22740</v>
      </c>
      <c r="N25" s="2">
        <v>-26722</v>
      </c>
      <c r="O25" s="2">
        <v>-31575.85</v>
      </c>
      <c r="P25" s="2">
        <v>-37543.69</v>
      </c>
      <c r="Q25" s="2">
        <v>-46383.73</v>
      </c>
      <c r="R25" s="2">
        <v>-52030.28</v>
      </c>
    </row>
    <row r="26" spans="1:19" x14ac:dyDescent="0.25">
      <c r="A26" t="s">
        <v>2629</v>
      </c>
      <c r="F26">
        <v>-8.64</v>
      </c>
      <c r="G26" s="2">
        <v>-2748</v>
      </c>
      <c r="H26" s="2">
        <v>-2320</v>
      </c>
      <c r="I26" s="2">
        <v>-2181</v>
      </c>
      <c r="J26" s="2">
        <v>-2535</v>
      </c>
      <c r="K26" s="2">
        <v>-3366</v>
      </c>
      <c r="L26" s="2">
        <v>-6151</v>
      </c>
      <c r="M26" s="2">
        <v>-6347</v>
      </c>
      <c r="N26" s="2">
        <v>-5523</v>
      </c>
      <c r="O26" s="2">
        <v>-7359.63</v>
      </c>
      <c r="P26" s="2">
        <v>-7570.06</v>
      </c>
      <c r="Q26" s="2">
        <v>-9774.7900000000009</v>
      </c>
      <c r="R26" s="2">
        <v>-10394.07</v>
      </c>
    </row>
    <row r="27" spans="1:19" x14ac:dyDescent="0.25">
      <c r="A27" t="s">
        <v>2630</v>
      </c>
      <c r="L27">
        <v>0</v>
      </c>
      <c r="M27">
        <v>0</v>
      </c>
      <c r="N27">
        <v>0</v>
      </c>
    </row>
    <row r="28" spans="1:19" x14ac:dyDescent="0.25">
      <c r="A28" t="s">
        <v>2631</v>
      </c>
      <c r="C28" s="2">
        <v>1009</v>
      </c>
      <c r="D28">
        <v>389</v>
      </c>
      <c r="E28" s="2">
        <v>4065</v>
      </c>
      <c r="F28">
        <v>6.77</v>
      </c>
      <c r="G28" s="2">
        <v>1060</v>
      </c>
      <c r="H28" s="2">
        <v>6578</v>
      </c>
      <c r="I28" s="2">
        <v>6837</v>
      </c>
      <c r="J28" s="2">
        <v>19035</v>
      </c>
      <c r="K28" s="2">
        <v>2295</v>
      </c>
      <c r="L28" s="2">
        <v>15110</v>
      </c>
      <c r="M28" s="2">
        <v>11336</v>
      </c>
      <c r="N28" s="2">
        <v>27904</v>
      </c>
      <c r="O28" s="2">
        <v>16013.8</v>
      </c>
      <c r="P28" s="2">
        <v>24825.08</v>
      </c>
      <c r="Q28" s="2">
        <v>23774.05</v>
      </c>
      <c r="R28" s="2">
        <v>25850.35</v>
      </c>
    </row>
    <row r="29" spans="1:19" x14ac:dyDescent="0.25">
      <c r="A29" t="s">
        <v>2632</v>
      </c>
      <c r="C29">
        <v>-179</v>
      </c>
      <c r="D29" s="2">
        <v>4581</v>
      </c>
      <c r="F29">
        <v>0</v>
      </c>
      <c r="I29" s="2">
        <v>11807</v>
      </c>
      <c r="J29" s="2">
        <v>33232</v>
      </c>
      <c r="K29" s="2">
        <v>8383</v>
      </c>
      <c r="L29" s="2">
        <v>3697</v>
      </c>
      <c r="M29" s="2">
        <v>2921</v>
      </c>
      <c r="N29" s="2">
        <v>46137</v>
      </c>
      <c r="O29" s="2">
        <v>5639.11</v>
      </c>
    </row>
    <row r="30" spans="1:19" x14ac:dyDescent="0.25">
      <c r="A30" t="s">
        <v>17</v>
      </c>
    </row>
    <row r="31" spans="1:19" x14ac:dyDescent="0.25">
      <c r="A31" t="s">
        <v>2633</v>
      </c>
    </row>
    <row r="32" spans="1:19" x14ac:dyDescent="0.25">
      <c r="A32" t="s">
        <v>2625</v>
      </c>
      <c r="C32" s="2">
        <v>61359</v>
      </c>
      <c r="D32" s="2">
        <v>59144</v>
      </c>
      <c r="E32" s="2">
        <v>60563</v>
      </c>
      <c r="F32" s="2">
        <v>72497</v>
      </c>
      <c r="G32" s="2">
        <v>81870</v>
      </c>
      <c r="H32" s="2">
        <v>96883</v>
      </c>
      <c r="I32" s="2">
        <v>126037</v>
      </c>
      <c r="J32" s="2">
        <v>187845</v>
      </c>
      <c r="K32" s="2">
        <v>231061</v>
      </c>
      <c r="L32" s="2">
        <v>262357</v>
      </c>
      <c r="M32" s="2">
        <v>292553</v>
      </c>
      <c r="N32" s="2">
        <v>384949</v>
      </c>
      <c r="O32" s="2">
        <v>446440.98</v>
      </c>
      <c r="P32" s="2">
        <v>522200.65</v>
      </c>
      <c r="Q32" s="2">
        <v>587641.91</v>
      </c>
      <c r="R32" s="2">
        <v>681548.08</v>
      </c>
    </row>
    <row r="33" spans="1:18" x14ac:dyDescent="0.25">
      <c r="A33" t="s">
        <v>2634</v>
      </c>
      <c r="G33" s="2">
        <v>7397</v>
      </c>
      <c r="H33" s="2">
        <v>6439</v>
      </c>
      <c r="I33" s="2">
        <v>11203</v>
      </c>
      <c r="J33" s="2">
        <v>18442</v>
      </c>
      <c r="K33" s="2">
        <v>23656</v>
      </c>
      <c r="L33" s="2">
        <v>19833</v>
      </c>
      <c r="M33" s="2">
        <v>31304</v>
      </c>
      <c r="N33" s="2">
        <v>49449</v>
      </c>
      <c r="O33" s="2">
        <v>42742.09</v>
      </c>
      <c r="P33" s="2">
        <v>58175.12</v>
      </c>
      <c r="Q33" s="2">
        <v>64031.29</v>
      </c>
      <c r="R33" s="2">
        <v>65431.56</v>
      </c>
    </row>
    <row r="34" spans="1:18" x14ac:dyDescent="0.25">
      <c r="A34" t="s">
        <v>2635</v>
      </c>
      <c r="B34">
        <v>11.92</v>
      </c>
      <c r="F34" s="2">
        <v>22608</v>
      </c>
      <c r="G34" s="2">
        <v>19405</v>
      </c>
      <c r="H34" s="2">
        <v>16962</v>
      </c>
      <c r="I34" s="2">
        <v>17132</v>
      </c>
      <c r="J34" s="2">
        <v>34963</v>
      </c>
      <c r="K34" s="2">
        <v>41793</v>
      </c>
      <c r="L34" s="2">
        <v>30044</v>
      </c>
      <c r="M34" s="2">
        <v>33275</v>
      </c>
      <c r="N34" s="2">
        <v>42237</v>
      </c>
      <c r="O34" s="2">
        <v>50643.15</v>
      </c>
      <c r="P34" s="2">
        <v>55850.26</v>
      </c>
      <c r="Q34" s="2">
        <v>62014.64</v>
      </c>
      <c r="R34" s="2">
        <v>65796.539999999994</v>
      </c>
    </row>
    <row r="35" spans="1:18" x14ac:dyDescent="0.25">
      <c r="A35" t="s">
        <v>2627</v>
      </c>
      <c r="I35" s="2">
        <v>-1736</v>
      </c>
      <c r="J35" s="2">
        <v>-2189</v>
      </c>
      <c r="K35" s="2">
        <v>-4113</v>
      </c>
      <c r="L35" s="2">
        <v>-4112</v>
      </c>
      <c r="M35" s="2">
        <v>-11984</v>
      </c>
      <c r="N35" s="2">
        <v>-11605</v>
      </c>
      <c r="O35" s="2">
        <v>-11900.06</v>
      </c>
      <c r="P35" s="2">
        <v>-12596.77</v>
      </c>
      <c r="Q35" s="2">
        <v>-13676.36</v>
      </c>
      <c r="R35" s="2">
        <v>-12695.63</v>
      </c>
    </row>
    <row r="36" spans="1:18" x14ac:dyDescent="0.25">
      <c r="A36" t="s">
        <v>2628</v>
      </c>
      <c r="G36" s="2">
        <v>-9531</v>
      </c>
      <c r="H36" s="2">
        <v>-8880</v>
      </c>
      <c r="I36" s="2">
        <v>-5845</v>
      </c>
      <c r="J36" s="2">
        <v>-10809</v>
      </c>
      <c r="K36" s="2">
        <v>-13421</v>
      </c>
      <c r="L36" s="2">
        <v>-14049</v>
      </c>
      <c r="M36" s="2">
        <v>-18376</v>
      </c>
      <c r="N36" s="2">
        <v>-28159</v>
      </c>
      <c r="O36" s="2">
        <v>-24279.84</v>
      </c>
      <c r="P36" s="2">
        <v>-30230.97</v>
      </c>
      <c r="Q36" s="2">
        <v>-35519.58</v>
      </c>
      <c r="R36" s="2">
        <v>-36607.64</v>
      </c>
    </row>
    <row r="37" spans="1:18" x14ac:dyDescent="0.25">
      <c r="A37" t="s">
        <v>2629</v>
      </c>
      <c r="B37">
        <v>-8.01</v>
      </c>
      <c r="F37" s="2">
        <v>-13463</v>
      </c>
      <c r="G37" s="2">
        <v>-10008</v>
      </c>
      <c r="H37" s="2">
        <v>-10556</v>
      </c>
      <c r="I37" s="2">
        <v>-2128</v>
      </c>
      <c r="J37" s="2">
        <v>-2810</v>
      </c>
      <c r="K37" s="2">
        <v>-3649</v>
      </c>
      <c r="L37" s="2">
        <v>-6250</v>
      </c>
      <c r="M37" s="2">
        <v>-6347</v>
      </c>
      <c r="N37" s="2">
        <v>-4653</v>
      </c>
      <c r="O37" s="2">
        <v>-7183.98</v>
      </c>
      <c r="P37" s="2">
        <v>-6980.5</v>
      </c>
      <c r="Q37" s="2">
        <v>-8909.24</v>
      </c>
      <c r="R37" s="2">
        <v>-9928.7900000000009</v>
      </c>
    </row>
    <row r="38" spans="1:18" x14ac:dyDescent="0.25">
      <c r="A38" t="s">
        <v>2631</v>
      </c>
      <c r="G38">
        <v>-24</v>
      </c>
      <c r="H38" s="2">
        <v>2168</v>
      </c>
      <c r="I38" s="2">
        <v>2478</v>
      </c>
      <c r="J38" s="2">
        <v>3290</v>
      </c>
      <c r="K38">
        <v>-396</v>
      </c>
      <c r="L38" s="2">
        <v>4412</v>
      </c>
      <c r="M38" s="2">
        <v>2242</v>
      </c>
      <c r="N38" s="2">
        <v>9716</v>
      </c>
      <c r="O38" s="2">
        <v>4692.25</v>
      </c>
      <c r="P38" s="2">
        <v>9726.86</v>
      </c>
      <c r="Q38" s="2">
        <v>10393.36</v>
      </c>
      <c r="R38" s="2">
        <v>15729.54</v>
      </c>
    </row>
    <row r="39" spans="1:18" x14ac:dyDescent="0.25">
      <c r="A39" t="s">
        <v>2636</v>
      </c>
      <c r="F39" s="2">
        <v>-2283</v>
      </c>
      <c r="G39">
        <v>-477</v>
      </c>
      <c r="H39" s="2">
        <v>-1676</v>
      </c>
      <c r="I39">
        <v>-972</v>
      </c>
      <c r="J39" s="2">
        <v>-3073</v>
      </c>
      <c r="K39" s="2">
        <v>-5640</v>
      </c>
      <c r="L39">
        <v>-274</v>
      </c>
      <c r="M39" s="2">
        <v>-1771</v>
      </c>
      <c r="N39" s="2">
        <v>3826</v>
      </c>
      <c r="O39" s="2">
        <v>-3101.06</v>
      </c>
      <c r="P39">
        <v>-365.55</v>
      </c>
      <c r="Q39">
        <v>-861.87</v>
      </c>
      <c r="R39" s="2">
        <v>-1306.42</v>
      </c>
    </row>
    <row r="40" spans="1:18" x14ac:dyDescent="0.25">
      <c r="A40" t="s">
        <v>17</v>
      </c>
    </row>
    <row r="41" spans="1:18" x14ac:dyDescent="0.25">
      <c r="A41" t="s">
        <v>58</v>
      </c>
    </row>
    <row r="42" spans="1:18" x14ac:dyDescent="0.25">
      <c r="A42" t="s">
        <v>2637</v>
      </c>
    </row>
    <row r="43" spans="1:18" x14ac:dyDescent="0.25">
      <c r="A43" t="s">
        <v>2479</v>
      </c>
      <c r="D43">
        <v>237.67</v>
      </c>
      <c r="E43">
        <v>250.72</v>
      </c>
      <c r="F43">
        <v>275.32</v>
      </c>
      <c r="G43">
        <v>325.14999999999998</v>
      </c>
      <c r="H43">
        <v>414.21</v>
      </c>
      <c r="I43">
        <v>507.83</v>
      </c>
      <c r="J43">
        <v>751.66</v>
      </c>
      <c r="K43" s="2">
        <v>1017.93</v>
      </c>
      <c r="L43" s="2">
        <v>1317.01</v>
      </c>
      <c r="M43" s="2">
        <v>1568.16</v>
      </c>
      <c r="N43" s="2">
        <v>1824.71</v>
      </c>
      <c r="O43" s="2">
        <v>2115.12</v>
      </c>
      <c r="P43" s="2">
        <v>2480.88</v>
      </c>
      <c r="Q43" s="2">
        <v>2876.1</v>
      </c>
      <c r="R43" s="2">
        <v>3380.27</v>
      </c>
    </row>
    <row r="44" spans="1:18" x14ac:dyDescent="0.25">
      <c r="A44" t="s">
        <v>2436</v>
      </c>
      <c r="D44">
        <v>432.77</v>
      </c>
      <c r="E44">
        <v>444.66</v>
      </c>
      <c r="F44">
        <v>481.47</v>
      </c>
      <c r="G44">
        <v>564.9</v>
      </c>
      <c r="H44">
        <v>713.85</v>
      </c>
      <c r="I44">
        <v>841.14</v>
      </c>
      <c r="J44" s="2">
        <v>1128.8900000000001</v>
      </c>
      <c r="K44" s="2">
        <v>1490.67</v>
      </c>
      <c r="L44" s="2">
        <v>1853.33</v>
      </c>
      <c r="M44" s="2">
        <v>2177.8200000000002</v>
      </c>
      <c r="N44" s="2">
        <v>2529.31</v>
      </c>
      <c r="O44" s="2">
        <v>2881.96</v>
      </c>
      <c r="P44" s="2">
        <v>3357.67</v>
      </c>
      <c r="Q44" s="2">
        <v>3859.8</v>
      </c>
      <c r="R44" s="2">
        <v>4599.8</v>
      </c>
    </row>
    <row r="45" spans="1:18" x14ac:dyDescent="0.25">
      <c r="A45" t="s">
        <v>2638</v>
      </c>
      <c r="I45">
        <v>22.16</v>
      </c>
      <c r="J45">
        <v>86.48</v>
      </c>
      <c r="K45">
        <v>71.5</v>
      </c>
      <c r="L45">
        <v>167.33</v>
      </c>
      <c r="M45">
        <v>202.7</v>
      </c>
      <c r="N45">
        <v>210.36</v>
      </c>
      <c r="O45">
        <v>215.92</v>
      </c>
      <c r="P45">
        <v>274.37</v>
      </c>
      <c r="Q45">
        <v>307.54000000000002</v>
      </c>
      <c r="R45">
        <v>346.62</v>
      </c>
    </row>
    <row r="46" spans="1:18" x14ac:dyDescent="0.25">
      <c r="A46" t="s">
        <v>2639</v>
      </c>
      <c r="E46">
        <v>9.9499999999999993</v>
      </c>
      <c r="F46">
        <v>20.83</v>
      </c>
      <c r="G46">
        <v>23.25</v>
      </c>
      <c r="H46">
        <v>17.12</v>
      </c>
      <c r="I46">
        <v>18.64</v>
      </c>
      <c r="J46">
        <v>27.15</v>
      </c>
      <c r="K46">
        <v>32.64</v>
      </c>
      <c r="L46">
        <v>36.64</v>
      </c>
      <c r="M46">
        <v>41.82</v>
      </c>
      <c r="N46">
        <v>52.9</v>
      </c>
      <c r="O46">
        <v>65.22</v>
      </c>
      <c r="P46">
        <v>70.400000000000006</v>
      </c>
      <c r="Q46">
        <v>77.33</v>
      </c>
      <c r="R46">
        <v>78.42</v>
      </c>
    </row>
    <row r="47" spans="1:18" x14ac:dyDescent="0.25">
      <c r="A47" t="s">
        <v>2403</v>
      </c>
      <c r="E47">
        <v>-177.07</v>
      </c>
      <c r="F47">
        <v>-193.35</v>
      </c>
      <c r="G47">
        <v>-218.15</v>
      </c>
      <c r="H47">
        <v>-261.66000000000003</v>
      </c>
      <c r="I47">
        <v>-320.11</v>
      </c>
      <c r="J47">
        <v>-410.39</v>
      </c>
      <c r="K47">
        <v>-483.17</v>
      </c>
      <c r="L47">
        <v>-624.74</v>
      </c>
      <c r="M47">
        <v>-692.31</v>
      </c>
      <c r="N47">
        <v>-788.99</v>
      </c>
      <c r="O47">
        <v>-859.42</v>
      </c>
      <c r="P47" s="2">
        <v>-1005.94</v>
      </c>
      <c r="Q47" s="2">
        <v>-1109.24</v>
      </c>
    </row>
    <row r="48" spans="1:18" x14ac:dyDescent="0.25">
      <c r="A48" t="s">
        <v>2640</v>
      </c>
      <c r="D48">
        <v>27.78</v>
      </c>
      <c r="E48">
        <v>26.83</v>
      </c>
      <c r="F48">
        <v>33.31</v>
      </c>
      <c r="G48">
        <v>44.85</v>
      </c>
      <c r="H48">
        <v>55.1</v>
      </c>
      <c r="I48">
        <v>54</v>
      </c>
      <c r="J48">
        <v>61.71</v>
      </c>
      <c r="K48">
        <v>93.72</v>
      </c>
      <c r="L48">
        <v>115.55</v>
      </c>
      <c r="M48">
        <v>161.87</v>
      </c>
      <c r="N48">
        <v>178.86</v>
      </c>
      <c r="O48">
        <v>195.37</v>
      </c>
      <c r="P48">
        <v>218.21</v>
      </c>
      <c r="Q48">
        <v>242.35</v>
      </c>
      <c r="R48">
        <v>307.33</v>
      </c>
    </row>
    <row r="49" spans="1:18" x14ac:dyDescent="0.25">
      <c r="A49" t="s">
        <v>2641</v>
      </c>
      <c r="E49">
        <v>36.409999999999997</v>
      </c>
      <c r="F49">
        <v>11.87</v>
      </c>
      <c r="G49">
        <v>45.73</v>
      </c>
      <c r="H49">
        <v>42.8</v>
      </c>
      <c r="I49">
        <v>25.57</v>
      </c>
      <c r="J49">
        <v>75.55</v>
      </c>
      <c r="K49">
        <v>84.3</v>
      </c>
      <c r="L49">
        <v>111.76</v>
      </c>
      <c r="M49">
        <v>118.41</v>
      </c>
      <c r="N49">
        <v>126.6</v>
      </c>
      <c r="O49">
        <v>279.49</v>
      </c>
      <c r="P49">
        <v>338.39</v>
      </c>
      <c r="Q49">
        <v>377.4</v>
      </c>
      <c r="R49">
        <v>380.68</v>
      </c>
    </row>
    <row r="50" spans="1:18" x14ac:dyDescent="0.25">
      <c r="A50" t="s">
        <v>2642</v>
      </c>
      <c r="D50">
        <v>87.58</v>
      </c>
      <c r="E50">
        <v>51.44</v>
      </c>
      <c r="F50">
        <v>21.09</v>
      </c>
      <c r="G50">
        <v>121.27</v>
      </c>
      <c r="H50">
        <v>104.44</v>
      </c>
      <c r="I50">
        <v>70.150000000000006</v>
      </c>
      <c r="J50">
        <v>207.45</v>
      </c>
      <c r="K50">
        <v>237.84</v>
      </c>
      <c r="L50">
        <v>323.73</v>
      </c>
      <c r="M50">
        <v>326.2</v>
      </c>
      <c r="N50">
        <v>383.89</v>
      </c>
      <c r="O50">
        <v>759.77</v>
      </c>
      <c r="P50">
        <v>921.99</v>
      </c>
      <c r="Q50" s="2">
        <v>1040.77</v>
      </c>
      <c r="R50" s="2">
        <v>1010.8</v>
      </c>
    </row>
    <row r="51" spans="1:18" x14ac:dyDescent="0.25">
      <c r="A51" t="s">
        <v>2643</v>
      </c>
      <c r="E51">
        <v>-11.77</v>
      </c>
      <c r="F51">
        <v>-9.2200000000000006</v>
      </c>
      <c r="G51">
        <v>-75.540000000000006</v>
      </c>
      <c r="H51">
        <v>-61.64</v>
      </c>
      <c r="I51">
        <v>-44.58</v>
      </c>
      <c r="J51">
        <v>-131.9</v>
      </c>
      <c r="K51">
        <v>-153.54</v>
      </c>
      <c r="L51">
        <v>-211.98</v>
      </c>
      <c r="M51">
        <v>-207.79</v>
      </c>
      <c r="N51">
        <v>-257.29000000000002</v>
      </c>
      <c r="O51">
        <v>-478.89</v>
      </c>
      <c r="P51">
        <v>-580.23</v>
      </c>
      <c r="Q51">
        <v>-655.7</v>
      </c>
      <c r="R51">
        <v>-630.12</v>
      </c>
    </row>
    <row r="52" spans="1:18" x14ac:dyDescent="0.25">
      <c r="A52" t="s">
        <v>2644</v>
      </c>
      <c r="D52">
        <v>0.9</v>
      </c>
      <c r="E52">
        <v>34.29</v>
      </c>
      <c r="F52">
        <v>5.84</v>
      </c>
      <c r="G52">
        <v>1.46</v>
      </c>
      <c r="H52">
        <v>14.63</v>
      </c>
      <c r="I52">
        <v>5.28</v>
      </c>
      <c r="J52">
        <v>14.62</v>
      </c>
      <c r="K52">
        <v>17.72</v>
      </c>
      <c r="L52">
        <v>16.55</v>
      </c>
      <c r="M52">
        <v>-1.75</v>
      </c>
      <c r="N52">
        <v>0.98</v>
      </c>
      <c r="O52">
        <v>-0.27</v>
      </c>
      <c r="P52">
        <v>3.65</v>
      </c>
      <c r="Q52">
        <v>9.16</v>
      </c>
      <c r="R52">
        <v>11.4</v>
      </c>
    </row>
    <row r="53" spans="1:18" x14ac:dyDescent="0.25">
      <c r="A53" t="s">
        <v>2645</v>
      </c>
      <c r="D53">
        <v>13.27</v>
      </c>
      <c r="E53">
        <v>4.93</v>
      </c>
      <c r="F53">
        <v>7.1</v>
      </c>
      <c r="G53">
        <v>2.4900000000000002</v>
      </c>
      <c r="H53">
        <v>2.46</v>
      </c>
      <c r="I53">
        <v>-2.31</v>
      </c>
      <c r="J53">
        <v>1.99</v>
      </c>
      <c r="K53">
        <v>7.08</v>
      </c>
      <c r="L53">
        <v>20.11</v>
      </c>
      <c r="M53">
        <v>21.16</v>
      </c>
      <c r="N53">
        <v>14.32</v>
      </c>
      <c r="O53">
        <v>9.3800000000000008</v>
      </c>
      <c r="P53">
        <v>13.26</v>
      </c>
      <c r="Q53">
        <v>16.02</v>
      </c>
      <c r="R53">
        <v>13.85</v>
      </c>
    </row>
    <row r="54" spans="1:18" x14ac:dyDescent="0.25">
      <c r="A54" t="s">
        <v>2646</v>
      </c>
      <c r="E54">
        <v>26.12</v>
      </c>
      <c r="F54">
        <v>10.19</v>
      </c>
      <c r="G54">
        <v>10.35</v>
      </c>
      <c r="H54">
        <v>18.670000000000002</v>
      </c>
      <c r="I54">
        <v>16.309999999999999</v>
      </c>
      <c r="J54">
        <v>20.73</v>
      </c>
      <c r="K54">
        <v>29.04</v>
      </c>
      <c r="L54">
        <v>26.17</v>
      </c>
      <c r="M54">
        <v>11.67</v>
      </c>
      <c r="N54">
        <v>6.7</v>
      </c>
      <c r="O54">
        <v>3.04</v>
      </c>
      <c r="P54">
        <v>6.51</v>
      </c>
      <c r="Q54">
        <v>8.1199999999999992</v>
      </c>
      <c r="R54">
        <v>16.84</v>
      </c>
    </row>
    <row r="55" spans="1:18" x14ac:dyDescent="0.25">
      <c r="A55" t="s">
        <v>289</v>
      </c>
      <c r="D55">
        <v>7.08</v>
      </c>
      <c r="E55">
        <v>8.61</v>
      </c>
      <c r="F55">
        <v>12.41</v>
      </c>
      <c r="G55">
        <v>11.39</v>
      </c>
      <c r="H55">
        <v>6.5</v>
      </c>
      <c r="I55">
        <v>8.7200000000000006</v>
      </c>
      <c r="J55">
        <v>8.1</v>
      </c>
      <c r="K55">
        <v>18.399999999999999</v>
      </c>
      <c r="L55">
        <v>29.73</v>
      </c>
      <c r="M55">
        <v>34.58</v>
      </c>
      <c r="N55">
        <v>20.04</v>
      </c>
      <c r="O55">
        <v>14.63</v>
      </c>
      <c r="P55">
        <v>19.96</v>
      </c>
      <c r="Q55">
        <v>21.89</v>
      </c>
      <c r="R55">
        <v>19.3</v>
      </c>
    </row>
    <row r="56" spans="1:18" x14ac:dyDescent="0.25">
      <c r="A56" t="s">
        <v>2310</v>
      </c>
      <c r="D56" s="2">
        <v>60386</v>
      </c>
      <c r="E56" s="2">
        <v>60466</v>
      </c>
      <c r="F56" s="2">
        <v>71732</v>
      </c>
      <c r="G56" s="2">
        <v>95836</v>
      </c>
      <c r="H56" s="2">
        <v>110543</v>
      </c>
      <c r="I56" s="2">
        <v>145472</v>
      </c>
      <c r="J56" s="2">
        <v>201400</v>
      </c>
      <c r="K56" s="2">
        <v>239300</v>
      </c>
      <c r="L56" s="2">
        <v>299400</v>
      </c>
      <c r="M56" s="2">
        <v>348858</v>
      </c>
      <c r="N56" s="2">
        <v>406866</v>
      </c>
      <c r="O56" s="2">
        <v>471113.91</v>
      </c>
      <c r="P56" s="2">
        <v>542404.78</v>
      </c>
      <c r="Q56" s="2">
        <v>631415.82999999996</v>
      </c>
      <c r="R56" s="2">
        <v>705111.85</v>
      </c>
    </row>
    <row r="57" spans="1:18" x14ac:dyDescent="0.25">
      <c r="A57" t="s">
        <v>2647</v>
      </c>
      <c r="D57" s="2">
        <v>13870</v>
      </c>
      <c r="E57" s="2">
        <v>10483</v>
      </c>
      <c r="F57" s="2">
        <v>14659</v>
      </c>
      <c r="G57" s="2">
        <v>30445</v>
      </c>
      <c r="H57" s="2">
        <v>17276</v>
      </c>
      <c r="I57" s="2">
        <v>31760</v>
      </c>
      <c r="J57" s="2">
        <v>52110</v>
      </c>
      <c r="K57" s="2">
        <v>31385</v>
      </c>
      <c r="L57" s="2">
        <v>55290</v>
      </c>
      <c r="M57" s="2">
        <v>68611</v>
      </c>
      <c r="N57" s="2">
        <v>66907</v>
      </c>
      <c r="O57" s="2">
        <v>80761.73</v>
      </c>
      <c r="P57" s="2">
        <v>91183.24</v>
      </c>
      <c r="Q57" s="2">
        <v>97415.52</v>
      </c>
      <c r="R57" s="2">
        <v>81500</v>
      </c>
    </row>
    <row r="58" spans="1:18" x14ac:dyDescent="0.25">
      <c r="A58" t="s">
        <v>2627</v>
      </c>
      <c r="E58" s="2">
        <v>-8981</v>
      </c>
      <c r="F58" s="2">
        <v>-6728</v>
      </c>
      <c r="G58" s="2">
        <v>-2811</v>
      </c>
      <c r="H58" s="2">
        <v>-1765</v>
      </c>
      <c r="I58">
        <v>-431</v>
      </c>
      <c r="J58" s="2">
        <v>-2715</v>
      </c>
      <c r="K58" s="2">
        <v>-1275</v>
      </c>
      <c r="L58" s="2">
        <v>-3858</v>
      </c>
      <c r="M58" s="2">
        <v>-10546</v>
      </c>
      <c r="N58" s="2">
        <v>-13310</v>
      </c>
      <c r="O58" s="2">
        <v>-14422.86</v>
      </c>
      <c r="P58" s="2">
        <v>-14400.2</v>
      </c>
      <c r="Q58" s="2">
        <v>-14957.62</v>
      </c>
      <c r="R58" s="2">
        <v>-12065.07</v>
      </c>
    </row>
    <row r="59" spans="1:18" x14ac:dyDescent="0.25">
      <c r="A59" t="s">
        <v>2628</v>
      </c>
      <c r="E59" s="2">
        <v>-2987</v>
      </c>
      <c r="F59" s="2">
        <v>-10852</v>
      </c>
      <c r="G59" s="2">
        <v>-2185</v>
      </c>
      <c r="H59" s="2">
        <v>-2186</v>
      </c>
      <c r="I59" s="2">
        <v>-2485</v>
      </c>
      <c r="J59" s="2">
        <v>-3999</v>
      </c>
      <c r="K59" s="2">
        <v>-5375</v>
      </c>
      <c r="L59" s="2">
        <v>-2309</v>
      </c>
      <c r="M59" s="2">
        <v>-16864</v>
      </c>
      <c r="N59" s="2">
        <v>-15997</v>
      </c>
      <c r="O59" s="2">
        <v>-17390.97</v>
      </c>
      <c r="P59" s="2">
        <v>-20785.150000000001</v>
      </c>
      <c r="Q59" s="2">
        <v>-25388.16</v>
      </c>
      <c r="R59" s="2">
        <v>-32159.48</v>
      </c>
    </row>
    <row r="60" spans="1:18" x14ac:dyDescent="0.25">
      <c r="A60" t="s">
        <v>2629</v>
      </c>
      <c r="E60">
        <v>-850</v>
      </c>
      <c r="F60" s="2">
        <v>-4124</v>
      </c>
      <c r="G60" s="2">
        <v>-2748</v>
      </c>
      <c r="H60" s="2">
        <v>-2318</v>
      </c>
      <c r="I60" s="2">
        <v>-2176</v>
      </c>
      <c r="J60" s="2">
        <v>-2465</v>
      </c>
      <c r="K60" s="2">
        <v>55700</v>
      </c>
      <c r="L60" s="2">
        <v>-55700</v>
      </c>
      <c r="M60" s="2">
        <v>-5252</v>
      </c>
      <c r="N60" s="2">
        <v>-3695</v>
      </c>
      <c r="O60" s="2">
        <v>-5516.1</v>
      </c>
      <c r="P60" s="2">
        <v>-6317.79</v>
      </c>
      <c r="Q60" s="2">
        <v>-7292.62</v>
      </c>
      <c r="R60" s="2">
        <v>-8610.24</v>
      </c>
    </row>
    <row r="61" spans="1:18" x14ac:dyDescent="0.25">
      <c r="A61" t="s">
        <v>2631</v>
      </c>
      <c r="E61" s="2">
        <v>1565</v>
      </c>
      <c r="F61" s="2">
        <v>3854</v>
      </c>
      <c r="G61" s="2">
        <v>1403</v>
      </c>
      <c r="H61" s="2">
        <v>3700</v>
      </c>
      <c r="I61" s="2">
        <v>5568</v>
      </c>
      <c r="J61" s="2">
        <v>4307</v>
      </c>
      <c r="K61">
        <v>-834</v>
      </c>
      <c r="L61" s="2">
        <v>14057</v>
      </c>
      <c r="M61" s="2">
        <v>10369</v>
      </c>
      <c r="N61" s="2">
        <v>21521</v>
      </c>
      <c r="O61" s="2">
        <v>9841.77</v>
      </c>
      <c r="P61" s="2">
        <v>18010.45</v>
      </c>
      <c r="Q61" s="2">
        <v>19256.57</v>
      </c>
      <c r="R61" s="2">
        <v>18904.400000000001</v>
      </c>
    </row>
    <row r="62" spans="1:18" x14ac:dyDescent="0.25">
      <c r="A62" t="s">
        <v>2316</v>
      </c>
      <c r="D62" s="2">
        <v>39925</v>
      </c>
      <c r="E62" s="2">
        <v>42709</v>
      </c>
      <c r="F62" s="2">
        <v>49450</v>
      </c>
      <c r="G62" s="2">
        <v>57847</v>
      </c>
      <c r="H62" s="2">
        <v>71880</v>
      </c>
      <c r="I62" s="2">
        <v>88017</v>
      </c>
      <c r="J62" s="2">
        <v>122100</v>
      </c>
      <c r="K62" s="2">
        <v>158500</v>
      </c>
      <c r="L62" s="2">
        <v>185300</v>
      </c>
      <c r="M62" s="2">
        <v>209145</v>
      </c>
      <c r="N62" s="2">
        <v>249816</v>
      </c>
      <c r="O62" s="2">
        <v>289014.71999999997</v>
      </c>
      <c r="P62" s="2">
        <v>339341.61</v>
      </c>
      <c r="Q62" s="2">
        <v>386652.46</v>
      </c>
      <c r="R62" s="2">
        <v>465226.09</v>
      </c>
    </row>
    <row r="63" spans="1:18" x14ac:dyDescent="0.25">
      <c r="A63" t="s">
        <v>2634</v>
      </c>
      <c r="D63" s="2">
        <v>4117</v>
      </c>
      <c r="E63" s="2">
        <v>3631</v>
      </c>
      <c r="F63" s="2">
        <v>5060</v>
      </c>
      <c r="G63" s="2">
        <v>4768</v>
      </c>
      <c r="H63" s="2">
        <v>4997</v>
      </c>
      <c r="I63" s="2">
        <v>5230</v>
      </c>
      <c r="J63" s="2">
        <v>10497</v>
      </c>
      <c r="K63" s="2">
        <v>37600</v>
      </c>
      <c r="L63" s="2">
        <v>8333</v>
      </c>
      <c r="M63" s="2">
        <v>19326</v>
      </c>
      <c r="N63" s="2">
        <v>28769</v>
      </c>
      <c r="O63" s="2">
        <v>24711.58</v>
      </c>
      <c r="P63" s="2">
        <v>33544.339999999997</v>
      </c>
      <c r="Q63" s="2">
        <v>37848.379999999997</v>
      </c>
      <c r="R63" s="2">
        <v>38877.550000000003</v>
      </c>
    </row>
    <row r="64" spans="1:18" x14ac:dyDescent="0.25">
      <c r="A64" t="s">
        <v>2635</v>
      </c>
      <c r="D64" s="2">
        <v>4139</v>
      </c>
      <c r="E64" s="2">
        <v>3712</v>
      </c>
      <c r="F64" s="2">
        <v>5094</v>
      </c>
      <c r="G64" s="2">
        <v>10434</v>
      </c>
      <c r="H64" s="2">
        <v>13674</v>
      </c>
      <c r="I64" s="2">
        <v>13609</v>
      </c>
      <c r="J64" s="2">
        <v>27496</v>
      </c>
      <c r="K64" s="2">
        <v>30480</v>
      </c>
      <c r="L64" s="2">
        <v>23701</v>
      </c>
      <c r="M64" s="2">
        <v>29479</v>
      </c>
      <c r="N64" s="2">
        <v>34118</v>
      </c>
      <c r="O64" s="2">
        <v>39004.04</v>
      </c>
      <c r="P64" s="2">
        <v>43059.11</v>
      </c>
      <c r="Q64" s="2">
        <v>46319.64</v>
      </c>
      <c r="R64" s="2">
        <v>52676.39</v>
      </c>
    </row>
    <row r="65" spans="1:18" x14ac:dyDescent="0.25">
      <c r="A65" t="s">
        <v>2627</v>
      </c>
      <c r="G65" s="2">
        <v>-1711</v>
      </c>
      <c r="H65" s="2">
        <v>-1555</v>
      </c>
      <c r="I65" s="2">
        <v>-1660</v>
      </c>
      <c r="J65" s="2">
        <v>-1647</v>
      </c>
      <c r="K65" s="2">
        <v>-1275</v>
      </c>
      <c r="L65" s="2">
        <v>-3858</v>
      </c>
      <c r="M65" s="2">
        <v>-10546</v>
      </c>
      <c r="N65" s="2">
        <v>-10404</v>
      </c>
      <c r="O65" s="2">
        <v>-11595.03</v>
      </c>
      <c r="P65" s="2">
        <v>-11967.52</v>
      </c>
      <c r="Q65" s="2">
        <v>-13535.68</v>
      </c>
      <c r="R65" s="2">
        <v>-11975.27</v>
      </c>
    </row>
    <row r="66" spans="1:18" x14ac:dyDescent="0.25">
      <c r="A66" t="s">
        <v>2628</v>
      </c>
      <c r="D66" s="2">
        <v>-5242</v>
      </c>
      <c r="E66" s="2">
        <v>-5815</v>
      </c>
      <c r="F66" s="2">
        <v>-8733</v>
      </c>
      <c r="G66" s="2">
        <v>-2419</v>
      </c>
      <c r="H66" s="2">
        <v>-2285</v>
      </c>
      <c r="I66" s="2">
        <v>-3657</v>
      </c>
      <c r="J66" s="2">
        <v>-5630</v>
      </c>
      <c r="K66" s="2">
        <v>-6093</v>
      </c>
      <c r="L66" s="2">
        <v>-7185</v>
      </c>
      <c r="M66" s="2">
        <v>-14843</v>
      </c>
      <c r="N66" s="2">
        <v>-18755</v>
      </c>
      <c r="O66" s="2">
        <v>-16948.88</v>
      </c>
      <c r="P66" s="2">
        <v>-18549.95</v>
      </c>
      <c r="Q66" s="2">
        <v>-22055.25</v>
      </c>
      <c r="R66" s="2">
        <v>-23129.54</v>
      </c>
    </row>
    <row r="67" spans="1:18" x14ac:dyDescent="0.25">
      <c r="A67" t="s">
        <v>2629</v>
      </c>
      <c r="G67" s="2">
        <v>-2658</v>
      </c>
      <c r="H67" s="2">
        <v>-2606</v>
      </c>
      <c r="I67" s="2">
        <v>-2128</v>
      </c>
      <c r="J67" s="2">
        <v>-2724</v>
      </c>
      <c r="K67" s="2">
        <v>-2415</v>
      </c>
      <c r="L67" s="2">
        <v>-3345</v>
      </c>
      <c r="M67" s="2">
        <v>-5252</v>
      </c>
      <c r="N67" s="2">
        <v>-3335</v>
      </c>
      <c r="O67" s="2">
        <v>-6094.35</v>
      </c>
      <c r="P67" s="2">
        <v>-6089.16</v>
      </c>
      <c r="Q67" s="2">
        <v>-6918.35</v>
      </c>
      <c r="R67" s="2">
        <v>-6631.58</v>
      </c>
    </row>
    <row r="68" spans="1:18" x14ac:dyDescent="0.25">
      <c r="A68" t="s">
        <v>2631</v>
      </c>
      <c r="D68">
        <v>-57</v>
      </c>
      <c r="E68" s="2">
        <v>1316</v>
      </c>
      <c r="F68" s="2">
        <v>2322</v>
      </c>
      <c r="G68">
        <v>-10</v>
      </c>
      <c r="H68" s="2">
        <v>2181</v>
      </c>
      <c r="I68" s="2">
        <v>2187</v>
      </c>
      <c r="J68" s="2">
        <v>4307</v>
      </c>
      <c r="K68" s="2">
        <v>-2071</v>
      </c>
      <c r="L68" s="2">
        <v>5176</v>
      </c>
      <c r="M68" s="2">
        <v>2144</v>
      </c>
      <c r="N68" s="2">
        <v>7067</v>
      </c>
      <c r="O68" s="2">
        <v>2499.71</v>
      </c>
      <c r="P68" s="2">
        <v>6645.02</v>
      </c>
      <c r="Q68" s="2">
        <v>7101.29</v>
      </c>
      <c r="R68" s="2">
        <v>10151.700000000001</v>
      </c>
    </row>
    <row r="69" spans="1:18" x14ac:dyDescent="0.25">
      <c r="A69" t="s">
        <v>2636</v>
      </c>
      <c r="D69">
        <v>-306</v>
      </c>
      <c r="E69">
        <v>-60</v>
      </c>
      <c r="F69">
        <v>209</v>
      </c>
      <c r="G69">
        <v>-7</v>
      </c>
      <c r="H69">
        <v>-373</v>
      </c>
      <c r="I69">
        <v>-40</v>
      </c>
      <c r="J69">
        <v>0</v>
      </c>
      <c r="K69">
        <v>-1</v>
      </c>
      <c r="L69">
        <v>0</v>
      </c>
      <c r="M69" s="2">
        <v>1286</v>
      </c>
      <c r="N69">
        <v>353</v>
      </c>
      <c r="O69">
        <v>-603.99</v>
      </c>
      <c r="P69">
        <v>988.84</v>
      </c>
      <c r="Q69" s="2">
        <v>1169.28</v>
      </c>
      <c r="R69" s="2">
        <v>1758.42</v>
      </c>
    </row>
    <row r="70" spans="1:18" x14ac:dyDescent="0.25">
      <c r="A70" t="s">
        <v>2322</v>
      </c>
      <c r="D70" s="2">
        <v>9192</v>
      </c>
      <c r="E70" s="2">
        <v>8330</v>
      </c>
      <c r="F70" s="2">
        <v>12996</v>
      </c>
      <c r="G70" s="2">
        <v>26862</v>
      </c>
      <c r="H70" s="2">
        <v>24015</v>
      </c>
      <c r="I70">
        <v>0</v>
      </c>
      <c r="J70" s="2">
        <v>59300</v>
      </c>
      <c r="K70" s="2">
        <v>55100</v>
      </c>
      <c r="L70" s="2">
        <v>81300</v>
      </c>
      <c r="M70" s="2">
        <v>100100</v>
      </c>
      <c r="N70" s="2">
        <v>99400</v>
      </c>
      <c r="O70" s="2">
        <v>111311.84</v>
      </c>
      <c r="P70" s="2">
        <v>117244.46</v>
      </c>
      <c r="Q70" s="2">
        <v>74729.27</v>
      </c>
    </row>
    <row r="71" spans="1:18" x14ac:dyDescent="0.25">
      <c r="A71" t="s">
        <v>1445</v>
      </c>
      <c r="F71" s="2">
        <v>12126</v>
      </c>
      <c r="G71" s="2">
        <v>16237</v>
      </c>
      <c r="H71" s="2">
        <v>20300</v>
      </c>
      <c r="I71" s="2">
        <v>18200</v>
      </c>
      <c r="J71" s="2">
        <v>56900</v>
      </c>
      <c r="K71" s="2">
        <v>61900</v>
      </c>
      <c r="L71" s="2">
        <v>55700</v>
      </c>
      <c r="M71" s="2">
        <v>38900</v>
      </c>
      <c r="N71" s="2">
        <v>48200</v>
      </c>
      <c r="O71" s="2">
        <v>106444.16</v>
      </c>
      <c r="P71" s="2">
        <v>111574.54</v>
      </c>
      <c r="Q71" s="2">
        <v>74455.210000000006</v>
      </c>
    </row>
    <row r="72" spans="1:18" x14ac:dyDescent="0.25">
      <c r="A72" t="s">
        <v>2648</v>
      </c>
      <c r="E72" s="2">
        <v>5030</v>
      </c>
      <c r="F72" s="2">
        <v>5989</v>
      </c>
      <c r="G72" s="2">
        <v>9340</v>
      </c>
      <c r="H72" s="2">
        <v>10685</v>
      </c>
      <c r="I72" s="2">
        <v>7527</v>
      </c>
      <c r="J72" s="2">
        <v>22149</v>
      </c>
      <c r="K72" s="2">
        <v>12988</v>
      </c>
      <c r="L72" s="2">
        <v>14897</v>
      </c>
      <c r="M72" s="2">
        <v>29268</v>
      </c>
      <c r="N72" s="2">
        <v>30389</v>
      </c>
      <c r="O72" s="2">
        <v>37850.620000000003</v>
      </c>
      <c r="P72" s="2">
        <v>45235.92</v>
      </c>
      <c r="Q72" s="2">
        <v>50248.02</v>
      </c>
      <c r="R72" s="2">
        <v>54308.67</v>
      </c>
    </row>
    <row r="73" spans="1:18" x14ac:dyDescent="0.25">
      <c r="A73" t="s">
        <v>2649</v>
      </c>
      <c r="D73">
        <v>289.08999999999997</v>
      </c>
      <c r="E73">
        <v>302.68</v>
      </c>
      <c r="F73">
        <v>292.08</v>
      </c>
      <c r="G73">
        <v>372.34</v>
      </c>
      <c r="H73">
        <v>471.64</v>
      </c>
      <c r="I73">
        <v>538.67999999999995</v>
      </c>
      <c r="J73">
        <v>841.82</v>
      </c>
      <c r="K73" s="2">
        <v>1119.95</v>
      </c>
      <c r="L73" s="2">
        <v>1445.32</v>
      </c>
      <c r="M73" s="2">
        <v>1684.82</v>
      </c>
      <c r="N73" s="2">
        <v>1952.3</v>
      </c>
      <c r="O73" s="2">
        <v>2387.6999999999998</v>
      </c>
      <c r="P73" s="2">
        <v>2805.76</v>
      </c>
      <c r="Q73" s="2">
        <v>3235.43</v>
      </c>
      <c r="R73" s="2">
        <v>3772.34</v>
      </c>
    </row>
    <row r="74" spans="1:18" x14ac:dyDescent="0.25">
      <c r="A74" t="s">
        <v>17</v>
      </c>
    </row>
    <row r="75" spans="1:18" x14ac:dyDescent="0.25">
      <c r="A75" t="s">
        <v>2650</v>
      </c>
    </row>
    <row r="76" spans="1:18" x14ac:dyDescent="0.25">
      <c r="A76" t="s">
        <v>2479</v>
      </c>
      <c r="D76">
        <v>83.98</v>
      </c>
      <c r="E76">
        <v>78.069999999999993</v>
      </c>
      <c r="F76">
        <v>113.86</v>
      </c>
      <c r="G76">
        <v>106.04</v>
      </c>
      <c r="H76">
        <v>114.42</v>
      </c>
      <c r="I76">
        <v>84.27</v>
      </c>
      <c r="J76">
        <v>83.21</v>
      </c>
      <c r="K76">
        <v>44.43</v>
      </c>
      <c r="L76">
        <v>53.06</v>
      </c>
      <c r="M76">
        <v>60.55</v>
      </c>
      <c r="N76">
        <v>58.32</v>
      </c>
      <c r="O76">
        <v>64.760000000000005</v>
      </c>
      <c r="P76">
        <v>69.94</v>
      </c>
      <c r="Q76">
        <v>67.03</v>
      </c>
      <c r="R76">
        <v>73.069999999999993</v>
      </c>
    </row>
    <row r="77" spans="1:18" x14ac:dyDescent="0.25">
      <c r="A77" t="s">
        <v>2436</v>
      </c>
      <c r="D77">
        <v>152.1</v>
      </c>
      <c r="E77">
        <v>147.79</v>
      </c>
      <c r="F77">
        <v>198.5</v>
      </c>
      <c r="G77">
        <v>198.18</v>
      </c>
      <c r="H77">
        <v>211.61</v>
      </c>
      <c r="I77">
        <v>181.81</v>
      </c>
      <c r="J77">
        <v>181.92</v>
      </c>
      <c r="K77">
        <v>125.68</v>
      </c>
      <c r="L77">
        <v>126.72</v>
      </c>
      <c r="M77">
        <v>137.13</v>
      </c>
      <c r="N77">
        <v>139.16999999999999</v>
      </c>
      <c r="O77">
        <v>137.13</v>
      </c>
      <c r="P77">
        <v>145.5</v>
      </c>
      <c r="Q77">
        <v>148.53</v>
      </c>
      <c r="R77">
        <v>158.11000000000001</v>
      </c>
    </row>
    <row r="78" spans="1:18" x14ac:dyDescent="0.25">
      <c r="A78" t="s">
        <v>2638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8" x14ac:dyDescent="0.25">
      <c r="A79" t="s">
        <v>2639</v>
      </c>
      <c r="E79">
        <v>1.54</v>
      </c>
      <c r="F79">
        <v>1.5</v>
      </c>
      <c r="G79">
        <v>1.01</v>
      </c>
      <c r="H79">
        <v>0.16</v>
      </c>
      <c r="I79">
        <v>0.18</v>
      </c>
      <c r="J79">
        <v>1.1299999999999999</v>
      </c>
      <c r="K79">
        <v>1.24</v>
      </c>
      <c r="L79">
        <v>1.69</v>
      </c>
      <c r="M79">
        <v>1.7</v>
      </c>
      <c r="N79">
        <v>1.82</v>
      </c>
      <c r="O79">
        <v>2.13</v>
      </c>
      <c r="P79">
        <v>2.4500000000000002</v>
      </c>
      <c r="Q79">
        <v>3.42</v>
      </c>
      <c r="R79">
        <v>4.95</v>
      </c>
    </row>
    <row r="80" spans="1:18" x14ac:dyDescent="0.25">
      <c r="A80" t="s">
        <v>2403</v>
      </c>
      <c r="E80">
        <v>-57.01</v>
      </c>
      <c r="F80">
        <v>-68.569999999999993</v>
      </c>
      <c r="G80">
        <v>-74.67</v>
      </c>
      <c r="H80">
        <v>-78.260000000000005</v>
      </c>
      <c r="I80">
        <v>-90.13</v>
      </c>
      <c r="J80">
        <v>-92.49</v>
      </c>
      <c r="K80">
        <v>-66.08</v>
      </c>
      <c r="L80">
        <v>-58.41</v>
      </c>
      <c r="M80">
        <v>-56.83</v>
      </c>
      <c r="N80">
        <v>-60.7</v>
      </c>
      <c r="O80">
        <v>-59.48</v>
      </c>
      <c r="P80">
        <v>-64.37</v>
      </c>
      <c r="Q80">
        <v>-62.29</v>
      </c>
      <c r="R80">
        <v>-65.34</v>
      </c>
    </row>
    <row r="81" spans="1:18" x14ac:dyDescent="0.25">
      <c r="A81" t="s">
        <v>2640</v>
      </c>
      <c r="D81">
        <v>15.3</v>
      </c>
      <c r="E81">
        <v>14.26</v>
      </c>
      <c r="F81">
        <v>17.559999999999999</v>
      </c>
      <c r="G81">
        <v>18.48</v>
      </c>
      <c r="H81">
        <v>19.100000000000001</v>
      </c>
      <c r="I81">
        <v>20.46</v>
      </c>
      <c r="J81">
        <v>21.63</v>
      </c>
      <c r="K81">
        <v>16.420000000000002</v>
      </c>
      <c r="L81">
        <v>16.95</v>
      </c>
      <c r="M81">
        <v>21.45</v>
      </c>
      <c r="N81">
        <v>21.98</v>
      </c>
      <c r="O81">
        <v>20.86</v>
      </c>
      <c r="P81">
        <v>21.68</v>
      </c>
      <c r="Q81">
        <v>21.77</v>
      </c>
      <c r="R81">
        <v>23</v>
      </c>
    </row>
    <row r="82" spans="1:18" x14ac:dyDescent="0.25">
      <c r="A82" t="s">
        <v>2641</v>
      </c>
      <c r="E82">
        <v>84.42</v>
      </c>
      <c r="F82">
        <v>58.32</v>
      </c>
      <c r="G82">
        <v>28.06</v>
      </c>
      <c r="H82">
        <v>52.89</v>
      </c>
      <c r="I82">
        <v>76.73</v>
      </c>
      <c r="J82">
        <v>34.06</v>
      </c>
      <c r="K82">
        <v>8.51</v>
      </c>
      <c r="L82">
        <v>12.73</v>
      </c>
      <c r="M82">
        <v>6.97</v>
      </c>
      <c r="N82">
        <v>10.41</v>
      </c>
      <c r="O82">
        <v>16.21</v>
      </c>
      <c r="P82">
        <v>32</v>
      </c>
      <c r="Q82">
        <v>38.880000000000003</v>
      </c>
      <c r="R82">
        <v>28.11</v>
      </c>
    </row>
    <row r="83" spans="1:18" x14ac:dyDescent="0.25">
      <c r="A83" t="s">
        <v>2642</v>
      </c>
      <c r="D83">
        <v>24.85</v>
      </c>
      <c r="E83">
        <v>230.16</v>
      </c>
      <c r="F83">
        <v>287.08999999999997</v>
      </c>
      <c r="G83">
        <v>139.82</v>
      </c>
      <c r="H83">
        <v>264.44</v>
      </c>
      <c r="I83">
        <v>392.64</v>
      </c>
      <c r="J83">
        <v>171.64</v>
      </c>
      <c r="K83">
        <v>42.9</v>
      </c>
      <c r="L83">
        <v>65.72</v>
      </c>
      <c r="M83">
        <v>43.3</v>
      </c>
      <c r="N83">
        <v>42.4</v>
      </c>
      <c r="O83">
        <v>92.25</v>
      </c>
      <c r="P83">
        <v>161.46</v>
      </c>
      <c r="Q83">
        <v>230.25</v>
      </c>
      <c r="R83">
        <v>290.02999999999997</v>
      </c>
    </row>
    <row r="84" spans="1:18" x14ac:dyDescent="0.25">
      <c r="A84" t="s">
        <v>2643</v>
      </c>
      <c r="E84">
        <v>-184.07</v>
      </c>
      <c r="F84">
        <v>-228.77</v>
      </c>
      <c r="G84">
        <v>-111.76</v>
      </c>
      <c r="H84">
        <v>-211.55</v>
      </c>
      <c r="I84">
        <v>-315.91000000000003</v>
      </c>
      <c r="J84">
        <v>-137.58000000000001</v>
      </c>
      <c r="K84">
        <v>-34.380000000000003</v>
      </c>
      <c r="L84">
        <v>-52.98</v>
      </c>
      <c r="M84">
        <v>-36.33</v>
      </c>
      <c r="N84">
        <v>-31.99</v>
      </c>
      <c r="O84">
        <v>-76.05</v>
      </c>
      <c r="P84">
        <v>-131.9</v>
      </c>
      <c r="Q84">
        <v>-191.48</v>
      </c>
      <c r="R84">
        <v>-261.92</v>
      </c>
    </row>
    <row r="85" spans="1:18" x14ac:dyDescent="0.25">
      <c r="A85" t="s">
        <v>2644</v>
      </c>
      <c r="D85">
        <v>-6.14</v>
      </c>
      <c r="E85">
        <v>29.15</v>
      </c>
      <c r="F85">
        <v>60.07</v>
      </c>
      <c r="G85">
        <v>16.440000000000001</v>
      </c>
      <c r="H85">
        <v>45.26</v>
      </c>
      <c r="I85">
        <v>25.02</v>
      </c>
      <c r="J85">
        <v>-3.75</v>
      </c>
      <c r="K85">
        <v>-9.26</v>
      </c>
      <c r="L85">
        <v>-19.66</v>
      </c>
      <c r="M85">
        <v>-18.739999999999998</v>
      </c>
      <c r="N85">
        <v>-29.19</v>
      </c>
      <c r="O85">
        <v>-11.99</v>
      </c>
      <c r="P85">
        <v>-10.49</v>
      </c>
      <c r="Q85">
        <v>-12.22</v>
      </c>
      <c r="R85">
        <v>-7.29</v>
      </c>
    </row>
    <row r="86" spans="1:18" x14ac:dyDescent="0.25">
      <c r="A86" t="s">
        <v>2645</v>
      </c>
      <c r="D86">
        <v>6.84</v>
      </c>
      <c r="E86">
        <v>18.77</v>
      </c>
      <c r="F86">
        <v>22.63</v>
      </c>
      <c r="G86">
        <v>17.82</v>
      </c>
      <c r="H86">
        <v>47.7</v>
      </c>
      <c r="I86">
        <v>29.1</v>
      </c>
      <c r="J86">
        <v>9.26</v>
      </c>
      <c r="K86">
        <v>3.43</v>
      </c>
      <c r="L86">
        <v>-1.43</v>
      </c>
      <c r="M86">
        <v>1.93</v>
      </c>
      <c r="N86">
        <v>-15.66</v>
      </c>
      <c r="O86">
        <v>2.57</v>
      </c>
      <c r="P86">
        <v>6.28</v>
      </c>
      <c r="Q86">
        <v>6.83</v>
      </c>
      <c r="R86">
        <v>6.62</v>
      </c>
    </row>
    <row r="87" spans="1:18" x14ac:dyDescent="0.25">
      <c r="A87" t="s">
        <v>2646</v>
      </c>
      <c r="E87">
        <v>16.579999999999998</v>
      </c>
      <c r="F87">
        <v>3.23</v>
      </c>
      <c r="G87">
        <v>4.62</v>
      </c>
      <c r="H87">
        <v>5.05</v>
      </c>
      <c r="I87">
        <v>5.99</v>
      </c>
      <c r="J87">
        <v>12.82</v>
      </c>
      <c r="K87">
        <v>0.79</v>
      </c>
      <c r="L87">
        <v>0.76</v>
      </c>
      <c r="M87">
        <v>1.97</v>
      </c>
      <c r="N87">
        <v>2.0299999999999998</v>
      </c>
      <c r="O87">
        <v>0</v>
      </c>
      <c r="P87">
        <v>1.6</v>
      </c>
      <c r="Q87">
        <v>2.67</v>
      </c>
      <c r="R87">
        <v>3</v>
      </c>
    </row>
    <row r="88" spans="1:18" x14ac:dyDescent="0.25">
      <c r="A88" t="s">
        <v>289</v>
      </c>
      <c r="D88">
        <v>5.94</v>
      </c>
      <c r="E88">
        <v>5.59</v>
      </c>
      <c r="F88">
        <v>5.22</v>
      </c>
      <c r="G88">
        <v>6</v>
      </c>
      <c r="H88">
        <v>7.49</v>
      </c>
      <c r="I88">
        <v>7.06</v>
      </c>
      <c r="J88">
        <v>7.93</v>
      </c>
      <c r="K88">
        <v>13.48</v>
      </c>
      <c r="L88">
        <v>18.989999999999998</v>
      </c>
      <c r="M88">
        <v>22.63</v>
      </c>
      <c r="N88">
        <v>15.56</v>
      </c>
      <c r="O88">
        <v>14.58</v>
      </c>
      <c r="P88">
        <v>15.77</v>
      </c>
      <c r="Q88">
        <v>19.91</v>
      </c>
      <c r="R88">
        <v>15.91</v>
      </c>
    </row>
    <row r="89" spans="1:18" x14ac:dyDescent="0.25">
      <c r="A89" t="s">
        <v>2310</v>
      </c>
      <c r="D89" s="2">
        <v>22978</v>
      </c>
      <c r="E89" s="2">
        <v>25041</v>
      </c>
      <c r="F89" s="2">
        <v>24530</v>
      </c>
      <c r="G89" s="2">
        <v>23487</v>
      </c>
      <c r="H89" s="2">
        <v>25166</v>
      </c>
      <c r="I89" s="2">
        <v>23900</v>
      </c>
      <c r="J89" s="2">
        <v>33400</v>
      </c>
      <c r="K89" s="2">
        <v>21000</v>
      </c>
      <c r="L89" s="2">
        <v>24500</v>
      </c>
      <c r="M89" s="2">
        <v>24041</v>
      </c>
      <c r="N89" s="2">
        <v>25288</v>
      </c>
      <c r="O89" s="2">
        <v>24973.48</v>
      </c>
      <c r="P89" s="2">
        <v>25585.77</v>
      </c>
      <c r="Q89" s="2">
        <v>26624.65</v>
      </c>
      <c r="R89" s="2">
        <v>28643.67</v>
      </c>
    </row>
    <row r="90" spans="1:18" x14ac:dyDescent="0.25">
      <c r="A90" t="s">
        <v>2647</v>
      </c>
      <c r="D90" s="2">
        <v>6700</v>
      </c>
      <c r="E90" s="2">
        <v>2314</v>
      </c>
      <c r="F90">
        <v>356</v>
      </c>
      <c r="G90" s="2">
        <v>1598</v>
      </c>
      <c r="H90" s="2">
        <v>3176</v>
      </c>
      <c r="I90" s="2">
        <v>6189</v>
      </c>
      <c r="J90" s="2">
        <v>8399</v>
      </c>
      <c r="K90" s="2">
        <v>2202</v>
      </c>
      <c r="L90" s="2">
        <v>1621</v>
      </c>
      <c r="M90">
        <v>519</v>
      </c>
      <c r="N90" s="2">
        <v>2282</v>
      </c>
      <c r="O90" s="2">
        <v>1746.9</v>
      </c>
      <c r="P90" s="2">
        <v>1630.06</v>
      </c>
      <c r="Q90" s="2">
        <v>1814.05</v>
      </c>
      <c r="R90" s="2">
        <v>2255.4899999999998</v>
      </c>
    </row>
    <row r="91" spans="1:18" x14ac:dyDescent="0.25">
      <c r="A91" t="s">
        <v>2627</v>
      </c>
      <c r="E91">
        <v>-5</v>
      </c>
      <c r="F91">
        <v>-5</v>
      </c>
      <c r="G91">
        <v>0</v>
      </c>
      <c r="H91">
        <v>-7</v>
      </c>
      <c r="I91">
        <v>-136</v>
      </c>
      <c r="J91">
        <v>-9</v>
      </c>
      <c r="K91">
        <v>-208</v>
      </c>
      <c r="L91">
        <v>-9</v>
      </c>
      <c r="M91">
        <v>-4</v>
      </c>
      <c r="N91">
        <v>-55</v>
      </c>
      <c r="O91">
        <v>-88.85</v>
      </c>
      <c r="P91">
        <v>-179.85</v>
      </c>
      <c r="Q91">
        <v>-183.03</v>
      </c>
      <c r="R91">
        <v>-200.45</v>
      </c>
    </row>
    <row r="92" spans="1:18" x14ac:dyDescent="0.25">
      <c r="A92" t="s">
        <v>2628</v>
      </c>
      <c r="E92" s="2">
        <v>-2514</v>
      </c>
      <c r="F92" s="2">
        <v>-3014</v>
      </c>
      <c r="G92" s="2">
        <v>-1900</v>
      </c>
      <c r="H92" s="2">
        <v>-3804</v>
      </c>
      <c r="I92" s="2">
        <v>-4410</v>
      </c>
      <c r="J92" s="2">
        <v>-5216</v>
      </c>
      <c r="K92" s="2">
        <v>-1333</v>
      </c>
      <c r="L92" s="2">
        <v>-2309</v>
      </c>
      <c r="M92">
        <v>-704</v>
      </c>
      <c r="N92" s="2">
        <v>-2031</v>
      </c>
      <c r="O92" s="2">
        <v>-2310.56</v>
      </c>
      <c r="P92" s="2">
        <v>-1852.12</v>
      </c>
      <c r="Q92" s="2">
        <v>-2171.0300000000002</v>
      </c>
      <c r="R92" s="2">
        <v>-2097.56</v>
      </c>
    </row>
    <row r="93" spans="1:18" x14ac:dyDescent="0.25">
      <c r="A93" t="s">
        <v>2629</v>
      </c>
      <c r="E93">
        <v>-778</v>
      </c>
      <c r="F93" s="2">
        <v>-3009</v>
      </c>
      <c r="G93">
        <v>0</v>
      </c>
      <c r="H93">
        <v>-2</v>
      </c>
      <c r="I93">
        <v>-5</v>
      </c>
      <c r="J93">
        <v>0</v>
      </c>
      <c r="K93" s="2">
        <v>1800</v>
      </c>
      <c r="L93" s="2">
        <v>1800</v>
      </c>
      <c r="M93">
        <v>-2</v>
      </c>
      <c r="N93">
        <v>0</v>
      </c>
    </row>
    <row r="94" spans="1:18" x14ac:dyDescent="0.25">
      <c r="A94" t="s">
        <v>2631</v>
      </c>
      <c r="E94" s="2">
        <v>2268</v>
      </c>
      <c r="F94" s="2">
        <v>2147</v>
      </c>
      <c r="G94">
        <v>-741</v>
      </c>
      <c r="H94" s="2">
        <v>2316</v>
      </c>
      <c r="I94">
        <v>635</v>
      </c>
      <c r="J94" s="2">
        <v>7547</v>
      </c>
      <c r="K94">
        <v>684</v>
      </c>
      <c r="L94" s="2">
        <v>1356</v>
      </c>
      <c r="M94">
        <v>-272</v>
      </c>
      <c r="N94">
        <v>195</v>
      </c>
      <c r="O94">
        <v>503.2</v>
      </c>
      <c r="P94" s="2">
        <v>1157.23</v>
      </c>
      <c r="Q94" s="2">
        <v>1211.05</v>
      </c>
      <c r="R94" s="2">
        <v>1214.22</v>
      </c>
    </row>
    <row r="95" spans="1:18" x14ac:dyDescent="0.25">
      <c r="A95" t="s">
        <v>2316</v>
      </c>
      <c r="D95" s="2">
        <v>12462</v>
      </c>
      <c r="E95" s="2">
        <v>11314</v>
      </c>
      <c r="F95" s="2">
        <v>16858</v>
      </c>
      <c r="G95" s="2">
        <v>17071</v>
      </c>
      <c r="H95" s="2">
        <v>17040</v>
      </c>
      <c r="I95" s="2">
        <v>17500</v>
      </c>
      <c r="J95" s="2">
        <v>16700</v>
      </c>
      <c r="K95" s="2">
        <v>11300</v>
      </c>
      <c r="L95" s="2">
        <v>13100</v>
      </c>
      <c r="M95" s="2">
        <v>11427</v>
      </c>
      <c r="N95" s="2">
        <v>14437</v>
      </c>
      <c r="O95" s="2">
        <v>14435.93</v>
      </c>
      <c r="P95" s="2">
        <v>15092.78</v>
      </c>
      <c r="Q95" s="2">
        <v>15481.48</v>
      </c>
      <c r="R95" s="2">
        <v>16796.79</v>
      </c>
    </row>
    <row r="96" spans="1:18" x14ac:dyDescent="0.25">
      <c r="A96" t="s">
        <v>2634</v>
      </c>
      <c r="D96">
        <v>523</v>
      </c>
      <c r="E96">
        <v>159</v>
      </c>
      <c r="F96" s="2">
        <v>7955</v>
      </c>
      <c r="G96" s="2">
        <v>1049</v>
      </c>
      <c r="H96">
        <v>362</v>
      </c>
      <c r="I96" s="2">
        <v>5800</v>
      </c>
      <c r="J96" s="2">
        <v>6600</v>
      </c>
      <c r="K96">
        <v>0</v>
      </c>
      <c r="L96">
        <v>0</v>
      </c>
      <c r="M96">
        <v>0</v>
      </c>
      <c r="N96">
        <v>564</v>
      </c>
      <c r="O96">
        <v>737.75</v>
      </c>
      <c r="P96" s="2">
        <v>1147.54</v>
      </c>
      <c r="Q96" s="2">
        <v>1316.55</v>
      </c>
      <c r="R96" s="2">
        <v>1510.42</v>
      </c>
    </row>
    <row r="97" spans="1:18" x14ac:dyDescent="0.25">
      <c r="A97" t="s">
        <v>2635</v>
      </c>
      <c r="D97">
        <v>691</v>
      </c>
      <c r="E97">
        <v>93</v>
      </c>
      <c r="F97" s="2">
        <v>1122</v>
      </c>
      <c r="G97">
        <v>896</v>
      </c>
      <c r="H97" s="2">
        <v>2019</v>
      </c>
      <c r="I97" s="2">
        <v>1585</v>
      </c>
      <c r="J97" s="2">
        <v>2624</v>
      </c>
      <c r="K97" s="2">
        <v>4489</v>
      </c>
      <c r="L97" s="2">
        <v>2752</v>
      </c>
      <c r="M97">
        <v>47</v>
      </c>
      <c r="N97">
        <v>65</v>
      </c>
      <c r="O97" s="2">
        <v>1200.8</v>
      </c>
      <c r="P97" s="2">
        <v>1081.98</v>
      </c>
      <c r="Q97">
        <v>628</v>
      </c>
      <c r="R97">
        <v>789.13</v>
      </c>
    </row>
    <row r="98" spans="1:18" x14ac:dyDescent="0.25">
      <c r="A98" t="s">
        <v>2627</v>
      </c>
      <c r="G98">
        <v>-136</v>
      </c>
      <c r="H98">
        <v>-202</v>
      </c>
      <c r="I98">
        <v>0</v>
      </c>
      <c r="J98">
        <v>0</v>
      </c>
      <c r="K98">
        <v>-208</v>
      </c>
      <c r="L98">
        <v>-9</v>
      </c>
      <c r="M98">
        <v>-4</v>
      </c>
      <c r="N98">
        <v>-11</v>
      </c>
      <c r="O98">
        <v>-10</v>
      </c>
      <c r="P98">
        <v>-20</v>
      </c>
      <c r="Q98">
        <v>-20</v>
      </c>
    </row>
    <row r="99" spans="1:18" x14ac:dyDescent="0.25">
      <c r="A99" t="s">
        <v>2628</v>
      </c>
      <c r="D99">
        <v>-414</v>
      </c>
      <c r="E99">
        <v>-665</v>
      </c>
      <c r="F99" s="2">
        <v>-1606</v>
      </c>
      <c r="G99" s="2">
        <v>-1468</v>
      </c>
      <c r="H99" s="2">
        <v>-1364</v>
      </c>
      <c r="I99" s="2">
        <v>-1196</v>
      </c>
      <c r="J99" s="2">
        <v>-2629</v>
      </c>
      <c r="K99" s="2">
        <v>-1902</v>
      </c>
      <c r="L99" s="2">
        <v>-2309</v>
      </c>
      <c r="M99">
        <v>-54</v>
      </c>
      <c r="N99">
        <v>-916</v>
      </c>
      <c r="O99">
        <v>-689.94</v>
      </c>
      <c r="P99">
        <v>-781.67</v>
      </c>
      <c r="Q99">
        <v>-969.67</v>
      </c>
      <c r="R99" s="2">
        <v>-1015.24</v>
      </c>
    </row>
    <row r="100" spans="1:18" x14ac:dyDescent="0.25">
      <c r="A100" t="s">
        <v>2629</v>
      </c>
      <c r="G100">
        <v>-5</v>
      </c>
      <c r="H100">
        <v>-1</v>
      </c>
      <c r="I100">
        <v>0</v>
      </c>
      <c r="J100">
        <v>0</v>
      </c>
      <c r="K100">
        <v>0</v>
      </c>
      <c r="L100">
        <v>0</v>
      </c>
      <c r="M100">
        <v>-2</v>
      </c>
      <c r="N100">
        <v>0</v>
      </c>
    </row>
    <row r="101" spans="1:18" x14ac:dyDescent="0.25">
      <c r="A101" t="s">
        <v>2631</v>
      </c>
      <c r="D101">
        <v>-31</v>
      </c>
      <c r="E101">
        <v>-168</v>
      </c>
      <c r="F101">
        <v>-375</v>
      </c>
      <c r="G101">
        <v>6</v>
      </c>
      <c r="H101">
        <v>3</v>
      </c>
      <c r="I101">
        <v>-36</v>
      </c>
      <c r="J101" s="2">
        <v>7547</v>
      </c>
      <c r="K101">
        <v>-4</v>
      </c>
      <c r="L101">
        <v>0</v>
      </c>
      <c r="M101">
        <v>-21</v>
      </c>
      <c r="N101">
        <v>-284</v>
      </c>
      <c r="O101">
        <v>-42.03</v>
      </c>
      <c r="P101">
        <v>276.93</v>
      </c>
      <c r="Q101">
        <v>283.49</v>
      </c>
      <c r="R101">
        <v>308.32</v>
      </c>
    </row>
    <row r="102" spans="1:18" x14ac:dyDescent="0.25">
      <c r="A102" t="s">
        <v>2636</v>
      </c>
      <c r="D102">
        <v>-55</v>
      </c>
      <c r="E102">
        <v>-567</v>
      </c>
      <c r="F102" s="2">
        <v>-1552</v>
      </c>
      <c r="G102">
        <v>-129</v>
      </c>
      <c r="H102">
        <v>-848</v>
      </c>
      <c r="I102">
        <v>-459</v>
      </c>
      <c r="J102" s="2">
        <v>-2990</v>
      </c>
      <c r="K102">
        <v>-825</v>
      </c>
      <c r="L102">
        <v>-45</v>
      </c>
      <c r="M102" s="2">
        <v>-1667</v>
      </c>
      <c r="N102" s="2">
        <v>2474</v>
      </c>
      <c r="O102">
        <v>-965.71</v>
      </c>
      <c r="P102">
        <v>-311.14999999999998</v>
      </c>
      <c r="Q102">
        <v>-199.7</v>
      </c>
      <c r="R102">
        <v>-144.19</v>
      </c>
    </row>
    <row r="103" spans="1:18" x14ac:dyDescent="0.25">
      <c r="A103" t="s">
        <v>2322</v>
      </c>
      <c r="D103" s="2">
        <v>9621</v>
      </c>
      <c r="E103" s="2">
        <v>11876</v>
      </c>
      <c r="F103" s="2">
        <v>9366</v>
      </c>
      <c r="G103" s="2">
        <v>6747</v>
      </c>
      <c r="H103" s="2">
        <v>5270</v>
      </c>
      <c r="I103" s="2">
        <v>7800</v>
      </c>
      <c r="J103" s="2">
        <v>11800</v>
      </c>
      <c r="K103" s="2">
        <v>3300</v>
      </c>
      <c r="L103" s="2">
        <v>3800</v>
      </c>
      <c r="M103" s="2">
        <v>4100</v>
      </c>
      <c r="N103" s="2">
        <v>5200</v>
      </c>
      <c r="O103" s="2">
        <v>4158.33</v>
      </c>
      <c r="P103" s="2">
        <v>3595</v>
      </c>
      <c r="Q103" s="2">
        <v>3352.46</v>
      </c>
    </row>
    <row r="104" spans="1:18" x14ac:dyDescent="0.25">
      <c r="A104" t="s">
        <v>1445</v>
      </c>
      <c r="F104" s="2">
        <v>3416</v>
      </c>
      <c r="G104" s="2">
        <v>4788</v>
      </c>
      <c r="H104" s="2">
        <v>4600</v>
      </c>
      <c r="I104" s="2">
        <v>7300</v>
      </c>
      <c r="J104" s="2">
        <v>10400</v>
      </c>
      <c r="K104" s="2">
        <v>1400</v>
      </c>
      <c r="L104" s="2">
        <v>1800</v>
      </c>
      <c r="M104">
        <v>400</v>
      </c>
      <c r="N104" s="2">
        <v>1400</v>
      </c>
      <c r="O104" s="2">
        <v>2888.32</v>
      </c>
      <c r="P104" s="2">
        <v>2177.14</v>
      </c>
      <c r="Q104" s="2">
        <v>2284.54</v>
      </c>
    </row>
    <row r="105" spans="1:18" x14ac:dyDescent="0.25">
      <c r="A105" t="s">
        <v>2649</v>
      </c>
      <c r="C105">
        <v>54.16</v>
      </c>
      <c r="D105">
        <v>91.8</v>
      </c>
      <c r="E105">
        <v>149</v>
      </c>
      <c r="F105">
        <v>192.81</v>
      </c>
      <c r="G105">
        <v>150.53</v>
      </c>
      <c r="H105">
        <v>212.56</v>
      </c>
      <c r="I105">
        <v>182.99</v>
      </c>
      <c r="J105">
        <v>117.1</v>
      </c>
      <c r="K105">
        <v>43.69</v>
      </c>
      <c r="L105">
        <v>46.13</v>
      </c>
      <c r="M105">
        <v>48.78</v>
      </c>
      <c r="N105">
        <v>39.54</v>
      </c>
      <c r="O105">
        <v>68.03</v>
      </c>
      <c r="P105">
        <v>87.34</v>
      </c>
      <c r="Q105">
        <v>92.01</v>
      </c>
      <c r="R105">
        <v>93.89</v>
      </c>
    </row>
    <row r="106" spans="1:18" x14ac:dyDescent="0.25">
      <c r="A106" t="s">
        <v>17</v>
      </c>
    </row>
    <row r="107" spans="1:18" x14ac:dyDescent="0.25">
      <c r="A107" t="s">
        <v>2651</v>
      </c>
    </row>
    <row r="108" spans="1:18" x14ac:dyDescent="0.25">
      <c r="A108" t="s">
        <v>2479</v>
      </c>
      <c r="I108">
        <v>58.52</v>
      </c>
      <c r="J108">
        <v>130.78</v>
      </c>
      <c r="K108">
        <v>271.63</v>
      </c>
      <c r="L108">
        <v>218.81</v>
      </c>
      <c r="M108">
        <v>212.11</v>
      </c>
      <c r="N108">
        <v>464.66</v>
      </c>
      <c r="O108">
        <v>604.89</v>
      </c>
      <c r="P108">
        <v>705.48</v>
      </c>
      <c r="Q108">
        <v>779.95</v>
      </c>
      <c r="R108">
        <v>830.77</v>
      </c>
    </row>
    <row r="109" spans="1:18" x14ac:dyDescent="0.25">
      <c r="A109" t="s">
        <v>2436</v>
      </c>
      <c r="I109">
        <v>137.03</v>
      </c>
      <c r="J109">
        <v>218.2</v>
      </c>
      <c r="K109">
        <v>347.81</v>
      </c>
      <c r="L109">
        <v>389.44</v>
      </c>
      <c r="M109">
        <v>401.97</v>
      </c>
      <c r="N109">
        <v>678.36</v>
      </c>
      <c r="O109">
        <v>826.76</v>
      </c>
      <c r="P109">
        <v>962.69</v>
      </c>
      <c r="Q109" s="2">
        <v>1065.18</v>
      </c>
      <c r="R109" s="2">
        <v>1140.3</v>
      </c>
    </row>
    <row r="110" spans="1:18" x14ac:dyDescent="0.25">
      <c r="A110" t="s">
        <v>2638</v>
      </c>
      <c r="I110">
        <v>0.83</v>
      </c>
      <c r="J110">
        <v>51.4</v>
      </c>
      <c r="K110">
        <v>167.69</v>
      </c>
      <c r="L110">
        <v>0.33</v>
      </c>
      <c r="M110">
        <v>0</v>
      </c>
      <c r="N110">
        <v>35.67</v>
      </c>
      <c r="O110">
        <v>60.46</v>
      </c>
      <c r="P110">
        <v>107.76</v>
      </c>
      <c r="Q110">
        <v>126.53</v>
      </c>
      <c r="R110">
        <v>145.57</v>
      </c>
    </row>
    <row r="111" spans="1:18" x14ac:dyDescent="0.25">
      <c r="A111" t="s">
        <v>2639</v>
      </c>
      <c r="I111">
        <v>0.97</v>
      </c>
      <c r="K111">
        <v>35.880000000000003</v>
      </c>
      <c r="L111">
        <v>29.7</v>
      </c>
      <c r="M111">
        <v>27.26</v>
      </c>
      <c r="N111">
        <v>181.1</v>
      </c>
      <c r="O111">
        <v>224.68</v>
      </c>
      <c r="P111">
        <v>236.33</v>
      </c>
      <c r="Q111">
        <v>235.06</v>
      </c>
      <c r="R111">
        <v>221.73</v>
      </c>
    </row>
    <row r="112" spans="1:18" x14ac:dyDescent="0.25">
      <c r="A112" t="s">
        <v>2403</v>
      </c>
      <c r="K112">
        <v>-240.02</v>
      </c>
      <c r="L112">
        <v>-153.87</v>
      </c>
      <c r="M112">
        <v>-160.36000000000001</v>
      </c>
      <c r="N112">
        <v>-315.62</v>
      </c>
      <c r="O112">
        <v>-347.75</v>
      </c>
      <c r="P112">
        <v>-419.56</v>
      </c>
      <c r="Q112">
        <v>-430.77</v>
      </c>
      <c r="R112">
        <v>-452.64</v>
      </c>
    </row>
    <row r="113" spans="1:18" x14ac:dyDescent="0.25">
      <c r="A113" t="s">
        <v>2640</v>
      </c>
      <c r="I113">
        <v>13.94</v>
      </c>
      <c r="J113">
        <v>24.18</v>
      </c>
      <c r="K113">
        <v>39.74</v>
      </c>
      <c r="L113">
        <v>46.79</v>
      </c>
      <c r="M113">
        <v>56.77</v>
      </c>
      <c r="N113">
        <v>114.85</v>
      </c>
      <c r="O113">
        <v>142.69</v>
      </c>
      <c r="P113">
        <v>154.88</v>
      </c>
      <c r="Q113">
        <v>166.62</v>
      </c>
      <c r="R113">
        <v>162.32</v>
      </c>
    </row>
    <row r="114" spans="1:18" x14ac:dyDescent="0.25">
      <c r="A114" t="s">
        <v>2641</v>
      </c>
      <c r="I114">
        <v>22.47</v>
      </c>
      <c r="J114">
        <v>36.21</v>
      </c>
      <c r="K114">
        <v>50.03</v>
      </c>
      <c r="L114">
        <v>8.2200000000000006</v>
      </c>
      <c r="M114">
        <v>23.03</v>
      </c>
      <c r="N114">
        <v>31.93</v>
      </c>
      <c r="O114">
        <v>54.91</v>
      </c>
      <c r="P114">
        <v>161.13999999999999</v>
      </c>
      <c r="Q114">
        <v>301.60000000000002</v>
      </c>
      <c r="R114">
        <v>219.54</v>
      </c>
    </row>
    <row r="115" spans="1:18" x14ac:dyDescent="0.25">
      <c r="A115" t="s">
        <v>2642</v>
      </c>
      <c r="I115">
        <v>61.45</v>
      </c>
      <c r="J115">
        <v>95.27</v>
      </c>
      <c r="K115">
        <v>133.13</v>
      </c>
      <c r="L115">
        <v>20.99</v>
      </c>
      <c r="M115">
        <v>60.32</v>
      </c>
      <c r="N115">
        <v>99.81</v>
      </c>
      <c r="O115">
        <v>136.91</v>
      </c>
      <c r="P115">
        <v>373.35</v>
      </c>
      <c r="Q115">
        <v>675.76</v>
      </c>
      <c r="R115">
        <v>565.03</v>
      </c>
    </row>
    <row r="116" spans="1:18" x14ac:dyDescent="0.25">
      <c r="A116" t="s">
        <v>2643</v>
      </c>
      <c r="I116">
        <v>-38.979999999999997</v>
      </c>
      <c r="J116">
        <v>-59.06</v>
      </c>
      <c r="K116">
        <v>-83.11</v>
      </c>
      <c r="L116">
        <v>-12.77</v>
      </c>
      <c r="M116">
        <v>-37.28</v>
      </c>
      <c r="N116">
        <v>-67.88</v>
      </c>
      <c r="O116">
        <v>-76.08</v>
      </c>
      <c r="P116">
        <v>-163.03</v>
      </c>
      <c r="Q116">
        <v>-383.36</v>
      </c>
      <c r="R116">
        <v>-345.49</v>
      </c>
    </row>
    <row r="117" spans="1:18" x14ac:dyDescent="0.25">
      <c r="A117" t="s">
        <v>2644</v>
      </c>
      <c r="I117">
        <v>7.23</v>
      </c>
      <c r="J117">
        <v>17.7</v>
      </c>
      <c r="K117">
        <v>0.81</v>
      </c>
      <c r="L117">
        <v>-9.83</v>
      </c>
      <c r="M117">
        <v>-11.3</v>
      </c>
      <c r="N117">
        <v>-54.54</v>
      </c>
      <c r="O117">
        <v>-65.989999999999995</v>
      </c>
      <c r="P117">
        <v>-61.44</v>
      </c>
      <c r="Q117">
        <v>-74.72</v>
      </c>
      <c r="R117">
        <v>-57.46</v>
      </c>
    </row>
    <row r="118" spans="1:18" x14ac:dyDescent="0.25">
      <c r="A118" t="s">
        <v>2645</v>
      </c>
      <c r="K118">
        <v>3.12</v>
      </c>
      <c r="L118">
        <v>-4.5</v>
      </c>
      <c r="M118">
        <v>5.18</v>
      </c>
      <c r="N118">
        <v>31.36</v>
      </c>
      <c r="O118">
        <v>50.79</v>
      </c>
      <c r="P118">
        <v>43.97</v>
      </c>
      <c r="Q118">
        <v>42.4</v>
      </c>
      <c r="R118">
        <v>42.59</v>
      </c>
    </row>
    <row r="119" spans="1:18" x14ac:dyDescent="0.25">
      <c r="A119" t="s">
        <v>2646</v>
      </c>
      <c r="K119">
        <v>9.0500000000000007</v>
      </c>
      <c r="L119">
        <v>11.06</v>
      </c>
      <c r="M119">
        <v>7.65</v>
      </c>
      <c r="N119">
        <v>6.9</v>
      </c>
      <c r="O119">
        <v>2.38</v>
      </c>
      <c r="P119">
        <v>4.82</v>
      </c>
      <c r="Q119">
        <v>4.76</v>
      </c>
      <c r="R119">
        <v>9.2899999999999991</v>
      </c>
    </row>
    <row r="120" spans="1:18" x14ac:dyDescent="0.25">
      <c r="A120" t="s">
        <v>289</v>
      </c>
      <c r="I120">
        <v>6.33</v>
      </c>
      <c r="J120">
        <v>6.39</v>
      </c>
      <c r="K120">
        <v>11.35</v>
      </c>
      <c r="L120">
        <v>16.39</v>
      </c>
      <c r="M120">
        <v>24.13</v>
      </c>
      <c r="N120">
        <v>92.79</v>
      </c>
      <c r="O120">
        <v>116.16</v>
      </c>
      <c r="P120">
        <v>100.51</v>
      </c>
      <c r="Q120">
        <v>85.62</v>
      </c>
      <c r="R120">
        <v>90.18</v>
      </c>
    </row>
    <row r="121" spans="1:18" x14ac:dyDescent="0.25">
      <c r="A121" t="s">
        <v>2310</v>
      </c>
      <c r="I121" s="2">
        <v>18300</v>
      </c>
      <c r="J121" s="2">
        <v>46000</v>
      </c>
      <c r="K121" s="2">
        <v>66061</v>
      </c>
      <c r="L121" s="2">
        <v>65413</v>
      </c>
      <c r="M121" s="2">
        <v>75298</v>
      </c>
      <c r="N121" s="2">
        <v>139088</v>
      </c>
      <c r="O121" s="2">
        <v>175517.59</v>
      </c>
      <c r="P121" s="2">
        <v>194276.67</v>
      </c>
      <c r="Q121" s="2">
        <v>192259.15</v>
      </c>
      <c r="R121" s="2">
        <v>207355.75</v>
      </c>
    </row>
    <row r="122" spans="1:18" x14ac:dyDescent="0.25">
      <c r="A122" t="s">
        <v>2647</v>
      </c>
      <c r="I122" s="2">
        <v>2700</v>
      </c>
      <c r="J122" s="2">
        <v>10845</v>
      </c>
      <c r="K122" s="2">
        <v>13891</v>
      </c>
      <c r="L122" s="2">
        <v>6802</v>
      </c>
      <c r="M122" s="2">
        <v>11416</v>
      </c>
      <c r="N122" s="2">
        <v>23927</v>
      </c>
      <c r="O122" s="2">
        <v>29305.52</v>
      </c>
      <c r="P122" s="2">
        <v>26142.95</v>
      </c>
      <c r="Q122" s="2">
        <v>25485.48</v>
      </c>
      <c r="R122" s="2">
        <v>19500</v>
      </c>
    </row>
    <row r="123" spans="1:18" x14ac:dyDescent="0.25">
      <c r="A123" t="s">
        <v>2627</v>
      </c>
      <c r="K123">
        <v>-516</v>
      </c>
      <c r="L123">
        <v>-480</v>
      </c>
      <c r="M123" s="2">
        <v>-1086</v>
      </c>
      <c r="N123" s="2">
        <v>-3275</v>
      </c>
      <c r="O123" s="2">
        <v>-2559.61</v>
      </c>
      <c r="P123" s="2">
        <v>-3827.9</v>
      </c>
      <c r="Q123" s="2">
        <v>-4273.5600000000004</v>
      </c>
      <c r="R123" s="2">
        <v>-3187.85</v>
      </c>
    </row>
    <row r="124" spans="1:18" x14ac:dyDescent="0.25">
      <c r="A124" t="s">
        <v>2628</v>
      </c>
      <c r="K124" s="2">
        <v>-3183</v>
      </c>
      <c r="L124" s="2">
        <v>-4796</v>
      </c>
      <c r="M124" s="2">
        <v>-3475</v>
      </c>
      <c r="N124" s="2">
        <v>-6382</v>
      </c>
      <c r="O124" s="2">
        <v>-8260.4</v>
      </c>
      <c r="P124" s="2">
        <v>-12192.86</v>
      </c>
      <c r="Q124" s="2">
        <v>-14921.75</v>
      </c>
      <c r="R124" s="2">
        <v>-14305.53</v>
      </c>
    </row>
    <row r="125" spans="1:18" x14ac:dyDescent="0.25">
      <c r="A125" t="s">
        <v>2629</v>
      </c>
      <c r="K125">
        <v>-951</v>
      </c>
      <c r="L125" s="2">
        <v>-1759</v>
      </c>
      <c r="M125" s="2">
        <v>-1093</v>
      </c>
      <c r="N125" s="2">
        <v>-1164</v>
      </c>
      <c r="O125" s="2">
        <v>-1338.04</v>
      </c>
      <c r="P125" s="2">
        <v>-1587.69</v>
      </c>
      <c r="Q125" s="2">
        <v>-1807.9</v>
      </c>
      <c r="R125" s="2">
        <v>-1115.93</v>
      </c>
    </row>
    <row r="126" spans="1:18" x14ac:dyDescent="0.25">
      <c r="A126" t="s">
        <v>2631</v>
      </c>
      <c r="K126" s="2">
        <v>2717</v>
      </c>
      <c r="L126">
        <v>-415</v>
      </c>
      <c r="M126" s="2">
        <v>1615</v>
      </c>
      <c r="N126" s="2">
        <v>5131</v>
      </c>
      <c r="O126" s="2">
        <v>3542.81</v>
      </c>
      <c r="P126" s="2">
        <v>5805.3</v>
      </c>
      <c r="Q126" s="2">
        <v>4648.82</v>
      </c>
      <c r="R126" s="2">
        <v>6516.91</v>
      </c>
    </row>
    <row r="127" spans="1:18" x14ac:dyDescent="0.25">
      <c r="A127" t="s">
        <v>2316</v>
      </c>
      <c r="I127" s="2">
        <v>13900</v>
      </c>
      <c r="J127" s="2">
        <v>28600</v>
      </c>
      <c r="K127" s="2">
        <v>41607</v>
      </c>
      <c r="L127" s="2">
        <v>41338</v>
      </c>
      <c r="M127" s="2">
        <v>44088</v>
      </c>
      <c r="N127" s="2">
        <v>84065</v>
      </c>
      <c r="O127" s="2">
        <v>96344.45</v>
      </c>
      <c r="P127" s="2">
        <v>110780.45</v>
      </c>
      <c r="Q127" s="2">
        <v>119879.41</v>
      </c>
      <c r="R127" s="2">
        <v>129898.8</v>
      </c>
    </row>
    <row r="128" spans="1:18" x14ac:dyDescent="0.25">
      <c r="A128" t="s">
        <v>2634</v>
      </c>
      <c r="I128" s="2">
        <v>3100</v>
      </c>
      <c r="J128" s="2">
        <v>12600</v>
      </c>
      <c r="K128" s="2">
        <v>6680</v>
      </c>
      <c r="L128" s="2">
        <v>3674</v>
      </c>
      <c r="M128" s="2">
        <v>3440</v>
      </c>
      <c r="N128" s="2">
        <v>8004</v>
      </c>
      <c r="O128" s="2">
        <v>11431.55</v>
      </c>
      <c r="P128" s="2">
        <v>12811.87</v>
      </c>
      <c r="Q128" s="2">
        <v>12816</v>
      </c>
      <c r="R128" s="2">
        <v>12185.25</v>
      </c>
    </row>
    <row r="129" spans="1:18" x14ac:dyDescent="0.25">
      <c r="A129" t="s">
        <v>2635</v>
      </c>
      <c r="K129" s="2">
        <v>4002</v>
      </c>
      <c r="L129" s="2">
        <v>2968</v>
      </c>
      <c r="M129" s="2">
        <v>3180</v>
      </c>
      <c r="N129" s="2">
        <v>6527</v>
      </c>
      <c r="O129" s="2">
        <v>7564.52</v>
      </c>
      <c r="P129" s="2">
        <v>9427.44</v>
      </c>
      <c r="Q129" s="2">
        <v>10122.629999999999</v>
      </c>
      <c r="R129" s="2">
        <v>10769.2</v>
      </c>
    </row>
    <row r="130" spans="1:18" x14ac:dyDescent="0.25">
      <c r="A130" t="s">
        <v>2627</v>
      </c>
      <c r="K130">
        <v>-516</v>
      </c>
      <c r="L130">
        <v>-480</v>
      </c>
      <c r="M130" s="2">
        <v>-1086</v>
      </c>
      <c r="N130" s="2">
        <v>-1190</v>
      </c>
      <c r="O130">
        <v>-782.62</v>
      </c>
      <c r="P130" s="2">
        <v>-1682.49</v>
      </c>
      <c r="Q130" s="2">
        <v>-1649.9</v>
      </c>
      <c r="R130" s="2">
        <v>-1080.54</v>
      </c>
    </row>
    <row r="131" spans="1:18" x14ac:dyDescent="0.25">
      <c r="A131" t="s">
        <v>2628</v>
      </c>
      <c r="K131" s="2">
        <v>-2101</v>
      </c>
      <c r="L131" s="2">
        <v>-4796</v>
      </c>
      <c r="M131" s="2">
        <v>-2157</v>
      </c>
      <c r="N131" s="2">
        <v>-6854</v>
      </c>
      <c r="O131" s="2">
        <v>-5281.82</v>
      </c>
      <c r="P131" s="2">
        <v>-8128.88</v>
      </c>
      <c r="Q131" s="2">
        <v>-8813.3700000000008</v>
      </c>
      <c r="R131" s="2">
        <v>-9139.49</v>
      </c>
    </row>
    <row r="132" spans="1:18" x14ac:dyDescent="0.25">
      <c r="A132" t="s">
        <v>2629</v>
      </c>
      <c r="K132">
        <v>-951</v>
      </c>
      <c r="L132" s="2">
        <v>-1759</v>
      </c>
      <c r="M132" s="2">
        <v>1093</v>
      </c>
      <c r="N132" s="2">
        <v>-1164</v>
      </c>
      <c r="O132" s="2">
        <v>-1245.44</v>
      </c>
      <c r="P132" s="2">
        <v>-2350.36</v>
      </c>
      <c r="Q132" s="2">
        <v>-3181.57</v>
      </c>
      <c r="R132" s="2">
        <v>-4641.8900000000003</v>
      </c>
    </row>
    <row r="133" spans="1:18" x14ac:dyDescent="0.25">
      <c r="A133" t="s">
        <v>2631</v>
      </c>
      <c r="J133" s="2">
        <v>4146</v>
      </c>
      <c r="K133" s="2">
        <v>1572</v>
      </c>
      <c r="L133">
        <v>-917</v>
      </c>
      <c r="M133">
        <v>-156</v>
      </c>
      <c r="N133" s="2">
        <v>2811</v>
      </c>
      <c r="O133" s="2">
        <v>1077.6099999999999</v>
      </c>
      <c r="P133" s="2">
        <v>2589.6</v>
      </c>
      <c r="Q133" s="2">
        <v>2434.5300000000002</v>
      </c>
      <c r="R133" s="2">
        <v>3900</v>
      </c>
    </row>
    <row r="134" spans="1:18" x14ac:dyDescent="0.25">
      <c r="A134" t="s">
        <v>2636</v>
      </c>
      <c r="K134">
        <v>-851</v>
      </c>
      <c r="L134">
        <v>98</v>
      </c>
      <c r="M134" s="2">
        <v>-2026</v>
      </c>
      <c r="N134" s="2">
        <v>1129</v>
      </c>
      <c r="O134" s="2">
        <v>-1559.53</v>
      </c>
      <c r="P134" s="2">
        <v>-1117.29</v>
      </c>
      <c r="Q134" s="2">
        <v>-1903.52</v>
      </c>
      <c r="R134" s="2">
        <v>-1998.36</v>
      </c>
    </row>
    <row r="135" spans="1:18" x14ac:dyDescent="0.25">
      <c r="A135" t="s">
        <v>2322</v>
      </c>
      <c r="I135" s="2">
        <v>5500</v>
      </c>
      <c r="J135" s="2">
        <v>11600</v>
      </c>
      <c r="K135" s="2">
        <v>17400</v>
      </c>
      <c r="L135" s="2">
        <v>16800</v>
      </c>
      <c r="M135" s="2">
        <v>19900</v>
      </c>
      <c r="N135" s="2">
        <v>36300</v>
      </c>
      <c r="O135" s="2">
        <v>35269.870000000003</v>
      </c>
      <c r="P135" s="2">
        <v>34294.42</v>
      </c>
      <c r="Q135" s="2">
        <v>26663.47</v>
      </c>
    </row>
    <row r="136" spans="1:18" x14ac:dyDescent="0.25">
      <c r="A136" t="s">
        <v>2649</v>
      </c>
      <c r="I136">
        <v>87.9</v>
      </c>
      <c r="J136">
        <v>185.55</v>
      </c>
      <c r="K136">
        <v>322.47000000000003</v>
      </c>
      <c r="L136">
        <v>217.2</v>
      </c>
      <c r="M136">
        <v>223.84</v>
      </c>
      <c r="N136">
        <v>442.05</v>
      </c>
      <c r="O136">
        <v>596.66999999999996</v>
      </c>
      <c r="P136">
        <v>812.31</v>
      </c>
      <c r="Q136" s="2">
        <v>1033.8900000000001</v>
      </c>
      <c r="R136" s="2">
        <v>1012.01</v>
      </c>
    </row>
    <row r="137" spans="1:18" x14ac:dyDescent="0.25">
      <c r="A137" t="s">
        <v>17</v>
      </c>
    </row>
    <row r="138" spans="1:18" x14ac:dyDescent="0.25">
      <c r="A138" t="s">
        <v>2652</v>
      </c>
    </row>
    <row r="139" spans="1:18" x14ac:dyDescent="0.25">
      <c r="A139" t="s">
        <v>2479</v>
      </c>
      <c r="I139">
        <v>0</v>
      </c>
      <c r="J139">
        <v>65.87</v>
      </c>
      <c r="K139">
        <v>110.5</v>
      </c>
      <c r="L139">
        <v>104.39</v>
      </c>
      <c r="M139">
        <v>126.17</v>
      </c>
      <c r="N139">
        <v>208.41</v>
      </c>
      <c r="O139">
        <v>230.36</v>
      </c>
      <c r="P139">
        <v>265.81</v>
      </c>
      <c r="Q139">
        <v>302.31</v>
      </c>
      <c r="R139">
        <v>365.17</v>
      </c>
    </row>
    <row r="140" spans="1:18" x14ac:dyDescent="0.25">
      <c r="A140" t="s">
        <v>2436</v>
      </c>
      <c r="I140">
        <v>0</v>
      </c>
      <c r="J140">
        <v>97.95</v>
      </c>
      <c r="K140">
        <v>176.69</v>
      </c>
      <c r="L140">
        <v>174.94</v>
      </c>
      <c r="M140">
        <v>197.29</v>
      </c>
      <c r="N140">
        <v>276.29000000000002</v>
      </c>
      <c r="O140">
        <v>298.55</v>
      </c>
      <c r="P140">
        <v>358.79</v>
      </c>
      <c r="Q140">
        <v>411.32</v>
      </c>
      <c r="R140">
        <v>489.36</v>
      </c>
    </row>
    <row r="141" spans="1:18" x14ac:dyDescent="0.25">
      <c r="A141" t="s">
        <v>2653</v>
      </c>
      <c r="I141">
        <v>0</v>
      </c>
      <c r="J141">
        <v>0</v>
      </c>
      <c r="K141">
        <v>0.24</v>
      </c>
      <c r="L141">
        <v>12.78</v>
      </c>
      <c r="M141">
        <v>28.83</v>
      </c>
      <c r="N141">
        <v>55.29</v>
      </c>
      <c r="O141">
        <v>86.56</v>
      </c>
      <c r="P141">
        <v>91.6</v>
      </c>
      <c r="Q141">
        <v>102.72</v>
      </c>
      <c r="R141">
        <v>81.150000000000006</v>
      </c>
    </row>
    <row r="142" spans="1:18" x14ac:dyDescent="0.25">
      <c r="A142" t="s">
        <v>2639</v>
      </c>
      <c r="I142">
        <v>0</v>
      </c>
      <c r="J142">
        <v>0</v>
      </c>
      <c r="K142">
        <v>0</v>
      </c>
      <c r="L142">
        <v>0.02</v>
      </c>
      <c r="M142">
        <v>0.22</v>
      </c>
      <c r="N142">
        <v>6.58</v>
      </c>
      <c r="O142">
        <v>5.77</v>
      </c>
      <c r="P142">
        <v>6.22</v>
      </c>
      <c r="Q142">
        <v>5.33</v>
      </c>
      <c r="R142">
        <v>7.22</v>
      </c>
    </row>
    <row r="143" spans="1:18" x14ac:dyDescent="0.25">
      <c r="A143" t="s">
        <v>2403</v>
      </c>
      <c r="I143">
        <v>0</v>
      </c>
      <c r="J143">
        <v>-25.22</v>
      </c>
      <c r="K143">
        <v>-53.74</v>
      </c>
      <c r="L143">
        <v>-62.16</v>
      </c>
      <c r="M143">
        <v>-66.290000000000006</v>
      </c>
      <c r="N143">
        <v>-91.83</v>
      </c>
      <c r="O143">
        <v>-115.57</v>
      </c>
      <c r="P143">
        <v>-131.88999999999999</v>
      </c>
      <c r="Q143">
        <v>-137</v>
      </c>
    </row>
    <row r="144" spans="1:18" x14ac:dyDescent="0.25">
      <c r="A144" t="s">
        <v>2640</v>
      </c>
      <c r="J144">
        <v>6.86</v>
      </c>
      <c r="K144">
        <v>12.69</v>
      </c>
      <c r="L144">
        <v>21.2</v>
      </c>
      <c r="M144">
        <v>33.880000000000003</v>
      </c>
      <c r="N144">
        <v>37.92</v>
      </c>
      <c r="O144">
        <v>45.71</v>
      </c>
      <c r="P144">
        <v>50.38</v>
      </c>
      <c r="Q144">
        <v>55.59</v>
      </c>
      <c r="R144">
        <v>52.45</v>
      </c>
    </row>
    <row r="145" spans="1:18" x14ac:dyDescent="0.25">
      <c r="A145" t="s">
        <v>2641</v>
      </c>
      <c r="I145">
        <v>0</v>
      </c>
      <c r="J145">
        <v>0.02</v>
      </c>
      <c r="K145">
        <v>0.64</v>
      </c>
      <c r="L145">
        <v>0.78</v>
      </c>
      <c r="M145">
        <v>0.47</v>
      </c>
      <c r="N145">
        <v>7.0000000000000007E-2</v>
      </c>
      <c r="O145">
        <v>0.99</v>
      </c>
      <c r="P145">
        <v>1.87</v>
      </c>
      <c r="Q145">
        <v>2.5</v>
      </c>
      <c r="R145">
        <v>2.08</v>
      </c>
    </row>
    <row r="146" spans="1:18" x14ac:dyDescent="0.25">
      <c r="A146" t="s">
        <v>2642</v>
      </c>
      <c r="I146">
        <v>0</v>
      </c>
      <c r="J146">
        <v>7.0000000000000007E-2</v>
      </c>
      <c r="K146">
        <v>4.16</v>
      </c>
      <c r="L146">
        <v>5.46</v>
      </c>
      <c r="M146">
        <v>0.36</v>
      </c>
      <c r="N146">
        <v>0.18</v>
      </c>
      <c r="O146">
        <v>2.94</v>
      </c>
      <c r="P146">
        <v>7.96</v>
      </c>
      <c r="Q146">
        <v>11.08</v>
      </c>
      <c r="R146">
        <v>10.5</v>
      </c>
    </row>
    <row r="147" spans="1:18" x14ac:dyDescent="0.25">
      <c r="A147" t="s">
        <v>2643</v>
      </c>
      <c r="I147">
        <v>0</v>
      </c>
      <c r="J147">
        <v>-0.05</v>
      </c>
      <c r="K147">
        <v>-3.52</v>
      </c>
      <c r="L147">
        <v>-4.68</v>
      </c>
      <c r="M147">
        <v>0.11</v>
      </c>
      <c r="N147">
        <v>-0.11</v>
      </c>
      <c r="O147">
        <v>-4</v>
      </c>
      <c r="P147">
        <v>-11.09</v>
      </c>
      <c r="Q147">
        <v>-7.88</v>
      </c>
      <c r="R147">
        <v>-8.43</v>
      </c>
    </row>
    <row r="148" spans="1:18" x14ac:dyDescent="0.25">
      <c r="A148" t="s">
        <v>2644</v>
      </c>
      <c r="I148">
        <v>0</v>
      </c>
      <c r="J148">
        <v>0.14000000000000001</v>
      </c>
      <c r="K148">
        <v>-1.98</v>
      </c>
      <c r="L148">
        <v>-4.1100000000000003</v>
      </c>
      <c r="M148">
        <v>-6.7</v>
      </c>
      <c r="N148">
        <v>-5.18</v>
      </c>
      <c r="O148">
        <v>-5.55</v>
      </c>
      <c r="P148">
        <v>-5.67</v>
      </c>
      <c r="Q148">
        <v>-5.36</v>
      </c>
      <c r="R148">
        <v>-4.62</v>
      </c>
    </row>
    <row r="149" spans="1:18" x14ac:dyDescent="0.25">
      <c r="A149" t="s">
        <v>2645</v>
      </c>
      <c r="J149">
        <v>0.02</v>
      </c>
      <c r="K149">
        <v>0</v>
      </c>
      <c r="L149">
        <v>0</v>
      </c>
      <c r="M149">
        <v>2.57</v>
      </c>
      <c r="N149">
        <v>1.65</v>
      </c>
    </row>
    <row r="150" spans="1:18" x14ac:dyDescent="0.25">
      <c r="A150" t="s">
        <v>2646</v>
      </c>
      <c r="I150">
        <v>0</v>
      </c>
      <c r="J150">
        <v>2.2599999999999998</v>
      </c>
      <c r="K150">
        <v>3.68</v>
      </c>
      <c r="L150">
        <v>4.87</v>
      </c>
      <c r="M150">
        <v>0.97</v>
      </c>
      <c r="N150">
        <v>1.18</v>
      </c>
      <c r="O150">
        <v>0.31</v>
      </c>
      <c r="P150">
        <v>0.76</v>
      </c>
      <c r="Q150">
        <v>1.1599999999999999</v>
      </c>
      <c r="R150">
        <v>1.47</v>
      </c>
    </row>
    <row r="151" spans="1:18" x14ac:dyDescent="0.25">
      <c r="A151" t="s">
        <v>289</v>
      </c>
      <c r="J151">
        <v>0.84</v>
      </c>
      <c r="K151">
        <v>5.66</v>
      </c>
      <c r="L151">
        <v>8.98</v>
      </c>
      <c r="M151">
        <v>10.24</v>
      </c>
      <c r="N151">
        <v>8</v>
      </c>
      <c r="O151">
        <v>7.63</v>
      </c>
      <c r="P151">
        <v>9.1999999999999993</v>
      </c>
      <c r="Q151">
        <v>9.76</v>
      </c>
      <c r="R151">
        <v>10.27</v>
      </c>
    </row>
    <row r="152" spans="1:18" x14ac:dyDescent="0.25">
      <c r="A152" t="s">
        <v>2310</v>
      </c>
      <c r="J152" s="2">
        <v>22119</v>
      </c>
      <c r="K152" s="2">
        <v>21961</v>
      </c>
      <c r="L152" s="2">
        <v>24760</v>
      </c>
      <c r="M152" s="2">
        <v>29153</v>
      </c>
      <c r="N152" s="2">
        <v>42156</v>
      </c>
      <c r="O152" s="2">
        <v>47850.47</v>
      </c>
      <c r="P152" s="2">
        <v>55601.35</v>
      </c>
      <c r="Q152" s="2">
        <v>62843.46</v>
      </c>
      <c r="R152" s="2">
        <v>73488.42</v>
      </c>
    </row>
    <row r="153" spans="1:18" x14ac:dyDescent="0.25">
      <c r="A153" t="s">
        <v>2647</v>
      </c>
      <c r="J153" s="2">
        <v>2331</v>
      </c>
      <c r="K153" s="2">
        <v>2510</v>
      </c>
      <c r="L153" s="2">
        <v>3648</v>
      </c>
      <c r="M153" s="2">
        <v>5078</v>
      </c>
      <c r="N153" s="2">
        <v>12938</v>
      </c>
      <c r="O153" s="2">
        <v>6555.99</v>
      </c>
      <c r="P153" s="2">
        <v>9001.67</v>
      </c>
      <c r="Q153" s="2">
        <v>8687.6299999999992</v>
      </c>
      <c r="R153" s="2">
        <v>10051.41</v>
      </c>
    </row>
    <row r="154" spans="1:18" x14ac:dyDescent="0.25">
      <c r="A154" t="s">
        <v>2628</v>
      </c>
      <c r="J154" s="2">
        <v>-2306</v>
      </c>
      <c r="K154" s="2">
        <v>-2787</v>
      </c>
      <c r="L154" s="2">
        <v>-1116</v>
      </c>
      <c r="M154">
        <v>-880</v>
      </c>
      <c r="N154">
        <v>-963</v>
      </c>
      <c r="O154" s="2">
        <v>-1844.8</v>
      </c>
      <c r="P154" s="2">
        <v>-2313.73</v>
      </c>
      <c r="Q154" s="2">
        <v>-2925.57</v>
      </c>
      <c r="R154" s="2">
        <v>-1932.13</v>
      </c>
    </row>
    <row r="155" spans="1:18" x14ac:dyDescent="0.25">
      <c r="A155" t="s">
        <v>2627</v>
      </c>
      <c r="J155">
        <v>0</v>
      </c>
      <c r="K155">
        <v>0</v>
      </c>
      <c r="L155">
        <v>0</v>
      </c>
      <c r="M155">
        <v>0</v>
      </c>
      <c r="N155">
        <v>-280</v>
      </c>
    </row>
    <row r="156" spans="1:18" x14ac:dyDescent="0.25">
      <c r="A156" t="s">
        <v>2629</v>
      </c>
      <c r="J156">
        <v>0</v>
      </c>
      <c r="K156">
        <v>0</v>
      </c>
      <c r="L156">
        <v>-1</v>
      </c>
      <c r="M156">
        <v>0</v>
      </c>
      <c r="N156">
        <v>-154</v>
      </c>
    </row>
    <row r="157" spans="1:18" x14ac:dyDescent="0.25">
      <c r="A157" t="s">
        <v>2631</v>
      </c>
      <c r="J157" s="2">
        <v>2581</v>
      </c>
      <c r="K157">
        <v>-80</v>
      </c>
      <c r="L157">
        <v>263</v>
      </c>
      <c r="M157">
        <v>170</v>
      </c>
      <c r="N157" s="2">
        <v>1389</v>
      </c>
      <c r="O157" s="2">
        <v>1025.4100000000001</v>
      </c>
      <c r="P157" s="2">
        <v>1503.7</v>
      </c>
      <c r="Q157" s="2">
        <v>1162.21</v>
      </c>
      <c r="R157">
        <v>847.08</v>
      </c>
    </row>
    <row r="158" spans="1:18" x14ac:dyDescent="0.25">
      <c r="A158" t="s">
        <v>2316</v>
      </c>
      <c r="J158" s="2">
        <v>18364</v>
      </c>
      <c r="K158" s="2">
        <v>17668</v>
      </c>
      <c r="L158" s="2">
        <v>19040</v>
      </c>
      <c r="M158" s="2">
        <v>22401</v>
      </c>
      <c r="N158" s="2">
        <v>29481</v>
      </c>
      <c r="O158" s="2">
        <v>34726.35</v>
      </c>
      <c r="P158" s="2">
        <v>41224.910000000003</v>
      </c>
      <c r="Q158" s="2">
        <v>46814.45</v>
      </c>
      <c r="R158" s="2">
        <v>55473.54</v>
      </c>
    </row>
    <row r="159" spans="1:18" x14ac:dyDescent="0.25">
      <c r="A159" t="s">
        <v>2634</v>
      </c>
      <c r="J159" s="2">
        <v>1352</v>
      </c>
      <c r="K159" s="2">
        <v>2042</v>
      </c>
      <c r="L159" s="2">
        <v>1645</v>
      </c>
      <c r="M159" s="2">
        <v>2793</v>
      </c>
      <c r="N159" s="2">
        <v>6205</v>
      </c>
      <c r="O159" s="2">
        <v>3492.41</v>
      </c>
      <c r="P159" s="2">
        <v>5452.1</v>
      </c>
      <c r="Q159" s="2">
        <v>5822.65</v>
      </c>
      <c r="R159" s="2">
        <v>6724.91</v>
      </c>
    </row>
    <row r="160" spans="1:18" x14ac:dyDescent="0.25">
      <c r="A160" t="s">
        <v>2635</v>
      </c>
      <c r="J160">
        <v>116</v>
      </c>
      <c r="K160">
        <v>560</v>
      </c>
      <c r="L160">
        <v>473</v>
      </c>
      <c r="M160">
        <v>395</v>
      </c>
      <c r="N160" s="2">
        <v>1132</v>
      </c>
      <c r="O160" s="2">
        <v>2282.8200000000002</v>
      </c>
      <c r="P160" s="2">
        <v>1739.09</v>
      </c>
      <c r="Q160" s="2">
        <v>1919.72</v>
      </c>
      <c r="R160" s="2">
        <v>2051.8000000000002</v>
      </c>
    </row>
    <row r="161" spans="1:18" x14ac:dyDescent="0.25">
      <c r="A161" t="s">
        <v>2627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8" x14ac:dyDescent="0.25">
      <c r="A162" t="s">
        <v>2628</v>
      </c>
      <c r="J162">
        <v>-264</v>
      </c>
      <c r="K162" s="2">
        <v>-1319</v>
      </c>
      <c r="L162" s="2">
        <v>-1116</v>
      </c>
      <c r="M162">
        <v>-505</v>
      </c>
      <c r="N162">
        <v>-348</v>
      </c>
      <c r="O162" s="2">
        <v>-1218.92</v>
      </c>
      <c r="P162" s="2">
        <v>-1458.4</v>
      </c>
      <c r="Q162" s="2">
        <v>-1745.47</v>
      </c>
      <c r="R162" s="2">
        <v>-1923.81</v>
      </c>
    </row>
    <row r="163" spans="1:18" x14ac:dyDescent="0.25">
      <c r="A163" t="s">
        <v>2629</v>
      </c>
      <c r="J163">
        <v>0</v>
      </c>
      <c r="K163">
        <v>0</v>
      </c>
      <c r="L163">
        <v>-1</v>
      </c>
      <c r="M163">
        <v>0</v>
      </c>
      <c r="N163">
        <v>-154</v>
      </c>
    </row>
    <row r="164" spans="1:18" x14ac:dyDescent="0.25">
      <c r="A164" t="s">
        <v>2631</v>
      </c>
      <c r="J164" s="2">
        <v>2581</v>
      </c>
      <c r="K164">
        <v>-80</v>
      </c>
      <c r="L164">
        <v>263</v>
      </c>
      <c r="M164">
        <v>170</v>
      </c>
      <c r="N164" s="2">
        <v>1389</v>
      </c>
      <c r="O164" s="2">
        <v>1025.4100000000001</v>
      </c>
      <c r="P164" s="2">
        <v>1503.7</v>
      </c>
      <c r="Q164" s="2">
        <v>1162.21</v>
      </c>
      <c r="R164">
        <v>847.08</v>
      </c>
    </row>
    <row r="165" spans="1:18" x14ac:dyDescent="0.25">
      <c r="A165" t="s">
        <v>2636</v>
      </c>
      <c r="J165">
        <v>59</v>
      </c>
      <c r="K165" s="2">
        <v>-2882</v>
      </c>
      <c r="L165">
        <v>2</v>
      </c>
      <c r="M165">
        <v>637</v>
      </c>
      <c r="N165">
        <v>-130</v>
      </c>
      <c r="O165">
        <v>-90.57</v>
      </c>
      <c r="P165">
        <v>494.62</v>
      </c>
      <c r="Q165">
        <v>515.83000000000004</v>
      </c>
      <c r="R165">
        <v>605.77</v>
      </c>
    </row>
    <row r="166" spans="1:18" x14ac:dyDescent="0.25">
      <c r="A166" t="s">
        <v>2322</v>
      </c>
      <c r="J166" s="2">
        <v>8100</v>
      </c>
      <c r="K166" s="2">
        <v>7800</v>
      </c>
      <c r="L166" s="2">
        <v>9000</v>
      </c>
      <c r="M166" s="2">
        <v>8500</v>
      </c>
      <c r="N166" s="2">
        <v>15100</v>
      </c>
      <c r="O166" s="2">
        <v>12198.44</v>
      </c>
      <c r="P166" s="2">
        <v>12310.23</v>
      </c>
      <c r="Q166" s="2">
        <v>12552.46</v>
      </c>
    </row>
    <row r="167" spans="1:18" x14ac:dyDescent="0.25">
      <c r="A167" t="s">
        <v>2649</v>
      </c>
      <c r="J167">
        <v>67.33</v>
      </c>
      <c r="K167">
        <v>109.17</v>
      </c>
      <c r="L167">
        <v>101.06</v>
      </c>
      <c r="M167">
        <v>119.94</v>
      </c>
      <c r="N167">
        <v>203.3</v>
      </c>
      <c r="O167">
        <v>224.56</v>
      </c>
      <c r="P167">
        <v>259.89</v>
      </c>
      <c r="Q167">
        <v>297.58</v>
      </c>
      <c r="R167">
        <v>361.94</v>
      </c>
    </row>
    <row r="168" spans="1:18" x14ac:dyDescent="0.25">
      <c r="A168" t="s">
        <v>17</v>
      </c>
    </row>
    <row r="169" spans="1:18" x14ac:dyDescent="0.25">
      <c r="A169" t="s">
        <v>260</v>
      </c>
    </row>
    <row r="170" spans="1:18" x14ac:dyDescent="0.25">
      <c r="A170" t="s">
        <v>2479</v>
      </c>
      <c r="J170">
        <v>-0.31</v>
      </c>
      <c r="K170">
        <v>-2.25</v>
      </c>
      <c r="L170">
        <v>8.5299999999999994</v>
      </c>
      <c r="M170">
        <v>15.69</v>
      </c>
      <c r="N170">
        <v>27.4</v>
      </c>
      <c r="O170">
        <v>32.39</v>
      </c>
      <c r="P170">
        <v>46.8</v>
      </c>
      <c r="Q170">
        <v>58.73</v>
      </c>
      <c r="R170">
        <v>37.57</v>
      </c>
    </row>
    <row r="171" spans="1:18" x14ac:dyDescent="0.25">
      <c r="A171" t="s">
        <v>2436</v>
      </c>
      <c r="J171">
        <v>8.33</v>
      </c>
      <c r="K171">
        <v>11.67</v>
      </c>
      <c r="L171">
        <v>27.09</v>
      </c>
      <c r="M171">
        <v>43.23</v>
      </c>
      <c r="N171">
        <v>59.79</v>
      </c>
      <c r="O171">
        <v>81.96</v>
      </c>
      <c r="P171">
        <v>111.89</v>
      </c>
      <c r="Q171">
        <v>139.91999999999999</v>
      </c>
      <c r="R171">
        <v>99.58</v>
      </c>
    </row>
    <row r="172" spans="1:18" x14ac:dyDescent="0.25">
      <c r="A172" t="s">
        <v>2653</v>
      </c>
      <c r="L172">
        <v>0</v>
      </c>
      <c r="M172">
        <v>0</v>
      </c>
      <c r="N172">
        <v>0</v>
      </c>
    </row>
    <row r="173" spans="1:18" x14ac:dyDescent="0.25">
      <c r="A173" t="s">
        <v>2639</v>
      </c>
      <c r="J173">
        <v>0.03</v>
      </c>
      <c r="K173">
        <v>0.27</v>
      </c>
      <c r="L173">
        <v>0.37</v>
      </c>
      <c r="M173">
        <v>0.52</v>
      </c>
      <c r="N173">
        <v>2.7</v>
      </c>
      <c r="O173">
        <v>0.95</v>
      </c>
      <c r="P173">
        <v>2.15</v>
      </c>
      <c r="Q173">
        <v>2.29</v>
      </c>
      <c r="R173">
        <v>0.4</v>
      </c>
    </row>
    <row r="174" spans="1:18" x14ac:dyDescent="0.25">
      <c r="A174" t="s">
        <v>2403</v>
      </c>
      <c r="K174">
        <v>-12.11</v>
      </c>
      <c r="L174">
        <v>-15.81</v>
      </c>
      <c r="M174">
        <v>-21.48</v>
      </c>
      <c r="N174">
        <v>-26.07</v>
      </c>
      <c r="O174">
        <v>-39.25</v>
      </c>
      <c r="P174">
        <v>-52.99</v>
      </c>
      <c r="Q174">
        <v>-65.89</v>
      </c>
      <c r="R174">
        <v>-50.65</v>
      </c>
    </row>
    <row r="175" spans="1:18" x14ac:dyDescent="0.25">
      <c r="A175" t="s">
        <v>2640</v>
      </c>
      <c r="J175">
        <v>0.75</v>
      </c>
      <c r="K175">
        <v>2.09</v>
      </c>
      <c r="L175">
        <v>3.12</v>
      </c>
      <c r="M175">
        <v>6.58</v>
      </c>
      <c r="N175">
        <v>9.02</v>
      </c>
      <c r="O175">
        <v>11.27</v>
      </c>
      <c r="P175">
        <v>14.71</v>
      </c>
      <c r="Q175">
        <v>18.79</v>
      </c>
      <c r="R175">
        <v>17.25</v>
      </c>
    </row>
    <row r="176" spans="1:18" x14ac:dyDescent="0.25">
      <c r="A176" t="s">
        <v>2641</v>
      </c>
      <c r="K176">
        <v>0</v>
      </c>
      <c r="L176">
        <v>0</v>
      </c>
      <c r="M176">
        <v>0</v>
      </c>
      <c r="N176">
        <v>0</v>
      </c>
    </row>
    <row r="177" spans="1:18" x14ac:dyDescent="0.25">
      <c r="A177" t="s">
        <v>2642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8" x14ac:dyDescent="0.25">
      <c r="A178" t="s">
        <v>2643</v>
      </c>
      <c r="K178">
        <v>0</v>
      </c>
      <c r="L178">
        <v>0</v>
      </c>
      <c r="M178">
        <v>0</v>
      </c>
      <c r="N178">
        <v>0</v>
      </c>
    </row>
    <row r="179" spans="1:18" x14ac:dyDescent="0.25">
      <c r="A179" t="s">
        <v>2644</v>
      </c>
      <c r="J179">
        <v>-9.36</v>
      </c>
      <c r="K179">
        <v>-11.79</v>
      </c>
      <c r="L179">
        <v>-15.23</v>
      </c>
      <c r="M179">
        <v>-5.38</v>
      </c>
      <c r="N179">
        <v>-11.98</v>
      </c>
      <c r="O179">
        <v>-37.65</v>
      </c>
      <c r="P179">
        <v>-34.18</v>
      </c>
      <c r="Q179">
        <v>-24.96</v>
      </c>
      <c r="R179">
        <v>-21.53</v>
      </c>
    </row>
    <row r="180" spans="1:18" x14ac:dyDescent="0.25">
      <c r="A180" t="s">
        <v>2645</v>
      </c>
      <c r="J180">
        <v>0.02</v>
      </c>
      <c r="K180">
        <v>0.86</v>
      </c>
      <c r="L180">
        <v>0.17</v>
      </c>
      <c r="M180">
        <v>9.4700000000000006</v>
      </c>
      <c r="N180">
        <v>8.43</v>
      </c>
      <c r="O180">
        <v>7.28</v>
      </c>
      <c r="P180">
        <v>8.25</v>
      </c>
      <c r="Q180">
        <v>7</v>
      </c>
      <c r="R180">
        <v>6</v>
      </c>
    </row>
    <row r="181" spans="1:18" x14ac:dyDescent="0.25">
      <c r="A181" t="s">
        <v>2646</v>
      </c>
      <c r="J181">
        <v>3.6</v>
      </c>
      <c r="K181">
        <v>9.1300000000000008</v>
      </c>
      <c r="L181">
        <v>16.62</v>
      </c>
      <c r="M181">
        <v>35.81</v>
      </c>
      <c r="N181">
        <v>14.49</v>
      </c>
      <c r="O181">
        <v>6.14</v>
      </c>
      <c r="P181">
        <v>7.83</v>
      </c>
      <c r="Q181">
        <v>9.57</v>
      </c>
      <c r="R181">
        <v>15.6</v>
      </c>
    </row>
    <row r="182" spans="1:18" x14ac:dyDescent="0.25">
      <c r="A182" t="s">
        <v>289</v>
      </c>
      <c r="J182">
        <v>12.97</v>
      </c>
      <c r="K182">
        <v>21.78</v>
      </c>
      <c r="L182">
        <v>32.03</v>
      </c>
      <c r="M182">
        <v>50.66</v>
      </c>
      <c r="N182">
        <v>34.9</v>
      </c>
      <c r="O182">
        <v>49.05</v>
      </c>
      <c r="P182">
        <v>44.34</v>
      </c>
      <c r="Q182">
        <v>41.93</v>
      </c>
      <c r="R182">
        <v>41.13</v>
      </c>
    </row>
    <row r="183" spans="1:18" x14ac:dyDescent="0.25">
      <c r="A183" t="s">
        <v>2310</v>
      </c>
      <c r="J183" s="2">
        <v>2900</v>
      </c>
      <c r="K183" s="2">
        <v>3600</v>
      </c>
      <c r="L183" s="2">
        <v>4772</v>
      </c>
      <c r="M183" s="2">
        <v>7096</v>
      </c>
      <c r="N183" s="2">
        <v>9107</v>
      </c>
      <c r="O183" s="2">
        <v>13133.86</v>
      </c>
      <c r="P183" s="2">
        <v>18051.04</v>
      </c>
      <c r="Q183" s="2">
        <v>21923.48</v>
      </c>
      <c r="R183" s="2">
        <v>16330.29</v>
      </c>
    </row>
    <row r="184" spans="1:18" x14ac:dyDescent="0.25">
      <c r="A184" t="s">
        <v>2647</v>
      </c>
      <c r="J184" s="2">
        <v>2172</v>
      </c>
      <c r="K184" s="2">
        <v>6074</v>
      </c>
      <c r="L184" s="2">
        <v>7008</v>
      </c>
      <c r="M184" s="2">
        <v>6442</v>
      </c>
      <c r="N184" s="2">
        <v>7129</v>
      </c>
      <c r="O184" s="2">
        <v>6828.36</v>
      </c>
      <c r="P184" s="2">
        <v>9614.23</v>
      </c>
      <c r="Q184" s="2">
        <v>9826.2800000000007</v>
      </c>
      <c r="R184" s="2">
        <v>6743.89</v>
      </c>
    </row>
    <row r="185" spans="1:18" x14ac:dyDescent="0.25">
      <c r="A185" t="s">
        <v>2628</v>
      </c>
      <c r="L185">
        <v>-423</v>
      </c>
      <c r="M185">
        <v>-817</v>
      </c>
      <c r="N185" s="2">
        <v>-1349</v>
      </c>
      <c r="O185" s="2">
        <v>-1619.25</v>
      </c>
      <c r="P185" s="2">
        <v>-2271.65</v>
      </c>
      <c r="Q185" s="2">
        <v>-2219.19</v>
      </c>
      <c r="R185" s="2">
        <v>-1225.22</v>
      </c>
    </row>
    <row r="186" spans="1:18" x14ac:dyDescent="0.25">
      <c r="A186" t="s">
        <v>2627</v>
      </c>
      <c r="L186">
        <v>0</v>
      </c>
      <c r="M186">
        <v>0</v>
      </c>
      <c r="N186">
        <v>0</v>
      </c>
    </row>
    <row r="187" spans="1:18" x14ac:dyDescent="0.25">
      <c r="A187" t="s">
        <v>2629</v>
      </c>
      <c r="L187" s="2">
        <v>-1046</v>
      </c>
      <c r="M187">
        <v>0</v>
      </c>
      <c r="N187">
        <v>-510</v>
      </c>
      <c r="O187">
        <v>215.86</v>
      </c>
      <c r="P187">
        <v>-174.05</v>
      </c>
      <c r="Q187">
        <v>-245.6</v>
      </c>
    </row>
    <row r="188" spans="1:18" x14ac:dyDescent="0.25">
      <c r="A188" t="s">
        <v>2631</v>
      </c>
      <c r="L188">
        <v>-151</v>
      </c>
      <c r="M188">
        <v>-546</v>
      </c>
      <c r="N188">
        <v>-332</v>
      </c>
      <c r="O188">
        <v>798.35</v>
      </c>
      <c r="P188">
        <v>391.92</v>
      </c>
      <c r="Q188">
        <v>470.37</v>
      </c>
      <c r="R188">
        <v>540.04</v>
      </c>
    </row>
    <row r="189" spans="1:18" x14ac:dyDescent="0.25">
      <c r="A189" t="s">
        <v>2316</v>
      </c>
      <c r="J189" s="2">
        <v>2100</v>
      </c>
      <c r="K189" s="2">
        <v>2000</v>
      </c>
      <c r="L189" s="2">
        <v>3575</v>
      </c>
      <c r="M189" s="2">
        <v>5492</v>
      </c>
      <c r="N189" s="2">
        <v>7150</v>
      </c>
      <c r="O189" s="2">
        <v>11212.93</v>
      </c>
      <c r="P189" s="2">
        <v>14218.27</v>
      </c>
      <c r="Q189" s="2">
        <v>19059.080000000002</v>
      </c>
      <c r="R189" s="2">
        <v>13069.08</v>
      </c>
    </row>
    <row r="190" spans="1:18" x14ac:dyDescent="0.25">
      <c r="A190" t="s">
        <v>2634</v>
      </c>
      <c r="L190" s="2">
        <v>6181</v>
      </c>
      <c r="M190" s="2">
        <v>5745</v>
      </c>
      <c r="N190" s="2">
        <v>5907</v>
      </c>
      <c r="O190" s="2">
        <v>4837.32</v>
      </c>
      <c r="P190" s="2">
        <v>7513.56</v>
      </c>
      <c r="Q190" s="2">
        <v>9478.73</v>
      </c>
      <c r="R190" s="2">
        <v>6114.67</v>
      </c>
    </row>
    <row r="191" spans="1:18" x14ac:dyDescent="0.25">
      <c r="A191" t="s">
        <v>2635</v>
      </c>
      <c r="L191">
        <v>150</v>
      </c>
      <c r="M191">
        <v>174</v>
      </c>
      <c r="N191">
        <v>395</v>
      </c>
      <c r="O191" s="2">
        <v>3131.54</v>
      </c>
      <c r="P191" s="2">
        <v>1848.24</v>
      </c>
      <c r="Q191" s="2">
        <v>1454.93</v>
      </c>
      <c r="R191">
        <v>108.33</v>
      </c>
    </row>
    <row r="192" spans="1:18" x14ac:dyDescent="0.25">
      <c r="A192" t="s">
        <v>2627</v>
      </c>
      <c r="L192">
        <v>0</v>
      </c>
      <c r="M192">
        <v>0</v>
      </c>
      <c r="N192">
        <v>0</v>
      </c>
    </row>
    <row r="193" spans="1:18" x14ac:dyDescent="0.25">
      <c r="A193" t="s">
        <v>2628</v>
      </c>
      <c r="L193">
        <v>-423</v>
      </c>
      <c r="M193">
        <v>-817</v>
      </c>
      <c r="N193" s="2">
        <v>-1286</v>
      </c>
      <c r="O193" s="2">
        <v>-1632.85</v>
      </c>
      <c r="P193" s="2">
        <v>-2523.67</v>
      </c>
      <c r="Q193" s="2">
        <v>-3892.08</v>
      </c>
      <c r="R193" s="2">
        <v>-1212.67</v>
      </c>
    </row>
    <row r="194" spans="1:18" x14ac:dyDescent="0.25">
      <c r="A194" t="s">
        <v>2629</v>
      </c>
      <c r="L194" s="2">
        <v>-1046</v>
      </c>
      <c r="M194">
        <v>0</v>
      </c>
      <c r="N194">
        <v>0</v>
      </c>
    </row>
    <row r="195" spans="1:18" x14ac:dyDescent="0.25">
      <c r="A195" t="s">
        <v>2631</v>
      </c>
      <c r="K195">
        <v>-665</v>
      </c>
      <c r="L195">
        <v>317</v>
      </c>
      <c r="M195">
        <v>234</v>
      </c>
      <c r="N195">
        <v>-180</v>
      </c>
    </row>
    <row r="196" spans="1:18" x14ac:dyDescent="0.25">
      <c r="A196" t="s">
        <v>2636</v>
      </c>
      <c r="L196">
        <v>-329</v>
      </c>
      <c r="M196">
        <v>-1</v>
      </c>
      <c r="N196">
        <v>0</v>
      </c>
    </row>
    <row r="197" spans="1:18" x14ac:dyDescent="0.25">
      <c r="A197" t="s">
        <v>2649</v>
      </c>
      <c r="J197">
        <v>-9.67</v>
      </c>
      <c r="K197">
        <v>-14.04</v>
      </c>
      <c r="L197">
        <v>-6.7</v>
      </c>
      <c r="M197">
        <v>10.3</v>
      </c>
      <c r="N197">
        <v>15.42</v>
      </c>
      <c r="O197">
        <v>-2.95</v>
      </c>
      <c r="P197">
        <v>16.48</v>
      </c>
      <c r="Q197">
        <v>30.37</v>
      </c>
      <c r="R197">
        <v>16.04</v>
      </c>
    </row>
    <row r="198" spans="1:18" x14ac:dyDescent="0.25">
      <c r="A198" t="s">
        <v>2322</v>
      </c>
      <c r="J198" s="2">
        <v>1000</v>
      </c>
      <c r="K198" s="2">
        <v>1000</v>
      </c>
      <c r="L198">
        <v>500</v>
      </c>
      <c r="M198">
        <v>500</v>
      </c>
      <c r="N198">
        <v>0</v>
      </c>
      <c r="O198" s="2">
        <v>3505.75</v>
      </c>
      <c r="P198" s="2">
        <v>12150.1</v>
      </c>
      <c r="Q198" s="2">
        <v>11790.79</v>
      </c>
    </row>
    <row r="199" spans="1:18" x14ac:dyDescent="0.25">
      <c r="A199" t="s">
        <v>17</v>
      </c>
    </row>
    <row r="200" spans="1:18" x14ac:dyDescent="0.25">
      <c r="A200" t="s">
        <v>2654</v>
      </c>
    </row>
    <row r="201" spans="1:18" x14ac:dyDescent="0.25">
      <c r="A201" t="s">
        <v>2479</v>
      </c>
      <c r="D201">
        <v>-157.85</v>
      </c>
      <c r="E201">
        <v>-175.13</v>
      </c>
      <c r="F201">
        <v>-187.06</v>
      </c>
      <c r="G201">
        <v>-199.83</v>
      </c>
      <c r="H201">
        <v>-230.45</v>
      </c>
      <c r="I201">
        <v>-236.76</v>
      </c>
      <c r="J201">
        <v>-318.89</v>
      </c>
      <c r="K201">
        <v>-447.88</v>
      </c>
      <c r="L201">
        <v>-538.04999999999995</v>
      </c>
      <c r="M201">
        <v>-620.92999999999995</v>
      </c>
      <c r="N201">
        <v>-808.2</v>
      </c>
      <c r="O201">
        <v>-932.11</v>
      </c>
      <c r="P201" s="2">
        <v>-1032.7</v>
      </c>
      <c r="Q201" s="2">
        <v>-1156.8499999999999</v>
      </c>
      <c r="R201" s="2">
        <v>-1274.1600000000001</v>
      </c>
    </row>
    <row r="202" spans="1:18" x14ac:dyDescent="0.25">
      <c r="A202" t="s">
        <v>2436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8" x14ac:dyDescent="0.25">
      <c r="A203" t="s">
        <v>2653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8" x14ac:dyDescent="0.25">
      <c r="A204" t="s">
        <v>2639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0.08</v>
      </c>
      <c r="K204">
        <v>24.53</v>
      </c>
      <c r="L204">
        <v>23.69</v>
      </c>
      <c r="M204">
        <v>20.36</v>
      </c>
      <c r="N204">
        <v>27.6</v>
      </c>
      <c r="O204">
        <v>34.049999999999997</v>
      </c>
      <c r="P204">
        <v>31.55</v>
      </c>
      <c r="Q204">
        <v>30.25</v>
      </c>
      <c r="R204">
        <v>28.05</v>
      </c>
    </row>
    <row r="205" spans="1:18" x14ac:dyDescent="0.25">
      <c r="A205" t="s">
        <v>2403</v>
      </c>
      <c r="E205">
        <v>-111.6</v>
      </c>
      <c r="F205">
        <v>-112.23</v>
      </c>
      <c r="G205">
        <v>-124.81</v>
      </c>
      <c r="H205">
        <v>-139.16</v>
      </c>
      <c r="I205">
        <v>-155.97999999999999</v>
      </c>
      <c r="J205">
        <v>-226.73</v>
      </c>
      <c r="K205">
        <v>-317.39999999999998</v>
      </c>
      <c r="L205">
        <v>-361.12</v>
      </c>
      <c r="M205">
        <v>-421.27</v>
      </c>
      <c r="N205">
        <v>-534.11</v>
      </c>
      <c r="O205">
        <v>-610.44000000000005</v>
      </c>
      <c r="P205">
        <v>-672.15</v>
      </c>
      <c r="Q205">
        <v>-755.27</v>
      </c>
      <c r="R205">
        <v>-845.56</v>
      </c>
    </row>
    <row r="206" spans="1:18" x14ac:dyDescent="0.25">
      <c r="A206" t="s">
        <v>2640</v>
      </c>
      <c r="D206">
        <v>59.78</v>
      </c>
      <c r="E206">
        <v>63.53</v>
      </c>
      <c r="F206">
        <v>75.14</v>
      </c>
      <c r="G206">
        <v>75.02</v>
      </c>
      <c r="H206">
        <v>91.29</v>
      </c>
      <c r="I206">
        <v>80.78</v>
      </c>
      <c r="J206">
        <v>100.65</v>
      </c>
      <c r="K206">
        <v>155.02000000000001</v>
      </c>
      <c r="L206">
        <v>200.61</v>
      </c>
      <c r="M206">
        <v>220.02</v>
      </c>
      <c r="N206">
        <v>301.69</v>
      </c>
      <c r="O206">
        <v>350.98</v>
      </c>
      <c r="P206">
        <v>380.36</v>
      </c>
      <c r="Q206">
        <v>421.58</v>
      </c>
      <c r="R206">
        <v>456.65</v>
      </c>
    </row>
    <row r="207" spans="1:18" x14ac:dyDescent="0.25">
      <c r="A207" t="s">
        <v>2641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8" x14ac:dyDescent="0.25">
      <c r="A208" t="s">
        <v>2642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8" x14ac:dyDescent="0.25">
      <c r="A209" t="s">
        <v>2643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8" x14ac:dyDescent="0.25">
      <c r="A210" t="s">
        <v>2644</v>
      </c>
      <c r="D210">
        <v>-0.75</v>
      </c>
      <c r="E210">
        <v>-19.38</v>
      </c>
      <c r="F210">
        <v>11.83</v>
      </c>
      <c r="G210">
        <v>4.75</v>
      </c>
      <c r="H210">
        <v>-2.02</v>
      </c>
      <c r="I210">
        <v>-7.77</v>
      </c>
      <c r="J210">
        <v>-0.31</v>
      </c>
      <c r="K210">
        <v>-2.31</v>
      </c>
      <c r="L210">
        <v>0.59</v>
      </c>
      <c r="M210">
        <v>0.37</v>
      </c>
      <c r="N210">
        <v>3.9</v>
      </c>
      <c r="O210">
        <v>2.74</v>
      </c>
      <c r="P210">
        <v>3</v>
      </c>
      <c r="Q210">
        <v>1.89</v>
      </c>
      <c r="R210">
        <v>1.82</v>
      </c>
    </row>
    <row r="211" spans="1:18" x14ac:dyDescent="0.25">
      <c r="A211" t="s">
        <v>2655</v>
      </c>
      <c r="D211">
        <v>-0.02</v>
      </c>
      <c r="E211">
        <v>-14.61</v>
      </c>
      <c r="F211">
        <v>3.88</v>
      </c>
      <c r="G211">
        <v>4.79</v>
      </c>
      <c r="H211">
        <v>0</v>
      </c>
      <c r="I211">
        <v>-5.7</v>
      </c>
      <c r="J211">
        <v>0</v>
      </c>
      <c r="K211">
        <v>-0.04</v>
      </c>
      <c r="L211">
        <v>0</v>
      </c>
      <c r="M211">
        <v>-0.65</v>
      </c>
      <c r="N211">
        <v>1.36</v>
      </c>
      <c r="O211">
        <v>-0.54</v>
      </c>
      <c r="P211">
        <v>-0.13</v>
      </c>
      <c r="Q211">
        <v>1.32</v>
      </c>
      <c r="R211">
        <v>1.32</v>
      </c>
    </row>
    <row r="212" spans="1:18" x14ac:dyDescent="0.25">
      <c r="A212" t="s">
        <v>2646</v>
      </c>
      <c r="E212">
        <v>0.15</v>
      </c>
      <c r="F212">
        <v>1.1399999999999999</v>
      </c>
      <c r="G212">
        <v>2.1800000000000002</v>
      </c>
      <c r="H212">
        <v>-0.16</v>
      </c>
      <c r="I212">
        <v>1</v>
      </c>
      <c r="J212">
        <v>3.95</v>
      </c>
      <c r="K212">
        <v>-1.59</v>
      </c>
      <c r="L212">
        <v>0.75</v>
      </c>
      <c r="M212">
        <v>1.72</v>
      </c>
      <c r="N212">
        <v>2.91</v>
      </c>
      <c r="O212">
        <v>3.51</v>
      </c>
      <c r="P212">
        <v>3.53</v>
      </c>
      <c r="Q212">
        <v>2.2000000000000002</v>
      </c>
      <c r="R212">
        <v>2.21</v>
      </c>
    </row>
    <row r="213" spans="1:18" x14ac:dyDescent="0.25">
      <c r="A213" t="s">
        <v>289</v>
      </c>
      <c r="D213">
        <v>1.1599999999999999</v>
      </c>
      <c r="E213">
        <v>2.73</v>
      </c>
      <c r="F213">
        <v>1.95</v>
      </c>
      <c r="G213">
        <v>2.23</v>
      </c>
      <c r="H213">
        <v>1.86</v>
      </c>
      <c r="I213">
        <v>1.34</v>
      </c>
      <c r="J213">
        <v>0.54</v>
      </c>
      <c r="K213">
        <v>0.68</v>
      </c>
      <c r="L213">
        <v>0.16</v>
      </c>
      <c r="M213">
        <v>0.7</v>
      </c>
      <c r="N213">
        <v>0.36</v>
      </c>
      <c r="O213">
        <v>0.55000000000000004</v>
      </c>
      <c r="P213">
        <v>1.03</v>
      </c>
      <c r="Q213">
        <v>1.44</v>
      </c>
      <c r="R213">
        <v>1.05</v>
      </c>
    </row>
    <row r="214" spans="1:18" x14ac:dyDescent="0.25">
      <c r="A214" t="s">
        <v>2649</v>
      </c>
      <c r="C214">
        <v>-148.85</v>
      </c>
      <c r="D214">
        <v>-167.92</v>
      </c>
      <c r="E214">
        <v>-211.56</v>
      </c>
      <c r="F214">
        <v>-183.98</v>
      </c>
      <c r="G214">
        <v>-195.08</v>
      </c>
      <c r="H214">
        <v>-232.48</v>
      </c>
      <c r="I214">
        <v>-244.53</v>
      </c>
      <c r="J214">
        <v>-319.2</v>
      </c>
      <c r="K214">
        <v>-450.19</v>
      </c>
      <c r="L214">
        <v>-537.46</v>
      </c>
      <c r="M214">
        <v>-620.55999999999995</v>
      </c>
      <c r="N214">
        <v>-804.3</v>
      </c>
      <c r="O214">
        <v>-929.78</v>
      </c>
      <c r="P214" s="2">
        <v>-1031.0899999999999</v>
      </c>
      <c r="Q214" s="2">
        <v>-1156.48</v>
      </c>
      <c r="R214" s="2">
        <v>-1272.95</v>
      </c>
    </row>
    <row r="215" spans="1:18" x14ac:dyDescent="0.25">
      <c r="A215" t="s">
        <v>17</v>
      </c>
    </row>
    <row r="216" spans="1:18" x14ac:dyDescent="0.25">
      <c r="A216" t="s">
        <v>274</v>
      </c>
    </row>
    <row r="217" spans="1:18" x14ac:dyDescent="0.25">
      <c r="A217" t="s">
        <v>2547</v>
      </c>
      <c r="B217">
        <v>152.66</v>
      </c>
      <c r="C217">
        <v>147.26</v>
      </c>
      <c r="D217">
        <v>176.99</v>
      </c>
      <c r="E217">
        <v>172.35</v>
      </c>
      <c r="F217">
        <v>216.99</v>
      </c>
      <c r="G217">
        <v>255.31</v>
      </c>
      <c r="H217">
        <v>323.66000000000003</v>
      </c>
      <c r="I217">
        <v>424.45</v>
      </c>
      <c r="J217">
        <v>712.31</v>
      </c>
      <c r="K217">
        <v>994.35</v>
      </c>
      <c r="L217" s="2">
        <v>1163.74</v>
      </c>
      <c r="M217" s="2">
        <v>1361.74</v>
      </c>
      <c r="N217" s="2">
        <v>1775.3</v>
      </c>
      <c r="O217" s="2">
        <v>2106.2199999999998</v>
      </c>
      <c r="P217" s="2">
        <v>2530.94</v>
      </c>
      <c r="Q217" s="2">
        <v>2905.97</v>
      </c>
      <c r="R217" s="2">
        <v>3412.69</v>
      </c>
    </row>
    <row r="218" spans="1:18" x14ac:dyDescent="0.25">
      <c r="A218" t="s">
        <v>2327</v>
      </c>
      <c r="E218">
        <v>659.45</v>
      </c>
      <c r="F218">
        <v>744.83</v>
      </c>
      <c r="G218">
        <v>836.74</v>
      </c>
      <c r="H218" s="2">
        <v>1012.53</v>
      </c>
      <c r="I218" s="2">
        <v>1186.57</v>
      </c>
      <c r="J218" s="2">
        <v>1635.28</v>
      </c>
      <c r="K218" s="2">
        <v>2152.5300000000002</v>
      </c>
      <c r="L218" s="2">
        <v>2571.5100000000002</v>
      </c>
      <c r="M218" s="2">
        <v>2957.43</v>
      </c>
      <c r="N218" s="2">
        <v>3682.92</v>
      </c>
      <c r="O218" s="2">
        <v>4223.3</v>
      </c>
      <c r="P218" s="2">
        <v>4934.33</v>
      </c>
      <c r="Q218" s="2">
        <v>5618.81</v>
      </c>
      <c r="R218" s="2">
        <v>6487.15</v>
      </c>
    </row>
    <row r="219" spans="1:18" x14ac:dyDescent="0.25">
      <c r="A219" t="s">
        <v>2656</v>
      </c>
      <c r="F219">
        <v>22.43</v>
      </c>
      <c r="G219">
        <v>24.29</v>
      </c>
      <c r="I219">
        <v>18.64</v>
      </c>
      <c r="J219">
        <v>137.88</v>
      </c>
      <c r="K219">
        <v>239.43</v>
      </c>
      <c r="L219">
        <v>180.45</v>
      </c>
      <c r="M219">
        <v>231.54</v>
      </c>
      <c r="N219">
        <v>301.31</v>
      </c>
      <c r="O219">
        <v>368.94</v>
      </c>
      <c r="P219">
        <v>475.1</v>
      </c>
      <c r="Q219">
        <v>523.95000000000005</v>
      </c>
      <c r="R219">
        <v>573.34</v>
      </c>
    </row>
    <row r="220" spans="1:18" x14ac:dyDescent="0.25">
      <c r="A220" t="s">
        <v>2657</v>
      </c>
      <c r="H220">
        <v>18.079999999999998</v>
      </c>
      <c r="I220">
        <v>19.95</v>
      </c>
      <c r="J220">
        <v>49.77</v>
      </c>
      <c r="K220">
        <v>94.56</v>
      </c>
      <c r="L220">
        <v>92.11</v>
      </c>
      <c r="M220">
        <v>91.88</v>
      </c>
      <c r="N220">
        <v>272.70999999999998</v>
      </c>
      <c r="O220">
        <v>332.8</v>
      </c>
      <c r="P220">
        <v>346.63</v>
      </c>
      <c r="Q220">
        <v>349.68</v>
      </c>
      <c r="R220">
        <v>334.05</v>
      </c>
    </row>
    <row r="221" spans="1:18" x14ac:dyDescent="0.25">
      <c r="A221" t="s">
        <v>2658</v>
      </c>
      <c r="E221">
        <v>-384.72</v>
      </c>
      <c r="F221">
        <v>-413.74</v>
      </c>
      <c r="G221">
        <v>-456.26</v>
      </c>
      <c r="H221">
        <v>-528.21</v>
      </c>
      <c r="I221">
        <v>-609.97</v>
      </c>
      <c r="J221">
        <v>-894.84</v>
      </c>
      <c r="K221" s="2">
        <v>-1023.04</v>
      </c>
      <c r="L221" s="2">
        <v>-1165.07</v>
      </c>
      <c r="M221" s="2">
        <v>-1276.8</v>
      </c>
      <c r="N221" s="2">
        <v>-1636.57</v>
      </c>
      <c r="O221" s="2">
        <v>-1861.91</v>
      </c>
      <c r="P221" s="2">
        <v>-2139.58</v>
      </c>
      <c r="Q221" s="2">
        <v>-2416.46</v>
      </c>
      <c r="R221" s="2">
        <v>-2654.87</v>
      </c>
    </row>
    <row r="222" spans="1:18" x14ac:dyDescent="0.25">
      <c r="A222" t="s">
        <v>2659</v>
      </c>
      <c r="I222">
        <v>16.2</v>
      </c>
      <c r="J222">
        <v>86.9</v>
      </c>
      <c r="K222">
        <v>149.46</v>
      </c>
      <c r="L222">
        <v>111.05</v>
      </c>
      <c r="M222">
        <v>141.74</v>
      </c>
      <c r="N222">
        <v>180.75</v>
      </c>
      <c r="O222">
        <v>201.09</v>
      </c>
      <c r="P222">
        <v>258.52999999999997</v>
      </c>
      <c r="Q222">
        <v>288.08999999999997</v>
      </c>
      <c r="R222">
        <v>313.74</v>
      </c>
    </row>
    <row r="223" spans="1:18" x14ac:dyDescent="0.25">
      <c r="A223" t="s">
        <v>2660</v>
      </c>
      <c r="E223">
        <v>-114.74</v>
      </c>
      <c r="F223">
        <v>-136.53</v>
      </c>
      <c r="G223">
        <v>-149.47</v>
      </c>
      <c r="H223">
        <v>-178.74</v>
      </c>
      <c r="I223">
        <v>-172.1</v>
      </c>
      <c r="J223">
        <v>-215.78</v>
      </c>
      <c r="K223">
        <v>-319.66000000000003</v>
      </c>
      <c r="L223">
        <v>-404.22</v>
      </c>
      <c r="M223">
        <v>-500.57</v>
      </c>
      <c r="N223">
        <v>-664.32</v>
      </c>
      <c r="O223">
        <v>-766.25</v>
      </c>
      <c r="P223">
        <v>-838.23</v>
      </c>
      <c r="Q223">
        <v>-922.75</v>
      </c>
      <c r="R223" s="2">
        <v>-1013.25</v>
      </c>
    </row>
    <row r="224" spans="1:18" x14ac:dyDescent="0.25">
      <c r="A224" t="s">
        <v>17</v>
      </c>
    </row>
    <row r="225" spans="1:19" x14ac:dyDescent="0.25">
      <c r="A225" t="s">
        <v>2335</v>
      </c>
      <c r="C225">
        <v>22.98</v>
      </c>
      <c r="D225">
        <v>27.19</v>
      </c>
      <c r="E225">
        <v>25.4</v>
      </c>
      <c r="F225">
        <v>28.28</v>
      </c>
      <c r="G225">
        <v>29.65</v>
      </c>
      <c r="H225">
        <v>31.4</v>
      </c>
      <c r="I225">
        <v>35.1</v>
      </c>
      <c r="J225">
        <v>39.07</v>
      </c>
      <c r="K225">
        <v>40</v>
      </c>
      <c r="L225">
        <v>40.9</v>
      </c>
      <c r="M225">
        <v>41.5</v>
      </c>
      <c r="N225">
        <v>41.7</v>
      </c>
      <c r="O225">
        <v>42.77</v>
      </c>
      <c r="P225">
        <v>43.96</v>
      </c>
      <c r="Q225">
        <v>44.77</v>
      </c>
      <c r="R225">
        <v>46.16</v>
      </c>
    </row>
    <row r="226" spans="1:19" x14ac:dyDescent="0.25">
      <c r="A226" t="s">
        <v>17</v>
      </c>
    </row>
    <row r="227" spans="1:19" x14ac:dyDescent="0.25">
      <c r="A227" t="s">
        <v>2579</v>
      </c>
      <c r="B227">
        <v>305.72000000000003</v>
      </c>
      <c r="C227">
        <v>232.76</v>
      </c>
      <c r="D227">
        <v>230.59</v>
      </c>
      <c r="E227">
        <v>264.31</v>
      </c>
      <c r="F227">
        <v>325.44</v>
      </c>
      <c r="G227">
        <v>395.4</v>
      </c>
      <c r="H227">
        <v>503.49</v>
      </c>
      <c r="I227">
        <v>581.96</v>
      </c>
      <c r="J227">
        <v>882.94</v>
      </c>
      <c r="K227" s="2">
        <v>1131.03</v>
      </c>
      <c r="L227" s="2">
        <v>1265.53</v>
      </c>
      <c r="M227" s="2">
        <v>1467.12</v>
      </c>
      <c r="N227" s="2">
        <v>1848.31</v>
      </c>
      <c r="O227" s="2">
        <v>2336.42</v>
      </c>
      <c r="P227" s="2">
        <v>2937.64</v>
      </c>
      <c r="Q227" s="2">
        <v>3514.7</v>
      </c>
      <c r="R227" s="2">
        <v>3983.27</v>
      </c>
    </row>
    <row r="228" spans="1:19" x14ac:dyDescent="0.25">
      <c r="A228" t="s">
        <v>2661</v>
      </c>
      <c r="G228">
        <v>357.21</v>
      </c>
      <c r="H228">
        <v>402.52</v>
      </c>
      <c r="I228">
        <v>547.22</v>
      </c>
      <c r="J228">
        <v>474.43</v>
      </c>
      <c r="K228">
        <v>418.02</v>
      </c>
      <c r="L228">
        <v>415.9</v>
      </c>
      <c r="M228">
        <v>430.18</v>
      </c>
      <c r="N228">
        <v>526.28</v>
      </c>
      <c r="O228">
        <v>981.77</v>
      </c>
      <c r="P228" s="2">
        <v>1447.09</v>
      </c>
      <c r="Q228" s="2">
        <v>1953.71</v>
      </c>
      <c r="R228" s="2">
        <v>1872.87</v>
      </c>
    </row>
    <row r="229" spans="1:19" x14ac:dyDescent="0.25">
      <c r="A229" t="s">
        <v>2662</v>
      </c>
      <c r="H229">
        <v>-290.38</v>
      </c>
      <c r="I229">
        <v>-415.67</v>
      </c>
      <c r="J229">
        <v>-328.58</v>
      </c>
      <c r="K229">
        <v>-274.54000000000002</v>
      </c>
      <c r="L229">
        <v>-282.41000000000003</v>
      </c>
      <c r="M229">
        <v>-281.3</v>
      </c>
      <c r="N229">
        <v>-357.27</v>
      </c>
      <c r="O229">
        <v>-530.27</v>
      </c>
      <c r="P229">
        <v>-784.56</v>
      </c>
      <c r="Q229">
        <v>-971.29</v>
      </c>
      <c r="R229" s="2">
        <v>-1243.1600000000001</v>
      </c>
    </row>
    <row r="230" spans="1:19" x14ac:dyDescent="0.25">
      <c r="A230" t="s">
        <v>2382</v>
      </c>
      <c r="H230">
        <v>58.17</v>
      </c>
      <c r="I230">
        <v>24.25</v>
      </c>
      <c r="J230">
        <v>15.97</v>
      </c>
      <c r="K230">
        <v>14.45</v>
      </c>
      <c r="L230">
        <v>14.35</v>
      </c>
      <c r="M230">
        <v>39.65</v>
      </c>
      <c r="N230">
        <v>41.44</v>
      </c>
      <c r="O230">
        <v>69.09</v>
      </c>
      <c r="P230">
        <v>66.41</v>
      </c>
      <c r="Q230">
        <v>70.84</v>
      </c>
      <c r="R230">
        <v>76.02</v>
      </c>
    </row>
    <row r="231" spans="1:19" x14ac:dyDescent="0.25">
      <c r="A231" t="s">
        <v>2663</v>
      </c>
      <c r="E231">
        <v>44.51</v>
      </c>
      <c r="H231">
        <v>29.19</v>
      </c>
      <c r="I231">
        <v>26.61</v>
      </c>
      <c r="J231">
        <v>45.58</v>
      </c>
      <c r="K231">
        <v>50.1</v>
      </c>
      <c r="L231">
        <v>60.22</v>
      </c>
      <c r="M231">
        <v>58.07</v>
      </c>
      <c r="N231">
        <v>31.29</v>
      </c>
      <c r="O231">
        <v>14.49</v>
      </c>
      <c r="P231">
        <v>21.3</v>
      </c>
      <c r="Q231">
        <v>19.350000000000001</v>
      </c>
      <c r="R231">
        <v>36.01</v>
      </c>
    </row>
    <row r="232" spans="1:19" x14ac:dyDescent="0.25">
      <c r="A232" t="s">
        <v>484</v>
      </c>
      <c r="E232">
        <v>-17.98</v>
      </c>
      <c r="H232">
        <v>-19.670000000000002</v>
      </c>
      <c r="I232">
        <v>-24.91</v>
      </c>
      <c r="J232">
        <v>-36.76</v>
      </c>
      <c r="K232">
        <v>-71.36</v>
      </c>
      <c r="L232">
        <v>-106.28</v>
      </c>
      <c r="M232">
        <v>-142.24</v>
      </c>
      <c r="N232">
        <v>-171.28</v>
      </c>
      <c r="O232">
        <v>-200.55</v>
      </c>
      <c r="P232">
        <v>-195.63</v>
      </c>
      <c r="Q232">
        <v>-184.79</v>
      </c>
      <c r="R232">
        <v>-190.15</v>
      </c>
    </row>
    <row r="233" spans="1:19" x14ac:dyDescent="0.25">
      <c r="A233" t="s">
        <v>17</v>
      </c>
    </row>
    <row r="234" spans="1:19" x14ac:dyDescent="0.25">
      <c r="A234" t="s">
        <v>2664</v>
      </c>
      <c r="C234">
        <v>289.20999999999998</v>
      </c>
      <c r="D234">
        <v>216.38</v>
      </c>
      <c r="E234">
        <v>356.98</v>
      </c>
      <c r="F234">
        <v>467.71</v>
      </c>
      <c r="G234">
        <v>395.4</v>
      </c>
      <c r="H234">
        <v>503.49</v>
      </c>
      <c r="I234">
        <v>581.96</v>
      </c>
      <c r="J234">
        <v>882.9</v>
      </c>
      <c r="K234" s="2">
        <v>1131.03</v>
      </c>
      <c r="L234" s="2">
        <v>1265.53</v>
      </c>
      <c r="M234" s="2">
        <v>1467.12</v>
      </c>
      <c r="N234" s="2">
        <v>1848.31</v>
      </c>
      <c r="O234" s="2">
        <v>2326.75</v>
      </c>
      <c r="P234" s="2">
        <v>2912.38</v>
      </c>
      <c r="Q234" s="2">
        <v>3494.33</v>
      </c>
      <c r="R234" s="2">
        <v>4183</v>
      </c>
    </row>
    <row r="235" spans="1:19" x14ac:dyDescent="0.25">
      <c r="A235" t="s">
        <v>2665</v>
      </c>
      <c r="F235">
        <v>-4.8600000000000003</v>
      </c>
      <c r="G235">
        <v>-7.03</v>
      </c>
      <c r="H235">
        <v>-10.44</v>
      </c>
      <c r="I235">
        <v>-10.72</v>
      </c>
      <c r="J235">
        <v>-14.44</v>
      </c>
      <c r="K235">
        <v>-17.239999999999998</v>
      </c>
      <c r="L235">
        <v>-28.61</v>
      </c>
      <c r="M235">
        <v>-28.46</v>
      </c>
      <c r="N235">
        <v>-49.84</v>
      </c>
      <c r="O235">
        <v>-57.39</v>
      </c>
      <c r="P235">
        <v>-64.53</v>
      </c>
      <c r="Q235">
        <v>-67.510000000000005</v>
      </c>
      <c r="R235">
        <v>-77.19</v>
      </c>
    </row>
    <row r="236" spans="1:19" x14ac:dyDescent="0.25">
      <c r="A236" t="s">
        <v>2666</v>
      </c>
      <c r="F236">
        <v>-25.25</v>
      </c>
      <c r="G236">
        <v>-20.74</v>
      </c>
      <c r="H236">
        <v>-34.68</v>
      </c>
      <c r="I236">
        <v>-30.5</v>
      </c>
      <c r="J236">
        <v>-53.93</v>
      </c>
      <c r="K236">
        <v>-52.04</v>
      </c>
      <c r="L236">
        <v>-51.21</v>
      </c>
      <c r="M236">
        <v>-90.84</v>
      </c>
      <c r="N236">
        <v>-94.23</v>
      </c>
      <c r="O236">
        <v>-169.44</v>
      </c>
      <c r="P236">
        <v>-223.65</v>
      </c>
      <c r="Q236">
        <v>-284.54000000000002</v>
      </c>
      <c r="R236">
        <v>-405.26</v>
      </c>
    </row>
    <row r="237" spans="1:19" x14ac:dyDescent="0.25">
      <c r="A237" t="s">
        <v>17</v>
      </c>
    </row>
    <row r="238" spans="1:19" x14ac:dyDescent="0.25">
      <c r="A238" t="s">
        <v>2667</v>
      </c>
      <c r="C238">
        <v>266.54000000000002</v>
      </c>
      <c r="D238">
        <v>185.24</v>
      </c>
      <c r="E238">
        <v>303.56</v>
      </c>
      <c r="F238">
        <v>415.74</v>
      </c>
      <c r="G238">
        <v>107.45</v>
      </c>
      <c r="H238">
        <v>193.18</v>
      </c>
      <c r="I238">
        <v>266.83999999999997</v>
      </c>
      <c r="J238">
        <v>803.72</v>
      </c>
      <c r="K238">
        <v>614.21</v>
      </c>
      <c r="L238">
        <v>702.51</v>
      </c>
      <c r="M238">
        <v>826.14</v>
      </c>
      <c r="N238" s="2">
        <v>1110.98</v>
      </c>
      <c r="O238" s="2">
        <v>1386.06</v>
      </c>
      <c r="P238" s="2">
        <v>1745.29</v>
      </c>
      <c r="Q238" s="2">
        <v>2040</v>
      </c>
      <c r="R238" s="2">
        <v>2157.5</v>
      </c>
      <c r="S238" s="2">
        <v>2299</v>
      </c>
    </row>
    <row r="239" spans="1:19" x14ac:dyDescent="0.25">
      <c r="A239" t="s">
        <v>17</v>
      </c>
    </row>
    <row r="240" spans="1:19" x14ac:dyDescent="0.25">
      <c r="A240" t="s">
        <v>2668</v>
      </c>
      <c r="J240">
        <v>180.11</v>
      </c>
      <c r="K240">
        <v>184.71</v>
      </c>
      <c r="N240">
        <v>237.33</v>
      </c>
      <c r="O240">
        <v>237.63</v>
      </c>
      <c r="P240">
        <v>243.19</v>
      </c>
      <c r="Q240">
        <v>246.82</v>
      </c>
      <c r="R240">
        <v>232.59</v>
      </c>
      <c r="S240">
        <v>204</v>
      </c>
    </row>
    <row r="241" spans="1:19" x14ac:dyDescent="0.25">
      <c r="A241" t="s">
        <v>2669</v>
      </c>
      <c r="C241">
        <v>1.26</v>
      </c>
      <c r="D241">
        <v>0.87</v>
      </c>
      <c r="E241">
        <v>1.42</v>
      </c>
      <c r="F241">
        <v>1.93</v>
      </c>
      <c r="G241">
        <v>1.1200000000000001</v>
      </c>
      <c r="H241">
        <v>1.67</v>
      </c>
      <c r="I241">
        <v>1.86</v>
      </c>
      <c r="J241">
        <v>2.57</v>
      </c>
      <c r="K241">
        <v>3.35</v>
      </c>
      <c r="L241">
        <v>3.65</v>
      </c>
      <c r="M241">
        <v>3.97</v>
      </c>
      <c r="N241">
        <v>4.76</v>
      </c>
      <c r="O241">
        <v>5.84</v>
      </c>
      <c r="P241">
        <v>7.24</v>
      </c>
      <c r="Q241">
        <v>8.3800000000000008</v>
      </c>
      <c r="R241">
        <v>9.73</v>
      </c>
      <c r="S241">
        <v>11.26</v>
      </c>
    </row>
    <row r="242" spans="1:19" x14ac:dyDescent="0.25">
      <c r="A242" t="s">
        <v>17</v>
      </c>
    </row>
    <row r="243" spans="1:19" x14ac:dyDescent="0.25">
      <c r="A243" t="s">
        <v>282</v>
      </c>
    </row>
    <row r="244" spans="1:19" x14ac:dyDescent="0.25">
      <c r="A244" t="s">
        <v>80</v>
      </c>
      <c r="D244">
        <v>853.28</v>
      </c>
      <c r="E244" s="2">
        <v>1199.21</v>
      </c>
      <c r="F244" s="2">
        <v>1137.51</v>
      </c>
      <c r="G244" s="2">
        <v>1274.1600000000001</v>
      </c>
      <c r="H244" s="2">
        <v>1520.49</v>
      </c>
      <c r="I244" s="2">
        <v>1804.6</v>
      </c>
      <c r="J244" s="2">
        <v>2358.9</v>
      </c>
      <c r="K244" s="2">
        <v>3055.44</v>
      </c>
      <c r="L244" s="2">
        <v>3631.88</v>
      </c>
      <c r="M244" s="2">
        <v>3884.78</v>
      </c>
      <c r="N244" s="2">
        <v>5601.48</v>
      </c>
      <c r="O244" s="2">
        <v>5522.78</v>
      </c>
      <c r="P244" s="2">
        <v>6582.11</v>
      </c>
      <c r="Q244" s="2">
        <v>7167.8</v>
      </c>
      <c r="R244" s="2">
        <v>7782</v>
      </c>
      <c r="S244" s="2">
        <v>8194</v>
      </c>
    </row>
    <row r="245" spans="1:19" x14ac:dyDescent="0.25">
      <c r="A245" t="s">
        <v>2319</v>
      </c>
      <c r="B245">
        <v>375.57</v>
      </c>
      <c r="C245">
        <v>486.48</v>
      </c>
      <c r="D245">
        <v>634.4</v>
      </c>
      <c r="E245">
        <v>642.07000000000005</v>
      </c>
      <c r="F245">
        <v>722.42</v>
      </c>
      <c r="G245">
        <v>802.5</v>
      </c>
      <c r="H245">
        <v>979.42</v>
      </c>
      <c r="I245" s="2">
        <v>1150.6099999999999</v>
      </c>
      <c r="J245" s="2">
        <v>1611.05</v>
      </c>
      <c r="K245" s="2">
        <v>2136.4299999999998</v>
      </c>
      <c r="L245" s="2">
        <v>2551.15</v>
      </c>
      <c r="M245" s="2">
        <v>2942.13</v>
      </c>
      <c r="N245" s="2">
        <v>3680.47</v>
      </c>
      <c r="O245" s="2">
        <v>4429.93</v>
      </c>
      <c r="P245" s="2">
        <v>5143.68</v>
      </c>
      <c r="Q245" s="2">
        <v>5921.54</v>
      </c>
      <c r="R245" s="2">
        <v>6625.8</v>
      </c>
    </row>
    <row r="246" spans="1:19" x14ac:dyDescent="0.25">
      <c r="A246" t="s">
        <v>2670</v>
      </c>
      <c r="F246">
        <v>684.9</v>
      </c>
      <c r="G246">
        <v>40.96</v>
      </c>
      <c r="H246">
        <v>678.43</v>
      </c>
      <c r="I246">
        <v>534.16</v>
      </c>
      <c r="J246" s="2">
        <v>2172.98</v>
      </c>
      <c r="K246">
        <v>470.29</v>
      </c>
      <c r="L246">
        <v>655.1</v>
      </c>
      <c r="M246">
        <v>435.6</v>
      </c>
      <c r="N246" s="2">
        <v>1202.1300000000001</v>
      </c>
      <c r="O246">
        <v>654.85</v>
      </c>
      <c r="P246" s="2">
        <v>2031</v>
      </c>
      <c r="Q246" s="2">
        <v>2278.5</v>
      </c>
      <c r="R246" s="2">
        <v>2302.5</v>
      </c>
    </row>
    <row r="247" spans="1:19" x14ac:dyDescent="0.25">
      <c r="A247" t="s">
        <v>2383</v>
      </c>
      <c r="F247">
        <v>16.22</v>
      </c>
      <c r="G247">
        <v>63.38</v>
      </c>
      <c r="H247">
        <v>69.2</v>
      </c>
      <c r="I247">
        <v>37.9</v>
      </c>
      <c r="J247">
        <v>332.88</v>
      </c>
      <c r="K247">
        <v>301.19</v>
      </c>
      <c r="L247">
        <v>276.63</v>
      </c>
      <c r="M247">
        <v>344.16</v>
      </c>
      <c r="N247">
        <v>362.45</v>
      </c>
      <c r="O247">
        <v>288.52</v>
      </c>
      <c r="P247">
        <v>677</v>
      </c>
      <c r="Q247">
        <v>759.5</v>
      </c>
      <c r="R247">
        <v>767.5</v>
      </c>
    </row>
    <row r="248" spans="1:19" x14ac:dyDescent="0.25">
      <c r="A248" t="s">
        <v>2671</v>
      </c>
      <c r="B248">
        <v>23.28</v>
      </c>
      <c r="C248">
        <v>26</v>
      </c>
      <c r="D248">
        <v>29.43</v>
      </c>
      <c r="E248">
        <v>39.29</v>
      </c>
      <c r="F248">
        <v>56.41</v>
      </c>
      <c r="G248">
        <v>51.62</v>
      </c>
      <c r="H248">
        <v>38.4</v>
      </c>
      <c r="I248">
        <v>41.38</v>
      </c>
      <c r="J248">
        <v>95.18</v>
      </c>
      <c r="K248">
        <v>147.53</v>
      </c>
      <c r="L248">
        <v>149.01</v>
      </c>
      <c r="M248">
        <v>162.88999999999999</v>
      </c>
      <c r="N248">
        <v>356.44</v>
      </c>
      <c r="O248">
        <v>159.26</v>
      </c>
    </row>
    <row r="249" spans="1:19" x14ac:dyDescent="0.25">
      <c r="A249" t="s">
        <v>17</v>
      </c>
    </row>
    <row r="250" spans="1:19" x14ac:dyDescent="0.25">
      <c r="A250" t="s">
        <v>275</v>
      </c>
      <c r="F250" s="2">
        <v>1504.76</v>
      </c>
      <c r="G250">
        <v>870.36</v>
      </c>
      <c r="H250" s="2">
        <v>1462.8</v>
      </c>
      <c r="I250" s="2">
        <v>1450.49</v>
      </c>
      <c r="J250" s="2">
        <v>3410.08</v>
      </c>
      <c r="K250" s="2">
        <v>2749.09</v>
      </c>
      <c r="L250" s="2">
        <v>2797.86</v>
      </c>
      <c r="M250" s="2">
        <v>2938.69</v>
      </c>
      <c r="N250" s="2">
        <v>4708.7700000000004</v>
      </c>
      <c r="O250" s="2">
        <v>1798.54</v>
      </c>
    </row>
    <row r="251" spans="1:19" x14ac:dyDescent="0.25">
      <c r="A251" t="s">
        <v>2562</v>
      </c>
      <c r="B251">
        <v>528.20000000000005</v>
      </c>
      <c r="C251">
        <v>626.4</v>
      </c>
      <c r="D251">
        <v>526.14</v>
      </c>
      <c r="E251">
        <v>835.57</v>
      </c>
      <c r="F251">
        <v>993.83</v>
      </c>
      <c r="G251">
        <v>600.63</v>
      </c>
      <c r="H251" s="2">
        <v>1150.53</v>
      </c>
      <c r="I251" s="2">
        <v>1171.3699999999999</v>
      </c>
      <c r="J251" s="2">
        <v>2903.42</v>
      </c>
      <c r="K251" s="2">
        <v>2017.42</v>
      </c>
      <c r="L251" s="2">
        <v>2094.2199999999998</v>
      </c>
      <c r="M251" s="2">
        <v>2181.31</v>
      </c>
      <c r="N251" s="2">
        <v>3659.98</v>
      </c>
    </row>
    <row r="252" spans="1:19" x14ac:dyDescent="0.25">
      <c r="A252" t="s">
        <v>685</v>
      </c>
      <c r="B252">
        <v>138.46</v>
      </c>
      <c r="C252">
        <v>166.84</v>
      </c>
      <c r="D252">
        <v>224.8</v>
      </c>
      <c r="E252">
        <v>159.78</v>
      </c>
      <c r="F252">
        <v>196.73</v>
      </c>
      <c r="G252">
        <v>215.96</v>
      </c>
      <c r="H252">
        <v>270.22000000000003</v>
      </c>
      <c r="I252">
        <v>259</v>
      </c>
      <c r="J252">
        <v>444.18</v>
      </c>
      <c r="K252">
        <v>695.26</v>
      </c>
      <c r="L252">
        <v>660.15</v>
      </c>
      <c r="M252">
        <v>736.5</v>
      </c>
      <c r="N252">
        <v>996.08</v>
      </c>
      <c r="O252">
        <v>496.15</v>
      </c>
    </row>
    <row r="253" spans="1:19" x14ac:dyDescent="0.25">
      <c r="A253" t="s">
        <v>2672</v>
      </c>
      <c r="B253">
        <v>135.24</v>
      </c>
      <c r="C253">
        <v>66.8</v>
      </c>
      <c r="D253">
        <v>18.11</v>
      </c>
      <c r="E253">
        <v>21.07</v>
      </c>
      <c r="F253">
        <v>314.2</v>
      </c>
      <c r="G253">
        <v>53.76</v>
      </c>
      <c r="H253">
        <v>42.05</v>
      </c>
      <c r="I253">
        <v>20.12</v>
      </c>
      <c r="J253">
        <v>62.49</v>
      </c>
      <c r="K253">
        <v>36.409999999999997</v>
      </c>
      <c r="L253">
        <v>43.49</v>
      </c>
      <c r="M253">
        <v>20.88</v>
      </c>
      <c r="N253">
        <v>52.71</v>
      </c>
      <c r="O253">
        <v>15.94</v>
      </c>
    </row>
    <row r="254" spans="1:19" x14ac:dyDescent="0.25">
      <c r="A254" t="s">
        <v>17</v>
      </c>
    </row>
    <row r="255" spans="1:19" x14ac:dyDescent="0.25">
      <c r="A255" t="s">
        <v>99</v>
      </c>
    </row>
    <row r="256" spans="1:19" x14ac:dyDescent="0.25">
      <c r="A256" t="s">
        <v>398</v>
      </c>
      <c r="B256" s="2">
        <v>1242.03</v>
      </c>
      <c r="C256">
        <v>945.08</v>
      </c>
      <c r="D256">
        <v>131.41999999999999</v>
      </c>
      <c r="E256">
        <v>162.72</v>
      </c>
      <c r="F256">
        <v>194.76</v>
      </c>
      <c r="G256">
        <v>344.9</v>
      </c>
      <c r="H256">
        <v>403.11</v>
      </c>
      <c r="I256">
        <v>471.72</v>
      </c>
      <c r="J256">
        <v>447.68</v>
      </c>
      <c r="K256">
        <v>595.92999999999995</v>
      </c>
      <c r="L256" s="2">
        <v>1014.82</v>
      </c>
      <c r="M256">
        <v>976.4</v>
      </c>
      <c r="N256">
        <v>622.72</v>
      </c>
    </row>
    <row r="257" spans="1:19" x14ac:dyDescent="0.25">
      <c r="A257" t="s">
        <v>2673</v>
      </c>
      <c r="B257" s="2">
        <v>1242.03</v>
      </c>
      <c r="C257">
        <v>945.08</v>
      </c>
      <c r="D257">
        <v>131.41999999999999</v>
      </c>
      <c r="E257">
        <v>162.72</v>
      </c>
      <c r="F257">
        <v>194.76</v>
      </c>
      <c r="G257">
        <v>344.9</v>
      </c>
      <c r="H257">
        <v>403.11</v>
      </c>
      <c r="I257">
        <v>471.72</v>
      </c>
      <c r="J257">
        <v>447.68</v>
      </c>
      <c r="K257">
        <v>586.53</v>
      </c>
      <c r="L257">
        <v>995.55</v>
      </c>
      <c r="M257">
        <v>933.35</v>
      </c>
      <c r="N257">
        <v>575.27</v>
      </c>
      <c r="O257">
        <v>310.41000000000003</v>
      </c>
    </row>
    <row r="258" spans="1:19" x14ac:dyDescent="0.25">
      <c r="A258" t="s">
        <v>484</v>
      </c>
      <c r="B258">
        <v>543.91</v>
      </c>
      <c r="C258">
        <v>674.99</v>
      </c>
      <c r="D258">
        <v>97.77</v>
      </c>
      <c r="E258">
        <v>109.43</v>
      </c>
      <c r="F258">
        <v>147.94999999999999</v>
      </c>
      <c r="G258">
        <v>244.34</v>
      </c>
      <c r="H258">
        <v>297.42</v>
      </c>
      <c r="I258">
        <v>311.22000000000003</v>
      </c>
      <c r="J258">
        <v>294.81</v>
      </c>
      <c r="K258">
        <v>482.72</v>
      </c>
      <c r="L258">
        <v>860.88</v>
      </c>
      <c r="M258">
        <v>978.3</v>
      </c>
      <c r="N258">
        <v>767.46</v>
      </c>
    </row>
    <row r="259" spans="1:19" x14ac:dyDescent="0.25">
      <c r="A259" t="s">
        <v>399</v>
      </c>
      <c r="D259">
        <v>-21.68</v>
      </c>
      <c r="E259">
        <v>-35.65</v>
      </c>
      <c r="F259">
        <v>-19.47</v>
      </c>
      <c r="G259">
        <v>0.85</v>
      </c>
      <c r="I259">
        <v>-11.29</v>
      </c>
      <c r="J259">
        <v>-14.4</v>
      </c>
      <c r="K259">
        <v>-13.12</v>
      </c>
      <c r="L259">
        <v>-4.82</v>
      </c>
      <c r="M259">
        <v>-0.63</v>
      </c>
      <c r="N259">
        <v>319.75</v>
      </c>
    </row>
    <row r="260" spans="1:19" x14ac:dyDescent="0.25">
      <c r="A260" t="s">
        <v>17</v>
      </c>
    </row>
    <row r="261" spans="1:19" x14ac:dyDescent="0.25">
      <c r="A261" t="s">
        <v>100</v>
      </c>
      <c r="B261">
        <v>872.64</v>
      </c>
      <c r="C261">
        <v>556.91999999999996</v>
      </c>
      <c r="D261">
        <v>81.48</v>
      </c>
      <c r="E261">
        <v>297.92</v>
      </c>
      <c r="F261">
        <v>149.86000000000001</v>
      </c>
      <c r="G261">
        <v>184.34</v>
      </c>
      <c r="H261">
        <v>425.18</v>
      </c>
      <c r="I261">
        <v>379.48</v>
      </c>
      <c r="J261" s="2">
        <v>1065.69</v>
      </c>
      <c r="K261">
        <v>510.81</v>
      </c>
      <c r="L261" s="2">
        <v>1333.06</v>
      </c>
      <c r="M261" s="2">
        <v>1275.3499999999999</v>
      </c>
      <c r="N261" s="2">
        <v>1286.8900000000001</v>
      </c>
      <c r="O261" s="2">
        <v>1403.56</v>
      </c>
      <c r="P261" s="2">
        <v>2904.64</v>
      </c>
      <c r="Q261" s="2">
        <v>3413.32</v>
      </c>
      <c r="R261" s="2">
        <v>3871.57</v>
      </c>
    </row>
    <row r="262" spans="1:19" x14ac:dyDescent="0.25">
      <c r="A262" t="s">
        <v>101</v>
      </c>
      <c r="B262">
        <v>59.26</v>
      </c>
      <c r="C262">
        <v>11.25</v>
      </c>
      <c r="D262">
        <v>19.059999999999999</v>
      </c>
      <c r="E262">
        <v>11.02</v>
      </c>
      <c r="F262">
        <v>-23.05</v>
      </c>
      <c r="G262">
        <v>32.200000000000003</v>
      </c>
      <c r="H262">
        <v>52.38</v>
      </c>
      <c r="I262">
        <v>54.99</v>
      </c>
      <c r="J262">
        <v>147.38999999999999</v>
      </c>
      <c r="K262">
        <v>71.89</v>
      </c>
      <c r="L262">
        <v>172.97</v>
      </c>
      <c r="M262">
        <v>164.62</v>
      </c>
      <c r="N262">
        <v>198.54</v>
      </c>
      <c r="O262">
        <v>227.27</v>
      </c>
      <c r="P262">
        <v>414.45</v>
      </c>
      <c r="Q262">
        <v>427.62</v>
      </c>
      <c r="R262">
        <v>516.33000000000004</v>
      </c>
      <c r="S262">
        <v>454</v>
      </c>
    </row>
    <row r="263" spans="1:19" x14ac:dyDescent="0.25">
      <c r="A263" t="s">
        <v>102</v>
      </c>
      <c r="B263">
        <v>6.79</v>
      </c>
      <c r="C263">
        <v>2.02</v>
      </c>
      <c r="D263">
        <v>23.4</v>
      </c>
      <c r="E263">
        <v>3.7</v>
      </c>
      <c r="F263">
        <v>21</v>
      </c>
      <c r="G263">
        <v>17.47</v>
      </c>
      <c r="H263">
        <v>12.32</v>
      </c>
      <c r="I263">
        <v>14.49</v>
      </c>
      <c r="J263">
        <v>13.83</v>
      </c>
      <c r="K263">
        <v>14.07</v>
      </c>
      <c r="L263">
        <v>12.98</v>
      </c>
      <c r="M263">
        <v>12.91</v>
      </c>
      <c r="N263">
        <v>15.43</v>
      </c>
      <c r="O263">
        <v>15</v>
      </c>
      <c r="P263">
        <v>13.25</v>
      </c>
      <c r="Q263">
        <v>13.25</v>
      </c>
      <c r="R263">
        <v>13.5</v>
      </c>
    </row>
    <row r="264" spans="1:19" x14ac:dyDescent="0.25">
      <c r="A264" t="s">
        <v>2674</v>
      </c>
      <c r="B264">
        <v>813.38</v>
      </c>
      <c r="C264">
        <v>545.66</v>
      </c>
      <c r="D264">
        <v>62.42</v>
      </c>
      <c r="E264">
        <v>286.89999999999998</v>
      </c>
      <c r="F264">
        <v>172.91</v>
      </c>
      <c r="G264">
        <v>152.13999999999999</v>
      </c>
      <c r="H264">
        <v>372.8</v>
      </c>
      <c r="I264">
        <v>324.49</v>
      </c>
      <c r="J264">
        <v>918.31</v>
      </c>
      <c r="K264">
        <v>438.92</v>
      </c>
      <c r="L264" s="2">
        <v>1160.0899999999999</v>
      </c>
      <c r="M264" s="2">
        <v>1110.74</v>
      </c>
      <c r="N264" s="2">
        <v>1088.3599999999999</v>
      </c>
      <c r="O264" s="2">
        <v>1042.05</v>
      </c>
      <c r="P264" s="2">
        <v>2519.4699999999998</v>
      </c>
      <c r="Q264" s="2">
        <v>2960.89</v>
      </c>
      <c r="R264" s="2">
        <v>3348.91</v>
      </c>
    </row>
    <row r="265" spans="1:19" x14ac:dyDescent="0.25">
      <c r="A265" t="s">
        <v>106</v>
      </c>
      <c r="C265">
        <v>24.4</v>
      </c>
      <c r="D265">
        <v>19.38</v>
      </c>
      <c r="E265">
        <v>99.63</v>
      </c>
      <c r="F265">
        <v>54.48</v>
      </c>
      <c r="G265">
        <v>35.32</v>
      </c>
      <c r="H265">
        <v>127.18</v>
      </c>
      <c r="I265">
        <v>130.44</v>
      </c>
      <c r="J265">
        <v>408.84</v>
      </c>
      <c r="K265" s="2">
        <v>1061.75</v>
      </c>
      <c r="L265">
        <v>474.33</v>
      </c>
      <c r="M265">
        <v>440.96</v>
      </c>
      <c r="N265">
        <v>426.11</v>
      </c>
      <c r="O265" s="2">
        <v>1156.8399999999999</v>
      </c>
      <c r="P265" s="2">
        <v>1782.8</v>
      </c>
      <c r="Q265" s="2">
        <v>1889.33</v>
      </c>
      <c r="R265" s="2">
        <v>1887</v>
      </c>
    </row>
    <row r="266" spans="1:19" x14ac:dyDescent="0.25">
      <c r="A266" t="s">
        <v>597</v>
      </c>
      <c r="B266">
        <v>0</v>
      </c>
      <c r="C266">
        <v>0</v>
      </c>
      <c r="D266">
        <v>0.02</v>
      </c>
      <c r="E266">
        <v>12.18</v>
      </c>
      <c r="F266">
        <v>21.7</v>
      </c>
      <c r="G266">
        <v>21.7</v>
      </c>
      <c r="H266">
        <v>21.7</v>
      </c>
      <c r="I266">
        <v>21.7</v>
      </c>
      <c r="J266">
        <v>22.09</v>
      </c>
      <c r="K266">
        <v>0</v>
      </c>
      <c r="L266">
        <v>0</v>
      </c>
      <c r="M266">
        <v>22.78</v>
      </c>
      <c r="N266">
        <v>101.25</v>
      </c>
      <c r="O266">
        <v>50.63</v>
      </c>
    </row>
    <row r="267" spans="1:19" x14ac:dyDescent="0.25">
      <c r="A267" t="s">
        <v>2675</v>
      </c>
      <c r="B267">
        <v>180.48</v>
      </c>
      <c r="C267">
        <v>34.57</v>
      </c>
      <c r="D267">
        <v>18.72</v>
      </c>
      <c r="E267">
        <v>98.37</v>
      </c>
      <c r="F267">
        <v>54.47</v>
      </c>
      <c r="G267">
        <v>28.37</v>
      </c>
      <c r="H267">
        <v>119.51</v>
      </c>
      <c r="I267">
        <v>119.99</v>
      </c>
      <c r="J267">
        <v>386.75</v>
      </c>
      <c r="K267">
        <v>167.54</v>
      </c>
      <c r="L267">
        <v>474.33</v>
      </c>
      <c r="M267">
        <v>440.96</v>
      </c>
      <c r="N267">
        <v>426.11</v>
      </c>
      <c r="O267" s="2">
        <v>1005.47</v>
      </c>
      <c r="P267" s="2">
        <v>1681.41</v>
      </c>
      <c r="Q267" s="2">
        <v>2046.08</v>
      </c>
      <c r="R267" s="2">
        <v>1887.24</v>
      </c>
    </row>
    <row r="268" spans="1:19" x14ac:dyDescent="0.25">
      <c r="A268" t="s">
        <v>17</v>
      </c>
    </row>
    <row r="269" spans="1:19" x14ac:dyDescent="0.25">
      <c r="A269" t="s">
        <v>109</v>
      </c>
      <c r="C269">
        <v>80.36</v>
      </c>
      <c r="D269">
        <v>80.67</v>
      </c>
      <c r="E269">
        <v>80.75</v>
      </c>
      <c r="F269">
        <v>81.84</v>
      </c>
      <c r="G269">
        <v>96.02</v>
      </c>
      <c r="H269">
        <v>107.91</v>
      </c>
      <c r="I269">
        <v>135.07</v>
      </c>
      <c r="J269">
        <v>163.69999999999999</v>
      </c>
      <c r="K269">
        <v>175.51</v>
      </c>
      <c r="L269">
        <v>184.52</v>
      </c>
      <c r="M269">
        <v>198.05</v>
      </c>
      <c r="N269">
        <v>217.36</v>
      </c>
      <c r="O269">
        <v>228.39</v>
      </c>
      <c r="P269">
        <v>239.22</v>
      </c>
      <c r="Q269">
        <v>240.69</v>
      </c>
      <c r="R269">
        <v>223.33</v>
      </c>
    </row>
    <row r="270" spans="1:19" x14ac:dyDescent="0.25">
      <c r="A270" t="s">
        <v>2676</v>
      </c>
      <c r="C270">
        <v>1.26</v>
      </c>
      <c r="D270">
        <v>0.87</v>
      </c>
      <c r="E270">
        <v>1.42</v>
      </c>
      <c r="F270">
        <v>1.93</v>
      </c>
      <c r="G270">
        <v>1.1200000000000001</v>
      </c>
      <c r="H270">
        <v>1.67</v>
      </c>
      <c r="I270">
        <v>1.86</v>
      </c>
      <c r="J270">
        <v>2.57</v>
      </c>
      <c r="K270">
        <v>3.35</v>
      </c>
      <c r="L270">
        <v>3.65</v>
      </c>
      <c r="M270">
        <v>3.97</v>
      </c>
      <c r="N270">
        <v>4.76</v>
      </c>
      <c r="O270">
        <v>5.84</v>
      </c>
      <c r="P270">
        <v>7.24</v>
      </c>
      <c r="Q270">
        <v>8.3800000000000008</v>
      </c>
      <c r="R270">
        <v>9.73</v>
      </c>
      <c r="S270">
        <v>11.26</v>
      </c>
    </row>
    <row r="271" spans="1:19" x14ac:dyDescent="0.25">
      <c r="A271" t="s">
        <v>17</v>
      </c>
    </row>
    <row r="272" spans="1:19" x14ac:dyDescent="0.25">
      <c r="A272" t="s">
        <v>2397</v>
      </c>
      <c r="B272">
        <v>0</v>
      </c>
      <c r="C272">
        <v>0</v>
      </c>
      <c r="D272">
        <v>70.989999999999995</v>
      </c>
      <c r="E272">
        <v>67.02</v>
      </c>
      <c r="F272">
        <v>92.48</v>
      </c>
      <c r="G272">
        <v>127.71</v>
      </c>
      <c r="H272">
        <v>138.13</v>
      </c>
      <c r="I272">
        <v>216.1</v>
      </c>
      <c r="J272">
        <v>329.04</v>
      </c>
      <c r="K272">
        <v>463.35</v>
      </c>
      <c r="L272">
        <v>597.86</v>
      </c>
      <c r="M272">
        <v>736.76</v>
      </c>
      <c r="N272">
        <v>973.78</v>
      </c>
    </row>
    <row r="273" spans="1:19" x14ac:dyDescent="0.25">
      <c r="A273" t="s">
        <v>487</v>
      </c>
      <c r="B273">
        <v>0</v>
      </c>
      <c r="C273">
        <v>0</v>
      </c>
      <c r="D273">
        <v>0.88</v>
      </c>
      <c r="E273">
        <v>0.83</v>
      </c>
      <c r="F273">
        <v>1.1299999999999999</v>
      </c>
      <c r="G273">
        <v>1.33</v>
      </c>
      <c r="H273">
        <v>1.28</v>
      </c>
      <c r="I273">
        <v>1.6</v>
      </c>
      <c r="J273">
        <v>2.0099999999999998</v>
      </c>
      <c r="K273">
        <v>2.64</v>
      </c>
      <c r="L273">
        <v>3.24</v>
      </c>
      <c r="M273">
        <v>3.72</v>
      </c>
      <c r="N273">
        <v>4.4800000000000004</v>
      </c>
      <c r="O273">
        <v>5.43</v>
      </c>
      <c r="P273">
        <v>6.37</v>
      </c>
      <c r="Q273">
        <v>7.43</v>
      </c>
      <c r="R273">
        <v>8.84</v>
      </c>
      <c r="S273">
        <v>10.039999999999999</v>
      </c>
    </row>
    <row r="274" spans="1:19" x14ac:dyDescent="0.25">
      <c r="A274" t="s">
        <v>2677</v>
      </c>
      <c r="B274">
        <v>0</v>
      </c>
      <c r="C274">
        <v>0</v>
      </c>
      <c r="D274">
        <v>379.29</v>
      </c>
      <c r="E274">
        <v>68.13</v>
      </c>
      <c r="F274">
        <v>169.76</v>
      </c>
      <c r="G274">
        <v>450.13</v>
      </c>
      <c r="H274">
        <v>115.58</v>
      </c>
      <c r="I274">
        <v>180.11</v>
      </c>
      <c r="J274">
        <v>85.08</v>
      </c>
      <c r="K274">
        <v>276.56</v>
      </c>
      <c r="L274">
        <v>126.04</v>
      </c>
      <c r="M274">
        <v>167.08</v>
      </c>
      <c r="N274">
        <v>228.53</v>
      </c>
    </row>
    <row r="275" spans="1:19" x14ac:dyDescent="0.25">
      <c r="A275" t="s">
        <v>17</v>
      </c>
    </row>
    <row r="276" spans="1:19" x14ac:dyDescent="0.25">
      <c r="A276" t="s">
        <v>125</v>
      </c>
    </row>
    <row r="277" spans="1:19" x14ac:dyDescent="0.25">
      <c r="A277" t="s">
        <v>67</v>
      </c>
      <c r="B277">
        <v>28.84</v>
      </c>
      <c r="C277">
        <v>83.23</v>
      </c>
      <c r="D277">
        <v>32.24</v>
      </c>
      <c r="E277">
        <v>39.07</v>
      </c>
      <c r="F277">
        <v>69.709999999999994</v>
      </c>
      <c r="G277">
        <v>89.72</v>
      </c>
      <c r="H277">
        <v>97.69</v>
      </c>
      <c r="I277">
        <v>122.99</v>
      </c>
      <c r="J277">
        <v>237.19</v>
      </c>
      <c r="K277">
        <v>198.95</v>
      </c>
      <c r="L277">
        <v>255.97</v>
      </c>
      <c r="M277">
        <v>352.85</v>
      </c>
      <c r="N277">
        <v>740.55</v>
      </c>
      <c r="O277">
        <v>556.66</v>
      </c>
      <c r="P277">
        <v>665.1</v>
      </c>
      <c r="Q277">
        <v>727.3</v>
      </c>
      <c r="R277">
        <v>672.76</v>
      </c>
    </row>
    <row r="278" spans="1:19" x14ac:dyDescent="0.25">
      <c r="A278" t="s">
        <v>17</v>
      </c>
    </row>
    <row r="279" spans="1:19" x14ac:dyDescent="0.25">
      <c r="A279" t="s">
        <v>134</v>
      </c>
    </row>
    <row r="280" spans="1:19" x14ac:dyDescent="0.25">
      <c r="A280" t="s">
        <v>135</v>
      </c>
    </row>
    <row r="281" spans="1:19" x14ac:dyDescent="0.25">
      <c r="A281" t="s">
        <v>2599</v>
      </c>
      <c r="B281">
        <v>89.8</v>
      </c>
      <c r="C281">
        <v>148.86000000000001</v>
      </c>
      <c r="D281">
        <v>121.48</v>
      </c>
      <c r="E281">
        <v>342.86</v>
      </c>
      <c r="F281">
        <v>118.93</v>
      </c>
      <c r="G281">
        <v>110.25</v>
      </c>
      <c r="H281">
        <v>138.38</v>
      </c>
      <c r="I281">
        <v>539.80999999999995</v>
      </c>
      <c r="J281">
        <v>343.66</v>
      </c>
      <c r="K281">
        <v>389.99</v>
      </c>
      <c r="L281">
        <v>348.27</v>
      </c>
      <c r="M281" s="2">
        <v>1507.98</v>
      </c>
      <c r="N281">
        <v>488.9</v>
      </c>
      <c r="O281">
        <v>865.35</v>
      </c>
      <c r="P281" s="2">
        <v>1174.5899999999999</v>
      </c>
      <c r="Q281" s="2">
        <v>1249.77</v>
      </c>
      <c r="R281" s="2">
        <v>1797.91</v>
      </c>
      <c r="S281" s="2">
        <v>3807</v>
      </c>
    </row>
    <row r="282" spans="1:19" x14ac:dyDescent="0.25">
      <c r="A282" t="s">
        <v>2601</v>
      </c>
      <c r="B282" s="2">
        <v>20912.78</v>
      </c>
      <c r="C282" s="2">
        <v>19298</v>
      </c>
      <c r="D282" s="2">
        <v>3028.07</v>
      </c>
      <c r="E282" s="2">
        <v>3798.67</v>
      </c>
      <c r="F282" s="2">
        <v>7307.41</v>
      </c>
      <c r="G282" s="2">
        <v>8999.2999999999993</v>
      </c>
      <c r="H282" s="2">
        <v>10391.61</v>
      </c>
      <c r="I282" s="2">
        <v>12559.86</v>
      </c>
      <c r="J282" s="2">
        <v>15500.66</v>
      </c>
      <c r="K282" s="2">
        <v>16165.99</v>
      </c>
      <c r="L282" s="2">
        <v>18703.48</v>
      </c>
      <c r="M282" s="2">
        <v>16831.82</v>
      </c>
      <c r="N282" s="2">
        <v>18353.330000000002</v>
      </c>
    </row>
    <row r="283" spans="1:19" x14ac:dyDescent="0.25">
      <c r="A283" t="s">
        <v>2516</v>
      </c>
      <c r="B283">
        <v>110.93</v>
      </c>
      <c r="C283">
        <v>157.88</v>
      </c>
      <c r="D283">
        <v>157.91</v>
      </c>
      <c r="E283">
        <v>166.53</v>
      </c>
      <c r="F283">
        <v>181.63</v>
      </c>
      <c r="G283">
        <v>216.99</v>
      </c>
      <c r="H283">
        <v>274.29000000000002</v>
      </c>
      <c r="I283">
        <v>423.06</v>
      </c>
      <c r="J283">
        <v>677.62</v>
      </c>
      <c r="K283">
        <v>774.26</v>
      </c>
      <c r="L283">
        <v>910.9</v>
      </c>
      <c r="M283" s="2">
        <v>1056.6099999999999</v>
      </c>
      <c r="N283" s="2">
        <v>1420.22</v>
      </c>
      <c r="O283" s="2">
        <v>1399</v>
      </c>
      <c r="P283" s="2">
        <v>1511.33</v>
      </c>
      <c r="Q283" s="2">
        <v>1581.28</v>
      </c>
      <c r="R283" s="2">
        <v>1848.88</v>
      </c>
      <c r="S283" s="2">
        <v>2051</v>
      </c>
    </row>
    <row r="284" spans="1:19" x14ac:dyDescent="0.25">
      <c r="A284" t="s">
        <v>2603</v>
      </c>
      <c r="H284">
        <v>143.41</v>
      </c>
      <c r="I284">
        <v>154.74</v>
      </c>
      <c r="J284">
        <v>167.65</v>
      </c>
      <c r="K284">
        <v>155.94999999999999</v>
      </c>
      <c r="L284">
        <v>249.33</v>
      </c>
      <c r="M284">
        <v>511.32</v>
      </c>
      <c r="N284">
        <v>517.35</v>
      </c>
      <c r="O284">
        <v>616.84</v>
      </c>
      <c r="P284">
        <v>645.95000000000005</v>
      </c>
      <c r="Q284">
        <v>677.83</v>
      </c>
      <c r="R284">
        <v>779.24</v>
      </c>
    </row>
    <row r="285" spans="1:19" x14ac:dyDescent="0.25">
      <c r="A285" t="s">
        <v>2519</v>
      </c>
      <c r="B285">
        <v>68.739999999999995</v>
      </c>
      <c r="C285">
        <v>40.950000000000003</v>
      </c>
      <c r="D285">
        <v>84.97</v>
      </c>
      <c r="E285">
        <v>58.32</v>
      </c>
      <c r="F285">
        <v>40.47</v>
      </c>
      <c r="G285">
        <v>31.43</v>
      </c>
      <c r="H285">
        <v>7.98</v>
      </c>
      <c r="I285">
        <v>222.09</v>
      </c>
      <c r="J285" s="2">
        <v>1422.82</v>
      </c>
      <c r="K285" s="2">
        <v>1208.22</v>
      </c>
      <c r="L285" s="2">
        <v>1058.5</v>
      </c>
      <c r="M285">
        <v>975.83</v>
      </c>
      <c r="N285" s="2">
        <v>2115.83</v>
      </c>
      <c r="O285" s="2">
        <v>2142.02</v>
      </c>
      <c r="P285" s="2">
        <v>2153.5300000000002</v>
      </c>
      <c r="Q285" s="2">
        <v>2147.1999999999998</v>
      </c>
      <c r="R285" s="2">
        <v>2218.73</v>
      </c>
      <c r="S285" s="2">
        <v>2361</v>
      </c>
    </row>
    <row r="286" spans="1:19" x14ac:dyDescent="0.25">
      <c r="A286" t="s">
        <v>2518</v>
      </c>
      <c r="B286">
        <v>58.16</v>
      </c>
      <c r="C286">
        <v>85.58</v>
      </c>
      <c r="D286">
        <v>144.07</v>
      </c>
      <c r="E286">
        <v>143.72</v>
      </c>
      <c r="F286">
        <v>143.9</v>
      </c>
      <c r="G286">
        <v>143.79</v>
      </c>
      <c r="H286">
        <v>143.86000000000001</v>
      </c>
      <c r="I286">
        <v>371.05</v>
      </c>
      <c r="J286">
        <v>787.97</v>
      </c>
      <c r="K286">
        <v>999.66</v>
      </c>
      <c r="L286" s="2">
        <v>1123.98</v>
      </c>
      <c r="M286" s="2">
        <v>1162.6400000000001</v>
      </c>
      <c r="N286" s="2">
        <v>3454.11</v>
      </c>
      <c r="O286" s="2">
        <v>3494.93</v>
      </c>
      <c r="P286" s="2">
        <v>3546.44</v>
      </c>
      <c r="Q286" s="2">
        <v>3607.19</v>
      </c>
      <c r="R286" s="2">
        <v>3689.53</v>
      </c>
      <c r="S286" s="2">
        <v>4017</v>
      </c>
    </row>
    <row r="287" spans="1:19" x14ac:dyDescent="0.25">
      <c r="A287" t="s">
        <v>2678</v>
      </c>
      <c r="B287">
        <v>427.87</v>
      </c>
      <c r="C287">
        <v>132.75</v>
      </c>
      <c r="D287">
        <v>13.42</v>
      </c>
      <c r="E287">
        <v>21.96</v>
      </c>
      <c r="F287">
        <v>61.46</v>
      </c>
      <c r="G287">
        <v>42.08</v>
      </c>
      <c r="H287">
        <v>88.81</v>
      </c>
      <c r="I287">
        <v>121.23</v>
      </c>
      <c r="J287">
        <v>281.13</v>
      </c>
      <c r="K287">
        <v>124.05</v>
      </c>
      <c r="L287">
        <v>146.85</v>
      </c>
      <c r="M287">
        <v>202.78</v>
      </c>
      <c r="N287">
        <v>228.44</v>
      </c>
      <c r="O287">
        <v>104.47</v>
      </c>
      <c r="P287">
        <v>109.58</v>
      </c>
      <c r="Q287">
        <v>115.25</v>
      </c>
      <c r="R287">
        <v>134.78</v>
      </c>
    </row>
    <row r="288" spans="1:19" x14ac:dyDescent="0.25">
      <c r="A288" t="s">
        <v>2679</v>
      </c>
      <c r="B288">
        <v>223.4</v>
      </c>
      <c r="C288">
        <v>260.94</v>
      </c>
      <c r="D288">
        <v>220.89</v>
      </c>
      <c r="E288">
        <v>227.76</v>
      </c>
      <c r="F288">
        <v>311.83</v>
      </c>
      <c r="G288">
        <v>397.91</v>
      </c>
      <c r="H288">
        <v>447.47</v>
      </c>
      <c r="I288">
        <v>599.04</v>
      </c>
      <c r="J288" s="2">
        <v>1861.43</v>
      </c>
      <c r="K288" s="2">
        <v>2042.6</v>
      </c>
      <c r="L288" s="2">
        <v>1546.09</v>
      </c>
      <c r="M288" s="2">
        <v>1782.19</v>
      </c>
      <c r="N288" s="2">
        <v>1462.8</v>
      </c>
    </row>
    <row r="289" spans="1:19" x14ac:dyDescent="0.25">
      <c r="A289" t="s">
        <v>155</v>
      </c>
      <c r="B289" s="2">
        <v>23705.38</v>
      </c>
      <c r="C289" s="2">
        <v>21638.99</v>
      </c>
      <c r="D289" s="2">
        <v>4321.41</v>
      </c>
      <c r="E289" s="2">
        <v>5829.71</v>
      </c>
      <c r="F289" s="2">
        <v>8563.52</v>
      </c>
      <c r="G289" s="2">
        <v>10154.69</v>
      </c>
      <c r="H289" s="2">
        <v>12014.2</v>
      </c>
      <c r="I289" s="2">
        <v>15168.99</v>
      </c>
      <c r="J289" s="2">
        <v>21605.16</v>
      </c>
      <c r="K289" s="2">
        <v>22002.84</v>
      </c>
      <c r="L289" s="2">
        <v>24730.5</v>
      </c>
      <c r="M289" s="2">
        <v>24884.31</v>
      </c>
      <c r="N289" s="2">
        <v>28633.37</v>
      </c>
      <c r="O289" s="2">
        <v>30971.919999999998</v>
      </c>
      <c r="P289" s="2">
        <v>33407.120000000003</v>
      </c>
      <c r="Q289" s="2">
        <v>36154.74</v>
      </c>
      <c r="R289" s="2">
        <v>42666.53</v>
      </c>
      <c r="S289" s="2">
        <v>35180</v>
      </c>
    </row>
    <row r="290" spans="1:19" x14ac:dyDescent="0.25">
      <c r="A290" t="s">
        <v>17</v>
      </c>
    </row>
    <row r="291" spans="1:19" x14ac:dyDescent="0.25">
      <c r="A291" t="s">
        <v>2605</v>
      </c>
    </row>
    <row r="292" spans="1:19" x14ac:dyDescent="0.25">
      <c r="A292" t="s">
        <v>1228</v>
      </c>
      <c r="B292">
        <v>295.98</v>
      </c>
      <c r="C292">
        <v>380.27</v>
      </c>
      <c r="D292">
        <v>401.72</v>
      </c>
      <c r="E292">
        <v>598.04999999999995</v>
      </c>
      <c r="F292">
        <v>822.08</v>
      </c>
      <c r="G292">
        <v>641.74</v>
      </c>
      <c r="H292">
        <v>829.76</v>
      </c>
      <c r="I292">
        <v>813.38</v>
      </c>
      <c r="J292" s="2">
        <v>2190.35</v>
      </c>
      <c r="K292" s="2">
        <v>2282.21</v>
      </c>
      <c r="L292" s="2">
        <v>2514.61</v>
      </c>
      <c r="M292" s="2">
        <v>2537.1999999999998</v>
      </c>
      <c r="N292" s="2">
        <v>2951.33</v>
      </c>
      <c r="O292" s="2">
        <v>3086.56</v>
      </c>
      <c r="P292" s="2">
        <v>3360.52</v>
      </c>
      <c r="Q292" s="2">
        <v>3390.25</v>
      </c>
      <c r="R292" s="2">
        <v>3844.55</v>
      </c>
    </row>
    <row r="293" spans="1:19" x14ac:dyDescent="0.25">
      <c r="A293" t="s">
        <v>160</v>
      </c>
      <c r="B293">
        <v>132.91999999999999</v>
      </c>
      <c r="C293">
        <v>129.43</v>
      </c>
      <c r="D293">
        <v>125.03</v>
      </c>
      <c r="E293">
        <v>131.74</v>
      </c>
      <c r="F293">
        <v>27.98</v>
      </c>
      <c r="G293">
        <v>29.39</v>
      </c>
      <c r="H293">
        <v>37.799999999999997</v>
      </c>
      <c r="I293">
        <v>103.01</v>
      </c>
      <c r="J293">
        <v>310.22000000000003</v>
      </c>
      <c r="K293">
        <v>510.13</v>
      </c>
      <c r="L293">
        <v>287.26</v>
      </c>
      <c r="M293">
        <v>280.89</v>
      </c>
      <c r="N293">
        <v>472.98</v>
      </c>
      <c r="O293">
        <v>557.85</v>
      </c>
      <c r="P293">
        <v>611.6</v>
      </c>
      <c r="Q293">
        <v>617.24</v>
      </c>
      <c r="R293">
        <v>736.7</v>
      </c>
    </row>
    <row r="294" spans="1:19" x14ac:dyDescent="0.25">
      <c r="A294" t="s">
        <v>2404</v>
      </c>
      <c r="B294">
        <v>35.39</v>
      </c>
      <c r="C294">
        <v>21.47</v>
      </c>
      <c r="D294">
        <v>11.16</v>
      </c>
      <c r="E294">
        <v>17.559999999999999</v>
      </c>
      <c r="F294">
        <v>39.18</v>
      </c>
      <c r="G294">
        <v>82.41</v>
      </c>
      <c r="H294">
        <v>71.45</v>
      </c>
      <c r="I294">
        <v>100.19</v>
      </c>
      <c r="J294">
        <v>198.55</v>
      </c>
      <c r="K294">
        <v>256.83999999999997</v>
      </c>
      <c r="L294">
        <v>243.81</v>
      </c>
      <c r="M294">
        <v>500.48</v>
      </c>
      <c r="N294">
        <v>810.41</v>
      </c>
      <c r="O294">
        <v>810.07</v>
      </c>
      <c r="P294">
        <v>852.83</v>
      </c>
      <c r="Q294">
        <v>925.02</v>
      </c>
      <c r="R294" s="2">
        <v>1140.93</v>
      </c>
    </row>
    <row r="295" spans="1:19" x14ac:dyDescent="0.25">
      <c r="A295" t="s">
        <v>2680</v>
      </c>
      <c r="B295">
        <v>295.98</v>
      </c>
      <c r="C295">
        <v>380.27</v>
      </c>
      <c r="D295">
        <v>401.72</v>
      </c>
      <c r="E295">
        <v>598.04999999999995</v>
      </c>
      <c r="F295">
        <v>822.08</v>
      </c>
      <c r="G295">
        <v>641.74</v>
      </c>
      <c r="H295">
        <v>829.76</v>
      </c>
      <c r="I295">
        <v>813.38</v>
      </c>
      <c r="J295" s="2">
        <v>2190.35</v>
      </c>
      <c r="K295" s="2">
        <v>2282.21</v>
      </c>
      <c r="L295" s="2">
        <v>2514.61</v>
      </c>
      <c r="M295" s="2">
        <v>2537.1999999999998</v>
      </c>
      <c r="N295" s="2">
        <v>2951.33</v>
      </c>
      <c r="O295" s="2">
        <v>3086.56</v>
      </c>
      <c r="P295" s="2">
        <v>3360.52</v>
      </c>
      <c r="Q295" s="2">
        <v>3390.25</v>
      </c>
      <c r="R295" s="2">
        <v>3844.55</v>
      </c>
    </row>
    <row r="296" spans="1:19" x14ac:dyDescent="0.25">
      <c r="A296" t="s">
        <v>2681</v>
      </c>
      <c r="B296">
        <v>153.12</v>
      </c>
      <c r="C296">
        <v>243.49</v>
      </c>
      <c r="D296">
        <v>389.12</v>
      </c>
      <c r="E296">
        <v>305.77999999999997</v>
      </c>
      <c r="F296">
        <v>616.17999999999995</v>
      </c>
      <c r="G296">
        <v>480.95</v>
      </c>
      <c r="H296">
        <v>316.61</v>
      </c>
      <c r="I296">
        <v>643</v>
      </c>
      <c r="J296" s="2">
        <v>1503.71</v>
      </c>
      <c r="K296" s="2">
        <v>2273.85</v>
      </c>
      <c r="L296" s="2">
        <v>2965.48</v>
      </c>
      <c r="M296" s="2">
        <v>2558.91</v>
      </c>
      <c r="N296" s="2">
        <v>3941.42</v>
      </c>
      <c r="O296" s="2">
        <v>4253.37</v>
      </c>
      <c r="P296" s="2">
        <v>4500.8999999999996</v>
      </c>
      <c r="Q296" s="2">
        <v>4820.99</v>
      </c>
      <c r="R296" s="2">
        <v>6139.05</v>
      </c>
      <c r="S296" s="2">
        <v>4441</v>
      </c>
    </row>
    <row r="297" spans="1:19" x14ac:dyDescent="0.25">
      <c r="A297" t="s">
        <v>202</v>
      </c>
      <c r="H297">
        <v>168.82</v>
      </c>
      <c r="I297">
        <v>180.24</v>
      </c>
      <c r="J297">
        <v>205.08</v>
      </c>
      <c r="K297">
        <v>190.62</v>
      </c>
      <c r="L297">
        <v>319.57</v>
      </c>
      <c r="M297">
        <v>641.86</v>
      </c>
      <c r="N297">
        <v>670</v>
      </c>
      <c r="O297">
        <v>786.34</v>
      </c>
      <c r="P297">
        <v>824.01</v>
      </c>
      <c r="Q297">
        <v>898.76</v>
      </c>
      <c r="R297" s="2">
        <v>1079.05</v>
      </c>
    </row>
    <row r="298" spans="1:19" x14ac:dyDescent="0.25">
      <c r="A298" t="s">
        <v>2682</v>
      </c>
      <c r="B298" s="2">
        <v>13844.76</v>
      </c>
      <c r="C298" s="2">
        <v>12826.77</v>
      </c>
      <c r="D298" s="2">
        <v>2186.09</v>
      </c>
      <c r="E298" s="2">
        <v>3086.18</v>
      </c>
      <c r="F298" s="2">
        <v>5101.3900000000003</v>
      </c>
      <c r="G298" s="2">
        <v>6887.38</v>
      </c>
      <c r="H298" s="2">
        <v>8080.99</v>
      </c>
      <c r="I298" s="2">
        <v>10079.99</v>
      </c>
      <c r="J298" s="2">
        <v>10785.43</v>
      </c>
      <c r="K298" s="2">
        <v>10869.77</v>
      </c>
      <c r="L298" s="2">
        <v>12470.9</v>
      </c>
      <c r="M298" s="2">
        <v>9947.19</v>
      </c>
      <c r="N298" s="2">
        <v>9610.85</v>
      </c>
    </row>
    <row r="299" spans="1:19" x14ac:dyDescent="0.25">
      <c r="A299" t="s">
        <v>167</v>
      </c>
      <c r="B299" s="2">
        <v>16030.32</v>
      </c>
      <c r="C299" s="2">
        <v>14879.62</v>
      </c>
      <c r="D299" s="2">
        <v>3329.5</v>
      </c>
      <c r="E299" s="2">
        <v>4452.45</v>
      </c>
      <c r="F299" s="2">
        <v>7103.23</v>
      </c>
      <c r="G299" s="2">
        <v>8760.35</v>
      </c>
      <c r="H299" s="2">
        <v>10155.6</v>
      </c>
      <c r="I299" s="2">
        <v>12596.85</v>
      </c>
      <c r="J299" s="2">
        <v>16694.73</v>
      </c>
      <c r="K299" s="2">
        <v>17097.810000000001</v>
      </c>
      <c r="L299" s="2">
        <v>19709.150000000001</v>
      </c>
      <c r="M299" s="2">
        <v>17485.919999999998</v>
      </c>
      <c r="N299" s="2">
        <v>19931.98</v>
      </c>
      <c r="O299" s="2">
        <v>22105.98</v>
      </c>
      <c r="P299" s="2">
        <v>24545.88</v>
      </c>
      <c r="Q299" s="2">
        <v>26576.41</v>
      </c>
      <c r="R299" s="2">
        <v>30978.84</v>
      </c>
      <c r="S299" s="2">
        <v>24273</v>
      </c>
    </row>
    <row r="300" spans="1:19" x14ac:dyDescent="0.25">
      <c r="A300" t="s">
        <v>911</v>
      </c>
      <c r="B300" s="2">
        <v>7675.07</v>
      </c>
      <c r="C300" s="2">
        <v>6759.37</v>
      </c>
      <c r="D300">
        <v>991.91</v>
      </c>
      <c r="E300" s="2">
        <v>1377.26</v>
      </c>
      <c r="F300" s="2">
        <v>1460.29</v>
      </c>
      <c r="G300" s="2">
        <v>1394.34</v>
      </c>
      <c r="H300" s="2">
        <v>1858.6</v>
      </c>
      <c r="I300" s="2">
        <v>2471.77</v>
      </c>
      <c r="J300" s="2">
        <v>3814.43</v>
      </c>
      <c r="K300" s="2">
        <v>3798.62</v>
      </c>
      <c r="L300" s="2">
        <v>4474.3100000000004</v>
      </c>
      <c r="M300" s="2">
        <v>6824.19</v>
      </c>
      <c r="N300" s="2">
        <v>8676.09</v>
      </c>
      <c r="O300" s="2">
        <v>9197.4</v>
      </c>
      <c r="P300" s="2">
        <v>10298.84</v>
      </c>
      <c r="Q300" s="2">
        <v>11263.8</v>
      </c>
      <c r="R300" s="2">
        <v>13607.9</v>
      </c>
    </row>
    <row r="301" spans="1:19" x14ac:dyDescent="0.25">
      <c r="A301" t="s">
        <v>170</v>
      </c>
      <c r="B301">
        <v>525.67999999999995</v>
      </c>
      <c r="C301">
        <v>283.64</v>
      </c>
      <c r="D301">
        <v>246.92</v>
      </c>
      <c r="E301">
        <v>591.61</v>
      </c>
      <c r="F301">
        <v>573.62</v>
      </c>
      <c r="G301">
        <v>587.91999999999996</v>
      </c>
      <c r="H301">
        <v>768.29</v>
      </c>
      <c r="I301" s="2">
        <v>1193.69</v>
      </c>
      <c r="J301" s="2">
        <v>1825.23</v>
      </c>
      <c r="K301" s="2">
        <v>1589.24</v>
      </c>
      <c r="L301" s="2">
        <v>1893.4</v>
      </c>
      <c r="M301" s="2">
        <v>3543.65</v>
      </c>
      <c r="N301" s="2">
        <v>4275.46</v>
      </c>
      <c r="O301" s="2">
        <v>4340.67</v>
      </c>
      <c r="P301" s="2">
        <v>4756.83</v>
      </c>
      <c r="Q301" s="2">
        <v>5176</v>
      </c>
      <c r="R301" s="2">
        <v>5846</v>
      </c>
      <c r="S301" s="2">
        <v>5510</v>
      </c>
    </row>
    <row r="302" spans="1:19" x14ac:dyDescent="0.25">
      <c r="A302" t="s">
        <v>2683</v>
      </c>
      <c r="E302">
        <v>298.76</v>
      </c>
      <c r="F302">
        <v>298.76</v>
      </c>
      <c r="G302">
        <v>298.76</v>
      </c>
      <c r="H302">
        <v>298.76</v>
      </c>
      <c r="I302">
        <v>298.76</v>
      </c>
      <c r="J302">
        <v>0</v>
      </c>
      <c r="K302">
        <v>0</v>
      </c>
      <c r="L302">
        <v>0</v>
      </c>
      <c r="M302" s="2">
        <v>1458.77</v>
      </c>
      <c r="N302" s="2">
        <v>1460.03</v>
      </c>
      <c r="O302" s="2">
        <v>1463.62</v>
      </c>
      <c r="P302" s="2">
        <v>1469.53</v>
      </c>
      <c r="Q302" s="2">
        <v>1479.44</v>
      </c>
      <c r="R302" s="2">
        <v>1514.25</v>
      </c>
    </row>
    <row r="303" spans="1:19" x14ac:dyDescent="0.25">
      <c r="A303" t="s">
        <v>171</v>
      </c>
      <c r="B303">
        <v>321.89</v>
      </c>
      <c r="C303">
        <v>285.02999999999997</v>
      </c>
      <c r="D303">
        <v>251.54</v>
      </c>
      <c r="E303">
        <v>301.79000000000002</v>
      </c>
      <c r="F303">
        <v>279.07</v>
      </c>
      <c r="G303">
        <v>1.02</v>
      </c>
      <c r="H303">
        <v>1.1499999999999999</v>
      </c>
      <c r="I303">
        <v>2.6</v>
      </c>
      <c r="J303">
        <v>2.91</v>
      </c>
      <c r="K303">
        <v>2.95</v>
      </c>
      <c r="L303">
        <v>3.08</v>
      </c>
      <c r="M303">
        <v>3.13</v>
      </c>
      <c r="N303">
        <v>3.27</v>
      </c>
    </row>
    <row r="304" spans="1:19" x14ac:dyDescent="0.25">
      <c r="A304" t="s">
        <v>2684</v>
      </c>
      <c r="B304">
        <v>338.38</v>
      </c>
      <c r="G304">
        <v>326.01</v>
      </c>
      <c r="H304">
        <v>525.24</v>
      </c>
      <c r="I304" s="2">
        <v>1043.67</v>
      </c>
      <c r="J304" s="2">
        <v>1913.56</v>
      </c>
      <c r="K304" s="2">
        <v>1970.75</v>
      </c>
      <c r="L304" s="2">
        <v>2391.04</v>
      </c>
      <c r="M304" s="2">
        <v>2936.79</v>
      </c>
      <c r="N304" s="2">
        <v>4242.68</v>
      </c>
      <c r="O304" s="2">
        <v>4308.29</v>
      </c>
      <c r="P304" s="2">
        <v>4375.25</v>
      </c>
      <c r="Q304" s="2">
        <v>4444.47</v>
      </c>
      <c r="R304" s="2">
        <v>4431.6899999999996</v>
      </c>
    </row>
    <row r="305" spans="1:19" x14ac:dyDescent="0.25">
      <c r="A305" t="s">
        <v>2685</v>
      </c>
      <c r="B305">
        <v>-135.57</v>
      </c>
      <c r="G305">
        <v>-29.34</v>
      </c>
      <c r="H305">
        <v>-50.82</v>
      </c>
      <c r="I305">
        <v>-151.82</v>
      </c>
      <c r="J305">
        <v>-89.38</v>
      </c>
      <c r="K305">
        <v>-369.48</v>
      </c>
      <c r="L305">
        <v>-495.08</v>
      </c>
      <c r="M305">
        <v>-837.29</v>
      </c>
      <c r="N305" s="2">
        <v>-1452.26</v>
      </c>
      <c r="O305" s="2">
        <v>-1649.31</v>
      </c>
      <c r="P305" s="2">
        <v>-1528.25</v>
      </c>
      <c r="Q305" s="2">
        <v>-1373.5</v>
      </c>
      <c r="R305" s="2">
        <v>-1443.84</v>
      </c>
    </row>
    <row r="306" spans="1:19" x14ac:dyDescent="0.25">
      <c r="A306" t="s">
        <v>174</v>
      </c>
      <c r="B306">
        <v>0.99</v>
      </c>
      <c r="C306">
        <v>-1.39</v>
      </c>
      <c r="D306">
        <v>-4.62</v>
      </c>
      <c r="E306">
        <v>-8.94</v>
      </c>
      <c r="F306">
        <v>-4.21</v>
      </c>
      <c r="G306">
        <v>-8.52</v>
      </c>
      <c r="H306">
        <v>-6.05</v>
      </c>
      <c r="I306">
        <v>0.48</v>
      </c>
      <c r="J306">
        <v>-1.86</v>
      </c>
      <c r="K306">
        <v>-14.99</v>
      </c>
      <c r="L306">
        <v>-5.63</v>
      </c>
      <c r="M306">
        <v>-17.760000000000002</v>
      </c>
      <c r="N306">
        <v>21.74</v>
      </c>
      <c r="O306">
        <v>13.99</v>
      </c>
      <c r="P306">
        <v>13.99</v>
      </c>
      <c r="Q306">
        <v>13.99</v>
      </c>
      <c r="R306">
        <v>13.99</v>
      </c>
    </row>
    <row r="307" spans="1:19" x14ac:dyDescent="0.25">
      <c r="A307" t="s">
        <v>2686</v>
      </c>
      <c r="B307" s="2">
        <v>7149.39</v>
      </c>
      <c r="C307" s="2">
        <v>6475.73</v>
      </c>
      <c r="D307">
        <v>744.99</v>
      </c>
      <c r="E307">
        <v>785.65</v>
      </c>
      <c r="F307">
        <v>886.67</v>
      </c>
      <c r="G307">
        <v>806.42</v>
      </c>
      <c r="H307" s="2">
        <v>1090.31</v>
      </c>
      <c r="I307" s="2">
        <v>1378.46</v>
      </c>
      <c r="J307" s="2">
        <v>3085.21</v>
      </c>
      <c r="K307" s="2">
        <v>3315.79</v>
      </c>
      <c r="L307" s="2">
        <v>3127.95</v>
      </c>
      <c r="M307" s="2">
        <v>3854.74</v>
      </c>
      <c r="N307" s="2">
        <v>4425.93</v>
      </c>
    </row>
    <row r="308" spans="1:19" x14ac:dyDescent="0.25">
      <c r="A308" t="s">
        <v>326</v>
      </c>
      <c r="B308" s="2">
        <v>23705.38</v>
      </c>
      <c r="C308" s="2">
        <v>21638.99</v>
      </c>
      <c r="D308" s="2">
        <v>4321.41</v>
      </c>
      <c r="E308" s="2">
        <v>5829.71</v>
      </c>
      <c r="F308" s="2">
        <v>8563.52</v>
      </c>
      <c r="G308" s="2">
        <v>10154.69</v>
      </c>
      <c r="H308" s="2">
        <v>12014.2</v>
      </c>
      <c r="I308" s="2">
        <v>15168.99</v>
      </c>
      <c r="J308" s="2">
        <v>21605.16</v>
      </c>
      <c r="K308" s="2">
        <v>22002.84</v>
      </c>
      <c r="L308" s="2">
        <v>24730.5</v>
      </c>
      <c r="M308" s="2">
        <v>24884.31</v>
      </c>
      <c r="N308" s="2">
        <v>28633.37</v>
      </c>
      <c r="O308" s="2">
        <v>30971.919999999998</v>
      </c>
      <c r="P308" s="2">
        <v>33407.120000000003</v>
      </c>
      <c r="Q308" s="2">
        <v>36154.74</v>
      </c>
      <c r="R308" s="2">
        <v>42666.53</v>
      </c>
      <c r="S308" s="2">
        <v>35180</v>
      </c>
    </row>
    <row r="309" spans="1:19" x14ac:dyDescent="0.25">
      <c r="A309" t="s">
        <v>17</v>
      </c>
    </row>
    <row r="310" spans="1:19" x14ac:dyDescent="0.25">
      <c r="A310" t="s">
        <v>176</v>
      </c>
    </row>
    <row r="311" spans="1:19" x14ac:dyDescent="0.25">
      <c r="A311" t="s">
        <v>2687</v>
      </c>
      <c r="B311">
        <v>945.12</v>
      </c>
      <c r="C311">
        <v>618.9</v>
      </c>
      <c r="D311">
        <v>51.78</v>
      </c>
      <c r="E311">
        <v>208.74</v>
      </c>
      <c r="F311">
        <v>350.15</v>
      </c>
      <c r="G311">
        <v>471.39</v>
      </c>
      <c r="H311">
        <v>500.15</v>
      </c>
      <c r="I311">
        <v>514.95000000000005</v>
      </c>
      <c r="J311" s="2">
        <v>1118.46</v>
      </c>
      <c r="K311">
        <v>314.19</v>
      </c>
      <c r="L311">
        <v>484.12</v>
      </c>
      <c r="M311">
        <v>332.41</v>
      </c>
      <c r="N311">
        <v>165.39</v>
      </c>
      <c r="O311">
        <v>277.58</v>
      </c>
      <c r="P311">
        <v>308.13</v>
      </c>
      <c r="Q311">
        <v>331.48</v>
      </c>
      <c r="R311">
        <v>395.51</v>
      </c>
    </row>
    <row r="312" spans="1:19" x14ac:dyDescent="0.25">
      <c r="A312" t="s">
        <v>2688</v>
      </c>
      <c r="F312">
        <v>216.68</v>
      </c>
      <c r="G312">
        <v>226.42</v>
      </c>
      <c r="H312">
        <v>246.86</v>
      </c>
      <c r="I312">
        <v>275.06</v>
      </c>
      <c r="J312">
        <v>307.63</v>
      </c>
      <c r="K312">
        <v>308.91000000000003</v>
      </c>
      <c r="L312">
        <v>318.73</v>
      </c>
      <c r="M312">
        <v>334.36</v>
      </c>
      <c r="N312">
        <v>346.24</v>
      </c>
      <c r="O312">
        <v>347.34</v>
      </c>
      <c r="P312">
        <v>351.49</v>
      </c>
      <c r="Q312">
        <v>357.4</v>
      </c>
      <c r="R312">
        <v>352</v>
      </c>
    </row>
    <row r="313" spans="1:19" x14ac:dyDescent="0.25">
      <c r="A313" t="s">
        <v>2689</v>
      </c>
      <c r="F313" s="2">
        <v>2789</v>
      </c>
      <c r="I313" s="2">
        <v>9022</v>
      </c>
      <c r="J313" s="2">
        <v>23994</v>
      </c>
      <c r="K313" s="2">
        <v>4986</v>
      </c>
      <c r="L313" s="2">
        <v>1692</v>
      </c>
      <c r="M313" s="2">
        <v>1853</v>
      </c>
      <c r="N313" s="2">
        <v>31585</v>
      </c>
      <c r="O313" s="2">
        <v>5495</v>
      </c>
    </row>
    <row r="314" spans="1:19" x14ac:dyDescent="0.25">
      <c r="A314" t="s">
        <v>17</v>
      </c>
    </row>
    <row r="315" spans="1:19" x14ac:dyDescent="0.25">
      <c r="A315" t="s">
        <v>231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A655-8A2F-4EFC-B652-08289A711E59}">
  <dimension ref="A1:A33"/>
  <sheetViews>
    <sheetView workbookViewId="0">
      <selection activeCell="A35" sqref="A35"/>
    </sheetView>
  </sheetViews>
  <sheetFormatPr defaultRowHeight="15" x14ac:dyDescent="0.25"/>
  <sheetData>
    <row r="1" spans="1:1" x14ac:dyDescent="0.25">
      <c r="A1" s="3"/>
    </row>
    <row r="2" spans="1:1" x14ac:dyDescent="0.25">
      <c r="A2" s="3" t="s">
        <v>2690</v>
      </c>
    </row>
    <row r="3" spans="1:1" x14ac:dyDescent="0.25">
      <c r="A3" s="3" t="s">
        <v>2691</v>
      </c>
    </row>
    <row r="4" spans="1:1" x14ac:dyDescent="0.25">
      <c r="A4" s="3" t="s">
        <v>2692</v>
      </c>
    </row>
    <row r="5" spans="1:1" x14ac:dyDescent="0.25">
      <c r="A5" s="3" t="s">
        <v>2693</v>
      </c>
    </row>
    <row r="6" spans="1:1" x14ac:dyDescent="0.25">
      <c r="A6" s="3" t="s">
        <v>2694</v>
      </c>
    </row>
    <row r="7" spans="1:1" x14ac:dyDescent="0.25">
      <c r="A7" s="3"/>
    </row>
    <row r="8" spans="1:1" x14ac:dyDescent="0.25">
      <c r="A8" s="3" t="s">
        <v>2695</v>
      </c>
    </row>
    <row r="9" spans="1:1" x14ac:dyDescent="0.25">
      <c r="A9" s="3"/>
    </row>
    <row r="10" spans="1:1" x14ac:dyDescent="0.25">
      <c r="A10" s="3"/>
    </row>
    <row r="11" spans="1:1" x14ac:dyDescent="0.25">
      <c r="A11" s="3" t="s">
        <v>2696</v>
      </c>
    </row>
    <row r="12" spans="1:1" x14ac:dyDescent="0.25">
      <c r="A12" s="3" t="s">
        <v>2697</v>
      </c>
    </row>
    <row r="13" spans="1:1" x14ac:dyDescent="0.25">
      <c r="A13" s="3"/>
    </row>
    <row r="14" spans="1:1" x14ac:dyDescent="0.25">
      <c r="A14" s="3"/>
    </row>
    <row r="15" spans="1:1" x14ac:dyDescent="0.25">
      <c r="A15" s="3" t="s">
        <v>2698</v>
      </c>
    </row>
    <row r="16" spans="1:1" x14ac:dyDescent="0.25">
      <c r="A16" s="3" t="s">
        <v>2699</v>
      </c>
    </row>
    <row r="17" spans="1:1" x14ac:dyDescent="0.25">
      <c r="A17" s="3"/>
    </row>
    <row r="18" spans="1:1" x14ac:dyDescent="0.25">
      <c r="A18" s="3" t="s">
        <v>2700</v>
      </c>
    </row>
    <row r="27" spans="1:1" x14ac:dyDescent="0.25">
      <c r="A27" t="s">
        <v>2701</v>
      </c>
    </row>
    <row r="30" spans="1:1" x14ac:dyDescent="0.25">
      <c r="A30" t="s">
        <v>2702</v>
      </c>
    </row>
    <row r="33" spans="1:1" x14ac:dyDescent="0.25">
      <c r="A33" t="s">
        <v>3231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3AB5-C591-425E-A4BA-D4FA9D740B6F}">
  <dimension ref="A1:U164"/>
  <sheetViews>
    <sheetView workbookViewId="0">
      <selection sqref="A1:U164"/>
    </sheetView>
  </sheetViews>
  <sheetFormatPr defaultRowHeight="15" x14ac:dyDescent="0.25"/>
  <sheetData>
    <row r="1" spans="1:21" x14ac:dyDescent="0.25">
      <c r="A1" t="s">
        <v>2703</v>
      </c>
    </row>
    <row r="2" spans="1:21" x14ac:dyDescent="0.25">
      <c r="A2" t="s">
        <v>2704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110</v>
      </c>
      <c r="K6">
        <v>-16.329999999999998</v>
      </c>
      <c r="L6">
        <v>0.78</v>
      </c>
      <c r="M6">
        <v>0.3</v>
      </c>
      <c r="N6">
        <v>-0.44</v>
      </c>
      <c r="O6">
        <v>1.07</v>
      </c>
      <c r="P6">
        <v>1.36</v>
      </c>
      <c r="Q6">
        <v>2.0499999999999998</v>
      </c>
      <c r="R6">
        <v>3.42</v>
      </c>
      <c r="S6">
        <v>4.43</v>
      </c>
      <c r="T6">
        <v>5.95</v>
      </c>
      <c r="U6">
        <v>7.18</v>
      </c>
    </row>
    <row r="7" spans="1:21" x14ac:dyDescent="0.25">
      <c r="A7" t="s">
        <v>16</v>
      </c>
      <c r="K7">
        <v>772.05</v>
      </c>
      <c r="L7" s="2">
        <v>1450.47</v>
      </c>
      <c r="M7" s="2">
        <v>1676.25</v>
      </c>
      <c r="N7" s="2">
        <v>2746.64</v>
      </c>
      <c r="O7" s="2">
        <v>3004.81</v>
      </c>
      <c r="P7" s="2">
        <v>3751.59</v>
      </c>
      <c r="Q7" s="2">
        <v>4735.6499999999996</v>
      </c>
      <c r="R7" s="2">
        <v>5885.13</v>
      </c>
      <c r="S7" s="2">
        <v>7927</v>
      </c>
      <c r="T7" s="2">
        <v>8822.5</v>
      </c>
      <c r="U7" s="2">
        <v>10107.5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2705</v>
      </c>
      <c r="K10">
        <v>735.89</v>
      </c>
      <c r="L10" s="2">
        <v>1430.61</v>
      </c>
      <c r="M10" s="2">
        <v>1661.08</v>
      </c>
      <c r="N10" s="2">
        <v>2636.82</v>
      </c>
      <c r="O10" s="2">
        <v>2678.06</v>
      </c>
      <c r="P10" s="2">
        <v>3407.19</v>
      </c>
      <c r="Q10" s="2">
        <v>4329.84</v>
      </c>
      <c r="R10" s="2">
        <v>5422.67</v>
      </c>
      <c r="S10" s="2">
        <v>7854.8</v>
      </c>
    </row>
    <row r="11" spans="1:21" x14ac:dyDescent="0.25">
      <c r="A11" t="s">
        <v>212</v>
      </c>
      <c r="K11">
        <v>36.17</v>
      </c>
      <c r="L11">
        <v>19.86</v>
      </c>
      <c r="M11">
        <v>15.17</v>
      </c>
      <c r="N11">
        <v>109.82</v>
      </c>
      <c r="O11">
        <v>315.08999999999997</v>
      </c>
      <c r="P11">
        <v>297.83999999999997</v>
      </c>
      <c r="Q11">
        <v>400.77</v>
      </c>
      <c r="R11">
        <v>537.66</v>
      </c>
      <c r="S11">
        <v>539.27</v>
      </c>
    </row>
    <row r="12" spans="1:21" x14ac:dyDescent="0.25">
      <c r="A12" t="s">
        <v>2706</v>
      </c>
      <c r="N12">
        <v>84.78</v>
      </c>
      <c r="O12">
        <v>140.36000000000001</v>
      </c>
      <c r="P12">
        <v>211.7</v>
      </c>
      <c r="Q12">
        <v>296.49</v>
      </c>
      <c r="R12">
        <v>390.95</v>
      </c>
      <c r="S12">
        <v>572.91999999999996</v>
      </c>
    </row>
    <row r="13" spans="1:21" x14ac:dyDescent="0.25">
      <c r="A13" t="s">
        <v>2707</v>
      </c>
      <c r="K13">
        <v>21.89</v>
      </c>
      <c r="L13">
        <v>9.9</v>
      </c>
      <c r="M13">
        <v>6.01</v>
      </c>
      <c r="N13">
        <v>24.34</v>
      </c>
      <c r="O13">
        <v>28.84</v>
      </c>
      <c r="P13">
        <v>61.79</v>
      </c>
      <c r="Q13">
        <v>76.37</v>
      </c>
      <c r="R13">
        <v>110.52</v>
      </c>
      <c r="S13">
        <v>160.94</v>
      </c>
    </row>
    <row r="14" spans="1:21" x14ac:dyDescent="0.25">
      <c r="A14" t="s">
        <v>2708</v>
      </c>
      <c r="K14">
        <v>5.75</v>
      </c>
      <c r="L14">
        <v>2.97</v>
      </c>
      <c r="M14">
        <v>3.16</v>
      </c>
      <c r="N14">
        <v>0.7</v>
      </c>
      <c r="O14">
        <v>68.27</v>
      </c>
      <c r="P14">
        <v>62.53</v>
      </c>
      <c r="Q14">
        <v>1.02</v>
      </c>
    </row>
    <row r="15" spans="1:21" x14ac:dyDescent="0.25">
      <c r="A15" t="s">
        <v>17</v>
      </c>
    </row>
    <row r="16" spans="1:21" x14ac:dyDescent="0.25">
      <c r="A16" t="s">
        <v>680</v>
      </c>
      <c r="K16">
        <v>-24.84</v>
      </c>
      <c r="L16">
        <v>304.42</v>
      </c>
      <c r="M16">
        <v>284.87</v>
      </c>
      <c r="N16">
        <v>582</v>
      </c>
      <c r="O16">
        <v>704.82</v>
      </c>
      <c r="P16">
        <v>803.78</v>
      </c>
      <c r="Q16" s="2">
        <v>1147.74</v>
      </c>
      <c r="R16" s="2">
        <v>1764.8</v>
      </c>
      <c r="S16" s="2">
        <v>2452.5</v>
      </c>
    </row>
    <row r="17" spans="1:21" x14ac:dyDescent="0.25">
      <c r="A17" t="s">
        <v>17</v>
      </c>
    </row>
    <row r="18" spans="1:21" x14ac:dyDescent="0.25">
      <c r="A18" t="s">
        <v>37</v>
      </c>
    </row>
    <row r="19" spans="1:21" x14ac:dyDescent="0.25">
      <c r="A19" t="s">
        <v>51</v>
      </c>
    </row>
    <row r="20" spans="1:21" x14ac:dyDescent="0.25">
      <c r="A20" t="s">
        <v>2709</v>
      </c>
      <c r="K20">
        <v>1.02</v>
      </c>
      <c r="L20">
        <v>6.99</v>
      </c>
      <c r="M20">
        <v>6</v>
      </c>
    </row>
    <row r="21" spans="1:21" x14ac:dyDescent="0.25">
      <c r="A21" t="s">
        <v>17</v>
      </c>
    </row>
    <row r="22" spans="1:21" x14ac:dyDescent="0.25">
      <c r="A22" t="s">
        <v>2710</v>
      </c>
      <c r="K22" s="2">
        <v>49861</v>
      </c>
      <c r="L22" s="2">
        <v>30467</v>
      </c>
      <c r="M22" s="2">
        <v>33342</v>
      </c>
      <c r="N22" s="2">
        <v>75300</v>
      </c>
      <c r="O22" s="2">
        <v>75835.149999999994</v>
      </c>
      <c r="P22" s="2">
        <v>92211.1</v>
      </c>
      <c r="Q22" s="2">
        <v>120800.04</v>
      </c>
      <c r="R22" s="2">
        <v>162628.4</v>
      </c>
      <c r="S22" s="2">
        <v>216788.6</v>
      </c>
    </row>
    <row r="23" spans="1:21" x14ac:dyDescent="0.25">
      <c r="A23" t="s">
        <v>2711</v>
      </c>
      <c r="K23">
        <v>1.5</v>
      </c>
      <c r="L23">
        <v>4.7</v>
      </c>
      <c r="M23">
        <v>5</v>
      </c>
      <c r="N23">
        <v>4.0999999999999996</v>
      </c>
      <c r="O23">
        <v>3.4</v>
      </c>
      <c r="P23">
        <v>3.54</v>
      </c>
      <c r="Q23">
        <v>3.59</v>
      </c>
      <c r="R23">
        <v>3.54</v>
      </c>
      <c r="S23">
        <v>3.65</v>
      </c>
    </row>
    <row r="24" spans="1:21" x14ac:dyDescent="0.25">
      <c r="A24" t="s">
        <v>2712</v>
      </c>
      <c r="K24" s="2">
        <v>167609</v>
      </c>
      <c r="L24" s="2">
        <v>95833</v>
      </c>
      <c r="M24" s="2">
        <v>141342</v>
      </c>
      <c r="N24" s="2">
        <v>257500</v>
      </c>
      <c r="O24" s="2">
        <v>326287.62</v>
      </c>
      <c r="P24" s="2">
        <v>394595.77</v>
      </c>
      <c r="Q24" s="2">
        <v>489188.91</v>
      </c>
    </row>
    <row r="25" spans="1:21" x14ac:dyDescent="0.25">
      <c r="A25" t="s">
        <v>2713</v>
      </c>
      <c r="K25">
        <v>34</v>
      </c>
      <c r="L25">
        <v>20</v>
      </c>
      <c r="M25">
        <v>24</v>
      </c>
      <c r="N25">
        <v>28</v>
      </c>
      <c r="O25">
        <v>23.05</v>
      </c>
      <c r="P25">
        <v>26.83</v>
      </c>
      <c r="Q25">
        <v>22.11</v>
      </c>
      <c r="R25">
        <v>33.79</v>
      </c>
    </row>
    <row r="26" spans="1:21" x14ac:dyDescent="0.25">
      <c r="A26" t="s">
        <v>2714</v>
      </c>
      <c r="K26">
        <v>1.76</v>
      </c>
      <c r="L26">
        <v>2.78</v>
      </c>
      <c r="M26">
        <v>4.26</v>
      </c>
      <c r="N26">
        <v>6.8</v>
      </c>
      <c r="O26">
        <v>7.73</v>
      </c>
      <c r="P26">
        <v>9.89</v>
      </c>
      <c r="Q26">
        <v>12.57</v>
      </c>
    </row>
    <row r="27" spans="1:21" x14ac:dyDescent="0.25">
      <c r="A27" t="s">
        <v>17</v>
      </c>
    </row>
    <row r="28" spans="1:21" x14ac:dyDescent="0.25">
      <c r="A28" t="s">
        <v>79</v>
      </c>
    </row>
    <row r="29" spans="1:21" x14ac:dyDescent="0.25">
      <c r="A29" t="s">
        <v>80</v>
      </c>
      <c r="K29">
        <v>772.05</v>
      </c>
      <c r="L29" s="2">
        <v>1450.47</v>
      </c>
      <c r="M29" s="2">
        <v>1676.25</v>
      </c>
      <c r="N29" s="2">
        <v>2746.64</v>
      </c>
      <c r="O29" s="2">
        <v>3004.81</v>
      </c>
      <c r="P29" s="2">
        <v>3751.59</v>
      </c>
      <c r="Q29" s="2">
        <v>4735.6499999999996</v>
      </c>
      <c r="R29" s="2">
        <v>5885.13</v>
      </c>
      <c r="S29" s="2">
        <v>7927</v>
      </c>
      <c r="T29" s="2">
        <v>8822.5</v>
      </c>
      <c r="U29" s="2">
        <v>10107.5</v>
      </c>
    </row>
    <row r="30" spans="1:21" x14ac:dyDescent="0.25">
      <c r="A30" t="s">
        <v>17</v>
      </c>
    </row>
    <row r="31" spans="1:21" x14ac:dyDescent="0.25">
      <c r="A31" t="s">
        <v>2715</v>
      </c>
      <c r="K31">
        <v>309.35000000000002</v>
      </c>
      <c r="L31">
        <v>727.72</v>
      </c>
      <c r="M31" s="2">
        <v>1017.36</v>
      </c>
      <c r="N31" s="2">
        <v>1663.65</v>
      </c>
      <c r="O31" s="2">
        <v>1705.21</v>
      </c>
      <c r="P31" s="2">
        <v>2240.0700000000002</v>
      </c>
      <c r="Q31" s="2">
        <v>2922.95</v>
      </c>
      <c r="R31" s="2">
        <v>3224.37</v>
      </c>
      <c r="S31" s="2">
        <v>3783.3</v>
      </c>
    </row>
    <row r="32" spans="1:21" x14ac:dyDescent="0.25">
      <c r="A32" t="s">
        <v>83</v>
      </c>
      <c r="K32">
        <v>40.07</v>
      </c>
      <c r="L32">
        <v>50.17</v>
      </c>
      <c r="M32">
        <v>60.69</v>
      </c>
      <c r="N32">
        <v>60.57</v>
      </c>
      <c r="O32">
        <v>60.28</v>
      </c>
      <c r="P32">
        <v>62.87</v>
      </c>
      <c r="Q32">
        <v>61.21</v>
      </c>
      <c r="R32">
        <v>58.91</v>
      </c>
      <c r="S32">
        <v>56.97</v>
      </c>
    </row>
    <row r="33" spans="1:21" x14ac:dyDescent="0.25">
      <c r="A33" t="s">
        <v>2716</v>
      </c>
      <c r="K33">
        <v>286.95</v>
      </c>
      <c r="L33">
        <v>719.81</v>
      </c>
      <c r="M33" s="2">
        <v>1010.81</v>
      </c>
      <c r="N33" s="2">
        <v>1661.55</v>
      </c>
      <c r="O33" s="2">
        <v>1698.38</v>
      </c>
      <c r="P33" s="2">
        <v>2228.0300000000002</v>
      </c>
      <c r="Q33" s="2">
        <v>2796.62</v>
      </c>
      <c r="R33" s="2">
        <v>3204.1</v>
      </c>
      <c r="S33" s="2">
        <v>3736.27</v>
      </c>
    </row>
    <row r="34" spans="1:21" x14ac:dyDescent="0.25">
      <c r="A34" t="s">
        <v>881</v>
      </c>
      <c r="K34">
        <v>22.4</v>
      </c>
      <c r="L34">
        <v>7.92</v>
      </c>
      <c r="M34">
        <v>6.55</v>
      </c>
      <c r="N34">
        <v>2.1</v>
      </c>
      <c r="O34">
        <v>10.77</v>
      </c>
      <c r="P34">
        <v>9.77</v>
      </c>
      <c r="Q34">
        <v>12</v>
      </c>
      <c r="R34">
        <v>20.27</v>
      </c>
      <c r="S34">
        <v>47.04</v>
      </c>
    </row>
    <row r="35" spans="1:21" x14ac:dyDescent="0.25">
      <c r="A35" t="s">
        <v>84</v>
      </c>
      <c r="K35">
        <v>462.7</v>
      </c>
      <c r="L35">
        <v>722.74</v>
      </c>
      <c r="M35">
        <v>658.89</v>
      </c>
      <c r="N35" s="2">
        <v>1082.99</v>
      </c>
      <c r="O35" s="2">
        <v>1286.49</v>
      </c>
      <c r="P35" s="2">
        <v>1485.38</v>
      </c>
      <c r="Q35" s="2">
        <v>1931.36</v>
      </c>
      <c r="R35" s="2">
        <v>2538.16</v>
      </c>
      <c r="S35" s="2">
        <v>3126.8</v>
      </c>
    </row>
    <row r="36" spans="1:21" x14ac:dyDescent="0.25">
      <c r="A36" t="s">
        <v>85</v>
      </c>
      <c r="M36">
        <v>39.31</v>
      </c>
      <c r="N36">
        <v>39.43</v>
      </c>
      <c r="O36">
        <v>40.5</v>
      </c>
      <c r="P36">
        <v>38.28</v>
      </c>
      <c r="Q36">
        <v>39.68</v>
      </c>
      <c r="R36">
        <v>42.11</v>
      </c>
      <c r="S36">
        <v>43.13</v>
      </c>
    </row>
    <row r="37" spans="1:21" x14ac:dyDescent="0.25">
      <c r="A37" t="s">
        <v>17</v>
      </c>
    </row>
    <row r="38" spans="1:21" x14ac:dyDescent="0.25">
      <c r="A38" t="s">
        <v>275</v>
      </c>
      <c r="K38">
        <v>500.81</v>
      </c>
      <c r="L38">
        <v>453.21</v>
      </c>
      <c r="M38">
        <v>491.73</v>
      </c>
      <c r="N38" s="2">
        <v>1179.43</v>
      </c>
      <c r="O38" s="2">
        <v>1003.55</v>
      </c>
      <c r="P38" s="2">
        <v>1083.18</v>
      </c>
      <c r="Q38" s="2">
        <v>1246.76</v>
      </c>
      <c r="R38" s="2">
        <v>1365.86</v>
      </c>
      <c r="S38" s="2">
        <v>1665.69</v>
      </c>
    </row>
    <row r="39" spans="1:21" x14ac:dyDescent="0.25">
      <c r="A39" t="s">
        <v>83</v>
      </c>
      <c r="K39">
        <v>64.87</v>
      </c>
      <c r="L39">
        <v>31.25</v>
      </c>
      <c r="M39">
        <v>29.34</v>
      </c>
      <c r="N39">
        <v>42.94</v>
      </c>
      <c r="O39">
        <v>33.44</v>
      </c>
      <c r="P39">
        <v>28.59</v>
      </c>
      <c r="Q39">
        <v>27.61</v>
      </c>
      <c r="R39">
        <v>24.23</v>
      </c>
      <c r="S39">
        <v>23.27</v>
      </c>
    </row>
    <row r="40" spans="1:21" x14ac:dyDescent="0.25">
      <c r="A40" t="s">
        <v>2578</v>
      </c>
      <c r="K40">
        <v>212.96</v>
      </c>
      <c r="L40">
        <v>296.06</v>
      </c>
      <c r="M40">
        <v>263.41000000000003</v>
      </c>
      <c r="N40">
        <v>844.88</v>
      </c>
      <c r="O40">
        <v>545.55999999999995</v>
      </c>
      <c r="P40">
        <v>588.54</v>
      </c>
      <c r="Q40">
        <v>688.99</v>
      </c>
      <c r="R40">
        <v>757.82</v>
      </c>
      <c r="S40">
        <v>919.38</v>
      </c>
    </row>
    <row r="41" spans="1:21" x14ac:dyDescent="0.25">
      <c r="A41" t="s">
        <v>88</v>
      </c>
      <c r="K41">
        <v>82.27</v>
      </c>
      <c r="L41">
        <v>100.13</v>
      </c>
      <c r="M41">
        <v>137.28</v>
      </c>
      <c r="N41">
        <v>190.27</v>
      </c>
      <c r="O41">
        <v>246.01</v>
      </c>
      <c r="P41">
        <v>257.93</v>
      </c>
      <c r="Q41">
        <v>287.95999999999998</v>
      </c>
      <c r="R41">
        <v>314.05</v>
      </c>
      <c r="S41">
        <v>392.38</v>
      </c>
    </row>
    <row r="42" spans="1:21" x14ac:dyDescent="0.25">
      <c r="A42" t="s">
        <v>2717</v>
      </c>
      <c r="K42">
        <v>11.84</v>
      </c>
      <c r="L42">
        <v>20.72</v>
      </c>
      <c r="M42">
        <v>27.11</v>
      </c>
      <c r="N42">
        <v>36.64</v>
      </c>
      <c r="O42">
        <v>59.09</v>
      </c>
      <c r="P42">
        <v>67.33</v>
      </c>
      <c r="Q42">
        <v>75.72</v>
      </c>
      <c r="R42">
        <v>86.59</v>
      </c>
      <c r="S42">
        <v>119.88</v>
      </c>
    </row>
    <row r="43" spans="1:21" x14ac:dyDescent="0.25">
      <c r="A43" t="s">
        <v>61</v>
      </c>
      <c r="K43">
        <v>1.53</v>
      </c>
      <c r="L43">
        <v>1.43</v>
      </c>
      <c r="M43">
        <v>1.62</v>
      </c>
      <c r="N43">
        <v>1.33</v>
      </c>
      <c r="O43">
        <v>2.09</v>
      </c>
      <c r="P43">
        <v>2.06</v>
      </c>
      <c r="Q43">
        <v>1.9</v>
      </c>
      <c r="R43">
        <v>2.06</v>
      </c>
      <c r="S43">
        <v>2.06</v>
      </c>
    </row>
    <row r="44" spans="1:21" x14ac:dyDescent="0.25">
      <c r="A44" t="s">
        <v>988</v>
      </c>
      <c r="K44">
        <v>78.84</v>
      </c>
      <c r="L44">
        <v>36.54</v>
      </c>
      <c r="M44">
        <v>17.329999999999998</v>
      </c>
      <c r="N44">
        <v>25.72</v>
      </c>
      <c r="O44">
        <v>33.229999999999997</v>
      </c>
      <c r="P44">
        <v>39.36</v>
      </c>
      <c r="Q44">
        <v>47.13</v>
      </c>
      <c r="R44">
        <v>58.18</v>
      </c>
      <c r="S44">
        <v>67.239999999999995</v>
      </c>
    </row>
    <row r="45" spans="1:21" x14ac:dyDescent="0.25">
      <c r="A45" t="s">
        <v>2718</v>
      </c>
      <c r="K45">
        <v>57.44</v>
      </c>
      <c r="L45">
        <v>-13.49</v>
      </c>
      <c r="M45">
        <v>-4.25</v>
      </c>
      <c r="N45">
        <v>5.29</v>
      </c>
      <c r="O45">
        <v>0</v>
      </c>
      <c r="P45">
        <v>-0.46</v>
      </c>
      <c r="Q45">
        <v>-0.61</v>
      </c>
      <c r="R45">
        <v>-1.8</v>
      </c>
      <c r="S45">
        <v>-0.63</v>
      </c>
    </row>
    <row r="46" spans="1:21" x14ac:dyDescent="0.25">
      <c r="A46" t="s">
        <v>17</v>
      </c>
    </row>
    <row r="47" spans="1:21" x14ac:dyDescent="0.25">
      <c r="A47" t="s">
        <v>91</v>
      </c>
      <c r="K47">
        <v>-38.119999999999997</v>
      </c>
      <c r="L47">
        <v>269.52999999999997</v>
      </c>
      <c r="M47">
        <v>167.16</v>
      </c>
      <c r="N47">
        <v>-96.44</v>
      </c>
      <c r="O47">
        <v>295.86</v>
      </c>
      <c r="P47">
        <v>406.76</v>
      </c>
      <c r="Q47">
        <v>677.76</v>
      </c>
      <c r="R47" s="2">
        <v>1170.6300000000001</v>
      </c>
      <c r="S47" s="2">
        <v>1448.8</v>
      </c>
      <c r="T47" s="2">
        <v>1733</v>
      </c>
      <c r="U47" s="2">
        <v>2054</v>
      </c>
    </row>
    <row r="48" spans="1:21" x14ac:dyDescent="0.25">
      <c r="A48" t="s">
        <v>92</v>
      </c>
      <c r="K48">
        <v>-4.9400000000000004</v>
      </c>
      <c r="L48">
        <v>18.579999999999998</v>
      </c>
      <c r="M48">
        <v>9.9700000000000006</v>
      </c>
      <c r="N48">
        <v>-3.51</v>
      </c>
      <c r="O48">
        <v>9.25</v>
      </c>
      <c r="P48">
        <v>8.9499999999999993</v>
      </c>
      <c r="Q48">
        <v>12.51</v>
      </c>
      <c r="R48">
        <v>17.93</v>
      </c>
      <c r="S48">
        <v>20.39</v>
      </c>
      <c r="T48">
        <v>15</v>
      </c>
      <c r="U48">
        <v>15</v>
      </c>
    </row>
    <row r="49" spans="1:21" x14ac:dyDescent="0.25">
      <c r="A49" t="s">
        <v>2719</v>
      </c>
      <c r="K49">
        <v>720.39</v>
      </c>
      <c r="L49">
        <v>-49.42</v>
      </c>
      <c r="M49">
        <v>-54.42</v>
      </c>
      <c r="N49">
        <v>6.46</v>
      </c>
      <c r="O49">
        <v>-54.62</v>
      </c>
      <c r="P49">
        <v>-66.25</v>
      </c>
      <c r="Q49">
        <v>-75.760000000000005</v>
      </c>
      <c r="R49">
        <v>-108.88</v>
      </c>
      <c r="S49">
        <v>-177.77</v>
      </c>
    </row>
    <row r="50" spans="1:21" x14ac:dyDescent="0.25">
      <c r="A50" t="s">
        <v>83</v>
      </c>
      <c r="K50">
        <v>93.31</v>
      </c>
      <c r="L50">
        <v>-3.41</v>
      </c>
      <c r="M50">
        <v>-3.25</v>
      </c>
      <c r="N50">
        <v>0.24</v>
      </c>
      <c r="O50">
        <v>-2.16</v>
      </c>
      <c r="P50">
        <v>-1.69</v>
      </c>
      <c r="Q50">
        <v>-1.73</v>
      </c>
      <c r="R50">
        <v>-2.17</v>
      </c>
      <c r="S50">
        <v>-2.21</v>
      </c>
    </row>
    <row r="51" spans="1:21" x14ac:dyDescent="0.25">
      <c r="A51" t="s">
        <v>17</v>
      </c>
    </row>
    <row r="52" spans="1:21" x14ac:dyDescent="0.25">
      <c r="A52" t="s">
        <v>93</v>
      </c>
      <c r="K52">
        <v>13.28</v>
      </c>
      <c r="L52">
        <v>34.89</v>
      </c>
      <c r="M52">
        <v>50.85</v>
      </c>
      <c r="N52">
        <v>76.63</v>
      </c>
      <c r="O52">
        <v>119.51</v>
      </c>
      <c r="P52">
        <v>128.80000000000001</v>
      </c>
      <c r="Q52">
        <v>145.58000000000001</v>
      </c>
      <c r="R52">
        <v>161.41</v>
      </c>
      <c r="S52">
        <v>193.45</v>
      </c>
      <c r="T52">
        <v>310.93</v>
      </c>
      <c r="U52">
        <v>345.14</v>
      </c>
    </row>
    <row r="53" spans="1:21" x14ac:dyDescent="0.25">
      <c r="A53" t="s">
        <v>83</v>
      </c>
      <c r="K53">
        <v>1.72</v>
      </c>
      <c r="L53">
        <v>2.41</v>
      </c>
      <c r="M53">
        <v>3.03</v>
      </c>
      <c r="N53">
        <v>2.79</v>
      </c>
      <c r="O53">
        <v>4.01</v>
      </c>
      <c r="P53">
        <v>3.51</v>
      </c>
      <c r="Q53">
        <v>3.19</v>
      </c>
      <c r="R53">
        <v>2.99</v>
      </c>
      <c r="S53">
        <v>2.87</v>
      </c>
      <c r="T53">
        <v>3.9</v>
      </c>
      <c r="U53">
        <v>3.9</v>
      </c>
    </row>
    <row r="54" spans="1:21" x14ac:dyDescent="0.25">
      <c r="A54" t="s">
        <v>17</v>
      </c>
    </row>
    <row r="55" spans="1:21" x14ac:dyDescent="0.25">
      <c r="A55" t="s">
        <v>97</v>
      </c>
      <c r="K55">
        <v>8.65</v>
      </c>
      <c r="L55">
        <v>29.26</v>
      </c>
      <c r="M55">
        <v>34.71</v>
      </c>
      <c r="N55">
        <v>47.67</v>
      </c>
      <c r="O55">
        <v>54.34</v>
      </c>
      <c r="P55">
        <v>66.239999999999995</v>
      </c>
      <c r="Q55">
        <v>76.239999999999995</v>
      </c>
      <c r="R55">
        <v>105.3</v>
      </c>
      <c r="S55">
        <v>174.69</v>
      </c>
    </row>
    <row r="56" spans="1:21" x14ac:dyDescent="0.25">
      <c r="A56" t="s">
        <v>100</v>
      </c>
      <c r="K56">
        <v>-758.51</v>
      </c>
      <c r="L56">
        <v>318.95</v>
      </c>
      <c r="M56">
        <v>221.57</v>
      </c>
      <c r="N56">
        <v>-102.89</v>
      </c>
      <c r="O56">
        <v>340.63</v>
      </c>
      <c r="P56">
        <v>491.19</v>
      </c>
      <c r="Q56">
        <v>816.81</v>
      </c>
      <c r="R56" s="2">
        <v>1256.83</v>
      </c>
      <c r="S56" s="2">
        <v>1603.33</v>
      </c>
    </row>
    <row r="57" spans="1:21" x14ac:dyDescent="0.25">
      <c r="A57" t="s">
        <v>17</v>
      </c>
    </row>
    <row r="58" spans="1:21" x14ac:dyDescent="0.25">
      <c r="A58" t="s">
        <v>101</v>
      </c>
      <c r="K58">
        <v>3.26</v>
      </c>
      <c r="L58">
        <v>47.4</v>
      </c>
      <c r="M58">
        <v>64.58</v>
      </c>
      <c r="N58">
        <v>-33.380000000000003</v>
      </c>
      <c r="O58">
        <v>59.12</v>
      </c>
      <c r="P58">
        <v>108</v>
      </c>
      <c r="Q58">
        <v>171.45</v>
      </c>
      <c r="R58">
        <v>333.09</v>
      </c>
      <c r="S58">
        <v>436.95</v>
      </c>
    </row>
    <row r="59" spans="1:21" x14ac:dyDescent="0.25">
      <c r="A59" t="s">
        <v>102</v>
      </c>
      <c r="L59">
        <v>14.86</v>
      </c>
      <c r="M59">
        <v>29.15</v>
      </c>
      <c r="O59">
        <v>18.13</v>
      </c>
      <c r="P59">
        <v>23.84</v>
      </c>
      <c r="Q59">
        <v>24.67</v>
      </c>
      <c r="R59">
        <v>27.08</v>
      </c>
      <c r="S59">
        <v>27.47</v>
      </c>
    </row>
    <row r="60" spans="1:21" x14ac:dyDescent="0.25">
      <c r="A60" t="s">
        <v>17</v>
      </c>
    </row>
    <row r="61" spans="1:21" x14ac:dyDescent="0.25">
      <c r="A61" t="s">
        <v>106</v>
      </c>
      <c r="K61">
        <v>-761.77</v>
      </c>
      <c r="L61">
        <v>271.55</v>
      </c>
      <c r="M61">
        <v>156.99</v>
      </c>
      <c r="N61">
        <v>-69.52</v>
      </c>
      <c r="O61">
        <v>290.29000000000002</v>
      </c>
      <c r="P61">
        <v>370.13</v>
      </c>
      <c r="Q61">
        <v>570.39</v>
      </c>
      <c r="R61">
        <v>923.67</v>
      </c>
      <c r="S61" s="2">
        <v>1166.67</v>
      </c>
    </row>
    <row r="62" spans="1:21" x14ac:dyDescent="0.25">
      <c r="A62" t="s">
        <v>280</v>
      </c>
      <c r="K62">
        <v>-98.67</v>
      </c>
      <c r="L62">
        <v>18.72</v>
      </c>
      <c r="M62">
        <v>9.3699999999999992</v>
      </c>
      <c r="N62">
        <v>-2.5299999999999998</v>
      </c>
      <c r="O62">
        <v>8.58</v>
      </c>
      <c r="P62">
        <v>10</v>
      </c>
      <c r="Q62">
        <v>12.71</v>
      </c>
      <c r="R62">
        <v>15.41</v>
      </c>
      <c r="S62">
        <v>18.45</v>
      </c>
    </row>
    <row r="63" spans="1:21" x14ac:dyDescent="0.25">
      <c r="A63" t="s">
        <v>105</v>
      </c>
      <c r="N63">
        <v>-0.01</v>
      </c>
      <c r="O63">
        <v>-0.02</v>
      </c>
      <c r="P63">
        <v>-13.35</v>
      </c>
      <c r="Q63">
        <v>-0.03</v>
      </c>
    </row>
    <row r="64" spans="1:21" x14ac:dyDescent="0.25">
      <c r="A64" t="s">
        <v>17</v>
      </c>
    </row>
    <row r="65" spans="1:21" x14ac:dyDescent="0.25">
      <c r="A65" t="s">
        <v>108</v>
      </c>
      <c r="K65">
        <v>46.66</v>
      </c>
      <c r="L65">
        <v>47.27</v>
      </c>
      <c r="M65">
        <v>54.41</v>
      </c>
      <c r="N65">
        <v>158.69999999999999</v>
      </c>
      <c r="O65">
        <v>248.1</v>
      </c>
      <c r="P65">
        <v>252.02</v>
      </c>
      <c r="Q65">
        <v>255.36</v>
      </c>
      <c r="R65">
        <v>253.17</v>
      </c>
      <c r="S65">
        <v>251.46</v>
      </c>
    </row>
    <row r="66" spans="1:21" x14ac:dyDescent="0.25">
      <c r="A66" t="s">
        <v>17</v>
      </c>
    </row>
    <row r="67" spans="1:21" x14ac:dyDescent="0.25">
      <c r="A67" t="s">
        <v>109</v>
      </c>
      <c r="K67">
        <v>46.66</v>
      </c>
      <c r="L67">
        <v>67.55</v>
      </c>
      <c r="M67">
        <v>73.040000000000006</v>
      </c>
      <c r="N67">
        <v>158.69999999999999</v>
      </c>
      <c r="O67">
        <v>307.66000000000003</v>
      </c>
      <c r="P67">
        <v>312.7</v>
      </c>
      <c r="Q67">
        <v>332.7</v>
      </c>
      <c r="R67">
        <v>278.52999999999997</v>
      </c>
      <c r="S67">
        <v>277.75</v>
      </c>
      <c r="T67">
        <v>301.54000000000002</v>
      </c>
      <c r="U67">
        <v>306.07</v>
      </c>
    </row>
    <row r="68" spans="1:21" x14ac:dyDescent="0.25">
      <c r="A68" t="s">
        <v>110</v>
      </c>
      <c r="K68">
        <v>-16.329999999999998</v>
      </c>
      <c r="L68">
        <v>0.78</v>
      </c>
      <c r="M68">
        <v>0.3</v>
      </c>
      <c r="N68">
        <v>-0.44</v>
      </c>
      <c r="O68">
        <v>1.07</v>
      </c>
      <c r="P68">
        <v>1.36</v>
      </c>
      <c r="Q68">
        <v>2.0499999999999998</v>
      </c>
      <c r="R68">
        <v>3.42</v>
      </c>
      <c r="S68">
        <v>4.43</v>
      </c>
      <c r="T68">
        <v>5.95</v>
      </c>
      <c r="U68">
        <v>7.18</v>
      </c>
    </row>
    <row r="69" spans="1:21" x14ac:dyDescent="0.25">
      <c r="A69" t="s">
        <v>17</v>
      </c>
    </row>
    <row r="70" spans="1:21" x14ac:dyDescent="0.25">
      <c r="A70" t="s">
        <v>111</v>
      </c>
    </row>
    <row r="71" spans="1:21" x14ac:dyDescent="0.25">
      <c r="A71" t="s">
        <v>2720</v>
      </c>
      <c r="K71">
        <v>-243.59</v>
      </c>
      <c r="L71">
        <v>312.02999999999997</v>
      </c>
      <c r="M71">
        <v>227.14</v>
      </c>
      <c r="N71">
        <v>651.66</v>
      </c>
      <c r="O71">
        <v>586.33000000000004</v>
      </c>
      <c r="P71">
        <v>678.03</v>
      </c>
      <c r="Q71">
        <v>795.48</v>
      </c>
      <c r="R71">
        <v>921.09</v>
      </c>
      <c r="S71" s="2">
        <v>1204.07</v>
      </c>
    </row>
    <row r="72" spans="1:21" x14ac:dyDescent="0.25">
      <c r="A72" t="s">
        <v>2721</v>
      </c>
      <c r="N72">
        <v>9.5</v>
      </c>
      <c r="O72">
        <v>27.32</v>
      </c>
      <c r="P72">
        <v>17.579999999999998</v>
      </c>
      <c r="Q72">
        <v>21.48</v>
      </c>
      <c r="R72">
        <v>8</v>
      </c>
    </row>
    <row r="73" spans="1:21" x14ac:dyDescent="0.25">
      <c r="A73" t="s">
        <v>2722</v>
      </c>
      <c r="K73">
        <v>44.19</v>
      </c>
      <c r="M73">
        <v>1.05</v>
      </c>
      <c r="N73">
        <v>0.54</v>
      </c>
      <c r="O73">
        <v>6.64</v>
      </c>
      <c r="P73">
        <v>6.43</v>
      </c>
      <c r="Q73">
        <v>7.41</v>
      </c>
      <c r="R73">
        <v>6</v>
      </c>
      <c r="S73">
        <v>6</v>
      </c>
    </row>
    <row r="74" spans="1:21" x14ac:dyDescent="0.25">
      <c r="A74" t="s">
        <v>117</v>
      </c>
      <c r="K74">
        <v>-24.84</v>
      </c>
      <c r="L74">
        <v>304.42</v>
      </c>
      <c r="M74">
        <v>284.87</v>
      </c>
      <c r="N74">
        <v>582</v>
      </c>
      <c r="O74">
        <v>704.82</v>
      </c>
      <c r="P74">
        <v>803.78</v>
      </c>
      <c r="Q74" s="2">
        <v>1147.74</v>
      </c>
      <c r="R74" s="2">
        <v>1764.8</v>
      </c>
      <c r="S74" s="2">
        <v>2452.5</v>
      </c>
    </row>
    <row r="75" spans="1:21" x14ac:dyDescent="0.25">
      <c r="A75" t="s">
        <v>121</v>
      </c>
      <c r="K75">
        <v>-761.77</v>
      </c>
      <c r="L75">
        <v>271.55</v>
      </c>
      <c r="M75">
        <v>156.99</v>
      </c>
      <c r="N75">
        <v>-69.52</v>
      </c>
      <c r="O75">
        <v>290.07</v>
      </c>
      <c r="P75">
        <v>365.53</v>
      </c>
      <c r="Q75">
        <v>614.77</v>
      </c>
      <c r="R75">
        <v>923.67</v>
      </c>
      <c r="S75" s="2">
        <v>1166.67</v>
      </c>
    </row>
    <row r="76" spans="1:21" x14ac:dyDescent="0.25">
      <c r="A76" t="s">
        <v>124</v>
      </c>
      <c r="K76">
        <v>-16.329999999999998</v>
      </c>
      <c r="L76">
        <v>0.78</v>
      </c>
      <c r="M76">
        <v>0.3</v>
      </c>
      <c r="N76">
        <v>-0.44</v>
      </c>
      <c r="O76">
        <v>1.1399999999999999</v>
      </c>
      <c r="P76">
        <v>1.45</v>
      </c>
      <c r="Q76">
        <v>2.3199999999999998</v>
      </c>
      <c r="R76">
        <v>3.67</v>
      </c>
      <c r="S76">
        <v>4.76</v>
      </c>
      <c r="T76">
        <v>5.95</v>
      </c>
      <c r="U76">
        <v>7.18</v>
      </c>
    </row>
    <row r="77" spans="1:21" x14ac:dyDescent="0.25">
      <c r="A77" t="s">
        <v>17</v>
      </c>
    </row>
    <row r="78" spans="1:21" x14ac:dyDescent="0.25">
      <c r="A78" t="s">
        <v>125</v>
      </c>
    </row>
    <row r="79" spans="1:21" x14ac:dyDescent="0.25">
      <c r="A79" t="s">
        <v>67</v>
      </c>
      <c r="K79">
        <v>69.3</v>
      </c>
      <c r="L79">
        <v>108</v>
      </c>
      <c r="M79">
        <v>50.13</v>
      </c>
      <c r="N79">
        <v>566.17999999999995</v>
      </c>
      <c r="O79">
        <v>231.04</v>
      </c>
      <c r="P79">
        <v>259.31</v>
      </c>
      <c r="Q79">
        <v>293.70999999999998</v>
      </c>
      <c r="R79">
        <v>289.57</v>
      </c>
      <c r="S79">
        <v>365.07</v>
      </c>
    </row>
    <row r="80" spans="1:21" x14ac:dyDescent="0.25">
      <c r="A80" t="s">
        <v>1654</v>
      </c>
      <c r="N80">
        <v>-24.82</v>
      </c>
      <c r="O80">
        <v>-2.29</v>
      </c>
      <c r="P80">
        <v>-9.5299999999999994</v>
      </c>
      <c r="Q80">
        <v>-11.16</v>
      </c>
    </row>
    <row r="81" spans="1:19" x14ac:dyDescent="0.25">
      <c r="A81" t="s">
        <v>2723</v>
      </c>
    </row>
    <row r="82" spans="1:19" x14ac:dyDescent="0.25">
      <c r="A82" t="s">
        <v>2724</v>
      </c>
      <c r="N82">
        <v>1.01</v>
      </c>
      <c r="O82">
        <v>0.43</v>
      </c>
      <c r="P82">
        <v>0.35</v>
      </c>
      <c r="Q82">
        <v>0.46</v>
      </c>
    </row>
    <row r="83" spans="1:19" x14ac:dyDescent="0.25">
      <c r="A83" t="s">
        <v>2725</v>
      </c>
      <c r="M83">
        <v>0.37</v>
      </c>
      <c r="N83">
        <v>7.92</v>
      </c>
      <c r="O83">
        <v>-6.72</v>
      </c>
      <c r="P83">
        <v>-4.72</v>
      </c>
      <c r="Q83">
        <v>-5.9</v>
      </c>
    </row>
    <row r="84" spans="1:19" x14ac:dyDescent="0.25">
      <c r="A84" t="s">
        <v>17</v>
      </c>
    </row>
    <row r="85" spans="1:19" x14ac:dyDescent="0.25">
      <c r="A85" t="s">
        <v>134</v>
      </c>
    </row>
    <row r="86" spans="1:19" x14ac:dyDescent="0.25">
      <c r="A86" t="s">
        <v>135</v>
      </c>
    </row>
    <row r="87" spans="1:19" x14ac:dyDescent="0.25">
      <c r="A87" t="s">
        <v>136</v>
      </c>
      <c r="L87" s="2">
        <v>25313.91</v>
      </c>
      <c r="M87" s="2">
        <v>45164.95</v>
      </c>
      <c r="N87" s="2">
        <v>77801.47</v>
      </c>
      <c r="O87" s="2">
        <v>82370.600000000006</v>
      </c>
      <c r="P87" s="2">
        <v>103002.48</v>
      </c>
      <c r="Q87" s="2">
        <v>126455.21</v>
      </c>
      <c r="R87" s="2">
        <v>162761.44</v>
      </c>
      <c r="S87" s="2">
        <v>241624.71</v>
      </c>
    </row>
    <row r="88" spans="1:19" x14ac:dyDescent="0.25">
      <c r="A88" t="s">
        <v>536</v>
      </c>
      <c r="L88">
        <v>368.62</v>
      </c>
      <c r="M88">
        <v>750.98</v>
      </c>
      <c r="N88" s="2">
        <v>1526.05</v>
      </c>
      <c r="O88" s="2">
        <v>1993.87</v>
      </c>
      <c r="P88" s="2">
        <v>2602.59</v>
      </c>
      <c r="Q88" s="2">
        <v>3441.47</v>
      </c>
      <c r="R88" s="2">
        <v>4101.1099999999997</v>
      </c>
      <c r="S88" s="2">
        <v>5087.3100000000004</v>
      </c>
    </row>
    <row r="89" spans="1:19" x14ac:dyDescent="0.25">
      <c r="A89" t="s">
        <v>2726</v>
      </c>
      <c r="L89">
        <v>275.81</v>
      </c>
      <c r="M89">
        <v>294.49</v>
      </c>
      <c r="N89">
        <v>822.96</v>
      </c>
      <c r="O89">
        <v>931.6</v>
      </c>
      <c r="P89" s="2">
        <v>1000.27</v>
      </c>
      <c r="Q89" s="2">
        <v>1112.1600000000001</v>
      </c>
      <c r="R89" s="2">
        <v>1705.67</v>
      </c>
      <c r="S89" s="2">
        <v>3276.31</v>
      </c>
    </row>
    <row r="90" spans="1:19" x14ac:dyDescent="0.25">
      <c r="A90" t="s">
        <v>2727</v>
      </c>
      <c r="L90" s="2">
        <v>24498.34</v>
      </c>
      <c r="M90" s="2">
        <v>43918.57</v>
      </c>
      <c r="N90" s="2">
        <v>75067.929999999993</v>
      </c>
      <c r="O90" s="2">
        <v>80291.64</v>
      </c>
      <c r="P90" s="2">
        <v>104612.95</v>
      </c>
      <c r="Q90" s="2">
        <v>129165.61</v>
      </c>
      <c r="R90" s="2">
        <v>164796.97</v>
      </c>
      <c r="S90" s="2">
        <v>238957.5</v>
      </c>
    </row>
    <row r="91" spans="1:19" x14ac:dyDescent="0.25">
      <c r="A91" t="s">
        <v>806</v>
      </c>
      <c r="L91">
        <v>1.94</v>
      </c>
      <c r="M91">
        <v>6.42</v>
      </c>
      <c r="N91">
        <v>62.87</v>
      </c>
      <c r="O91">
        <v>100.21</v>
      </c>
      <c r="P91">
        <v>103.48</v>
      </c>
      <c r="Q91">
        <v>104.65</v>
      </c>
      <c r="R91">
        <v>185.58</v>
      </c>
      <c r="S91">
        <v>352.15</v>
      </c>
    </row>
    <row r="92" spans="1:19" x14ac:dyDescent="0.25">
      <c r="A92" t="s">
        <v>428</v>
      </c>
      <c r="L92">
        <v>146.65</v>
      </c>
      <c r="M92">
        <v>187.53</v>
      </c>
      <c r="N92">
        <v>321.66000000000003</v>
      </c>
      <c r="O92">
        <v>337.07</v>
      </c>
      <c r="P92">
        <v>375.28</v>
      </c>
      <c r="Q92">
        <v>435.16</v>
      </c>
      <c r="R92">
        <v>512.73</v>
      </c>
      <c r="S92">
        <v>886</v>
      </c>
    </row>
    <row r="93" spans="1:19" x14ac:dyDescent="0.25">
      <c r="A93" t="s">
        <v>146</v>
      </c>
      <c r="L93">
        <v>682.67</v>
      </c>
      <c r="M93">
        <v>669.46</v>
      </c>
      <c r="N93">
        <v>911.74</v>
      </c>
      <c r="O93">
        <v>997.73</v>
      </c>
      <c r="P93">
        <v>946.48</v>
      </c>
      <c r="Q93">
        <v>922.28</v>
      </c>
      <c r="R93">
        <v>841.62</v>
      </c>
      <c r="S93">
        <v>831.39</v>
      </c>
    </row>
    <row r="94" spans="1:19" x14ac:dyDescent="0.25">
      <c r="A94" t="s">
        <v>408</v>
      </c>
      <c r="L94">
        <v>3.58</v>
      </c>
      <c r="M94">
        <v>3.56</v>
      </c>
      <c r="N94">
        <v>2.79</v>
      </c>
      <c r="O94">
        <v>12.31</v>
      </c>
      <c r="P94">
        <v>12.46</v>
      </c>
      <c r="Q94">
        <v>12.65</v>
      </c>
      <c r="R94">
        <v>13.18</v>
      </c>
      <c r="S94">
        <v>12.81</v>
      </c>
    </row>
    <row r="95" spans="1:19" x14ac:dyDescent="0.25">
      <c r="A95" t="s">
        <v>2728</v>
      </c>
      <c r="L95">
        <v>75.87</v>
      </c>
      <c r="M95">
        <v>84.11</v>
      </c>
      <c r="N95">
        <v>84.27</v>
      </c>
      <c r="O95">
        <v>104.23</v>
      </c>
      <c r="P95">
        <v>104.76</v>
      </c>
      <c r="Q95">
        <v>107.53</v>
      </c>
      <c r="R95">
        <v>119.15</v>
      </c>
      <c r="S95">
        <v>103.76</v>
      </c>
    </row>
    <row r="96" spans="1:19" x14ac:dyDescent="0.25">
      <c r="A96" t="s">
        <v>1008</v>
      </c>
      <c r="L96">
        <v>2.62</v>
      </c>
      <c r="M96">
        <v>18.68</v>
      </c>
      <c r="N96">
        <v>22.79</v>
      </c>
      <c r="O96">
        <v>22.57</v>
      </c>
      <c r="P96">
        <v>17.170000000000002</v>
      </c>
      <c r="Q96">
        <v>35.49</v>
      </c>
      <c r="R96">
        <v>37.65</v>
      </c>
      <c r="S96">
        <v>63.01</v>
      </c>
    </row>
    <row r="97" spans="1:19" x14ac:dyDescent="0.25">
      <c r="A97" t="s">
        <v>2729</v>
      </c>
      <c r="L97">
        <v>11.34</v>
      </c>
      <c r="M97">
        <v>31.33</v>
      </c>
      <c r="N97">
        <v>86.52</v>
      </c>
      <c r="O97">
        <v>108.64</v>
      </c>
      <c r="P97">
        <v>109.46</v>
      </c>
      <c r="Q97">
        <v>114.27</v>
      </c>
      <c r="R97">
        <v>122.34</v>
      </c>
      <c r="S97">
        <v>106.54</v>
      </c>
    </row>
    <row r="98" spans="1:19" x14ac:dyDescent="0.25">
      <c r="A98" t="s">
        <v>496</v>
      </c>
      <c r="L98">
        <v>169.54</v>
      </c>
      <c r="M98">
        <v>169.54</v>
      </c>
      <c r="N98">
        <v>265.74</v>
      </c>
      <c r="O98">
        <v>265.87</v>
      </c>
      <c r="P98">
        <v>266.7</v>
      </c>
      <c r="Q98">
        <v>268.56</v>
      </c>
      <c r="R98">
        <v>315.10000000000002</v>
      </c>
      <c r="S98">
        <v>265.74</v>
      </c>
    </row>
    <row r="99" spans="1:19" x14ac:dyDescent="0.25">
      <c r="A99" t="s">
        <v>2730</v>
      </c>
      <c r="L99">
        <v>327.38</v>
      </c>
      <c r="M99">
        <v>331.39</v>
      </c>
      <c r="N99">
        <v>411.15</v>
      </c>
      <c r="O99">
        <v>429.06</v>
      </c>
      <c r="P99">
        <v>391.33</v>
      </c>
      <c r="Q99">
        <v>402.72</v>
      </c>
      <c r="R99">
        <v>474.57</v>
      </c>
      <c r="S99">
        <v>315.19</v>
      </c>
    </row>
    <row r="100" spans="1:19" x14ac:dyDescent="0.25">
      <c r="A100" t="s">
        <v>311</v>
      </c>
      <c r="L100">
        <v>0</v>
      </c>
      <c r="M100">
        <v>10.220000000000001</v>
      </c>
      <c r="N100">
        <v>11.11</v>
      </c>
      <c r="O100">
        <v>11.65</v>
      </c>
      <c r="P100">
        <v>12.19</v>
      </c>
      <c r="Q100">
        <v>13.55</v>
      </c>
      <c r="R100">
        <v>16.579999999999998</v>
      </c>
      <c r="S100">
        <v>22.62</v>
      </c>
    </row>
    <row r="101" spans="1:19" x14ac:dyDescent="0.25">
      <c r="A101" t="s">
        <v>154</v>
      </c>
      <c r="L101">
        <v>4.4000000000000004</v>
      </c>
      <c r="M101">
        <v>20.62</v>
      </c>
      <c r="N101">
        <v>27.38</v>
      </c>
      <c r="O101">
        <v>28.87</v>
      </c>
      <c r="P101">
        <v>29.8</v>
      </c>
      <c r="Q101">
        <v>34.119999999999997</v>
      </c>
      <c r="R101">
        <v>47.65</v>
      </c>
      <c r="S101">
        <v>84.04</v>
      </c>
    </row>
    <row r="102" spans="1:19" x14ac:dyDescent="0.25">
      <c r="A102" t="s">
        <v>155</v>
      </c>
      <c r="L102" s="2">
        <v>25996.58</v>
      </c>
      <c r="M102" s="2">
        <v>45834.41</v>
      </c>
      <c r="N102" s="2">
        <v>78713.210000000006</v>
      </c>
      <c r="O102" s="2">
        <v>83765.63</v>
      </c>
      <c r="P102" s="2">
        <v>104980.59</v>
      </c>
      <c r="Q102" s="2">
        <v>129085.29</v>
      </c>
      <c r="R102" s="2">
        <v>169762.51</v>
      </c>
      <c r="S102" s="2">
        <v>240663.89</v>
      </c>
    </row>
    <row r="103" spans="1:19" x14ac:dyDescent="0.25">
      <c r="A103" t="s">
        <v>17</v>
      </c>
    </row>
    <row r="104" spans="1:19" x14ac:dyDescent="0.25">
      <c r="A104" t="s">
        <v>156</v>
      </c>
    </row>
    <row r="105" spans="1:19" x14ac:dyDescent="0.25">
      <c r="A105" t="s">
        <v>157</v>
      </c>
      <c r="L105" s="2">
        <v>24437.54</v>
      </c>
      <c r="M105" s="2">
        <v>44030.97</v>
      </c>
      <c r="N105" s="2">
        <v>75328.399999999994</v>
      </c>
      <c r="O105" s="2">
        <v>80236.98</v>
      </c>
      <c r="P105" s="2">
        <v>102570.01</v>
      </c>
      <c r="Q105" s="2">
        <v>123182.26</v>
      </c>
      <c r="R105" s="2">
        <v>164574.21</v>
      </c>
      <c r="S105" s="2">
        <v>234516.64</v>
      </c>
    </row>
    <row r="106" spans="1:19" x14ac:dyDescent="0.25">
      <c r="A106" t="s">
        <v>1228</v>
      </c>
      <c r="L106">
        <v>152.59</v>
      </c>
      <c r="M106">
        <v>287.01</v>
      </c>
      <c r="N106">
        <v>360.61</v>
      </c>
      <c r="O106">
        <v>434.41</v>
      </c>
      <c r="P106">
        <v>497.67</v>
      </c>
      <c r="Q106">
        <v>561.76</v>
      </c>
      <c r="R106">
        <v>671.99</v>
      </c>
      <c r="S106" s="2">
        <v>1186.6199999999999</v>
      </c>
    </row>
    <row r="107" spans="1:19" x14ac:dyDescent="0.25">
      <c r="A107" t="s">
        <v>2731</v>
      </c>
      <c r="L107" s="2">
        <v>24276.07</v>
      </c>
      <c r="M107" s="2">
        <v>43727.360000000001</v>
      </c>
      <c r="N107" s="2">
        <v>74912.570000000007</v>
      </c>
      <c r="O107" s="2">
        <v>79433.460000000006</v>
      </c>
      <c r="P107" s="2">
        <v>100888.69</v>
      </c>
      <c r="Q107" s="2">
        <v>121988.39</v>
      </c>
      <c r="R107" s="2">
        <v>159812.06</v>
      </c>
      <c r="S107" s="2">
        <v>232530.12</v>
      </c>
    </row>
    <row r="108" spans="1:19" x14ac:dyDescent="0.25">
      <c r="A108" t="s">
        <v>314</v>
      </c>
      <c r="L108">
        <v>4.2300000000000004</v>
      </c>
      <c r="M108">
        <v>16.03</v>
      </c>
      <c r="N108">
        <v>18.399999999999999</v>
      </c>
      <c r="O108">
        <v>237.75</v>
      </c>
      <c r="P108">
        <v>238.51</v>
      </c>
      <c r="Q108">
        <v>253.27</v>
      </c>
      <c r="R108">
        <v>357.58</v>
      </c>
      <c r="S108">
        <v>799.91</v>
      </c>
    </row>
    <row r="109" spans="1:19" x14ac:dyDescent="0.25">
      <c r="A109" t="s">
        <v>164</v>
      </c>
      <c r="L109">
        <v>88.31</v>
      </c>
      <c r="M109">
        <v>93.15</v>
      </c>
      <c r="N109">
        <v>54.04</v>
      </c>
      <c r="O109">
        <v>56.27</v>
      </c>
      <c r="P109">
        <v>57.86</v>
      </c>
      <c r="Q109">
        <v>64.180000000000007</v>
      </c>
      <c r="R109">
        <v>91.19</v>
      </c>
      <c r="S109">
        <v>109.71</v>
      </c>
    </row>
    <row r="110" spans="1:19" x14ac:dyDescent="0.25">
      <c r="A110" t="s">
        <v>2732</v>
      </c>
      <c r="L110">
        <v>58.49</v>
      </c>
      <c r="M110">
        <v>40.72</v>
      </c>
      <c r="N110">
        <v>0</v>
      </c>
    </row>
    <row r="111" spans="1:19" x14ac:dyDescent="0.25">
      <c r="A111" t="s">
        <v>2733</v>
      </c>
      <c r="L111">
        <v>19.62</v>
      </c>
      <c r="M111">
        <v>29.56</v>
      </c>
      <c r="N111">
        <v>28.7</v>
      </c>
      <c r="O111">
        <v>28.9</v>
      </c>
      <c r="P111">
        <v>29.06</v>
      </c>
      <c r="Q111">
        <v>30.2</v>
      </c>
      <c r="R111">
        <v>28.54</v>
      </c>
      <c r="S111">
        <v>28.5</v>
      </c>
    </row>
    <row r="112" spans="1:19" x14ac:dyDescent="0.25">
      <c r="A112" t="s">
        <v>502</v>
      </c>
      <c r="L112">
        <v>8.57</v>
      </c>
      <c r="M112">
        <v>21.28</v>
      </c>
      <c r="N112">
        <v>25.34</v>
      </c>
      <c r="O112">
        <v>26.64</v>
      </c>
      <c r="P112">
        <v>27.16</v>
      </c>
      <c r="Q112">
        <v>30.84</v>
      </c>
      <c r="R112">
        <v>43.04</v>
      </c>
      <c r="S112">
        <v>77.599999999999994</v>
      </c>
    </row>
    <row r="113" spans="1:21" x14ac:dyDescent="0.25">
      <c r="A113" t="s">
        <v>167</v>
      </c>
      <c r="L113" s="2">
        <v>24525.85</v>
      </c>
      <c r="M113" s="2">
        <v>44124.12</v>
      </c>
      <c r="N113" s="2">
        <v>75382.429999999993</v>
      </c>
      <c r="O113" s="2">
        <v>79996.22</v>
      </c>
      <c r="P113" s="2">
        <v>100563.15</v>
      </c>
      <c r="Q113" s="2">
        <v>119762.83</v>
      </c>
      <c r="R113" s="2">
        <v>148723.51</v>
      </c>
      <c r="S113" s="2">
        <v>195526.86</v>
      </c>
    </row>
    <row r="114" spans="1:21" x14ac:dyDescent="0.25">
      <c r="A114" t="s">
        <v>170</v>
      </c>
      <c r="L114" s="2">
        <v>1470.73</v>
      </c>
      <c r="M114" s="2">
        <v>1710.29</v>
      </c>
      <c r="N114" s="2">
        <v>3329.33</v>
      </c>
      <c r="O114" s="2">
        <v>3771.64</v>
      </c>
      <c r="P114" s="2">
        <v>5404.36</v>
      </c>
      <c r="Q114" s="2">
        <v>6987.78</v>
      </c>
      <c r="R114" s="2">
        <v>15657</v>
      </c>
      <c r="S114" s="2">
        <v>5554</v>
      </c>
      <c r="T114" s="2">
        <v>5484</v>
      </c>
      <c r="U114" s="2">
        <v>5423</v>
      </c>
    </row>
    <row r="115" spans="1:21" x14ac:dyDescent="0.25">
      <c r="A115" t="s">
        <v>2734</v>
      </c>
      <c r="L115" s="2">
        <v>1131.26</v>
      </c>
      <c r="M115" s="2">
        <v>1139.77</v>
      </c>
      <c r="N115">
        <v>0</v>
      </c>
    </row>
    <row r="116" spans="1:21" x14ac:dyDescent="0.25">
      <c r="A116" t="s">
        <v>1664</v>
      </c>
      <c r="L116">
        <v>339.47</v>
      </c>
      <c r="M116">
        <v>570.53</v>
      </c>
      <c r="N116" s="2">
        <v>3329.33</v>
      </c>
      <c r="O116" s="2">
        <v>3557.59</v>
      </c>
      <c r="P116" s="2">
        <v>3978.91</v>
      </c>
      <c r="Q116" s="2">
        <v>4374.59</v>
      </c>
      <c r="R116" s="2">
        <v>5518.65</v>
      </c>
      <c r="S116" s="2">
        <v>6040.44</v>
      </c>
      <c r="T116" s="2">
        <v>5483.73</v>
      </c>
      <c r="U116" s="2">
        <v>5422.68</v>
      </c>
    </row>
    <row r="117" spans="1:21" x14ac:dyDescent="0.25">
      <c r="A117" t="s">
        <v>2735</v>
      </c>
      <c r="L117">
        <v>0.01</v>
      </c>
      <c r="M117">
        <v>0.01</v>
      </c>
      <c r="N117">
        <v>0.03</v>
      </c>
      <c r="O117">
        <v>0.03</v>
      </c>
      <c r="P117">
        <v>0.03</v>
      </c>
      <c r="Q117">
        <v>0.03</v>
      </c>
      <c r="R117">
        <v>0.03</v>
      </c>
      <c r="S117">
        <v>0.03</v>
      </c>
    </row>
    <row r="118" spans="1:21" x14ac:dyDescent="0.25">
      <c r="A118" t="s">
        <v>2736</v>
      </c>
      <c r="L118">
        <v>2.88</v>
      </c>
      <c r="M118">
        <v>2.88</v>
      </c>
      <c r="N118">
        <v>2.72</v>
      </c>
      <c r="O118">
        <v>2.65</v>
      </c>
      <c r="P118">
        <v>2.65</v>
      </c>
      <c r="Q118">
        <v>2.65</v>
      </c>
      <c r="R118">
        <v>2.66</v>
      </c>
      <c r="S118">
        <v>2.65</v>
      </c>
    </row>
    <row r="119" spans="1:21" x14ac:dyDescent="0.25">
      <c r="A119" t="s">
        <v>2411</v>
      </c>
      <c r="L119" s="2">
        <v>1723.02</v>
      </c>
      <c r="M119" s="2">
        <v>1792.97</v>
      </c>
      <c r="N119" s="2">
        <v>4610.22</v>
      </c>
      <c r="O119" s="2">
        <v>4745.3</v>
      </c>
      <c r="P119" s="2">
        <v>5717.45</v>
      </c>
      <c r="Q119" s="2">
        <v>6385.53</v>
      </c>
      <c r="R119" s="2">
        <v>9869.49</v>
      </c>
      <c r="S119" s="2">
        <v>5932.92</v>
      </c>
    </row>
    <row r="120" spans="1:21" x14ac:dyDescent="0.25">
      <c r="A120" t="s">
        <v>1666</v>
      </c>
      <c r="L120" s="2">
        <v>-1385.61</v>
      </c>
      <c r="M120" s="2">
        <v>-1223.21</v>
      </c>
      <c r="N120" s="2">
        <v>-1292.71</v>
      </c>
      <c r="O120" s="2">
        <v>-1042.44</v>
      </c>
      <c r="P120">
        <v>-626.28</v>
      </c>
      <c r="Q120">
        <v>35.67</v>
      </c>
      <c r="R120" s="2">
        <v>1307.83</v>
      </c>
      <c r="S120" s="2">
        <v>2635.55</v>
      </c>
    </row>
    <row r="121" spans="1:21" x14ac:dyDescent="0.25">
      <c r="A121" t="s">
        <v>2526</v>
      </c>
      <c r="L121">
        <v>4.93</v>
      </c>
      <c r="M121">
        <v>3.64</v>
      </c>
      <c r="N121">
        <v>14.52</v>
      </c>
      <c r="O121">
        <v>7.31</v>
      </c>
      <c r="P121">
        <v>7.31</v>
      </c>
      <c r="Q121">
        <v>7.35</v>
      </c>
      <c r="R121">
        <v>8.4700000000000006</v>
      </c>
      <c r="S121">
        <v>6.45</v>
      </c>
    </row>
    <row r="122" spans="1:21" x14ac:dyDescent="0.25">
      <c r="A122" t="s">
        <v>326</v>
      </c>
      <c r="L122" s="2">
        <v>25996.58</v>
      </c>
      <c r="M122" s="2">
        <v>45834.41</v>
      </c>
      <c r="N122" s="2">
        <v>78713.210000000006</v>
      </c>
      <c r="O122" s="2">
        <v>83765.63</v>
      </c>
      <c r="P122" s="2">
        <v>104980.59</v>
      </c>
      <c r="Q122" s="2">
        <v>129085.29</v>
      </c>
      <c r="R122" s="2">
        <v>169762.51</v>
      </c>
      <c r="S122" s="2">
        <v>240663.89</v>
      </c>
    </row>
    <row r="123" spans="1:21" x14ac:dyDescent="0.25">
      <c r="A123" t="s">
        <v>17</v>
      </c>
    </row>
    <row r="124" spans="1:21" x14ac:dyDescent="0.25">
      <c r="A124" t="s">
        <v>188</v>
      </c>
    </row>
    <row r="125" spans="1:21" x14ac:dyDescent="0.25">
      <c r="A125" t="s">
        <v>189</v>
      </c>
    </row>
    <row r="126" spans="1:21" x14ac:dyDescent="0.25">
      <c r="A126" t="s">
        <v>121</v>
      </c>
      <c r="K126">
        <v>-761.77</v>
      </c>
      <c r="L126">
        <v>271.55</v>
      </c>
      <c r="M126">
        <v>156.99</v>
      </c>
      <c r="N126">
        <v>-69.52</v>
      </c>
      <c r="O126">
        <v>290.29000000000002</v>
      </c>
      <c r="P126">
        <v>370.13</v>
      </c>
      <c r="Q126">
        <v>570.39</v>
      </c>
      <c r="R126">
        <v>923.67</v>
      </c>
      <c r="S126" s="2">
        <v>1166.67</v>
      </c>
    </row>
    <row r="127" spans="1:21" x14ac:dyDescent="0.25">
      <c r="A127" t="s">
        <v>190</v>
      </c>
      <c r="K127">
        <v>13.28</v>
      </c>
      <c r="L127">
        <v>34.89</v>
      </c>
      <c r="M127">
        <v>50.85</v>
      </c>
      <c r="N127">
        <v>76.63</v>
      </c>
      <c r="O127">
        <v>119.51</v>
      </c>
      <c r="P127">
        <v>128.80000000000001</v>
      </c>
      <c r="Q127">
        <v>145.58000000000001</v>
      </c>
      <c r="R127">
        <v>161.41</v>
      </c>
      <c r="S127">
        <v>193.45</v>
      </c>
      <c r="T127">
        <v>310.93</v>
      </c>
      <c r="U127">
        <v>345.14</v>
      </c>
    </row>
    <row r="128" spans="1:21" x14ac:dyDescent="0.25">
      <c r="A128" t="s">
        <v>2737</v>
      </c>
      <c r="K128">
        <v>486.94</v>
      </c>
      <c r="L128">
        <v>-25.34</v>
      </c>
      <c r="M128">
        <v>-10.02</v>
      </c>
      <c r="N128">
        <v>71.42</v>
      </c>
      <c r="O128">
        <v>7.35</v>
      </c>
      <c r="P128">
        <v>-0.56000000000000005</v>
      </c>
      <c r="Q128">
        <v>-12.67</v>
      </c>
    </row>
    <row r="129" spans="1:19" x14ac:dyDescent="0.25">
      <c r="A129" t="s">
        <v>2738</v>
      </c>
      <c r="K129">
        <v>-7.24</v>
      </c>
      <c r="L129">
        <v>-4.4800000000000004</v>
      </c>
      <c r="M129">
        <v>-1.5</v>
      </c>
      <c r="N129">
        <v>-28.57</v>
      </c>
      <c r="O129">
        <v>-17.16</v>
      </c>
      <c r="P129">
        <v>-20</v>
      </c>
      <c r="Q129">
        <v>-20</v>
      </c>
    </row>
    <row r="130" spans="1:19" x14ac:dyDescent="0.25">
      <c r="A130" t="s">
        <v>2202</v>
      </c>
      <c r="K130">
        <v>-0.79</v>
      </c>
      <c r="L130">
        <v>-32.89</v>
      </c>
      <c r="M130">
        <v>-2.81</v>
      </c>
      <c r="N130">
        <v>-2.15</v>
      </c>
      <c r="O130">
        <v>0.72</v>
      </c>
      <c r="P130">
        <v>1.43</v>
      </c>
      <c r="Q130">
        <v>3.31</v>
      </c>
    </row>
    <row r="131" spans="1:19" x14ac:dyDescent="0.25">
      <c r="A131" t="s">
        <v>2739</v>
      </c>
      <c r="K131">
        <v>26.88</v>
      </c>
      <c r="L131">
        <v>1.75</v>
      </c>
      <c r="M131">
        <v>-0.43</v>
      </c>
      <c r="N131">
        <v>-0.28999999999999998</v>
      </c>
      <c r="O131">
        <v>-6.05</v>
      </c>
    </row>
    <row r="132" spans="1:19" x14ac:dyDescent="0.25">
      <c r="A132" t="s">
        <v>2740</v>
      </c>
      <c r="K132">
        <v>0</v>
      </c>
      <c r="L132">
        <v>-21.52</v>
      </c>
      <c r="M132">
        <v>7.0000000000000007E-2</v>
      </c>
      <c r="N132">
        <v>0.02</v>
      </c>
    </row>
    <row r="133" spans="1:19" x14ac:dyDescent="0.25">
      <c r="A133" t="s">
        <v>67</v>
      </c>
      <c r="K133">
        <v>69.3</v>
      </c>
      <c r="L133">
        <v>108</v>
      </c>
      <c r="M133">
        <v>50.13</v>
      </c>
      <c r="N133">
        <v>566.17999999999995</v>
      </c>
      <c r="O133">
        <v>231.04</v>
      </c>
      <c r="P133">
        <v>259.31</v>
      </c>
      <c r="Q133">
        <v>293.70999999999998</v>
      </c>
      <c r="R133">
        <v>289.57</v>
      </c>
      <c r="S133">
        <v>365.07</v>
      </c>
    </row>
    <row r="134" spans="1:19" x14ac:dyDescent="0.25">
      <c r="A134" t="s">
        <v>2741</v>
      </c>
      <c r="K134">
        <v>269.27999999999997</v>
      </c>
      <c r="L134">
        <v>-13.01</v>
      </c>
      <c r="M134">
        <v>-12.88</v>
      </c>
      <c r="N134">
        <v>-18.22</v>
      </c>
      <c r="O134">
        <v>5.66</v>
      </c>
    </row>
    <row r="135" spans="1:19" x14ac:dyDescent="0.25">
      <c r="A135" t="s">
        <v>338</v>
      </c>
      <c r="K135">
        <v>170.9</v>
      </c>
      <c r="L135">
        <v>-172.46</v>
      </c>
      <c r="M135">
        <v>117.44</v>
      </c>
      <c r="N135">
        <v>-109.53</v>
      </c>
      <c r="O135">
        <v>232.9</v>
      </c>
      <c r="P135">
        <v>0.3</v>
      </c>
      <c r="Q135">
        <v>-13.85</v>
      </c>
    </row>
    <row r="136" spans="1:19" x14ac:dyDescent="0.25">
      <c r="A136" t="s">
        <v>141</v>
      </c>
      <c r="K136">
        <v>18.739999999999998</v>
      </c>
      <c r="L136">
        <v>2.2400000000000002</v>
      </c>
      <c r="M136">
        <v>-4.57</v>
      </c>
      <c r="N136">
        <v>-39.380000000000003</v>
      </c>
      <c r="O136">
        <v>-32.6</v>
      </c>
      <c r="P136">
        <v>-4.07</v>
      </c>
      <c r="Q136">
        <v>-9.16</v>
      </c>
      <c r="R136">
        <v>-68.92</v>
      </c>
      <c r="S136">
        <v>-74.08</v>
      </c>
    </row>
    <row r="137" spans="1:19" x14ac:dyDescent="0.25">
      <c r="A137" t="s">
        <v>428</v>
      </c>
      <c r="K137">
        <v>-77.569999999999993</v>
      </c>
      <c r="L137">
        <v>-51.16</v>
      </c>
      <c r="M137">
        <v>-21.76</v>
      </c>
      <c r="N137">
        <v>-146.5</v>
      </c>
      <c r="O137">
        <v>-4.88</v>
      </c>
      <c r="P137">
        <v>-60.31</v>
      </c>
      <c r="Q137">
        <v>-89.42</v>
      </c>
      <c r="R137">
        <v>-172.37</v>
      </c>
      <c r="S137">
        <v>-189.61</v>
      </c>
    </row>
    <row r="138" spans="1:19" x14ac:dyDescent="0.25">
      <c r="A138" t="s">
        <v>1228</v>
      </c>
      <c r="K138">
        <v>227.3</v>
      </c>
      <c r="L138">
        <v>-123.83</v>
      </c>
      <c r="M138">
        <v>132.88</v>
      </c>
      <c r="N138">
        <v>81.239999999999995</v>
      </c>
      <c r="O138">
        <v>34.659999999999997</v>
      </c>
      <c r="P138">
        <v>101.24</v>
      </c>
      <c r="Q138">
        <v>108.68</v>
      </c>
      <c r="R138">
        <v>194.06</v>
      </c>
      <c r="S138">
        <v>176.7</v>
      </c>
    </row>
    <row r="139" spans="1:19" x14ac:dyDescent="0.25">
      <c r="A139" t="s">
        <v>314</v>
      </c>
      <c r="K139">
        <v>2.4300000000000002</v>
      </c>
      <c r="L139">
        <v>0.28999999999999998</v>
      </c>
      <c r="M139">
        <v>10.89</v>
      </c>
      <c r="N139">
        <v>-4.8899999999999997</v>
      </c>
      <c r="O139">
        <v>210.04</v>
      </c>
      <c r="P139">
        <v>15.52</v>
      </c>
      <c r="Q139">
        <v>57.18</v>
      </c>
      <c r="R139">
        <v>155.62</v>
      </c>
      <c r="S139">
        <v>171.18</v>
      </c>
    </row>
    <row r="140" spans="1:19" x14ac:dyDescent="0.25">
      <c r="A140" t="s">
        <v>204</v>
      </c>
      <c r="K140">
        <v>-72.69</v>
      </c>
      <c r="L140">
        <v>139.57</v>
      </c>
      <c r="M140">
        <v>344.58</v>
      </c>
      <c r="N140">
        <v>542.13</v>
      </c>
      <c r="O140">
        <v>829.51</v>
      </c>
      <c r="P140">
        <v>779.03</v>
      </c>
      <c r="Q140" s="2">
        <v>1080</v>
      </c>
      <c r="R140" s="2">
        <v>1645.75</v>
      </c>
      <c r="S140" s="2">
        <v>2154.4299999999998</v>
      </c>
    </row>
    <row r="141" spans="1:19" x14ac:dyDescent="0.25">
      <c r="A141" t="s">
        <v>17</v>
      </c>
    </row>
    <row r="142" spans="1:19" x14ac:dyDescent="0.25">
      <c r="A142" t="s">
        <v>205</v>
      </c>
    </row>
    <row r="143" spans="1:19" x14ac:dyDescent="0.25">
      <c r="A143" t="s">
        <v>206</v>
      </c>
      <c r="K143">
        <v>-21.37</v>
      </c>
      <c r="L143">
        <v>-33.520000000000003</v>
      </c>
      <c r="M143">
        <v>-57.23</v>
      </c>
      <c r="N143">
        <v>-68.63</v>
      </c>
      <c r="O143">
        <v>-86.96</v>
      </c>
      <c r="P143">
        <v>-107.44</v>
      </c>
      <c r="Q143">
        <v>-132.12</v>
      </c>
      <c r="R143">
        <v>-173.41</v>
      </c>
      <c r="S143">
        <v>-216.36</v>
      </c>
    </row>
    <row r="144" spans="1:19" x14ac:dyDescent="0.25">
      <c r="A144" t="s">
        <v>2742</v>
      </c>
      <c r="K144">
        <v>0</v>
      </c>
      <c r="L144">
        <v>1.1100000000000001</v>
      </c>
      <c r="M144">
        <v>0.74</v>
      </c>
      <c r="N144">
        <v>1.43</v>
      </c>
      <c r="O144">
        <v>0.67</v>
      </c>
    </row>
    <row r="145" spans="1:19" x14ac:dyDescent="0.25">
      <c r="A145" t="s">
        <v>1798</v>
      </c>
      <c r="K145">
        <v>-16.03</v>
      </c>
      <c r="L145">
        <v>-2.66</v>
      </c>
      <c r="M145">
        <v>-4.2699999999999996</v>
      </c>
      <c r="N145">
        <v>-9.2899999999999991</v>
      </c>
      <c r="O145">
        <v>-12.14</v>
      </c>
      <c r="P145">
        <v>-11.59</v>
      </c>
      <c r="Q145">
        <v>-14.82</v>
      </c>
      <c r="R145">
        <v>-34.68</v>
      </c>
      <c r="S145">
        <v>-43.27</v>
      </c>
    </row>
    <row r="146" spans="1:19" x14ac:dyDescent="0.25">
      <c r="A146" t="s">
        <v>2743</v>
      </c>
      <c r="K146">
        <v>0</v>
      </c>
      <c r="L146">
        <v>27.3</v>
      </c>
      <c r="M146">
        <v>4.8099999999999996</v>
      </c>
      <c r="N146">
        <v>0.2</v>
      </c>
      <c r="O146">
        <v>-22.32</v>
      </c>
    </row>
    <row r="147" spans="1:19" x14ac:dyDescent="0.25">
      <c r="A147" t="s">
        <v>2744</v>
      </c>
      <c r="K147">
        <v>-18.32</v>
      </c>
      <c r="L147">
        <v>-32.86</v>
      </c>
      <c r="M147">
        <v>-39.1</v>
      </c>
      <c r="N147">
        <v>-56.2</v>
      </c>
      <c r="O147">
        <v>-65.2</v>
      </c>
      <c r="P147">
        <v>-86.14</v>
      </c>
      <c r="Q147">
        <v>-105.21</v>
      </c>
      <c r="R147">
        <v>-135.41999999999999</v>
      </c>
      <c r="S147">
        <v>-172.66</v>
      </c>
    </row>
    <row r="148" spans="1:19" x14ac:dyDescent="0.25">
      <c r="A148" t="s">
        <v>2745</v>
      </c>
      <c r="K148">
        <v>-3.05</v>
      </c>
      <c r="L148">
        <v>-0.65</v>
      </c>
      <c r="M148">
        <v>-18.13</v>
      </c>
      <c r="N148">
        <v>-12.43</v>
      </c>
      <c r="O148">
        <v>-17.809999999999999</v>
      </c>
      <c r="P148">
        <v>-34.94</v>
      </c>
      <c r="Q148">
        <v>-31.01</v>
      </c>
      <c r="R148">
        <v>-22.07</v>
      </c>
      <c r="S148">
        <v>-27.8</v>
      </c>
    </row>
    <row r="149" spans="1:19" x14ac:dyDescent="0.25">
      <c r="A149" t="s">
        <v>213</v>
      </c>
      <c r="K149" s="2">
        <v>-8488.59</v>
      </c>
      <c r="L149" s="2">
        <v>8509.77</v>
      </c>
      <c r="M149">
        <v>186.3</v>
      </c>
      <c r="N149">
        <v>-84.04</v>
      </c>
      <c r="O149">
        <v>-97.11</v>
      </c>
      <c r="P149">
        <v>-95.15</v>
      </c>
      <c r="Q149">
        <v>-116.19</v>
      </c>
      <c r="R149">
        <v>-149.88999999999999</v>
      </c>
      <c r="S149">
        <v>-222.09</v>
      </c>
    </row>
    <row r="150" spans="1:19" x14ac:dyDescent="0.25">
      <c r="A150" t="s">
        <v>17</v>
      </c>
    </row>
    <row r="151" spans="1:19" x14ac:dyDescent="0.25">
      <c r="A151" t="s">
        <v>214</v>
      </c>
    </row>
    <row r="152" spans="1:19" x14ac:dyDescent="0.25">
      <c r="A152" t="s">
        <v>216</v>
      </c>
      <c r="K152">
        <v>0.49</v>
      </c>
      <c r="L152">
        <v>1.04</v>
      </c>
      <c r="M152">
        <v>1.61</v>
      </c>
      <c r="N152">
        <v>51.76</v>
      </c>
      <c r="O152">
        <v>41.63</v>
      </c>
    </row>
    <row r="153" spans="1:19" x14ac:dyDescent="0.25">
      <c r="A153" t="s">
        <v>218</v>
      </c>
      <c r="K153" s="2">
        <v>2578.2399999999998</v>
      </c>
      <c r="L153" s="2">
        <v>-20329.86</v>
      </c>
      <c r="M153" s="2">
        <v>19449.89</v>
      </c>
      <c r="N153" s="2">
        <v>31936.36</v>
      </c>
      <c r="O153" s="2">
        <v>4118.49</v>
      </c>
      <c r="P153" s="2">
        <v>27339.49</v>
      </c>
      <c r="Q153" s="2">
        <v>27401.66</v>
      </c>
      <c r="R153" s="2">
        <v>39240.31</v>
      </c>
      <c r="S153" s="2">
        <v>47393.91</v>
      </c>
    </row>
    <row r="154" spans="1:19" x14ac:dyDescent="0.25">
      <c r="A154" t="s">
        <v>17</v>
      </c>
    </row>
    <row r="155" spans="1:19" x14ac:dyDescent="0.25">
      <c r="A155" t="s">
        <v>176</v>
      </c>
    </row>
    <row r="156" spans="1:19" x14ac:dyDescent="0.25">
      <c r="A156" t="s">
        <v>220</v>
      </c>
      <c r="K156" s="2">
        <v>-5979.29</v>
      </c>
      <c r="L156" s="2">
        <v>-11679.68</v>
      </c>
      <c r="M156" s="2">
        <v>19973.45</v>
      </c>
      <c r="N156" s="2">
        <v>32452.13</v>
      </c>
      <c r="O156" s="2">
        <v>4333.3599999999997</v>
      </c>
      <c r="P156" s="2">
        <v>22738.6</v>
      </c>
      <c r="Q156" s="2">
        <v>25075.01</v>
      </c>
      <c r="R156" s="2">
        <v>41578.53</v>
      </c>
      <c r="S156" s="2">
        <v>49326.25</v>
      </c>
    </row>
    <row r="157" spans="1:19" x14ac:dyDescent="0.25">
      <c r="A157" t="s">
        <v>221</v>
      </c>
      <c r="K157" s="2">
        <v>42653.13</v>
      </c>
      <c r="L157" s="2">
        <v>36673.839999999997</v>
      </c>
      <c r="M157" s="2">
        <v>24994.16</v>
      </c>
      <c r="N157" s="2">
        <v>44967.6</v>
      </c>
      <c r="O157" s="2">
        <v>77424.42</v>
      </c>
      <c r="P157" s="2">
        <v>82055.7</v>
      </c>
      <c r="Q157" s="2">
        <v>106614.54</v>
      </c>
      <c r="R157" s="2">
        <v>150083.88</v>
      </c>
      <c r="S157" s="2">
        <v>191662.42</v>
      </c>
    </row>
    <row r="158" spans="1:19" x14ac:dyDescent="0.25">
      <c r="A158" t="s">
        <v>222</v>
      </c>
      <c r="K158" s="2">
        <v>36673.839999999997</v>
      </c>
      <c r="L158" s="2">
        <v>24994.16</v>
      </c>
      <c r="M158" s="2">
        <v>44967.6</v>
      </c>
      <c r="N158" s="2">
        <v>77419.73</v>
      </c>
      <c r="O158" s="2">
        <v>80957.81</v>
      </c>
      <c r="P158" s="2">
        <v>103246.65</v>
      </c>
      <c r="Q158" s="2">
        <v>122906.03</v>
      </c>
      <c r="R158" s="2">
        <v>169515.97</v>
      </c>
      <c r="S158" s="2">
        <v>204067.53</v>
      </c>
    </row>
    <row r="159" spans="1:19" x14ac:dyDescent="0.25">
      <c r="A159" t="s">
        <v>178</v>
      </c>
    </row>
    <row r="160" spans="1:19" x14ac:dyDescent="0.25">
      <c r="A160" t="s">
        <v>225</v>
      </c>
      <c r="K160">
        <v>-94.06</v>
      </c>
      <c r="L160">
        <v>106.05</v>
      </c>
      <c r="M160">
        <v>287.35000000000002</v>
      </c>
      <c r="N160">
        <v>473.5</v>
      </c>
      <c r="O160">
        <v>792.57</v>
      </c>
      <c r="P160">
        <v>762.79</v>
      </c>
      <c r="Q160" s="2">
        <v>1018.48</v>
      </c>
      <c r="R160" s="2">
        <v>1476.97</v>
      </c>
      <c r="S160" s="2">
        <v>1953.98</v>
      </c>
    </row>
    <row r="161" spans="1:19" x14ac:dyDescent="0.25">
      <c r="A161" t="s">
        <v>228</v>
      </c>
      <c r="K161">
        <v>-12.18</v>
      </c>
      <c r="L161">
        <v>7.31</v>
      </c>
      <c r="M161">
        <v>17.14</v>
      </c>
      <c r="N161">
        <v>17.239999999999998</v>
      </c>
      <c r="O161">
        <v>27.95</v>
      </c>
      <c r="P161">
        <v>19.559999999999999</v>
      </c>
      <c r="Q161">
        <v>20.51</v>
      </c>
      <c r="R161">
        <v>21.66</v>
      </c>
      <c r="S161">
        <v>22.46</v>
      </c>
    </row>
    <row r="162" spans="1:19" x14ac:dyDescent="0.25">
      <c r="A162" t="s">
        <v>2746</v>
      </c>
      <c r="K162">
        <v>-243.59</v>
      </c>
      <c r="L162">
        <v>312.02999999999997</v>
      </c>
      <c r="M162">
        <v>227.14</v>
      </c>
      <c r="N162">
        <v>651.66</v>
      </c>
      <c r="O162">
        <v>586.33000000000004</v>
      </c>
      <c r="P162">
        <v>678.03</v>
      </c>
      <c r="Q162">
        <v>795.48</v>
      </c>
      <c r="R162">
        <v>921.09</v>
      </c>
      <c r="S162" s="2">
        <v>1204.07</v>
      </c>
    </row>
    <row r="163" spans="1:19" x14ac:dyDescent="0.25">
      <c r="A163" t="s">
        <v>17</v>
      </c>
    </row>
    <row r="164" spans="1:19" x14ac:dyDescent="0.25">
      <c r="A164" t="s">
        <v>231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E764-4C71-43DB-A38E-B6EA150FA98A}">
  <dimension ref="A1:U139"/>
  <sheetViews>
    <sheetView workbookViewId="0">
      <selection sqref="A1:U139"/>
    </sheetView>
  </sheetViews>
  <sheetFormatPr defaultRowHeight="15" x14ac:dyDescent="0.25"/>
  <sheetData>
    <row r="1" spans="1:21" x14ac:dyDescent="0.25">
      <c r="A1" t="s">
        <v>2747</v>
      </c>
    </row>
    <row r="2" spans="1:21" x14ac:dyDescent="0.25">
      <c r="A2" t="s">
        <v>2748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-0.25</v>
      </c>
      <c r="C6">
        <v>-0.03</v>
      </c>
      <c r="D6">
        <v>-7.0000000000000007E-2</v>
      </c>
      <c r="E6">
        <v>0.17</v>
      </c>
      <c r="F6">
        <v>0.26</v>
      </c>
      <c r="G6">
        <v>0.24</v>
      </c>
      <c r="H6">
        <v>-7.0000000000000007E-2</v>
      </c>
      <c r="I6">
        <v>0.08</v>
      </c>
      <c r="J6">
        <v>0.34</v>
      </c>
      <c r="K6">
        <v>0.46</v>
      </c>
      <c r="L6">
        <v>-0.34</v>
      </c>
      <c r="M6">
        <v>-0.2</v>
      </c>
      <c r="N6">
        <v>-0.41</v>
      </c>
      <c r="O6">
        <v>0.9</v>
      </c>
      <c r="P6">
        <v>2.23</v>
      </c>
      <c r="Q6">
        <v>4.37</v>
      </c>
      <c r="R6">
        <v>7.18</v>
      </c>
      <c r="S6">
        <v>8.02</v>
      </c>
    </row>
    <row r="7" spans="1:21" x14ac:dyDescent="0.25">
      <c r="A7" t="s">
        <v>16</v>
      </c>
      <c r="B7">
        <v>85.34</v>
      </c>
      <c r="C7">
        <v>83.5</v>
      </c>
      <c r="D7">
        <v>77.5</v>
      </c>
      <c r="E7">
        <v>81.349999999999994</v>
      </c>
      <c r="F7">
        <v>98.67</v>
      </c>
      <c r="G7">
        <v>102.4</v>
      </c>
      <c r="H7">
        <v>83.26</v>
      </c>
      <c r="I7">
        <v>95.36</v>
      </c>
      <c r="J7">
        <v>137.38999999999999</v>
      </c>
      <c r="K7">
        <v>141.12</v>
      </c>
      <c r="L7">
        <v>75.8</v>
      </c>
      <c r="M7">
        <v>99.36</v>
      </c>
      <c r="N7">
        <v>88.33</v>
      </c>
      <c r="O7">
        <v>222</v>
      </c>
      <c r="P7">
        <v>485.2</v>
      </c>
      <c r="Q7">
        <v>770.6</v>
      </c>
      <c r="R7" s="2">
        <v>1104.5</v>
      </c>
      <c r="S7" s="2">
        <v>1286.5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2749</v>
      </c>
      <c r="E10">
        <v>65.63</v>
      </c>
      <c r="F10">
        <v>78.62</v>
      </c>
      <c r="G10">
        <v>81.010000000000005</v>
      </c>
      <c r="H10">
        <v>67.849999999999994</v>
      </c>
      <c r="I10">
        <v>75.59</v>
      </c>
      <c r="J10">
        <v>103.03</v>
      </c>
      <c r="K10">
        <v>111.09</v>
      </c>
      <c r="L10">
        <v>47.47</v>
      </c>
      <c r="M10">
        <v>67.75</v>
      </c>
      <c r="N10">
        <v>58.9</v>
      </c>
      <c r="O10">
        <v>182.09</v>
      </c>
      <c r="P10">
        <v>428.8</v>
      </c>
      <c r="Q10">
        <v>667.03</v>
      </c>
      <c r="R10">
        <v>858.93</v>
      </c>
      <c r="S10" s="2">
        <v>1108.83</v>
      </c>
    </row>
    <row r="11" spans="1:21" x14ac:dyDescent="0.25">
      <c r="A11" t="s">
        <v>2750</v>
      </c>
      <c r="B11">
        <v>21.01</v>
      </c>
      <c r="E11">
        <v>15.72</v>
      </c>
      <c r="F11">
        <v>20.05</v>
      </c>
      <c r="G11">
        <v>21.39</v>
      </c>
      <c r="H11">
        <v>15.41</v>
      </c>
      <c r="I11">
        <v>19.77</v>
      </c>
      <c r="J11">
        <v>34.369999999999997</v>
      </c>
      <c r="K11">
        <v>30.02</v>
      </c>
      <c r="L11">
        <v>28.33</v>
      </c>
      <c r="M11">
        <v>31.61</v>
      </c>
      <c r="N11">
        <v>29.43</v>
      </c>
      <c r="O11">
        <v>35.25</v>
      </c>
      <c r="P11">
        <v>38.9</v>
      </c>
      <c r="Q11">
        <v>43.68</v>
      </c>
      <c r="R11">
        <v>68.819999999999993</v>
      </c>
      <c r="S11">
        <v>82.59</v>
      </c>
    </row>
    <row r="12" spans="1:21" x14ac:dyDescent="0.25">
      <c r="A12" t="s">
        <v>17</v>
      </c>
    </row>
    <row r="13" spans="1:21" x14ac:dyDescent="0.25">
      <c r="A13" t="s">
        <v>680</v>
      </c>
      <c r="F13">
        <v>17.829999999999998</v>
      </c>
      <c r="G13">
        <v>17.95</v>
      </c>
      <c r="H13">
        <v>5.79</v>
      </c>
      <c r="I13">
        <v>8.24</v>
      </c>
      <c r="J13">
        <v>24.5</v>
      </c>
      <c r="K13">
        <v>24.66</v>
      </c>
      <c r="L13">
        <v>-11.33</v>
      </c>
      <c r="M13">
        <v>-2.73</v>
      </c>
      <c r="N13">
        <v>-9.58</v>
      </c>
      <c r="O13">
        <v>66.47</v>
      </c>
      <c r="P13">
        <v>184.33</v>
      </c>
      <c r="Q13">
        <v>270.5</v>
      </c>
    </row>
    <row r="14" spans="1:21" x14ac:dyDescent="0.25">
      <c r="A14" t="s">
        <v>528</v>
      </c>
      <c r="B14">
        <v>-7.96</v>
      </c>
      <c r="C14">
        <v>-0.8</v>
      </c>
      <c r="D14">
        <v>-2.23</v>
      </c>
      <c r="E14">
        <v>5.64</v>
      </c>
      <c r="F14">
        <v>10.15</v>
      </c>
      <c r="G14">
        <v>9.65</v>
      </c>
      <c r="H14">
        <v>-2.6</v>
      </c>
      <c r="I14">
        <v>3.24</v>
      </c>
      <c r="J14">
        <v>14.58</v>
      </c>
      <c r="K14">
        <v>19.82</v>
      </c>
      <c r="L14">
        <v>-14.34</v>
      </c>
      <c r="M14">
        <v>-8.5299999999999994</v>
      </c>
      <c r="N14">
        <v>-17.97</v>
      </c>
      <c r="O14">
        <v>57.25</v>
      </c>
      <c r="P14">
        <v>165.17</v>
      </c>
      <c r="Q14" s="2">
        <v>1242.2</v>
      </c>
      <c r="R14">
        <v>484.5</v>
      </c>
      <c r="S14">
        <v>546.5</v>
      </c>
    </row>
    <row r="15" spans="1:21" x14ac:dyDescent="0.25">
      <c r="A15" t="s">
        <v>17</v>
      </c>
    </row>
    <row r="16" spans="1:21" x14ac:dyDescent="0.25">
      <c r="A16" t="s">
        <v>58</v>
      </c>
    </row>
    <row r="17" spans="1:19" x14ac:dyDescent="0.25">
      <c r="A17" t="s">
        <v>16</v>
      </c>
    </row>
    <row r="18" spans="1:19" x14ac:dyDescent="0.25">
      <c r="A18" t="s">
        <v>2749</v>
      </c>
      <c r="E18">
        <v>65.63</v>
      </c>
      <c r="F18">
        <v>78.62</v>
      </c>
      <c r="G18">
        <v>81.010000000000005</v>
      </c>
      <c r="H18">
        <v>67.849999999999994</v>
      </c>
      <c r="I18">
        <v>75.59</v>
      </c>
      <c r="J18">
        <v>103.03</v>
      </c>
      <c r="K18">
        <v>111.09</v>
      </c>
      <c r="L18">
        <v>47.47</v>
      </c>
      <c r="M18">
        <v>67.75</v>
      </c>
      <c r="N18">
        <v>58.9</v>
      </c>
      <c r="O18">
        <v>182.09</v>
      </c>
      <c r="P18">
        <v>428.8</v>
      </c>
      <c r="Q18">
        <v>667.03</v>
      </c>
      <c r="R18">
        <v>858.93</v>
      </c>
      <c r="S18" s="2">
        <v>1108.83</v>
      </c>
    </row>
    <row r="19" spans="1:19" x14ac:dyDescent="0.25">
      <c r="A19" t="s">
        <v>2750</v>
      </c>
      <c r="B19">
        <v>21.01</v>
      </c>
      <c r="E19">
        <v>15.72</v>
      </c>
      <c r="F19">
        <v>20.05</v>
      </c>
      <c r="G19">
        <v>21.39</v>
      </c>
      <c r="H19">
        <v>15.41</v>
      </c>
      <c r="I19">
        <v>19.77</v>
      </c>
      <c r="J19">
        <v>34.369999999999997</v>
      </c>
      <c r="K19">
        <v>30.02</v>
      </c>
      <c r="L19">
        <v>28.33</v>
      </c>
      <c r="M19">
        <v>31.61</v>
      </c>
      <c r="N19">
        <v>29.43</v>
      </c>
      <c r="O19">
        <v>35.25</v>
      </c>
      <c r="P19">
        <v>38.9</v>
      </c>
      <c r="Q19">
        <v>43.68</v>
      </c>
      <c r="R19">
        <v>68.819999999999993</v>
      </c>
      <c r="S19">
        <v>82.59</v>
      </c>
    </row>
    <row r="20" spans="1:19" x14ac:dyDescent="0.25">
      <c r="A20" t="s">
        <v>17</v>
      </c>
    </row>
    <row r="21" spans="1:19" x14ac:dyDescent="0.25">
      <c r="A21" t="s">
        <v>72</v>
      </c>
    </row>
    <row r="22" spans="1:19" x14ac:dyDescent="0.25">
      <c r="A22" t="s">
        <v>1594</v>
      </c>
    </row>
    <row r="23" spans="1:19" x14ac:dyDescent="0.25">
      <c r="A23" t="s">
        <v>60</v>
      </c>
      <c r="B23">
        <v>24.95</v>
      </c>
      <c r="C23">
        <v>17.45</v>
      </c>
      <c r="D23">
        <v>13.73</v>
      </c>
      <c r="E23">
        <v>17.45</v>
      </c>
      <c r="F23">
        <v>24.96</v>
      </c>
      <c r="G23">
        <v>31.49</v>
      </c>
      <c r="H23">
        <v>26.8</v>
      </c>
      <c r="I23">
        <v>35.15</v>
      </c>
      <c r="J23">
        <v>67.39</v>
      </c>
      <c r="K23">
        <v>55.41</v>
      </c>
      <c r="L23">
        <v>39.78</v>
      </c>
      <c r="M23">
        <v>56.12</v>
      </c>
      <c r="N23">
        <v>55.08</v>
      </c>
    </row>
    <row r="24" spans="1:19" x14ac:dyDescent="0.25">
      <c r="A24" t="s">
        <v>61</v>
      </c>
      <c r="B24">
        <v>29</v>
      </c>
      <c r="C24">
        <v>21</v>
      </c>
      <c r="D24">
        <v>18</v>
      </c>
      <c r="E24">
        <v>21</v>
      </c>
      <c r="F24">
        <v>25</v>
      </c>
      <c r="G24">
        <v>31</v>
      </c>
      <c r="H24">
        <v>32</v>
      </c>
      <c r="I24">
        <v>37</v>
      </c>
      <c r="J24">
        <v>49</v>
      </c>
      <c r="K24">
        <v>39</v>
      </c>
      <c r="L24">
        <v>53</v>
      </c>
      <c r="M24">
        <v>56</v>
      </c>
      <c r="N24">
        <v>62</v>
      </c>
    </row>
    <row r="25" spans="1:19" x14ac:dyDescent="0.25">
      <c r="A25" t="s">
        <v>17</v>
      </c>
    </row>
    <row r="26" spans="1:19" x14ac:dyDescent="0.25">
      <c r="A26" t="s">
        <v>1595</v>
      </c>
    </row>
    <row r="27" spans="1:19" x14ac:dyDescent="0.25">
      <c r="A27" t="s">
        <v>60</v>
      </c>
      <c r="B27">
        <v>9.0399999999999991</v>
      </c>
      <c r="C27">
        <v>11.55</v>
      </c>
      <c r="D27">
        <v>9.14</v>
      </c>
      <c r="E27">
        <v>11.02</v>
      </c>
      <c r="F27">
        <v>13.26</v>
      </c>
      <c r="G27">
        <v>10.31</v>
      </c>
      <c r="H27">
        <v>6.26</v>
      </c>
      <c r="I27">
        <v>7.62</v>
      </c>
      <c r="J27">
        <v>10.11</v>
      </c>
      <c r="K27">
        <v>11.72</v>
      </c>
      <c r="L27">
        <v>4.6399999999999997</v>
      </c>
      <c r="M27">
        <v>4.9800000000000004</v>
      </c>
      <c r="N27">
        <v>4.91</v>
      </c>
    </row>
    <row r="28" spans="1:19" x14ac:dyDescent="0.25">
      <c r="A28" t="s">
        <v>61</v>
      </c>
      <c r="B28">
        <v>12</v>
      </c>
      <c r="C28">
        <v>14</v>
      </c>
      <c r="D28">
        <v>18</v>
      </c>
      <c r="E28">
        <v>19</v>
      </c>
      <c r="F28">
        <v>19</v>
      </c>
      <c r="G28">
        <v>20</v>
      </c>
      <c r="H28">
        <v>19</v>
      </c>
      <c r="I28">
        <v>17</v>
      </c>
      <c r="J28">
        <v>12</v>
      </c>
      <c r="K28">
        <v>21</v>
      </c>
      <c r="L28">
        <v>11</v>
      </c>
      <c r="M28">
        <v>14</v>
      </c>
      <c r="N28">
        <v>15</v>
      </c>
    </row>
    <row r="29" spans="1:19" x14ac:dyDescent="0.25">
      <c r="A29" t="s">
        <v>17</v>
      </c>
    </row>
    <row r="30" spans="1:19" x14ac:dyDescent="0.25">
      <c r="A30" t="s">
        <v>979</v>
      </c>
    </row>
    <row r="31" spans="1:19" x14ac:dyDescent="0.25">
      <c r="A31" t="s">
        <v>60</v>
      </c>
      <c r="B31">
        <v>9.0399999999999991</v>
      </c>
      <c r="C31">
        <v>11.55</v>
      </c>
      <c r="D31">
        <v>9.14</v>
      </c>
      <c r="E31">
        <v>11.02</v>
      </c>
      <c r="F31">
        <v>13.26</v>
      </c>
      <c r="G31">
        <v>10.31</v>
      </c>
      <c r="H31">
        <v>6.26</v>
      </c>
      <c r="I31">
        <v>7.62</v>
      </c>
      <c r="J31">
        <v>10.11</v>
      </c>
      <c r="K31">
        <v>11.72</v>
      </c>
      <c r="L31">
        <v>4.6399999999999997</v>
      </c>
      <c r="M31">
        <v>4.9800000000000004</v>
      </c>
      <c r="N31">
        <v>4.91</v>
      </c>
    </row>
    <row r="32" spans="1:19" x14ac:dyDescent="0.25">
      <c r="A32" t="s">
        <v>61</v>
      </c>
      <c r="B32">
        <v>11</v>
      </c>
      <c r="C32">
        <v>14</v>
      </c>
      <c r="D32">
        <v>11</v>
      </c>
      <c r="E32">
        <v>14</v>
      </c>
      <c r="F32">
        <v>13</v>
      </c>
      <c r="G32">
        <v>10</v>
      </c>
      <c r="H32">
        <v>8</v>
      </c>
      <c r="I32">
        <v>8</v>
      </c>
      <c r="J32">
        <v>7</v>
      </c>
      <c r="K32">
        <v>8</v>
      </c>
      <c r="L32">
        <v>6</v>
      </c>
      <c r="M32">
        <v>5</v>
      </c>
      <c r="N32">
        <v>5</v>
      </c>
    </row>
    <row r="33" spans="1:19" x14ac:dyDescent="0.25">
      <c r="A33" t="s">
        <v>17</v>
      </c>
    </row>
    <row r="34" spans="1:19" x14ac:dyDescent="0.25">
      <c r="A34" t="s">
        <v>2751</v>
      </c>
    </row>
    <row r="35" spans="1:19" x14ac:dyDescent="0.25">
      <c r="A35" t="s">
        <v>60</v>
      </c>
      <c r="B35">
        <v>9.17</v>
      </c>
      <c r="C35">
        <v>11.21</v>
      </c>
      <c r="D35">
        <v>11.48</v>
      </c>
      <c r="E35">
        <v>10.8</v>
      </c>
      <c r="F35">
        <v>9.8699999999999992</v>
      </c>
      <c r="G35">
        <v>8.49</v>
      </c>
      <c r="H35">
        <v>7.59</v>
      </c>
      <c r="I35">
        <v>5.46</v>
      </c>
      <c r="J35">
        <v>7.54</v>
      </c>
      <c r="K35">
        <v>4.1900000000000004</v>
      </c>
      <c r="L35">
        <v>3.81</v>
      </c>
      <c r="M35">
        <v>2.82</v>
      </c>
      <c r="N35">
        <v>2.44</v>
      </c>
    </row>
    <row r="36" spans="1:19" x14ac:dyDescent="0.25">
      <c r="A36" t="s">
        <v>61</v>
      </c>
      <c r="B36">
        <v>11</v>
      </c>
      <c r="C36">
        <v>13</v>
      </c>
      <c r="D36">
        <v>15</v>
      </c>
      <c r="E36">
        <v>13</v>
      </c>
      <c r="F36">
        <v>10</v>
      </c>
      <c r="G36">
        <v>8</v>
      </c>
      <c r="H36">
        <v>9</v>
      </c>
      <c r="I36">
        <v>6</v>
      </c>
      <c r="J36">
        <v>6</v>
      </c>
      <c r="K36">
        <v>3</v>
      </c>
      <c r="L36">
        <v>5</v>
      </c>
      <c r="M36">
        <v>3</v>
      </c>
      <c r="N36">
        <v>3</v>
      </c>
    </row>
    <row r="37" spans="1:19" x14ac:dyDescent="0.25">
      <c r="A37" t="s">
        <v>17</v>
      </c>
    </row>
    <row r="38" spans="1:19" x14ac:dyDescent="0.25">
      <c r="A38" t="s">
        <v>2752</v>
      </c>
    </row>
    <row r="39" spans="1:19" x14ac:dyDescent="0.25">
      <c r="A39" t="s">
        <v>60</v>
      </c>
      <c r="B39">
        <v>21.39</v>
      </c>
      <c r="C39">
        <v>21.54</v>
      </c>
      <c r="D39">
        <v>19.52</v>
      </c>
      <c r="E39">
        <v>18.64</v>
      </c>
      <c r="F39">
        <v>23.96</v>
      </c>
      <c r="G39">
        <v>22.01</v>
      </c>
      <c r="H39">
        <v>18.18</v>
      </c>
      <c r="I39">
        <v>19.670000000000002</v>
      </c>
      <c r="J39">
        <v>23.07</v>
      </c>
      <c r="K39">
        <v>20.59</v>
      </c>
      <c r="L39">
        <v>12.32</v>
      </c>
      <c r="M39">
        <v>13.77</v>
      </c>
      <c r="N39">
        <v>11.16</v>
      </c>
    </row>
    <row r="40" spans="1:19" x14ac:dyDescent="0.25">
      <c r="A40" t="s">
        <v>61</v>
      </c>
      <c r="B40">
        <v>25</v>
      </c>
      <c r="C40">
        <v>26</v>
      </c>
      <c r="D40">
        <v>25</v>
      </c>
      <c r="E40">
        <v>23</v>
      </c>
      <c r="F40">
        <v>24</v>
      </c>
      <c r="G40">
        <v>21</v>
      </c>
      <c r="H40">
        <v>22</v>
      </c>
      <c r="I40">
        <v>21</v>
      </c>
      <c r="J40">
        <v>17</v>
      </c>
      <c r="K40">
        <v>15</v>
      </c>
      <c r="L40">
        <v>16</v>
      </c>
      <c r="M40">
        <v>14</v>
      </c>
      <c r="N40">
        <v>13</v>
      </c>
    </row>
    <row r="41" spans="1:19" x14ac:dyDescent="0.25">
      <c r="A41" t="s">
        <v>17</v>
      </c>
    </row>
    <row r="42" spans="1:19" x14ac:dyDescent="0.25">
      <c r="A42" t="s">
        <v>2753</v>
      </c>
    </row>
    <row r="43" spans="1:19" x14ac:dyDescent="0.25">
      <c r="A43" t="s">
        <v>60</v>
      </c>
      <c r="B43">
        <v>10.67</v>
      </c>
      <c r="C43">
        <v>10.29</v>
      </c>
      <c r="D43">
        <v>9.84</v>
      </c>
      <c r="E43">
        <v>8.08</v>
      </c>
      <c r="F43">
        <v>8.35</v>
      </c>
      <c r="G43">
        <v>10.02</v>
      </c>
      <c r="H43">
        <v>8.23</v>
      </c>
      <c r="I43">
        <v>10.97</v>
      </c>
      <c r="J43">
        <v>12.44</v>
      </c>
      <c r="K43">
        <v>20.420000000000002</v>
      </c>
      <c r="L43">
        <v>6.6</v>
      </c>
      <c r="M43">
        <v>7.58</v>
      </c>
      <c r="N43">
        <v>1.71</v>
      </c>
    </row>
    <row r="44" spans="1:19" x14ac:dyDescent="0.25">
      <c r="A44" t="s">
        <v>61</v>
      </c>
      <c r="B44">
        <v>12</v>
      </c>
      <c r="C44">
        <v>12</v>
      </c>
      <c r="D44">
        <v>13</v>
      </c>
      <c r="E44">
        <v>10</v>
      </c>
      <c r="F44">
        <v>9</v>
      </c>
      <c r="G44">
        <v>10</v>
      </c>
      <c r="H44">
        <v>10</v>
      </c>
      <c r="I44">
        <v>11</v>
      </c>
      <c r="J44">
        <v>9</v>
      </c>
      <c r="K44">
        <v>14</v>
      </c>
      <c r="L44">
        <v>9</v>
      </c>
      <c r="M44">
        <v>8</v>
      </c>
      <c r="N44">
        <v>2</v>
      </c>
    </row>
    <row r="45" spans="1:19" x14ac:dyDescent="0.25">
      <c r="A45" t="s">
        <v>17</v>
      </c>
    </row>
    <row r="46" spans="1:19" x14ac:dyDescent="0.25">
      <c r="A46" t="s">
        <v>79</v>
      </c>
    </row>
    <row r="47" spans="1:19" x14ac:dyDescent="0.25">
      <c r="A47" t="s">
        <v>80</v>
      </c>
      <c r="B47">
        <v>85.34</v>
      </c>
      <c r="C47">
        <v>83.5</v>
      </c>
      <c r="D47">
        <v>77.5</v>
      </c>
      <c r="E47">
        <v>81.349999999999994</v>
      </c>
      <c r="F47">
        <v>98.67</v>
      </c>
      <c r="G47">
        <v>102.4</v>
      </c>
      <c r="H47">
        <v>83.26</v>
      </c>
      <c r="I47">
        <v>95.36</v>
      </c>
      <c r="J47">
        <v>137.38999999999999</v>
      </c>
      <c r="K47">
        <v>141.12</v>
      </c>
      <c r="L47">
        <v>75.8</v>
      </c>
      <c r="M47">
        <v>99.36</v>
      </c>
      <c r="N47">
        <v>88.33</v>
      </c>
      <c r="O47">
        <v>222</v>
      </c>
      <c r="P47">
        <v>485.2</v>
      </c>
      <c r="Q47">
        <v>770.6</v>
      </c>
      <c r="R47" s="2">
        <v>1104.5</v>
      </c>
      <c r="S47" s="2">
        <v>1286.5</v>
      </c>
    </row>
    <row r="48" spans="1:19" x14ac:dyDescent="0.25">
      <c r="A48" t="s">
        <v>17</v>
      </c>
    </row>
    <row r="49" spans="1:19" x14ac:dyDescent="0.25">
      <c r="A49" t="s">
        <v>82</v>
      </c>
      <c r="B49">
        <v>73.510000000000005</v>
      </c>
      <c r="C49">
        <v>66.33</v>
      </c>
      <c r="D49">
        <v>60.67</v>
      </c>
      <c r="E49">
        <v>54.97</v>
      </c>
      <c r="F49">
        <v>64.2</v>
      </c>
      <c r="G49">
        <v>65.349999999999994</v>
      </c>
      <c r="H49">
        <v>58.43</v>
      </c>
      <c r="I49">
        <v>65.09</v>
      </c>
      <c r="J49">
        <v>89.98</v>
      </c>
      <c r="K49">
        <v>89</v>
      </c>
      <c r="L49">
        <v>62.48</v>
      </c>
      <c r="M49">
        <v>75.53</v>
      </c>
      <c r="N49">
        <v>77.08</v>
      </c>
      <c r="O49">
        <v>122.77</v>
      </c>
      <c r="P49">
        <v>243.38</v>
      </c>
      <c r="Q49">
        <v>367.24</v>
      </c>
      <c r="R49">
        <v>465.58</v>
      </c>
      <c r="S49">
        <v>595.29</v>
      </c>
    </row>
    <row r="50" spans="1:19" x14ac:dyDescent="0.25">
      <c r="A50" t="s">
        <v>84</v>
      </c>
      <c r="B50">
        <v>11.83</v>
      </c>
      <c r="C50">
        <v>17.170000000000002</v>
      </c>
      <c r="D50">
        <v>16.829999999999998</v>
      </c>
      <c r="E50">
        <v>26.38</v>
      </c>
      <c r="F50">
        <v>34.479999999999997</v>
      </c>
      <c r="G50">
        <v>37.049999999999997</v>
      </c>
      <c r="H50">
        <v>24.83</v>
      </c>
      <c r="I50">
        <v>30.28</v>
      </c>
      <c r="J50">
        <v>47.41</v>
      </c>
      <c r="K50">
        <v>52.12</v>
      </c>
      <c r="L50">
        <v>13.32</v>
      </c>
      <c r="M50">
        <v>23.84</v>
      </c>
      <c r="N50">
        <v>11.24</v>
      </c>
      <c r="O50">
        <v>98.43</v>
      </c>
      <c r="P50">
        <v>239.18</v>
      </c>
      <c r="Q50">
        <v>403.32</v>
      </c>
      <c r="R50">
        <v>640.99</v>
      </c>
      <c r="S50">
        <v>731.56</v>
      </c>
    </row>
    <row r="51" spans="1:19" x14ac:dyDescent="0.25">
      <c r="A51" t="s">
        <v>85</v>
      </c>
      <c r="B51">
        <v>13.86</v>
      </c>
      <c r="C51">
        <v>20.6</v>
      </c>
      <c r="D51">
        <v>21.71</v>
      </c>
      <c r="E51">
        <v>32.43</v>
      </c>
      <c r="F51">
        <v>34.94</v>
      </c>
      <c r="G51">
        <v>36.18</v>
      </c>
      <c r="H51">
        <v>29.82</v>
      </c>
      <c r="I51">
        <v>31.75</v>
      </c>
      <c r="J51">
        <v>34.51</v>
      </c>
      <c r="K51">
        <v>37.200000000000003</v>
      </c>
      <c r="L51">
        <v>18.12</v>
      </c>
      <c r="M51">
        <v>24.31</v>
      </c>
      <c r="N51">
        <v>13.06</v>
      </c>
      <c r="O51">
        <v>44.42</v>
      </c>
      <c r="P51">
        <v>49.03</v>
      </c>
      <c r="Q51">
        <v>50.84</v>
      </c>
      <c r="R51">
        <v>56.91</v>
      </c>
      <c r="S51">
        <v>56.37</v>
      </c>
    </row>
    <row r="52" spans="1:19" x14ac:dyDescent="0.25">
      <c r="A52" t="s">
        <v>17</v>
      </c>
    </row>
    <row r="53" spans="1:19" x14ac:dyDescent="0.25">
      <c r="A53" t="s">
        <v>275</v>
      </c>
      <c r="B53">
        <v>19.489999999999998</v>
      </c>
      <c r="C53">
        <v>20.02</v>
      </c>
      <c r="D53">
        <v>21.73</v>
      </c>
      <c r="E53">
        <v>19.96</v>
      </c>
      <c r="F53">
        <v>21.84</v>
      </c>
      <c r="G53">
        <v>24.9</v>
      </c>
      <c r="H53">
        <v>25.14</v>
      </c>
      <c r="I53">
        <v>26.34</v>
      </c>
      <c r="J53">
        <v>34.520000000000003</v>
      </c>
      <c r="K53">
        <v>39.57</v>
      </c>
      <c r="L53">
        <v>34.89</v>
      </c>
      <c r="M53">
        <v>38.64</v>
      </c>
      <c r="N53">
        <v>33.22</v>
      </c>
      <c r="O53">
        <v>42.7</v>
      </c>
      <c r="P53">
        <v>52.3</v>
      </c>
      <c r="Q53">
        <v>61.2</v>
      </c>
      <c r="R53">
        <v>71.59</v>
      </c>
      <c r="S53">
        <v>83.75</v>
      </c>
    </row>
    <row r="54" spans="1:19" x14ac:dyDescent="0.25">
      <c r="A54" t="s">
        <v>276</v>
      </c>
      <c r="B54">
        <v>16.07</v>
      </c>
      <c r="C54">
        <v>14.97</v>
      </c>
      <c r="D54">
        <v>16.059999999999999</v>
      </c>
      <c r="E54">
        <v>13.88</v>
      </c>
      <c r="F54">
        <v>17.010000000000002</v>
      </c>
      <c r="G54">
        <v>19</v>
      </c>
      <c r="H54">
        <v>19.309999999999999</v>
      </c>
      <c r="I54">
        <v>19.2</v>
      </c>
      <c r="J54">
        <v>24.19</v>
      </c>
      <c r="K54">
        <v>25.65</v>
      </c>
      <c r="L54">
        <v>22.81</v>
      </c>
      <c r="M54">
        <v>24.1</v>
      </c>
      <c r="N54">
        <v>24.17</v>
      </c>
      <c r="O54">
        <v>28.8</v>
      </c>
      <c r="P54">
        <v>33.35</v>
      </c>
      <c r="Q54">
        <v>38.32</v>
      </c>
      <c r="R54">
        <v>41.77</v>
      </c>
      <c r="S54">
        <v>47.81</v>
      </c>
    </row>
    <row r="55" spans="1:19" x14ac:dyDescent="0.25">
      <c r="A55" t="s">
        <v>61</v>
      </c>
      <c r="B55">
        <v>18.829999999999998</v>
      </c>
      <c r="C55">
        <v>17.93</v>
      </c>
      <c r="D55">
        <v>20.73</v>
      </c>
      <c r="E55">
        <v>17.059999999999999</v>
      </c>
      <c r="F55">
        <v>17.239999999999998</v>
      </c>
      <c r="G55">
        <v>18.559999999999999</v>
      </c>
      <c r="H55">
        <v>23.19</v>
      </c>
      <c r="I55">
        <v>20.13</v>
      </c>
      <c r="J55">
        <v>17.61</v>
      </c>
      <c r="K55">
        <v>18.18</v>
      </c>
      <c r="L55">
        <v>30.09</v>
      </c>
      <c r="M55">
        <v>24.25</v>
      </c>
      <c r="N55">
        <v>27.36</v>
      </c>
      <c r="O55">
        <v>12.63</v>
      </c>
      <c r="P55">
        <v>6.4</v>
      </c>
      <c r="Q55">
        <v>4.47</v>
      </c>
      <c r="R55">
        <v>5.13</v>
      </c>
      <c r="S55">
        <v>4.67</v>
      </c>
    </row>
    <row r="56" spans="1:19" x14ac:dyDescent="0.25">
      <c r="A56" t="s">
        <v>89</v>
      </c>
      <c r="B56">
        <v>3.42</v>
      </c>
      <c r="C56">
        <v>4.1399999999999997</v>
      </c>
      <c r="D56">
        <v>5.66</v>
      </c>
      <c r="E56">
        <v>5.85</v>
      </c>
      <c r="F56">
        <v>4.83</v>
      </c>
      <c r="G56">
        <v>5.9</v>
      </c>
      <c r="H56">
        <v>5.83</v>
      </c>
      <c r="I56">
        <v>7.14</v>
      </c>
      <c r="J56">
        <v>10.33</v>
      </c>
      <c r="K56">
        <v>13.91</v>
      </c>
      <c r="L56">
        <v>12.08</v>
      </c>
      <c r="M56">
        <v>14.54</v>
      </c>
      <c r="N56">
        <v>9.0500000000000007</v>
      </c>
      <c r="O56">
        <v>14.47</v>
      </c>
      <c r="P56">
        <v>18.87</v>
      </c>
      <c r="Q56">
        <v>23.18</v>
      </c>
      <c r="R56">
        <v>21.02</v>
      </c>
      <c r="S56">
        <v>24.06</v>
      </c>
    </row>
    <row r="57" spans="1:19" x14ac:dyDescent="0.25">
      <c r="A57" t="s">
        <v>61</v>
      </c>
      <c r="B57">
        <v>4.01</v>
      </c>
      <c r="C57">
        <v>4.96</v>
      </c>
      <c r="D57">
        <v>7.31</v>
      </c>
      <c r="E57">
        <v>7.19</v>
      </c>
      <c r="F57">
        <v>4.8899999999999997</v>
      </c>
      <c r="G57">
        <v>5.76</v>
      </c>
      <c r="H57">
        <v>7.01</v>
      </c>
      <c r="I57">
        <v>7.48</v>
      </c>
      <c r="J57">
        <v>7.52</v>
      </c>
      <c r="K57">
        <v>9.86</v>
      </c>
      <c r="L57">
        <v>15.94</v>
      </c>
      <c r="M57">
        <v>14.64</v>
      </c>
      <c r="N57">
        <v>10.25</v>
      </c>
      <c r="O57">
        <v>6.41</v>
      </c>
      <c r="P57">
        <v>3.7</v>
      </c>
      <c r="Q57">
        <v>2.98</v>
      </c>
      <c r="R57">
        <v>2.59</v>
      </c>
      <c r="S57">
        <v>2.36</v>
      </c>
    </row>
    <row r="58" spans="1:19" x14ac:dyDescent="0.25">
      <c r="A58" t="s">
        <v>17</v>
      </c>
    </row>
    <row r="59" spans="1:19" x14ac:dyDescent="0.25">
      <c r="A59" t="s">
        <v>91</v>
      </c>
      <c r="B59">
        <v>-7.66</v>
      </c>
      <c r="C59">
        <v>-1.95</v>
      </c>
      <c r="D59">
        <v>-4.9000000000000004</v>
      </c>
      <c r="E59">
        <v>6.65</v>
      </c>
      <c r="F59">
        <v>12.64</v>
      </c>
      <c r="G59">
        <v>12.15</v>
      </c>
      <c r="H59">
        <v>-0.31</v>
      </c>
      <c r="I59">
        <v>3.94</v>
      </c>
      <c r="J59">
        <v>17.399999999999999</v>
      </c>
      <c r="K59">
        <v>16.559999999999999</v>
      </c>
      <c r="L59">
        <v>-18.03</v>
      </c>
      <c r="M59">
        <v>-11.71</v>
      </c>
      <c r="N59">
        <v>-18.68</v>
      </c>
      <c r="O59">
        <v>54.23</v>
      </c>
      <c r="P59">
        <v>160.25</v>
      </c>
      <c r="Q59">
        <v>256.33</v>
      </c>
    </row>
    <row r="60" spans="1:19" x14ac:dyDescent="0.25">
      <c r="A60" t="s">
        <v>92</v>
      </c>
      <c r="B60">
        <v>-8.98</v>
      </c>
      <c r="C60">
        <v>-3.42</v>
      </c>
      <c r="D60">
        <v>-6.32</v>
      </c>
      <c r="E60">
        <v>7.9</v>
      </c>
      <c r="F60">
        <v>12.81</v>
      </c>
      <c r="G60">
        <v>11.86</v>
      </c>
      <c r="H60">
        <v>-0.38</v>
      </c>
      <c r="I60">
        <v>4.13</v>
      </c>
      <c r="J60">
        <v>9.39</v>
      </c>
      <c r="K60">
        <v>8.9</v>
      </c>
      <c r="L60">
        <v>-28.46</v>
      </c>
      <c r="M60">
        <v>-14.9</v>
      </c>
      <c r="N60">
        <v>-24.88</v>
      </c>
      <c r="O60">
        <v>27.35</v>
      </c>
      <c r="P60">
        <v>44.9</v>
      </c>
      <c r="Q60">
        <v>49.99</v>
      </c>
      <c r="R60">
        <v>50.95</v>
      </c>
      <c r="S60">
        <v>50.7</v>
      </c>
    </row>
    <row r="61" spans="1:19" x14ac:dyDescent="0.25">
      <c r="A61" t="s">
        <v>95</v>
      </c>
      <c r="B61">
        <v>-1.04</v>
      </c>
      <c r="C61">
        <v>-2.37</v>
      </c>
      <c r="D61">
        <v>-2.9</v>
      </c>
      <c r="E61">
        <v>0.73</v>
      </c>
      <c r="F61">
        <v>1.79</v>
      </c>
      <c r="G61">
        <v>0.2</v>
      </c>
      <c r="H61">
        <v>0.71</v>
      </c>
      <c r="I61">
        <v>-3.13</v>
      </c>
      <c r="J61">
        <v>-4.71</v>
      </c>
      <c r="K61">
        <v>-8.3699999999999992</v>
      </c>
      <c r="L61">
        <v>-2.54</v>
      </c>
      <c r="M61">
        <v>-4.1500000000000004</v>
      </c>
      <c r="N61">
        <v>-0.43</v>
      </c>
      <c r="O61">
        <v>-15.58</v>
      </c>
      <c r="P61">
        <v>-16.86</v>
      </c>
      <c r="Q61">
        <v>-14.63</v>
      </c>
      <c r="R61">
        <v>-24</v>
      </c>
      <c r="S61">
        <v>-24</v>
      </c>
    </row>
    <row r="62" spans="1:19" x14ac:dyDescent="0.25">
      <c r="A62" t="s">
        <v>17</v>
      </c>
    </row>
    <row r="63" spans="1:19" x14ac:dyDescent="0.25">
      <c r="A63" t="s">
        <v>93</v>
      </c>
      <c r="B63">
        <v>5.47</v>
      </c>
      <c r="C63">
        <v>5.6</v>
      </c>
      <c r="D63">
        <v>5.5</v>
      </c>
      <c r="E63">
        <v>4.87</v>
      </c>
      <c r="F63">
        <v>4.42</v>
      </c>
      <c r="G63">
        <v>4.87</v>
      </c>
      <c r="H63">
        <v>5.53</v>
      </c>
      <c r="I63">
        <v>4.33</v>
      </c>
      <c r="J63">
        <v>7.08</v>
      </c>
      <c r="K63">
        <v>8.1199999999999992</v>
      </c>
      <c r="L63">
        <v>8.7200000000000006</v>
      </c>
      <c r="M63">
        <v>8.98</v>
      </c>
      <c r="N63">
        <v>9.11</v>
      </c>
      <c r="O63">
        <v>10.57</v>
      </c>
      <c r="P63">
        <v>17.63</v>
      </c>
      <c r="Q63">
        <v>22.31</v>
      </c>
      <c r="R63">
        <v>13.87</v>
      </c>
      <c r="S63">
        <v>15.37</v>
      </c>
    </row>
    <row r="64" spans="1:19" x14ac:dyDescent="0.25">
      <c r="A64" t="s">
        <v>277</v>
      </c>
      <c r="F64">
        <v>17.829999999999998</v>
      </c>
      <c r="G64">
        <v>17.95</v>
      </c>
      <c r="H64">
        <v>5.79</v>
      </c>
      <c r="I64">
        <v>8.24</v>
      </c>
      <c r="J64">
        <v>24.5</v>
      </c>
      <c r="K64">
        <v>24.66</v>
      </c>
      <c r="L64">
        <v>-11.33</v>
      </c>
      <c r="M64">
        <v>-2.73</v>
      </c>
      <c r="N64">
        <v>-9.58</v>
      </c>
      <c r="O64">
        <v>66.47</v>
      </c>
      <c r="P64">
        <v>184.33</v>
      </c>
      <c r="Q64">
        <v>270.5</v>
      </c>
    </row>
    <row r="65" spans="1:19" x14ac:dyDescent="0.25">
      <c r="A65" t="s">
        <v>17</v>
      </c>
    </row>
    <row r="66" spans="1:19" x14ac:dyDescent="0.25">
      <c r="A66" t="s">
        <v>886</v>
      </c>
      <c r="B66">
        <v>-0.41</v>
      </c>
      <c r="C66">
        <v>-0.48</v>
      </c>
      <c r="D66">
        <v>-0.41</v>
      </c>
      <c r="E66">
        <v>-0.41</v>
      </c>
      <c r="F66">
        <v>-0.46</v>
      </c>
      <c r="G66">
        <v>-0.53</v>
      </c>
      <c r="H66">
        <v>-0.22</v>
      </c>
      <c r="I66">
        <v>0.18</v>
      </c>
      <c r="J66">
        <v>0.21</v>
      </c>
      <c r="K66">
        <v>1.07</v>
      </c>
      <c r="L66">
        <v>1.53</v>
      </c>
      <c r="M66">
        <v>1.34</v>
      </c>
      <c r="N66">
        <v>1.26</v>
      </c>
      <c r="O66">
        <v>-14.88</v>
      </c>
      <c r="P66">
        <v>-17.3</v>
      </c>
      <c r="Q66">
        <v>-16.829999999999998</v>
      </c>
    </row>
    <row r="67" spans="1:19" x14ac:dyDescent="0.25">
      <c r="A67" t="s">
        <v>100</v>
      </c>
      <c r="B67">
        <v>-6.63</v>
      </c>
      <c r="C67">
        <v>0.43</v>
      </c>
      <c r="D67">
        <v>-2</v>
      </c>
      <c r="E67">
        <v>5.93</v>
      </c>
      <c r="F67">
        <v>10.85</v>
      </c>
      <c r="G67">
        <v>11.95</v>
      </c>
      <c r="H67">
        <v>-1.03</v>
      </c>
      <c r="I67">
        <v>7.07</v>
      </c>
      <c r="J67">
        <v>17.600000000000001</v>
      </c>
      <c r="K67">
        <v>24.93</v>
      </c>
      <c r="L67">
        <v>-19.03</v>
      </c>
      <c r="M67">
        <v>-7.39</v>
      </c>
      <c r="N67">
        <v>-16.309999999999999</v>
      </c>
      <c r="O67">
        <v>72.98</v>
      </c>
      <c r="P67">
        <v>207.33</v>
      </c>
      <c r="Q67">
        <v>362.8</v>
      </c>
      <c r="R67">
        <v>415</v>
      </c>
      <c r="S67">
        <v>536</v>
      </c>
    </row>
    <row r="68" spans="1:19" x14ac:dyDescent="0.25">
      <c r="A68" t="s">
        <v>17</v>
      </c>
    </row>
    <row r="69" spans="1:19" x14ac:dyDescent="0.25">
      <c r="A69" t="s">
        <v>101</v>
      </c>
      <c r="B69">
        <v>0.19</v>
      </c>
      <c r="C69">
        <v>0.22</v>
      </c>
      <c r="D69">
        <v>0.53</v>
      </c>
      <c r="E69">
        <v>0.73</v>
      </c>
      <c r="F69">
        <v>0.79</v>
      </c>
      <c r="G69">
        <v>0.94</v>
      </c>
      <c r="H69">
        <v>0.56000000000000005</v>
      </c>
      <c r="I69">
        <v>2.0299999999999998</v>
      </c>
      <c r="J69">
        <v>1.0900000000000001</v>
      </c>
      <c r="K69">
        <v>2.19</v>
      </c>
      <c r="L69">
        <v>0.16</v>
      </c>
      <c r="M69">
        <v>1.1299999999999999</v>
      </c>
      <c r="N69">
        <v>1.66</v>
      </c>
      <c r="O69">
        <v>10.75</v>
      </c>
      <c r="P69">
        <v>31.48</v>
      </c>
      <c r="Q69">
        <v>58.45</v>
      </c>
      <c r="R69">
        <v>62.19</v>
      </c>
      <c r="S69">
        <v>80.459999999999994</v>
      </c>
    </row>
    <row r="70" spans="1:19" x14ac:dyDescent="0.25">
      <c r="A70" t="s">
        <v>17</v>
      </c>
    </row>
    <row r="71" spans="1:19" x14ac:dyDescent="0.25">
      <c r="A71" t="s">
        <v>105</v>
      </c>
      <c r="B71">
        <v>1.1499999999999999</v>
      </c>
      <c r="C71">
        <v>0.69</v>
      </c>
      <c r="D71">
        <v>-0.31</v>
      </c>
      <c r="E71">
        <v>-0.67</v>
      </c>
      <c r="F71">
        <v>-0.09</v>
      </c>
      <c r="G71">
        <v>1.36</v>
      </c>
      <c r="H71">
        <v>1.01</v>
      </c>
      <c r="I71">
        <v>1.8</v>
      </c>
      <c r="J71">
        <v>1.93</v>
      </c>
      <c r="K71">
        <v>2.93</v>
      </c>
      <c r="L71">
        <v>-1.31</v>
      </c>
      <c r="M71">
        <v>-0.17</v>
      </c>
      <c r="N71">
        <v>-1.94</v>
      </c>
      <c r="O71">
        <v>5.42</v>
      </c>
      <c r="P71">
        <v>12.07</v>
      </c>
      <c r="Q71">
        <v>14.92</v>
      </c>
      <c r="R71">
        <v>7.61</v>
      </c>
      <c r="S71">
        <v>7.61</v>
      </c>
    </row>
    <row r="72" spans="1:19" x14ac:dyDescent="0.25">
      <c r="A72" t="s">
        <v>106</v>
      </c>
      <c r="B72">
        <v>-7.96</v>
      </c>
      <c r="C72">
        <v>-1.39</v>
      </c>
      <c r="D72">
        <v>-2.23</v>
      </c>
      <c r="E72">
        <v>5.64</v>
      </c>
      <c r="F72">
        <v>10.15</v>
      </c>
      <c r="G72">
        <v>9.65</v>
      </c>
      <c r="H72">
        <v>-2.6</v>
      </c>
      <c r="I72">
        <v>3.24</v>
      </c>
      <c r="J72">
        <v>14.58</v>
      </c>
      <c r="K72">
        <v>15.81</v>
      </c>
      <c r="L72">
        <v>-17.88</v>
      </c>
      <c r="M72">
        <v>-11.62</v>
      </c>
      <c r="N72">
        <v>-21.26</v>
      </c>
      <c r="O72">
        <v>56.68</v>
      </c>
      <c r="P72">
        <v>177</v>
      </c>
      <c r="Q72" s="2">
        <v>1503.25</v>
      </c>
      <c r="R72">
        <v>483</v>
      </c>
      <c r="S72">
        <v>545</v>
      </c>
    </row>
    <row r="73" spans="1:19" x14ac:dyDescent="0.25">
      <c r="A73" t="s">
        <v>280</v>
      </c>
      <c r="B73">
        <v>-9.33</v>
      </c>
      <c r="C73">
        <v>-1.66</v>
      </c>
      <c r="D73">
        <v>-2.87</v>
      </c>
      <c r="E73">
        <v>6.93</v>
      </c>
      <c r="F73">
        <v>10.28</v>
      </c>
      <c r="G73">
        <v>9.43</v>
      </c>
      <c r="H73">
        <v>-3.12</v>
      </c>
      <c r="I73">
        <v>3.4</v>
      </c>
      <c r="J73">
        <v>10.61</v>
      </c>
      <c r="K73">
        <v>11.2</v>
      </c>
      <c r="L73">
        <v>-23.59</v>
      </c>
      <c r="M73">
        <v>-11.7</v>
      </c>
      <c r="N73">
        <v>-24.07</v>
      </c>
      <c r="O73">
        <v>24.9</v>
      </c>
      <c r="P73">
        <v>34.700000000000003</v>
      </c>
      <c r="Q73">
        <v>36.549999999999997</v>
      </c>
      <c r="R73">
        <v>37.159999999999997</v>
      </c>
      <c r="S73">
        <v>37.630000000000003</v>
      </c>
    </row>
    <row r="74" spans="1:19" x14ac:dyDescent="0.25">
      <c r="A74" t="s">
        <v>17</v>
      </c>
    </row>
    <row r="75" spans="1:19" x14ac:dyDescent="0.25">
      <c r="A75" t="s">
        <v>108</v>
      </c>
      <c r="B75">
        <v>32.700000000000003</v>
      </c>
      <c r="C75">
        <v>32.450000000000003</v>
      </c>
      <c r="D75">
        <v>32.18</v>
      </c>
      <c r="E75">
        <v>32.14</v>
      </c>
      <c r="F75">
        <v>37.44</v>
      </c>
      <c r="G75">
        <v>39.049999999999997</v>
      </c>
      <c r="H75">
        <v>39.49</v>
      </c>
      <c r="I75">
        <v>40.15</v>
      </c>
      <c r="J75">
        <v>41.37</v>
      </c>
      <c r="K75">
        <v>42.1</v>
      </c>
      <c r="L75">
        <v>42.64</v>
      </c>
      <c r="M75">
        <v>43.15</v>
      </c>
      <c r="N75">
        <v>43.93</v>
      </c>
      <c r="O75">
        <v>61.64</v>
      </c>
      <c r="P75">
        <v>65.66</v>
      </c>
      <c r="Q75">
        <v>66.02</v>
      </c>
      <c r="R75">
        <v>62.53</v>
      </c>
      <c r="S75">
        <v>62.53</v>
      </c>
    </row>
    <row r="76" spans="1:19" x14ac:dyDescent="0.25">
      <c r="A76" t="s">
        <v>888</v>
      </c>
      <c r="B76">
        <v>-0.25</v>
      </c>
      <c r="C76">
        <v>-0.05</v>
      </c>
      <c r="D76">
        <v>-7.0000000000000007E-2</v>
      </c>
      <c r="E76">
        <v>0.17</v>
      </c>
      <c r="F76">
        <v>0.27</v>
      </c>
      <c r="G76">
        <v>0.24</v>
      </c>
      <c r="H76">
        <v>-7.0000000000000007E-2</v>
      </c>
      <c r="I76">
        <v>0.08</v>
      </c>
      <c r="J76">
        <v>0.35</v>
      </c>
      <c r="K76">
        <v>0.37</v>
      </c>
      <c r="L76">
        <v>-0.42</v>
      </c>
      <c r="M76">
        <v>-0.27</v>
      </c>
      <c r="N76">
        <v>-0.49</v>
      </c>
      <c r="O76">
        <v>0.93</v>
      </c>
      <c r="P76">
        <v>2.91</v>
      </c>
      <c r="Q76">
        <v>5.13</v>
      </c>
      <c r="R76">
        <v>5.51</v>
      </c>
      <c r="S76">
        <v>7.17</v>
      </c>
    </row>
    <row r="77" spans="1:19" x14ac:dyDescent="0.25">
      <c r="A77" t="s">
        <v>17</v>
      </c>
    </row>
    <row r="78" spans="1:19" x14ac:dyDescent="0.25">
      <c r="A78" t="s">
        <v>109</v>
      </c>
      <c r="B78">
        <v>32.700000000000003</v>
      </c>
      <c r="C78">
        <v>32.450000000000003</v>
      </c>
      <c r="D78">
        <v>32.18</v>
      </c>
      <c r="E78">
        <v>32.89</v>
      </c>
      <c r="F78">
        <v>38.97</v>
      </c>
      <c r="G78">
        <v>40.270000000000003</v>
      </c>
      <c r="H78">
        <v>39.49</v>
      </c>
      <c r="I78">
        <v>41.03</v>
      </c>
      <c r="J78">
        <v>42.72</v>
      </c>
      <c r="K78">
        <v>42.72</v>
      </c>
      <c r="L78">
        <v>42.64</v>
      </c>
      <c r="M78">
        <v>43.15</v>
      </c>
      <c r="N78">
        <v>43.93</v>
      </c>
      <c r="O78">
        <v>61.76</v>
      </c>
      <c r="P78">
        <v>66.05</v>
      </c>
      <c r="Q78">
        <v>65.87</v>
      </c>
      <c r="R78">
        <v>63.47</v>
      </c>
      <c r="S78">
        <v>63.47</v>
      </c>
    </row>
    <row r="79" spans="1:19" x14ac:dyDescent="0.25">
      <c r="A79" t="s">
        <v>110</v>
      </c>
      <c r="B79">
        <v>-0.25</v>
      </c>
      <c r="C79">
        <v>-0.05</v>
      </c>
      <c r="D79">
        <v>-7.0000000000000007E-2</v>
      </c>
      <c r="E79">
        <v>0.17</v>
      </c>
      <c r="F79">
        <v>0.26</v>
      </c>
      <c r="G79">
        <v>0.24</v>
      </c>
      <c r="H79">
        <v>-7.0000000000000007E-2</v>
      </c>
      <c r="I79">
        <v>7.0000000000000007E-2</v>
      </c>
      <c r="J79">
        <v>0.34</v>
      </c>
      <c r="K79">
        <v>0.37</v>
      </c>
      <c r="L79">
        <v>-0.42</v>
      </c>
      <c r="M79">
        <v>-0.27</v>
      </c>
      <c r="N79">
        <v>-0.49</v>
      </c>
      <c r="O79">
        <v>0.91</v>
      </c>
      <c r="P79">
        <v>2.67</v>
      </c>
      <c r="Q79">
        <v>5.07</v>
      </c>
      <c r="R79">
        <v>7.15</v>
      </c>
      <c r="S79">
        <v>7.99</v>
      </c>
    </row>
    <row r="80" spans="1:19" x14ac:dyDescent="0.25">
      <c r="A80" t="s">
        <v>17</v>
      </c>
    </row>
    <row r="81" spans="1:19" x14ac:dyDescent="0.25">
      <c r="A81" t="s">
        <v>111</v>
      </c>
    </row>
    <row r="82" spans="1:19" x14ac:dyDescent="0.25">
      <c r="A82" t="s">
        <v>87</v>
      </c>
      <c r="K82">
        <v>35.94</v>
      </c>
      <c r="L82">
        <v>31.76</v>
      </c>
      <c r="M82">
        <v>35.86</v>
      </c>
      <c r="N82">
        <v>30.22</v>
      </c>
      <c r="O82">
        <v>40.520000000000003</v>
      </c>
      <c r="P82">
        <v>52.28</v>
      </c>
      <c r="Q82">
        <v>61.6</v>
      </c>
    </row>
    <row r="83" spans="1:19" x14ac:dyDescent="0.25">
      <c r="A83" t="s">
        <v>121</v>
      </c>
      <c r="B83">
        <v>-7.96</v>
      </c>
      <c r="C83">
        <v>-0.8</v>
      </c>
      <c r="D83">
        <v>-2.23</v>
      </c>
      <c r="E83">
        <v>5.64</v>
      </c>
      <c r="F83">
        <v>10.15</v>
      </c>
      <c r="G83">
        <v>9.65</v>
      </c>
      <c r="H83">
        <v>-2.6</v>
      </c>
      <c r="I83">
        <v>3.24</v>
      </c>
      <c r="J83">
        <v>14.58</v>
      </c>
      <c r="K83">
        <v>19.82</v>
      </c>
      <c r="L83">
        <v>-14.34</v>
      </c>
      <c r="M83">
        <v>-8.5299999999999994</v>
      </c>
      <c r="N83">
        <v>-17.97</v>
      </c>
      <c r="O83">
        <v>57.25</v>
      </c>
      <c r="P83">
        <v>165.17</v>
      </c>
      <c r="Q83" s="2">
        <v>1242.2</v>
      </c>
      <c r="R83">
        <v>484.5</v>
      </c>
      <c r="S83">
        <v>546.5</v>
      </c>
    </row>
    <row r="84" spans="1:19" x14ac:dyDescent="0.25">
      <c r="A84" t="s">
        <v>124</v>
      </c>
      <c r="B84">
        <v>-0.25</v>
      </c>
      <c r="C84">
        <v>-0.03</v>
      </c>
      <c r="D84">
        <v>-7.0000000000000007E-2</v>
      </c>
      <c r="E84">
        <v>0.17</v>
      </c>
      <c r="F84">
        <v>0.26</v>
      </c>
      <c r="G84">
        <v>0.24</v>
      </c>
      <c r="H84">
        <v>-7.0000000000000007E-2</v>
      </c>
      <c r="I84">
        <v>0.08</v>
      </c>
      <c r="J84">
        <v>0.34</v>
      </c>
      <c r="K84">
        <v>0.46</v>
      </c>
      <c r="L84">
        <v>-0.34</v>
      </c>
      <c r="M84">
        <v>-0.2</v>
      </c>
      <c r="N84">
        <v>-0.41</v>
      </c>
      <c r="O84">
        <v>0.9</v>
      </c>
      <c r="P84">
        <v>2.23</v>
      </c>
      <c r="Q84">
        <v>4.37</v>
      </c>
      <c r="R84">
        <v>7.18</v>
      </c>
      <c r="S84">
        <v>8.02</v>
      </c>
    </row>
    <row r="85" spans="1:19" x14ac:dyDescent="0.25">
      <c r="A85" t="s">
        <v>17</v>
      </c>
    </row>
    <row r="86" spans="1:19" x14ac:dyDescent="0.25">
      <c r="A86" t="s">
        <v>125</v>
      </c>
    </row>
    <row r="87" spans="1:19" x14ac:dyDescent="0.25">
      <c r="A87" t="s">
        <v>67</v>
      </c>
      <c r="B87">
        <v>1.28</v>
      </c>
      <c r="C87">
        <v>1.1299999999999999</v>
      </c>
      <c r="D87">
        <v>1.35</v>
      </c>
      <c r="E87">
        <v>1.1000000000000001</v>
      </c>
      <c r="F87">
        <v>1.41</v>
      </c>
      <c r="G87">
        <v>1.93</v>
      </c>
      <c r="H87">
        <v>2.35</v>
      </c>
      <c r="I87">
        <v>2.62</v>
      </c>
      <c r="J87">
        <v>4.5199999999999996</v>
      </c>
      <c r="K87">
        <v>4.01</v>
      </c>
      <c r="L87">
        <v>3.54</v>
      </c>
      <c r="M87">
        <v>3.1</v>
      </c>
      <c r="N87">
        <v>3.29</v>
      </c>
      <c r="O87">
        <v>4</v>
      </c>
      <c r="P87">
        <v>4.5999999999999996</v>
      </c>
      <c r="Q87">
        <v>5.0999999999999996</v>
      </c>
    </row>
    <row r="88" spans="1:19" x14ac:dyDescent="0.25">
      <c r="A88" t="s">
        <v>17</v>
      </c>
    </row>
    <row r="89" spans="1:19" x14ac:dyDescent="0.25">
      <c r="A89" t="s">
        <v>134</v>
      </c>
    </row>
    <row r="90" spans="1:19" x14ac:dyDescent="0.25">
      <c r="A90" t="s">
        <v>135</v>
      </c>
    </row>
    <row r="91" spans="1:19" x14ac:dyDescent="0.25">
      <c r="A91" t="s">
        <v>136</v>
      </c>
      <c r="B91">
        <v>99.54</v>
      </c>
      <c r="C91">
        <v>103.19</v>
      </c>
      <c r="D91">
        <v>96.89</v>
      </c>
      <c r="E91">
        <v>107.29</v>
      </c>
      <c r="F91">
        <v>140.52000000000001</v>
      </c>
      <c r="G91">
        <v>128.54</v>
      </c>
      <c r="H91">
        <v>113.21</v>
      </c>
      <c r="I91">
        <v>164.52</v>
      </c>
      <c r="J91">
        <v>160.19</v>
      </c>
      <c r="K91">
        <v>183.55</v>
      </c>
      <c r="L91">
        <v>170.66</v>
      </c>
      <c r="M91">
        <v>158.27000000000001</v>
      </c>
      <c r="N91">
        <v>246.56</v>
      </c>
      <c r="O91">
        <v>704</v>
      </c>
      <c r="P91">
        <v>880.07</v>
      </c>
      <c r="Q91" s="2">
        <v>1240.04</v>
      </c>
      <c r="R91" s="2">
        <v>1560.07</v>
      </c>
      <c r="S91" s="2">
        <v>2060.67</v>
      </c>
    </row>
    <row r="92" spans="1:19" x14ac:dyDescent="0.25">
      <c r="A92" t="s">
        <v>536</v>
      </c>
      <c r="B92">
        <v>24.96</v>
      </c>
      <c r="C92">
        <v>28.81</v>
      </c>
      <c r="D92">
        <v>24.88</v>
      </c>
      <c r="E92">
        <v>36.15</v>
      </c>
      <c r="F92">
        <v>44.35</v>
      </c>
      <c r="G92">
        <v>16.53</v>
      </c>
      <c r="H92">
        <v>26.89</v>
      </c>
      <c r="I92">
        <v>72.599999999999994</v>
      </c>
      <c r="J92">
        <v>36.76</v>
      </c>
      <c r="K92">
        <v>34.950000000000003</v>
      </c>
      <c r="L92">
        <v>37.75</v>
      </c>
      <c r="M92">
        <v>22.83</v>
      </c>
      <c r="N92">
        <v>120.27</v>
      </c>
      <c r="O92">
        <v>595.9</v>
      </c>
      <c r="P92">
        <v>629.12</v>
      </c>
      <c r="Q92">
        <v>797.93</v>
      </c>
    </row>
    <row r="93" spans="1:19" x14ac:dyDescent="0.25">
      <c r="A93" t="s">
        <v>1130</v>
      </c>
      <c r="B93">
        <v>12.5</v>
      </c>
      <c r="C93">
        <v>12.34</v>
      </c>
      <c r="D93">
        <v>11.44</v>
      </c>
      <c r="E93">
        <v>11.42</v>
      </c>
      <c r="F93">
        <v>20.03</v>
      </c>
      <c r="G93">
        <v>22.13</v>
      </c>
      <c r="H93">
        <v>9.43</v>
      </c>
      <c r="I93">
        <v>0.24</v>
      </c>
      <c r="J93">
        <v>5.42</v>
      </c>
      <c r="K93">
        <v>9.34</v>
      </c>
      <c r="L93">
        <v>2.14</v>
      </c>
      <c r="M93">
        <v>0</v>
      </c>
      <c r="O93">
        <v>2.6</v>
      </c>
      <c r="P93">
        <v>2.6</v>
      </c>
      <c r="Q93">
        <v>2.62</v>
      </c>
      <c r="R93">
        <v>0.24</v>
      </c>
      <c r="S93">
        <v>0.24</v>
      </c>
    </row>
    <row r="94" spans="1:19" x14ac:dyDescent="0.25">
      <c r="A94" t="s">
        <v>141</v>
      </c>
      <c r="B94">
        <v>14.94</v>
      </c>
      <c r="C94">
        <v>17.86</v>
      </c>
      <c r="D94">
        <v>18.47</v>
      </c>
      <c r="E94">
        <v>14.45</v>
      </c>
      <c r="F94">
        <v>22.78</v>
      </c>
      <c r="G94">
        <v>19.59</v>
      </c>
      <c r="H94">
        <v>19.03</v>
      </c>
      <c r="I94">
        <v>24.56</v>
      </c>
      <c r="J94">
        <v>34.840000000000003</v>
      </c>
      <c r="K94">
        <v>29.25</v>
      </c>
      <c r="L94">
        <v>19.260000000000002</v>
      </c>
      <c r="M94">
        <v>25.64</v>
      </c>
      <c r="N94">
        <v>26.85</v>
      </c>
      <c r="O94">
        <v>62.34</v>
      </c>
      <c r="P94">
        <v>109.56</v>
      </c>
      <c r="Q94">
        <v>157.62</v>
      </c>
      <c r="R94">
        <v>202.58</v>
      </c>
      <c r="S94">
        <v>260.29000000000002</v>
      </c>
    </row>
    <row r="95" spans="1:19" x14ac:dyDescent="0.25">
      <c r="A95" t="s">
        <v>340</v>
      </c>
      <c r="B95">
        <v>39.130000000000003</v>
      </c>
      <c r="C95">
        <v>38.57</v>
      </c>
      <c r="D95">
        <v>38.01</v>
      </c>
      <c r="E95">
        <v>40.15</v>
      </c>
      <c r="F95">
        <v>45.84</v>
      </c>
      <c r="G95">
        <v>58.57</v>
      </c>
      <c r="H95">
        <v>49.15</v>
      </c>
      <c r="I95">
        <v>51.52</v>
      </c>
      <c r="J95">
        <v>65.91</v>
      </c>
      <c r="K95">
        <v>89.63</v>
      </c>
      <c r="L95">
        <v>86.5</v>
      </c>
      <c r="M95">
        <v>85.08</v>
      </c>
      <c r="N95">
        <v>81.650000000000006</v>
      </c>
      <c r="O95">
        <v>138.32</v>
      </c>
      <c r="P95">
        <v>223.16</v>
      </c>
      <c r="Q95">
        <v>298.95999999999998</v>
      </c>
      <c r="R95">
        <v>483.58</v>
      </c>
      <c r="S95">
        <v>618.71</v>
      </c>
    </row>
    <row r="96" spans="1:19" x14ac:dyDescent="0.25">
      <c r="A96" t="s">
        <v>2754</v>
      </c>
      <c r="B96">
        <v>8.01</v>
      </c>
      <c r="C96">
        <v>5.43</v>
      </c>
      <c r="D96">
        <v>4.0999999999999996</v>
      </c>
      <c r="E96">
        <v>5.1100000000000003</v>
      </c>
      <c r="F96">
        <v>7.52</v>
      </c>
      <c r="G96">
        <v>11.73</v>
      </c>
      <c r="H96">
        <v>8.6999999999999993</v>
      </c>
      <c r="I96">
        <v>15.6</v>
      </c>
      <c r="J96">
        <v>17.25</v>
      </c>
      <c r="K96">
        <v>13.98</v>
      </c>
      <c r="L96">
        <v>12.64</v>
      </c>
      <c r="M96">
        <v>13.74</v>
      </c>
      <c r="N96">
        <v>9.69</v>
      </c>
      <c r="O96">
        <v>23.3</v>
      </c>
      <c r="P96">
        <v>37.479999999999997</v>
      </c>
      <c r="Q96">
        <v>49.65</v>
      </c>
      <c r="R96">
        <v>85.94</v>
      </c>
      <c r="S96">
        <v>110.42</v>
      </c>
    </row>
    <row r="97" spans="1:19" x14ac:dyDescent="0.25">
      <c r="A97" t="s">
        <v>146</v>
      </c>
    </row>
    <row r="98" spans="1:19" x14ac:dyDescent="0.25">
      <c r="A98" t="s">
        <v>409</v>
      </c>
      <c r="B98">
        <v>37.619999999999997</v>
      </c>
      <c r="C98">
        <v>33.86</v>
      </c>
      <c r="D98">
        <v>31.42</v>
      </c>
      <c r="E98">
        <v>27.81</v>
      </c>
      <c r="F98">
        <v>46.53</v>
      </c>
      <c r="G98">
        <v>82.28</v>
      </c>
      <c r="H98">
        <v>97.4</v>
      </c>
      <c r="I98">
        <v>115.83</v>
      </c>
      <c r="J98">
        <v>142.41999999999999</v>
      </c>
      <c r="K98">
        <v>161.02000000000001</v>
      </c>
      <c r="L98">
        <v>166.35</v>
      </c>
      <c r="M98">
        <v>159.72</v>
      </c>
      <c r="N98">
        <v>161.86000000000001</v>
      </c>
      <c r="O98">
        <v>197.83</v>
      </c>
      <c r="P98">
        <v>269.85000000000002</v>
      </c>
      <c r="Q98">
        <v>329.93</v>
      </c>
      <c r="R98">
        <v>174.77</v>
      </c>
      <c r="S98">
        <v>174.74</v>
      </c>
    </row>
    <row r="99" spans="1:19" x14ac:dyDescent="0.25">
      <c r="A99" t="s">
        <v>149</v>
      </c>
      <c r="B99">
        <v>11.86</v>
      </c>
      <c r="C99">
        <v>9.49</v>
      </c>
      <c r="D99">
        <v>9.4700000000000006</v>
      </c>
      <c r="E99">
        <v>6.31</v>
      </c>
      <c r="F99">
        <v>12.58</v>
      </c>
      <c r="G99">
        <v>0.72</v>
      </c>
      <c r="H99">
        <v>0</v>
      </c>
      <c r="I99">
        <v>5.73</v>
      </c>
      <c r="J99">
        <v>9.58</v>
      </c>
      <c r="K99">
        <v>2.12</v>
      </c>
      <c r="L99">
        <v>0</v>
      </c>
      <c r="M99">
        <v>0</v>
      </c>
      <c r="N99">
        <v>0</v>
      </c>
      <c r="O99">
        <v>298.60000000000002</v>
      </c>
      <c r="P99">
        <v>298.60000000000002</v>
      </c>
      <c r="Q99">
        <v>298.60000000000002</v>
      </c>
      <c r="R99">
        <v>298.60000000000002</v>
      </c>
      <c r="S99">
        <v>298.60000000000002</v>
      </c>
    </row>
    <row r="100" spans="1:19" x14ac:dyDescent="0.25">
      <c r="A100" t="s">
        <v>155</v>
      </c>
      <c r="B100">
        <v>163.82</v>
      </c>
      <c r="C100">
        <v>161.52000000000001</v>
      </c>
      <c r="D100">
        <v>151.9</v>
      </c>
      <c r="E100">
        <v>154.25</v>
      </c>
      <c r="F100">
        <v>211.2</v>
      </c>
      <c r="G100">
        <v>223.52</v>
      </c>
      <c r="H100">
        <v>223.35</v>
      </c>
      <c r="I100">
        <v>298.86</v>
      </c>
      <c r="J100">
        <v>332.44</v>
      </c>
      <c r="K100">
        <v>370.07</v>
      </c>
      <c r="L100">
        <v>358.7</v>
      </c>
      <c r="M100">
        <v>339.31</v>
      </c>
      <c r="N100">
        <v>433.75</v>
      </c>
      <c r="O100" s="2">
        <v>1131</v>
      </c>
      <c r="P100" s="2">
        <v>1357.33</v>
      </c>
      <c r="Q100" s="2">
        <v>1728.44</v>
      </c>
      <c r="R100" s="2">
        <v>2047.06</v>
      </c>
      <c r="S100" s="2">
        <v>2547.62</v>
      </c>
    </row>
    <row r="101" spans="1:19" x14ac:dyDescent="0.25">
      <c r="A101" t="s">
        <v>17</v>
      </c>
    </row>
    <row r="102" spans="1:19" x14ac:dyDescent="0.25">
      <c r="A102" t="s">
        <v>156</v>
      </c>
    </row>
    <row r="103" spans="1:19" x14ac:dyDescent="0.25">
      <c r="A103" t="s">
        <v>157</v>
      </c>
      <c r="B103">
        <v>15.43</v>
      </c>
      <c r="C103">
        <v>14.77</v>
      </c>
      <c r="D103">
        <v>12.84</v>
      </c>
      <c r="E103">
        <v>15.95</v>
      </c>
      <c r="F103">
        <v>22.59</v>
      </c>
      <c r="G103">
        <v>28.71</v>
      </c>
      <c r="H103">
        <v>27.53</v>
      </c>
      <c r="I103">
        <v>39.08</v>
      </c>
      <c r="J103">
        <v>47.82</v>
      </c>
      <c r="K103">
        <v>75.33</v>
      </c>
      <c r="L103">
        <v>81.56</v>
      </c>
      <c r="M103">
        <v>74.180000000000007</v>
      </c>
      <c r="N103">
        <v>90.54</v>
      </c>
      <c r="O103">
        <v>127.05</v>
      </c>
      <c r="P103">
        <v>167.48</v>
      </c>
      <c r="Q103">
        <v>205.91</v>
      </c>
      <c r="R103">
        <v>218.35</v>
      </c>
      <c r="S103">
        <v>276.45999999999998</v>
      </c>
    </row>
    <row r="104" spans="1:19" x14ac:dyDescent="0.25">
      <c r="A104" t="s">
        <v>158</v>
      </c>
      <c r="B104">
        <v>8.14</v>
      </c>
      <c r="C104">
        <v>7.14</v>
      </c>
      <c r="D104">
        <v>6.46</v>
      </c>
      <c r="E104">
        <v>6.69</v>
      </c>
      <c r="F104">
        <v>11.45</v>
      </c>
      <c r="G104">
        <v>13.34</v>
      </c>
      <c r="H104">
        <v>10.1</v>
      </c>
      <c r="I104">
        <v>12.67</v>
      </c>
      <c r="J104">
        <v>16.649999999999999</v>
      </c>
      <c r="K104">
        <v>10.08</v>
      </c>
      <c r="L104">
        <v>9.6199999999999992</v>
      </c>
      <c r="M104">
        <v>12.36</v>
      </c>
      <c r="N104">
        <v>12.95</v>
      </c>
      <c r="O104">
        <v>24.58</v>
      </c>
      <c r="P104">
        <v>44.26</v>
      </c>
      <c r="Q104">
        <v>63.16</v>
      </c>
      <c r="R104">
        <v>72.16</v>
      </c>
      <c r="S104">
        <v>92.32</v>
      </c>
    </row>
    <row r="105" spans="1:19" x14ac:dyDescent="0.25">
      <c r="A105" t="s">
        <v>414</v>
      </c>
      <c r="B105">
        <v>7.29</v>
      </c>
      <c r="C105">
        <v>7.63</v>
      </c>
      <c r="D105">
        <v>6.38</v>
      </c>
      <c r="E105">
        <v>9.26</v>
      </c>
      <c r="F105">
        <v>11.15</v>
      </c>
      <c r="G105">
        <v>15.37</v>
      </c>
      <c r="H105">
        <v>11.68</v>
      </c>
      <c r="I105">
        <v>16</v>
      </c>
      <c r="J105">
        <v>17.059999999999999</v>
      </c>
      <c r="K105">
        <v>18.16</v>
      </c>
      <c r="L105">
        <v>19.02</v>
      </c>
      <c r="M105">
        <v>14.56</v>
      </c>
      <c r="N105">
        <v>14.8</v>
      </c>
      <c r="O105">
        <v>35.630000000000003</v>
      </c>
      <c r="P105">
        <v>55.18</v>
      </c>
      <c r="Q105">
        <v>71.739999999999995</v>
      </c>
      <c r="R105">
        <v>135.81</v>
      </c>
      <c r="S105">
        <v>173.76</v>
      </c>
    </row>
    <row r="106" spans="1:19" x14ac:dyDescent="0.25">
      <c r="A106" t="s">
        <v>313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5.75</v>
      </c>
      <c r="I106">
        <v>10.41</v>
      </c>
      <c r="J106">
        <v>14.12</v>
      </c>
      <c r="K106">
        <v>47.08</v>
      </c>
      <c r="L106">
        <v>52.92</v>
      </c>
      <c r="M106">
        <v>47.26</v>
      </c>
      <c r="N106">
        <v>62.8</v>
      </c>
      <c r="O106">
        <v>69.45</v>
      </c>
      <c r="P106">
        <v>68.61</v>
      </c>
      <c r="Q106">
        <v>67.599999999999994</v>
      </c>
      <c r="R106">
        <v>10.38</v>
      </c>
      <c r="S106">
        <v>10.38</v>
      </c>
    </row>
    <row r="107" spans="1:19" x14ac:dyDescent="0.25">
      <c r="A107" t="s">
        <v>164</v>
      </c>
      <c r="B107">
        <v>2.85</v>
      </c>
      <c r="C107">
        <v>2.06</v>
      </c>
      <c r="D107">
        <v>1.49</v>
      </c>
      <c r="E107">
        <v>0.91</v>
      </c>
      <c r="F107">
        <v>0.28999999999999998</v>
      </c>
      <c r="G107">
        <v>0.28000000000000003</v>
      </c>
      <c r="H107">
        <v>3.06</v>
      </c>
      <c r="I107">
        <v>4.26</v>
      </c>
      <c r="J107">
        <v>4.3899999999999997</v>
      </c>
      <c r="K107">
        <v>5</v>
      </c>
      <c r="L107">
        <v>8</v>
      </c>
      <c r="M107">
        <v>10.23</v>
      </c>
      <c r="N107">
        <v>8.58</v>
      </c>
      <c r="O107">
        <v>20.23</v>
      </c>
      <c r="P107">
        <v>23.13</v>
      </c>
      <c r="Q107">
        <v>27.47</v>
      </c>
    </row>
    <row r="108" spans="1:19" x14ac:dyDescent="0.25">
      <c r="A108" t="s">
        <v>167</v>
      </c>
      <c r="B108">
        <v>18.28</v>
      </c>
      <c r="C108">
        <v>16.829999999999998</v>
      </c>
      <c r="D108">
        <v>14.34</v>
      </c>
      <c r="E108">
        <v>16.86</v>
      </c>
      <c r="F108">
        <v>22.88</v>
      </c>
      <c r="G108">
        <v>28.99</v>
      </c>
      <c r="H108">
        <v>30.59</v>
      </c>
      <c r="I108">
        <v>43.33</v>
      </c>
      <c r="J108">
        <v>52.21</v>
      </c>
      <c r="K108">
        <v>80.33</v>
      </c>
      <c r="L108">
        <v>89.56</v>
      </c>
      <c r="M108">
        <v>84.41</v>
      </c>
      <c r="N108">
        <v>99.12</v>
      </c>
      <c r="O108">
        <v>143.18</v>
      </c>
      <c r="P108">
        <v>185.78</v>
      </c>
      <c r="Q108">
        <v>227.45</v>
      </c>
      <c r="R108">
        <v>222.11</v>
      </c>
      <c r="S108">
        <v>280.22000000000003</v>
      </c>
    </row>
    <row r="109" spans="1:19" x14ac:dyDescent="0.25">
      <c r="A109" t="s">
        <v>326</v>
      </c>
      <c r="B109">
        <v>163.82</v>
      </c>
      <c r="C109">
        <v>161.52000000000001</v>
      </c>
      <c r="D109">
        <v>151.9</v>
      </c>
      <c r="E109">
        <v>154.25</v>
      </c>
      <c r="F109">
        <v>211.2</v>
      </c>
      <c r="G109">
        <v>223.52</v>
      </c>
      <c r="H109">
        <v>223.35</v>
      </c>
      <c r="I109">
        <v>298.86</v>
      </c>
      <c r="J109">
        <v>332.44</v>
      </c>
      <c r="K109">
        <v>370.07</v>
      </c>
      <c r="L109">
        <v>358.7</v>
      </c>
      <c r="M109">
        <v>339.31</v>
      </c>
      <c r="N109">
        <v>433.75</v>
      </c>
      <c r="O109" s="2">
        <v>1131</v>
      </c>
      <c r="P109" s="2">
        <v>1357.33</v>
      </c>
      <c r="Q109" s="2">
        <v>1728.44</v>
      </c>
      <c r="R109" s="2">
        <v>2047.06</v>
      </c>
      <c r="S109" s="2">
        <v>2547.62</v>
      </c>
    </row>
    <row r="110" spans="1:19" x14ac:dyDescent="0.25">
      <c r="A110" t="s">
        <v>17</v>
      </c>
    </row>
    <row r="111" spans="1:19" x14ac:dyDescent="0.25">
      <c r="A111" t="s">
        <v>176</v>
      </c>
    </row>
    <row r="112" spans="1:19" x14ac:dyDescent="0.25">
      <c r="A112" t="s">
        <v>611</v>
      </c>
      <c r="B112">
        <v>63.92</v>
      </c>
      <c r="C112">
        <v>78.09</v>
      </c>
      <c r="D112">
        <v>86.98</v>
      </c>
      <c r="E112">
        <v>65.03</v>
      </c>
      <c r="F112">
        <v>84.26</v>
      </c>
      <c r="G112">
        <v>69.819999999999993</v>
      </c>
      <c r="H112">
        <v>83.43</v>
      </c>
      <c r="I112">
        <v>94.25</v>
      </c>
      <c r="J112">
        <v>92.55</v>
      </c>
      <c r="K112">
        <v>75.66</v>
      </c>
      <c r="L112">
        <v>92.73</v>
      </c>
      <c r="M112">
        <v>94.45</v>
      </c>
      <c r="N112">
        <v>110.95</v>
      </c>
      <c r="O112">
        <v>100.53</v>
      </c>
      <c r="P112">
        <v>84.88</v>
      </c>
      <c r="Q112">
        <v>81.45</v>
      </c>
      <c r="R112">
        <v>79.7</v>
      </c>
      <c r="S112">
        <v>79.739999999999995</v>
      </c>
    </row>
    <row r="113" spans="1:19" x14ac:dyDescent="0.25">
      <c r="A113" t="s">
        <v>186</v>
      </c>
      <c r="B113">
        <v>6.45</v>
      </c>
      <c r="C113">
        <v>6.99</v>
      </c>
      <c r="D113">
        <v>7.55</v>
      </c>
      <c r="E113">
        <v>6.73</v>
      </c>
      <c r="F113">
        <v>6.22</v>
      </c>
      <c r="G113">
        <v>4.4800000000000004</v>
      </c>
      <c r="H113">
        <v>4.1100000000000003</v>
      </c>
      <c r="I113">
        <v>4.21</v>
      </c>
      <c r="J113">
        <v>3.35</v>
      </c>
      <c r="K113">
        <v>2.44</v>
      </c>
      <c r="L113">
        <v>2.09</v>
      </c>
      <c r="M113">
        <v>2.13</v>
      </c>
      <c r="N113">
        <v>2.72</v>
      </c>
      <c r="O113">
        <v>4.09</v>
      </c>
      <c r="P113">
        <v>3.16</v>
      </c>
      <c r="Q113">
        <v>3.48</v>
      </c>
    </row>
    <row r="114" spans="1:19" x14ac:dyDescent="0.25">
      <c r="A114" t="s">
        <v>757</v>
      </c>
      <c r="B114">
        <v>3.4</v>
      </c>
      <c r="C114">
        <v>4</v>
      </c>
      <c r="D114">
        <v>4.2699999999999996</v>
      </c>
      <c r="E114">
        <v>3.89</v>
      </c>
      <c r="F114">
        <v>3.86</v>
      </c>
      <c r="G114">
        <v>2.0299999999999998</v>
      </c>
      <c r="H114">
        <v>2.0099999999999998</v>
      </c>
      <c r="I114">
        <v>2.4900000000000002</v>
      </c>
      <c r="J114">
        <v>1.61</v>
      </c>
      <c r="K114">
        <v>0.98</v>
      </c>
      <c r="L114">
        <v>0.73</v>
      </c>
      <c r="M114">
        <v>0.65</v>
      </c>
      <c r="N114">
        <v>1.62</v>
      </c>
    </row>
    <row r="115" spans="1:19" x14ac:dyDescent="0.25">
      <c r="A115" t="s">
        <v>621</v>
      </c>
      <c r="B115">
        <v>1.85</v>
      </c>
      <c r="C115">
        <v>1.71</v>
      </c>
      <c r="D115">
        <v>1.58</v>
      </c>
      <c r="E115">
        <v>1.41</v>
      </c>
      <c r="F115">
        <v>1.49</v>
      </c>
      <c r="G115">
        <v>1.25</v>
      </c>
      <c r="H115">
        <v>1.08</v>
      </c>
      <c r="I115">
        <v>1.29</v>
      </c>
      <c r="J115">
        <v>1.53</v>
      </c>
      <c r="K115">
        <v>1.1399999999999999</v>
      </c>
      <c r="L115">
        <v>0.71</v>
      </c>
      <c r="M115">
        <v>0.88</v>
      </c>
      <c r="N115">
        <v>0.92</v>
      </c>
      <c r="O115">
        <v>3.69</v>
      </c>
      <c r="P115">
        <v>3.88</v>
      </c>
      <c r="Q115">
        <v>3.57</v>
      </c>
    </row>
    <row r="116" spans="1:19" x14ac:dyDescent="0.25">
      <c r="A116" t="s">
        <v>17</v>
      </c>
    </row>
    <row r="117" spans="1:19" x14ac:dyDescent="0.25">
      <c r="A117" t="s">
        <v>188</v>
      </c>
    </row>
    <row r="118" spans="1:19" x14ac:dyDescent="0.25">
      <c r="A118" t="s">
        <v>189</v>
      </c>
    </row>
    <row r="119" spans="1:19" x14ac:dyDescent="0.25">
      <c r="A119" t="s">
        <v>121</v>
      </c>
      <c r="B119">
        <v>-7.96</v>
      </c>
      <c r="C119">
        <v>-1.39</v>
      </c>
      <c r="D119">
        <v>-2.23</v>
      </c>
      <c r="E119">
        <v>5.64</v>
      </c>
      <c r="F119">
        <v>10.15</v>
      </c>
      <c r="G119">
        <v>9.65</v>
      </c>
      <c r="H119">
        <v>-2.6</v>
      </c>
      <c r="I119">
        <v>3.24</v>
      </c>
      <c r="J119">
        <v>14.58</v>
      </c>
      <c r="K119">
        <v>15.81</v>
      </c>
      <c r="L119">
        <v>-17.88</v>
      </c>
      <c r="M119">
        <v>-11.62</v>
      </c>
      <c r="N119">
        <v>-21.26</v>
      </c>
      <c r="O119">
        <v>56.68</v>
      </c>
      <c r="P119">
        <v>177</v>
      </c>
      <c r="Q119" s="2">
        <v>1503.25</v>
      </c>
      <c r="R119">
        <v>483</v>
      </c>
      <c r="S119">
        <v>545</v>
      </c>
    </row>
    <row r="120" spans="1:19" x14ac:dyDescent="0.25">
      <c r="A120" t="s">
        <v>190</v>
      </c>
      <c r="B120">
        <v>5.47</v>
      </c>
      <c r="C120">
        <v>5.6</v>
      </c>
      <c r="D120">
        <v>5.5</v>
      </c>
      <c r="E120">
        <v>4.87</v>
      </c>
      <c r="F120">
        <v>4.42</v>
      </c>
      <c r="G120">
        <v>4.87</v>
      </c>
      <c r="H120">
        <v>5.53</v>
      </c>
      <c r="I120">
        <v>4.33</v>
      </c>
      <c r="J120">
        <v>7.08</v>
      </c>
      <c r="K120">
        <v>8.1199999999999992</v>
      </c>
      <c r="L120">
        <v>8.7200000000000006</v>
      </c>
      <c r="M120">
        <v>8.98</v>
      </c>
      <c r="N120">
        <v>9.11</v>
      </c>
      <c r="O120">
        <v>10.57</v>
      </c>
      <c r="P120">
        <v>17.63</v>
      </c>
      <c r="Q120">
        <v>22.31</v>
      </c>
      <c r="R120">
        <v>13.87</v>
      </c>
      <c r="S120">
        <v>15.37</v>
      </c>
    </row>
    <row r="121" spans="1:19" x14ac:dyDescent="0.25">
      <c r="A121" t="s">
        <v>67</v>
      </c>
      <c r="B121">
        <v>1.28</v>
      </c>
      <c r="C121">
        <v>1.1299999999999999</v>
      </c>
      <c r="D121">
        <v>1.35</v>
      </c>
      <c r="E121">
        <v>1.1000000000000001</v>
      </c>
      <c r="F121">
        <v>1.41</v>
      </c>
      <c r="G121">
        <v>1.93</v>
      </c>
      <c r="H121">
        <v>2.35</v>
      </c>
      <c r="I121">
        <v>2.62</v>
      </c>
      <c r="J121">
        <v>4.5199999999999996</v>
      </c>
      <c r="K121">
        <v>4.01</v>
      </c>
      <c r="L121">
        <v>3.54</v>
      </c>
      <c r="M121">
        <v>3.1</v>
      </c>
      <c r="N121">
        <v>3.29</v>
      </c>
      <c r="O121">
        <v>4</v>
      </c>
      <c r="P121">
        <v>4.5999999999999996</v>
      </c>
      <c r="Q121">
        <v>5.0999999999999996</v>
      </c>
    </row>
    <row r="122" spans="1:19" x14ac:dyDescent="0.25">
      <c r="A122" t="s">
        <v>204</v>
      </c>
      <c r="B122">
        <v>2.5099999999999998</v>
      </c>
      <c r="C122">
        <v>3.5</v>
      </c>
      <c r="D122">
        <v>1.88</v>
      </c>
      <c r="E122">
        <v>12.5</v>
      </c>
      <c r="F122">
        <v>8.6199999999999992</v>
      </c>
      <c r="G122">
        <v>3.22</v>
      </c>
      <c r="H122">
        <v>12.66</v>
      </c>
      <c r="I122">
        <v>5.87</v>
      </c>
      <c r="J122">
        <v>-3.31</v>
      </c>
      <c r="K122">
        <v>-8.77</v>
      </c>
      <c r="L122">
        <v>3.4</v>
      </c>
      <c r="M122">
        <v>-12.11</v>
      </c>
      <c r="N122">
        <v>-12.78</v>
      </c>
      <c r="O122">
        <v>-21.16</v>
      </c>
      <c r="P122">
        <v>75.23</v>
      </c>
      <c r="Q122">
        <v>230.79</v>
      </c>
      <c r="R122">
        <v>227.23</v>
      </c>
      <c r="S122">
        <v>291.98</v>
      </c>
    </row>
    <row r="123" spans="1:19" x14ac:dyDescent="0.25">
      <c r="A123" t="s">
        <v>17</v>
      </c>
    </row>
    <row r="124" spans="1:19" x14ac:dyDescent="0.25">
      <c r="A124" t="s">
        <v>205</v>
      </c>
    </row>
    <row r="125" spans="1:19" x14ac:dyDescent="0.25">
      <c r="A125" t="s">
        <v>206</v>
      </c>
      <c r="B125">
        <v>-5.42</v>
      </c>
      <c r="C125">
        <v>-1.97</v>
      </c>
      <c r="D125">
        <v>-4.1500000000000004</v>
      </c>
      <c r="E125">
        <v>-2.73</v>
      </c>
      <c r="F125">
        <v>-21.36</v>
      </c>
      <c r="G125">
        <v>-40.54</v>
      </c>
      <c r="H125">
        <v>-21.79</v>
      </c>
      <c r="I125">
        <v>-19.86</v>
      </c>
      <c r="J125">
        <v>-29.65</v>
      </c>
      <c r="K125">
        <v>-28.47</v>
      </c>
      <c r="L125">
        <v>-10.48</v>
      </c>
      <c r="M125">
        <v>-5.77</v>
      </c>
      <c r="N125">
        <v>-6</v>
      </c>
      <c r="O125">
        <v>-30.92</v>
      </c>
      <c r="P125">
        <v>-106.23</v>
      </c>
      <c r="Q125">
        <v>-92.9</v>
      </c>
      <c r="R125">
        <v>-8.6999999999999993</v>
      </c>
      <c r="S125">
        <v>-8.6999999999999993</v>
      </c>
    </row>
    <row r="126" spans="1:19" x14ac:dyDescent="0.25">
      <c r="A126" t="s">
        <v>213</v>
      </c>
      <c r="B126">
        <v>-6.21</v>
      </c>
      <c r="C126">
        <v>0.47</v>
      </c>
      <c r="D126">
        <v>-2.48</v>
      </c>
      <c r="E126">
        <v>-1.1100000000000001</v>
      </c>
      <c r="F126">
        <v>-36.46</v>
      </c>
      <c r="G126">
        <v>-30.83</v>
      </c>
      <c r="H126">
        <v>-8.33</v>
      </c>
      <c r="I126">
        <v>-16.420000000000002</v>
      </c>
      <c r="J126">
        <v>-38.81</v>
      </c>
      <c r="K126">
        <v>-25.22</v>
      </c>
      <c r="L126">
        <v>-2.6</v>
      </c>
      <c r="M126">
        <v>-4.45</v>
      </c>
      <c r="N126">
        <v>-6.83</v>
      </c>
      <c r="O126">
        <v>-8.6999999999999993</v>
      </c>
      <c r="P126">
        <v>-8.6999999999999993</v>
      </c>
      <c r="Q126">
        <v>-8.6999999999999993</v>
      </c>
      <c r="R126">
        <v>-8.6999999999999993</v>
      </c>
      <c r="S126">
        <v>-8.6999999999999993</v>
      </c>
    </row>
    <row r="127" spans="1:19" x14ac:dyDescent="0.25">
      <c r="A127" t="s">
        <v>17</v>
      </c>
    </row>
    <row r="128" spans="1:19" x14ac:dyDescent="0.25">
      <c r="A128" t="s">
        <v>214</v>
      </c>
    </row>
    <row r="129" spans="1:19" x14ac:dyDescent="0.25">
      <c r="A129" t="s">
        <v>218</v>
      </c>
      <c r="B129">
        <v>-2.5099999999999998</v>
      </c>
      <c r="C129">
        <v>-0.03</v>
      </c>
      <c r="D129">
        <v>-2.23</v>
      </c>
      <c r="E129">
        <v>1.3</v>
      </c>
      <c r="F129">
        <v>35.64</v>
      </c>
      <c r="G129">
        <v>0.21</v>
      </c>
      <c r="H129">
        <v>6.19</v>
      </c>
      <c r="I129">
        <v>52.66</v>
      </c>
      <c r="J129">
        <v>5.73</v>
      </c>
      <c r="K129">
        <v>38.03</v>
      </c>
      <c r="L129">
        <v>8.61</v>
      </c>
      <c r="M129">
        <v>-0.54</v>
      </c>
      <c r="N129">
        <v>107.1</v>
      </c>
      <c r="O129">
        <v>479.57</v>
      </c>
    </row>
    <row r="130" spans="1:19" x14ac:dyDescent="0.25">
      <c r="A130" t="s">
        <v>17</v>
      </c>
    </row>
    <row r="131" spans="1:19" x14ac:dyDescent="0.25">
      <c r="A131" t="s">
        <v>176</v>
      </c>
    </row>
    <row r="132" spans="1:19" x14ac:dyDescent="0.25">
      <c r="A132" t="s">
        <v>220</v>
      </c>
      <c r="B132">
        <v>-5.67</v>
      </c>
      <c r="C132">
        <v>3.85</v>
      </c>
      <c r="D132">
        <v>-3.94</v>
      </c>
      <c r="E132">
        <v>11.28</v>
      </c>
      <c r="F132">
        <v>8.1999999999999993</v>
      </c>
      <c r="G132">
        <v>-27.83</v>
      </c>
      <c r="H132">
        <v>10.37</v>
      </c>
      <c r="I132">
        <v>45.71</v>
      </c>
      <c r="J132">
        <v>-35.840000000000003</v>
      </c>
      <c r="K132">
        <v>4.59</v>
      </c>
      <c r="L132">
        <v>8.77</v>
      </c>
      <c r="M132">
        <v>-17.09</v>
      </c>
      <c r="N132">
        <v>87.48</v>
      </c>
      <c r="O132">
        <v>309.73</v>
      </c>
      <c r="P132">
        <v>-18.36</v>
      </c>
      <c r="Q132">
        <v>144.56</v>
      </c>
      <c r="R132">
        <v>218.53</v>
      </c>
      <c r="S132">
        <v>283.27999999999997</v>
      </c>
    </row>
    <row r="133" spans="1:19" x14ac:dyDescent="0.25">
      <c r="A133" t="s">
        <v>221</v>
      </c>
      <c r="B133">
        <v>30.63</v>
      </c>
      <c r="C133">
        <v>24.96</v>
      </c>
      <c r="D133">
        <v>28.81</v>
      </c>
      <c r="E133">
        <v>24.88</v>
      </c>
      <c r="F133">
        <v>36.15</v>
      </c>
      <c r="G133">
        <v>44.35</v>
      </c>
      <c r="H133">
        <v>16.53</v>
      </c>
      <c r="I133">
        <v>26.89</v>
      </c>
      <c r="J133">
        <v>72.599999999999994</v>
      </c>
      <c r="K133">
        <v>36.76</v>
      </c>
      <c r="L133">
        <v>41.35</v>
      </c>
      <c r="M133">
        <v>50.11</v>
      </c>
      <c r="N133">
        <v>33.81</v>
      </c>
      <c r="O133">
        <v>128.36000000000001</v>
      </c>
      <c r="P133">
        <v>370.62</v>
      </c>
      <c r="Q133">
        <v>272.18</v>
      </c>
      <c r="R133">
        <v>569.20000000000005</v>
      </c>
      <c r="S133">
        <v>787.73</v>
      </c>
    </row>
    <row r="134" spans="1:19" x14ac:dyDescent="0.25">
      <c r="A134" t="s">
        <v>222</v>
      </c>
      <c r="B134">
        <v>24.96</v>
      </c>
      <c r="C134">
        <v>28.81</v>
      </c>
      <c r="D134">
        <v>24.88</v>
      </c>
      <c r="E134">
        <v>36.15</v>
      </c>
      <c r="F134">
        <v>44.35</v>
      </c>
      <c r="G134">
        <v>16.53</v>
      </c>
      <c r="H134">
        <v>26.89</v>
      </c>
      <c r="I134">
        <v>72.599999999999994</v>
      </c>
      <c r="J134">
        <v>36.76</v>
      </c>
      <c r="K134">
        <v>41.35</v>
      </c>
      <c r="L134">
        <v>50.11</v>
      </c>
      <c r="M134">
        <v>-33.81</v>
      </c>
      <c r="N134">
        <v>-128.37</v>
      </c>
      <c r="O134">
        <v>30.47</v>
      </c>
      <c r="P134">
        <v>-86.83</v>
      </c>
      <c r="Q134">
        <v>-176.9</v>
      </c>
      <c r="R134">
        <v>787.73</v>
      </c>
      <c r="S134" s="2">
        <v>1071.01</v>
      </c>
    </row>
    <row r="135" spans="1:19" x14ac:dyDescent="0.25">
      <c r="A135" t="s">
        <v>178</v>
      </c>
    </row>
    <row r="136" spans="1:19" x14ac:dyDescent="0.25">
      <c r="A136" t="s">
        <v>224</v>
      </c>
      <c r="B136">
        <v>0.08</v>
      </c>
      <c r="C136">
        <v>0.11</v>
      </c>
      <c r="D136">
        <v>0.06</v>
      </c>
      <c r="E136">
        <v>0.38</v>
      </c>
      <c r="F136">
        <v>0.22</v>
      </c>
      <c r="G136">
        <v>0.08</v>
      </c>
      <c r="H136">
        <v>0.32</v>
      </c>
      <c r="I136">
        <v>0.14000000000000001</v>
      </c>
      <c r="J136">
        <v>-0.08</v>
      </c>
      <c r="K136">
        <v>-0.21</v>
      </c>
      <c r="L136">
        <v>0.08</v>
      </c>
      <c r="M136">
        <v>-0.28000000000000003</v>
      </c>
      <c r="N136">
        <v>-0.28999999999999998</v>
      </c>
      <c r="O136">
        <v>-1.43</v>
      </c>
      <c r="P136">
        <v>-0.32</v>
      </c>
      <c r="Q136">
        <v>1.95</v>
      </c>
    </row>
    <row r="137" spans="1:19" x14ac:dyDescent="0.25">
      <c r="A137" t="s">
        <v>225</v>
      </c>
      <c r="B137">
        <v>-2.92</v>
      </c>
      <c r="C137">
        <v>1.53</v>
      </c>
      <c r="D137">
        <v>-2.27</v>
      </c>
      <c r="E137">
        <v>9.7799999999999994</v>
      </c>
      <c r="F137">
        <v>-12.74</v>
      </c>
      <c r="G137">
        <v>-37.32</v>
      </c>
      <c r="H137">
        <v>-9.1300000000000008</v>
      </c>
      <c r="I137">
        <v>-13.99</v>
      </c>
      <c r="J137">
        <v>-32.950000000000003</v>
      </c>
      <c r="K137">
        <v>-37.229999999999997</v>
      </c>
      <c r="L137">
        <v>-7.07</v>
      </c>
      <c r="M137">
        <v>-17.88</v>
      </c>
      <c r="N137">
        <v>-18.78</v>
      </c>
      <c r="O137">
        <v>-69.09</v>
      </c>
      <c r="P137">
        <v>-76.44</v>
      </c>
      <c r="Q137">
        <v>51.65</v>
      </c>
      <c r="R137">
        <v>218.53</v>
      </c>
      <c r="S137">
        <v>283.27999999999997</v>
      </c>
    </row>
    <row r="138" spans="1:19" x14ac:dyDescent="0.25">
      <c r="A138" t="s">
        <v>17</v>
      </c>
    </row>
    <row r="139" spans="1:19" x14ac:dyDescent="0.25">
      <c r="A139" t="s">
        <v>231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73E8-BDEA-459D-9933-518BD7A72E6E}">
  <dimension ref="A1:U249"/>
  <sheetViews>
    <sheetView workbookViewId="0">
      <selection sqref="A1:U249"/>
    </sheetView>
  </sheetViews>
  <sheetFormatPr defaultRowHeight="15" x14ac:dyDescent="0.25"/>
  <sheetData>
    <row r="1" spans="1:21" x14ac:dyDescent="0.25">
      <c r="A1" t="s">
        <v>2755</v>
      </c>
    </row>
    <row r="2" spans="1:21" x14ac:dyDescent="0.25">
      <c r="A2" t="s">
        <v>2756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L6">
        <v>6.28</v>
      </c>
      <c r="M6">
        <v>8.67</v>
      </c>
      <c r="N6">
        <v>9.39</v>
      </c>
      <c r="O6">
        <v>11.95</v>
      </c>
      <c r="P6">
        <v>13.33</v>
      </c>
      <c r="Q6">
        <v>16.61</v>
      </c>
      <c r="R6">
        <v>19.39</v>
      </c>
      <c r="S6">
        <v>21.55</v>
      </c>
    </row>
    <row r="7" spans="1:21" x14ac:dyDescent="0.25">
      <c r="A7" t="s">
        <v>16</v>
      </c>
      <c r="L7" s="2">
        <v>24918</v>
      </c>
      <c r="M7" s="2">
        <v>23568</v>
      </c>
      <c r="N7" s="2">
        <v>25533</v>
      </c>
      <c r="O7" s="2">
        <v>32419.4</v>
      </c>
      <c r="P7" s="2">
        <v>32941.94</v>
      </c>
      <c r="Q7" s="2">
        <v>35609.129999999997</v>
      </c>
      <c r="R7" s="2">
        <v>37266.25</v>
      </c>
      <c r="S7" s="2">
        <v>38731.5</v>
      </c>
    </row>
    <row r="8" spans="1:21" x14ac:dyDescent="0.25">
      <c r="A8" t="s">
        <v>17</v>
      </c>
    </row>
    <row r="9" spans="1:21" x14ac:dyDescent="0.25">
      <c r="A9" t="s">
        <v>680</v>
      </c>
      <c r="L9" s="2">
        <v>4025</v>
      </c>
      <c r="M9" s="2">
        <v>5475</v>
      </c>
      <c r="N9" s="2">
        <v>4071</v>
      </c>
      <c r="O9" s="2">
        <v>8333.58</v>
      </c>
      <c r="P9" s="2">
        <v>8619.15</v>
      </c>
      <c r="Q9" s="2">
        <v>10258.15</v>
      </c>
      <c r="R9" s="2">
        <v>10652.75</v>
      </c>
      <c r="S9" s="2">
        <v>11253.5</v>
      </c>
    </row>
    <row r="10" spans="1:21" x14ac:dyDescent="0.25">
      <c r="A10" t="s">
        <v>528</v>
      </c>
      <c r="L10" s="2">
        <v>1623</v>
      </c>
      <c r="M10" s="2">
        <v>2735</v>
      </c>
      <c r="N10" s="2">
        <v>2943</v>
      </c>
      <c r="O10" s="2">
        <v>4258.75</v>
      </c>
      <c r="P10" s="2">
        <v>4614.53</v>
      </c>
      <c r="Q10" s="2">
        <v>5644.75</v>
      </c>
      <c r="R10" s="2">
        <v>6040.33</v>
      </c>
      <c r="S10" s="2">
        <v>6577</v>
      </c>
    </row>
    <row r="11" spans="1:21" x14ac:dyDescent="0.25">
      <c r="A11" t="s">
        <v>17</v>
      </c>
    </row>
    <row r="12" spans="1:21" x14ac:dyDescent="0.25">
      <c r="A12" t="s">
        <v>2757</v>
      </c>
      <c r="J12">
        <v>-3</v>
      </c>
      <c r="K12">
        <v>-0.33</v>
      </c>
      <c r="L12">
        <v>15.43</v>
      </c>
      <c r="M12">
        <v>21.79</v>
      </c>
      <c r="N12">
        <v>21.02</v>
      </c>
      <c r="O12">
        <v>20.440000000000001</v>
      </c>
      <c r="P12">
        <v>22.35</v>
      </c>
      <c r="Q12">
        <v>21.16</v>
      </c>
      <c r="R12">
        <v>19.010000000000002</v>
      </c>
      <c r="S12">
        <v>17.88</v>
      </c>
    </row>
    <row r="13" spans="1:21" x14ac:dyDescent="0.25">
      <c r="A13" t="s">
        <v>2758</v>
      </c>
      <c r="I13" s="2">
        <v>5890</v>
      </c>
      <c r="J13" s="2">
        <v>4894</v>
      </c>
      <c r="K13" s="2">
        <v>4466</v>
      </c>
      <c r="L13" s="2">
        <v>7496</v>
      </c>
      <c r="M13" s="2">
        <v>7384</v>
      </c>
      <c r="N13" s="2">
        <v>7250</v>
      </c>
      <c r="O13" s="2">
        <v>16975.25</v>
      </c>
      <c r="P13" s="2">
        <v>16362.98</v>
      </c>
      <c r="Q13" s="2">
        <v>15457.42</v>
      </c>
      <c r="R13" s="2">
        <v>14594.8</v>
      </c>
      <c r="S13" s="2">
        <v>14354.71</v>
      </c>
    </row>
    <row r="14" spans="1:21" x14ac:dyDescent="0.25">
      <c r="A14" t="s">
        <v>17</v>
      </c>
    </row>
    <row r="15" spans="1:21" x14ac:dyDescent="0.25">
      <c r="A15" t="s">
        <v>37</v>
      </c>
    </row>
    <row r="16" spans="1:21" x14ac:dyDescent="0.25">
      <c r="A16" t="s">
        <v>2759</v>
      </c>
    </row>
    <row r="17" spans="1:21" x14ac:dyDescent="0.25">
      <c r="A17" t="s">
        <v>2760</v>
      </c>
      <c r="O17" s="2">
        <v>4821.1099999999997</v>
      </c>
      <c r="P17" s="2">
        <v>4426.12</v>
      </c>
      <c r="Q17" s="2">
        <v>4632.99</v>
      </c>
      <c r="R17" s="2">
        <v>4649.37</v>
      </c>
      <c r="S17" s="2">
        <v>2510.14</v>
      </c>
    </row>
    <row r="18" spans="1:21" x14ac:dyDescent="0.25">
      <c r="A18" t="s">
        <v>2761</v>
      </c>
      <c r="O18" s="2">
        <v>3254.58</v>
      </c>
      <c r="P18" s="2">
        <v>2389.79</v>
      </c>
      <c r="Q18" s="2">
        <v>2180.86</v>
      </c>
      <c r="R18">
        <v>223.72</v>
      </c>
      <c r="S18">
        <v>-503.52</v>
      </c>
    </row>
    <row r="19" spans="1:21" x14ac:dyDescent="0.25">
      <c r="A19" t="s">
        <v>2762</v>
      </c>
    </row>
    <row r="20" spans="1:21" x14ac:dyDescent="0.25">
      <c r="A20" t="s">
        <v>17</v>
      </c>
    </row>
    <row r="21" spans="1:21" x14ac:dyDescent="0.25">
      <c r="A21" t="s">
        <v>2763</v>
      </c>
    </row>
    <row r="22" spans="1:21" x14ac:dyDescent="0.25">
      <c r="A22" t="s">
        <v>2764</v>
      </c>
      <c r="J22">
        <v>38.909999999999997</v>
      </c>
      <c r="K22">
        <v>72.900000000000006</v>
      </c>
      <c r="L22">
        <v>33.06</v>
      </c>
      <c r="M22">
        <v>33.74</v>
      </c>
      <c r="N22">
        <v>50.19</v>
      </c>
      <c r="O22">
        <v>63.4</v>
      </c>
      <c r="P22">
        <v>56.85</v>
      </c>
      <c r="Q22">
        <v>56.38</v>
      </c>
      <c r="R22">
        <v>58.63</v>
      </c>
      <c r="S22">
        <v>58.63</v>
      </c>
    </row>
    <row r="23" spans="1:21" x14ac:dyDescent="0.25">
      <c r="A23" t="s">
        <v>2765</v>
      </c>
      <c r="J23" s="2">
        <v>13576</v>
      </c>
      <c r="K23" s="2">
        <v>15366</v>
      </c>
      <c r="L23" s="2">
        <v>16509</v>
      </c>
      <c r="M23" s="2">
        <v>15729</v>
      </c>
      <c r="N23" s="2">
        <v>17140</v>
      </c>
      <c r="O23" s="2">
        <v>16751.34</v>
      </c>
      <c r="P23" s="2">
        <v>17018.45</v>
      </c>
      <c r="Q23" s="2">
        <v>17396.07</v>
      </c>
    </row>
    <row r="24" spans="1:21" x14ac:dyDescent="0.25">
      <c r="A24" t="s">
        <v>2766</v>
      </c>
    </row>
    <row r="25" spans="1:21" x14ac:dyDescent="0.25">
      <c r="A25" t="s">
        <v>2767</v>
      </c>
      <c r="I25" s="2">
        <v>5531</v>
      </c>
      <c r="J25" s="2">
        <v>6425</v>
      </c>
      <c r="K25" s="2">
        <v>6421</v>
      </c>
      <c r="L25" s="2">
        <v>6423</v>
      </c>
      <c r="M25" s="2">
        <v>6417</v>
      </c>
      <c r="N25" s="2">
        <v>10386</v>
      </c>
    </row>
    <row r="26" spans="1:21" x14ac:dyDescent="0.25">
      <c r="A26" t="s">
        <v>2768</v>
      </c>
      <c r="M26">
        <v>33</v>
      </c>
      <c r="N26">
        <v>33</v>
      </c>
      <c r="O26">
        <v>94.53</v>
      </c>
      <c r="P26">
        <v>94.63</v>
      </c>
      <c r="Q26">
        <v>94.85</v>
      </c>
      <c r="R26">
        <v>94.5</v>
      </c>
      <c r="S26">
        <v>94.9</v>
      </c>
      <c r="T26">
        <v>95</v>
      </c>
      <c r="U26">
        <v>95</v>
      </c>
    </row>
    <row r="27" spans="1:21" x14ac:dyDescent="0.25">
      <c r="A27" t="s">
        <v>2769</v>
      </c>
      <c r="J27" s="2">
        <v>53589</v>
      </c>
      <c r="K27" s="2">
        <v>53214</v>
      </c>
      <c r="L27" s="2">
        <v>53012</v>
      </c>
      <c r="M27" s="2">
        <v>52898</v>
      </c>
      <c r="N27" s="2">
        <v>52914</v>
      </c>
      <c r="O27" s="2">
        <v>53121.82</v>
      </c>
      <c r="P27" s="2">
        <v>52704.68</v>
      </c>
      <c r="Q27" s="2">
        <v>53769.23</v>
      </c>
      <c r="R27" s="2">
        <v>52829.66</v>
      </c>
      <c r="S27" s="2">
        <v>53656.79</v>
      </c>
    </row>
    <row r="28" spans="1:21" x14ac:dyDescent="0.25">
      <c r="A28" t="s">
        <v>2770</v>
      </c>
    </row>
    <row r="29" spans="1:21" x14ac:dyDescent="0.25">
      <c r="A29" t="s">
        <v>2767</v>
      </c>
    </row>
    <row r="30" spans="1:21" x14ac:dyDescent="0.25">
      <c r="A30" t="s">
        <v>2768</v>
      </c>
    </row>
    <row r="31" spans="1:21" x14ac:dyDescent="0.25">
      <c r="A31" t="s">
        <v>2769</v>
      </c>
      <c r="J31" s="2">
        <v>2271</v>
      </c>
      <c r="K31" s="2">
        <v>2097</v>
      </c>
      <c r="L31" s="2">
        <v>2014</v>
      </c>
      <c r="M31" s="2">
        <v>2137</v>
      </c>
      <c r="N31" s="2">
        <v>1966</v>
      </c>
    </row>
    <row r="32" spans="1:21" x14ac:dyDescent="0.25">
      <c r="A32" t="s">
        <v>2771</v>
      </c>
      <c r="O32">
        <v>85.03</v>
      </c>
      <c r="P32">
        <v>85.03</v>
      </c>
      <c r="Q32">
        <v>85.03</v>
      </c>
      <c r="R32">
        <v>85.03</v>
      </c>
    </row>
    <row r="33" spans="1:19" x14ac:dyDescent="0.25">
      <c r="A33" t="s">
        <v>2772</v>
      </c>
      <c r="O33">
        <v>913.67</v>
      </c>
    </row>
    <row r="34" spans="1:19" x14ac:dyDescent="0.25">
      <c r="A34" t="s">
        <v>2773</v>
      </c>
      <c r="J34" s="2">
        <v>2320</v>
      </c>
      <c r="K34" s="2">
        <v>3026</v>
      </c>
      <c r="L34" s="2">
        <v>2214</v>
      </c>
      <c r="M34" s="2">
        <v>2442</v>
      </c>
      <c r="N34" s="2">
        <v>3076</v>
      </c>
      <c r="O34" s="2">
        <v>3488.24</v>
      </c>
      <c r="P34" s="2">
        <v>4028.01</v>
      </c>
      <c r="Q34" s="2">
        <v>4792.3500000000004</v>
      </c>
    </row>
    <row r="35" spans="1:19" x14ac:dyDescent="0.25">
      <c r="A35" t="s">
        <v>2774</v>
      </c>
    </row>
    <row r="36" spans="1:19" x14ac:dyDescent="0.25">
      <c r="A36" t="s">
        <v>2775</v>
      </c>
      <c r="O36">
        <v>71.67</v>
      </c>
      <c r="P36">
        <v>67.5</v>
      </c>
      <c r="Q36">
        <v>52.5</v>
      </c>
      <c r="R36">
        <v>35</v>
      </c>
      <c r="S36">
        <v>30</v>
      </c>
    </row>
    <row r="37" spans="1:19" x14ac:dyDescent="0.25">
      <c r="A37" t="s">
        <v>2776</v>
      </c>
    </row>
    <row r="38" spans="1:19" x14ac:dyDescent="0.25">
      <c r="A38" t="s">
        <v>2777</v>
      </c>
      <c r="O38">
        <v>50</v>
      </c>
      <c r="P38">
        <v>47.5</v>
      </c>
      <c r="Q38">
        <v>47.5</v>
      </c>
      <c r="R38">
        <v>50</v>
      </c>
      <c r="S38">
        <v>50</v>
      </c>
    </row>
    <row r="39" spans="1:19" x14ac:dyDescent="0.25">
      <c r="A39" t="s">
        <v>2778</v>
      </c>
    </row>
    <row r="40" spans="1:19" x14ac:dyDescent="0.25">
      <c r="A40" t="s">
        <v>17</v>
      </c>
    </row>
    <row r="41" spans="1:19" x14ac:dyDescent="0.25">
      <c r="A41" t="s">
        <v>2779</v>
      </c>
    </row>
    <row r="42" spans="1:19" x14ac:dyDescent="0.25">
      <c r="A42" t="s">
        <v>2764</v>
      </c>
      <c r="J42">
        <v>34.76</v>
      </c>
      <c r="K42">
        <v>60.24</v>
      </c>
      <c r="L42">
        <v>26.64</v>
      </c>
      <c r="M42">
        <v>25.5</v>
      </c>
      <c r="N42">
        <v>36.619999999999997</v>
      </c>
      <c r="O42">
        <v>38.299999999999997</v>
      </c>
      <c r="P42">
        <v>38.43</v>
      </c>
      <c r="Q42">
        <v>39.49</v>
      </c>
      <c r="R42">
        <v>39</v>
      </c>
      <c r="S42">
        <v>37.58</v>
      </c>
    </row>
    <row r="43" spans="1:19" x14ac:dyDescent="0.25">
      <c r="A43" t="s">
        <v>2765</v>
      </c>
      <c r="J43">
        <v>561</v>
      </c>
      <c r="K43">
        <v>610</v>
      </c>
      <c r="L43">
        <v>984</v>
      </c>
      <c r="M43">
        <v>928</v>
      </c>
      <c r="N43" s="2">
        <v>1777</v>
      </c>
      <c r="O43" s="2">
        <v>1569.68</v>
      </c>
      <c r="P43" s="2">
        <v>1589.96</v>
      </c>
      <c r="Q43" s="2">
        <v>1687.12</v>
      </c>
    </row>
    <row r="44" spans="1:19" x14ac:dyDescent="0.25">
      <c r="A44" t="s">
        <v>2766</v>
      </c>
    </row>
    <row r="45" spans="1:19" x14ac:dyDescent="0.25">
      <c r="A45" t="s">
        <v>2767</v>
      </c>
      <c r="I45" s="2">
        <v>11381</v>
      </c>
      <c r="J45" s="2">
        <v>11381</v>
      </c>
      <c r="K45" s="2">
        <v>11381</v>
      </c>
      <c r="L45" s="2">
        <v>11393</v>
      </c>
      <c r="M45" s="2">
        <v>11396</v>
      </c>
      <c r="N45" s="2">
        <v>11606</v>
      </c>
    </row>
    <row r="46" spans="1:19" x14ac:dyDescent="0.25">
      <c r="A46" t="s">
        <v>2768</v>
      </c>
      <c r="M46">
        <v>37</v>
      </c>
      <c r="N46">
        <v>37</v>
      </c>
      <c r="O46">
        <v>95.22</v>
      </c>
      <c r="P46">
        <v>95.85</v>
      </c>
      <c r="Q46">
        <v>95.11</v>
      </c>
    </row>
    <row r="47" spans="1:19" x14ac:dyDescent="0.25">
      <c r="A47" t="s">
        <v>2769</v>
      </c>
      <c r="J47" s="2">
        <v>93107</v>
      </c>
      <c r="K47" s="2">
        <v>95090</v>
      </c>
      <c r="L47" s="2">
        <v>93768</v>
      </c>
      <c r="M47" s="2">
        <v>95321</v>
      </c>
      <c r="N47" s="2">
        <v>93866</v>
      </c>
      <c r="O47" s="2">
        <v>93845.36</v>
      </c>
      <c r="P47" s="2">
        <v>93631.28</v>
      </c>
      <c r="Q47" s="2">
        <v>94002.85</v>
      </c>
      <c r="R47" s="2">
        <v>93592.89</v>
      </c>
      <c r="S47" s="2">
        <v>93829.03</v>
      </c>
    </row>
    <row r="48" spans="1:19" x14ac:dyDescent="0.25">
      <c r="A48" t="s">
        <v>2780</v>
      </c>
    </row>
    <row r="49" spans="1:19" x14ac:dyDescent="0.25">
      <c r="A49" t="s">
        <v>2781</v>
      </c>
    </row>
    <row r="50" spans="1:19" x14ac:dyDescent="0.25">
      <c r="A50" t="s">
        <v>2782</v>
      </c>
    </row>
    <row r="51" spans="1:19" x14ac:dyDescent="0.25">
      <c r="A51" t="s">
        <v>2783</v>
      </c>
    </row>
    <row r="52" spans="1:19" x14ac:dyDescent="0.25">
      <c r="A52" t="s">
        <v>2767</v>
      </c>
      <c r="I52">
        <v>221</v>
      </c>
      <c r="J52">
        <v>10</v>
      </c>
      <c r="K52">
        <v>5</v>
      </c>
      <c r="L52">
        <v>5</v>
      </c>
      <c r="M52">
        <v>5</v>
      </c>
    </row>
    <row r="53" spans="1:19" x14ac:dyDescent="0.25">
      <c r="A53" t="s">
        <v>2768</v>
      </c>
    </row>
    <row r="54" spans="1:19" x14ac:dyDescent="0.25">
      <c r="A54" t="s">
        <v>2769</v>
      </c>
      <c r="J54" s="2">
        <v>1083</v>
      </c>
      <c r="K54" s="2">
        <v>1202</v>
      </c>
      <c r="L54" s="2">
        <v>1024</v>
      </c>
      <c r="M54" s="2">
        <v>1116</v>
      </c>
      <c r="N54" s="2">
        <v>1121</v>
      </c>
    </row>
    <row r="55" spans="1:19" x14ac:dyDescent="0.25">
      <c r="A55" t="s">
        <v>2780</v>
      </c>
    </row>
    <row r="56" spans="1:19" x14ac:dyDescent="0.25">
      <c r="A56" t="s">
        <v>2772</v>
      </c>
      <c r="O56" s="2">
        <v>1085.47</v>
      </c>
    </row>
    <row r="57" spans="1:19" x14ac:dyDescent="0.25">
      <c r="A57" t="s">
        <v>2784</v>
      </c>
      <c r="O57" s="2">
        <v>1802.33</v>
      </c>
      <c r="P57">
        <v>839.96</v>
      </c>
    </row>
    <row r="58" spans="1:19" x14ac:dyDescent="0.25">
      <c r="A58" t="s">
        <v>2774</v>
      </c>
    </row>
    <row r="59" spans="1:19" x14ac:dyDescent="0.25">
      <c r="A59" t="s">
        <v>2775</v>
      </c>
      <c r="O59">
        <v>75.92</v>
      </c>
      <c r="P59">
        <v>65</v>
      </c>
      <c r="Q59">
        <v>45</v>
      </c>
    </row>
    <row r="60" spans="1:19" x14ac:dyDescent="0.25">
      <c r="A60" t="s">
        <v>2777</v>
      </c>
      <c r="O60">
        <v>48.27</v>
      </c>
      <c r="P60">
        <v>50.18</v>
      </c>
      <c r="Q60">
        <v>48.82</v>
      </c>
      <c r="R60">
        <v>53.42</v>
      </c>
      <c r="S60">
        <v>53.42</v>
      </c>
    </row>
    <row r="61" spans="1:19" x14ac:dyDescent="0.25">
      <c r="A61" t="s">
        <v>2778</v>
      </c>
    </row>
    <row r="62" spans="1:19" x14ac:dyDescent="0.25">
      <c r="A62" t="s">
        <v>17</v>
      </c>
    </row>
    <row r="63" spans="1:19" x14ac:dyDescent="0.25">
      <c r="A63" t="s">
        <v>2785</v>
      </c>
    </row>
    <row r="64" spans="1:19" x14ac:dyDescent="0.25">
      <c r="A64" t="s">
        <v>2764</v>
      </c>
      <c r="J64">
        <v>146.63</v>
      </c>
      <c r="K64">
        <v>64.38</v>
      </c>
      <c r="L64">
        <v>55.15</v>
      </c>
      <c r="M64">
        <v>26.97</v>
      </c>
      <c r="N64">
        <v>32.94</v>
      </c>
      <c r="O64">
        <v>48.44</v>
      </c>
      <c r="P64">
        <v>52.86</v>
      </c>
      <c r="Q64">
        <v>55.16</v>
      </c>
      <c r="R64">
        <v>58.43</v>
      </c>
    </row>
    <row r="65" spans="1:21" x14ac:dyDescent="0.25">
      <c r="A65" t="s">
        <v>2765</v>
      </c>
      <c r="J65" s="2">
        <v>3256</v>
      </c>
      <c r="K65" s="2">
        <v>3575</v>
      </c>
      <c r="L65" s="2">
        <v>5530</v>
      </c>
      <c r="M65" s="2">
        <v>3249</v>
      </c>
      <c r="N65" s="2">
        <v>3028</v>
      </c>
      <c r="O65" s="2">
        <v>3024.12</v>
      </c>
      <c r="P65" s="2">
        <v>2997.29</v>
      </c>
      <c r="Q65" s="2">
        <v>2993.04</v>
      </c>
    </row>
    <row r="66" spans="1:21" x14ac:dyDescent="0.25">
      <c r="A66" t="s">
        <v>2786</v>
      </c>
    </row>
    <row r="67" spans="1:21" x14ac:dyDescent="0.25">
      <c r="A67" t="s">
        <v>2787</v>
      </c>
      <c r="I67" s="2">
        <v>3610</v>
      </c>
      <c r="J67" s="2">
        <v>3610</v>
      </c>
      <c r="K67" s="2">
        <v>3610</v>
      </c>
      <c r="L67" s="2">
        <v>4734</v>
      </c>
      <c r="M67" s="2">
        <v>4740</v>
      </c>
      <c r="N67" s="2">
        <v>4742</v>
      </c>
      <c r="O67" s="2">
        <v>4735</v>
      </c>
      <c r="P67" s="2">
        <v>4735</v>
      </c>
      <c r="Q67" s="2">
        <v>4757</v>
      </c>
      <c r="R67" s="2">
        <v>4718</v>
      </c>
      <c r="S67" s="2">
        <v>4753</v>
      </c>
    </row>
    <row r="68" spans="1:21" x14ac:dyDescent="0.25">
      <c r="A68" t="s">
        <v>2769</v>
      </c>
      <c r="J68" s="2">
        <v>13187</v>
      </c>
      <c r="K68" s="2">
        <v>14124</v>
      </c>
      <c r="L68" s="2">
        <v>16877</v>
      </c>
      <c r="M68" s="2">
        <v>14778</v>
      </c>
      <c r="N68" s="2">
        <v>12933</v>
      </c>
      <c r="O68" s="2">
        <v>13930.19</v>
      </c>
      <c r="P68" s="2">
        <v>14046.79</v>
      </c>
      <c r="Q68" s="2">
        <v>14025.32</v>
      </c>
    </row>
    <row r="69" spans="1:21" x14ac:dyDescent="0.25">
      <c r="A69" t="s">
        <v>2773</v>
      </c>
      <c r="J69" s="2">
        <v>2006</v>
      </c>
      <c r="K69" s="2">
        <v>1136</v>
      </c>
      <c r="L69">
        <v>764</v>
      </c>
      <c r="M69">
        <v>503</v>
      </c>
      <c r="N69">
        <v>767</v>
      </c>
      <c r="O69" s="2">
        <v>1395.8</v>
      </c>
      <c r="P69" s="2">
        <v>1859.4</v>
      </c>
      <c r="Q69" s="2">
        <v>1874.48</v>
      </c>
    </row>
    <row r="70" spans="1:21" x14ac:dyDescent="0.25">
      <c r="A70" t="s">
        <v>2774</v>
      </c>
    </row>
    <row r="71" spans="1:21" x14ac:dyDescent="0.25">
      <c r="A71" t="s">
        <v>2775</v>
      </c>
      <c r="O71">
        <v>60</v>
      </c>
      <c r="P71">
        <v>70</v>
      </c>
      <c r="Q71">
        <v>60</v>
      </c>
      <c r="R71">
        <v>35</v>
      </c>
      <c r="S71">
        <v>30</v>
      </c>
    </row>
    <row r="72" spans="1:21" x14ac:dyDescent="0.25">
      <c r="A72" t="s">
        <v>2776</v>
      </c>
    </row>
    <row r="73" spans="1:21" x14ac:dyDescent="0.25">
      <c r="A73" t="s">
        <v>2777</v>
      </c>
      <c r="O73">
        <v>18.5</v>
      </c>
      <c r="P73">
        <v>30</v>
      </c>
      <c r="Q73">
        <v>27</v>
      </c>
      <c r="R73">
        <v>27</v>
      </c>
      <c r="S73">
        <v>27</v>
      </c>
    </row>
    <row r="74" spans="1:21" x14ac:dyDescent="0.25">
      <c r="A74" t="s">
        <v>2778</v>
      </c>
    </row>
    <row r="75" spans="1:21" x14ac:dyDescent="0.25">
      <c r="A75" t="s">
        <v>17</v>
      </c>
    </row>
    <row r="76" spans="1:21" x14ac:dyDescent="0.25">
      <c r="A76" t="s">
        <v>2788</v>
      </c>
    </row>
    <row r="77" spans="1:21" x14ac:dyDescent="0.25">
      <c r="A77" t="s">
        <v>2764</v>
      </c>
      <c r="J77">
        <v>29.9</v>
      </c>
      <c r="K77">
        <v>57.52</v>
      </c>
      <c r="L77">
        <v>26.97</v>
      </c>
      <c r="M77">
        <v>34.119999999999997</v>
      </c>
      <c r="N77">
        <v>56.31</v>
      </c>
      <c r="O77">
        <v>66.459999999999994</v>
      </c>
      <c r="P77">
        <v>58.42</v>
      </c>
      <c r="Q77">
        <v>57.46</v>
      </c>
      <c r="R77">
        <v>54.35</v>
      </c>
      <c r="S77">
        <v>52.88</v>
      </c>
    </row>
    <row r="78" spans="1:21" x14ac:dyDescent="0.25">
      <c r="A78" t="s">
        <v>2789</v>
      </c>
    </row>
    <row r="79" spans="1:21" x14ac:dyDescent="0.25">
      <c r="A79" t="s">
        <v>2767</v>
      </c>
      <c r="I79" s="2">
        <v>1968</v>
      </c>
      <c r="J79" s="2">
        <v>3093</v>
      </c>
      <c r="K79" s="2">
        <v>3093</v>
      </c>
      <c r="L79" s="2">
        <v>3093</v>
      </c>
      <c r="M79" s="2">
        <v>3093</v>
      </c>
      <c r="N79" s="2">
        <v>3093</v>
      </c>
      <c r="O79" s="2">
        <v>3090</v>
      </c>
      <c r="P79" s="2">
        <v>3090</v>
      </c>
      <c r="Q79" s="2">
        <v>3092</v>
      </c>
      <c r="R79" s="2">
        <v>3089</v>
      </c>
      <c r="S79" s="2">
        <v>3089</v>
      </c>
    </row>
    <row r="80" spans="1:21" x14ac:dyDescent="0.25">
      <c r="A80" t="s">
        <v>2768</v>
      </c>
      <c r="N80">
        <v>10</v>
      </c>
      <c r="O80">
        <v>94.22</v>
      </c>
      <c r="P80">
        <v>94.53</v>
      </c>
      <c r="Q80">
        <v>94.53</v>
      </c>
      <c r="R80">
        <v>93.5</v>
      </c>
      <c r="S80">
        <v>93.5</v>
      </c>
      <c r="T80">
        <v>94</v>
      </c>
      <c r="U80">
        <v>94</v>
      </c>
    </row>
    <row r="81" spans="1:19" x14ac:dyDescent="0.25">
      <c r="A81" t="s">
        <v>2769</v>
      </c>
      <c r="J81" s="2">
        <v>26294</v>
      </c>
      <c r="K81" s="2">
        <v>25046</v>
      </c>
      <c r="L81" s="2">
        <v>25546</v>
      </c>
      <c r="M81" s="2">
        <v>25134</v>
      </c>
      <c r="N81" s="2">
        <v>26339</v>
      </c>
      <c r="O81" s="2">
        <v>25075.45</v>
      </c>
      <c r="P81" s="2">
        <v>24996.9</v>
      </c>
      <c r="Q81" s="2">
        <v>25108.75</v>
      </c>
      <c r="R81" s="2">
        <v>23704.46</v>
      </c>
      <c r="S81" s="2">
        <v>23704.46</v>
      </c>
    </row>
    <row r="82" spans="1:19" x14ac:dyDescent="0.25">
      <c r="A82" t="s">
        <v>2771</v>
      </c>
      <c r="O82">
        <v>543.19000000000005</v>
      </c>
      <c r="P82">
        <v>552.19000000000005</v>
      </c>
      <c r="Q82">
        <v>684.19</v>
      </c>
      <c r="R82">
        <v>630.16999999999996</v>
      </c>
      <c r="S82">
        <v>827.33</v>
      </c>
    </row>
    <row r="83" spans="1:19" x14ac:dyDescent="0.25">
      <c r="A83" t="s">
        <v>2772</v>
      </c>
      <c r="O83">
        <v>26.4</v>
      </c>
      <c r="P83">
        <v>22.34</v>
      </c>
      <c r="Q83">
        <v>14.15</v>
      </c>
      <c r="R83">
        <v>14.12</v>
      </c>
      <c r="S83">
        <v>14.12</v>
      </c>
    </row>
    <row r="84" spans="1:19" x14ac:dyDescent="0.25">
      <c r="A84" t="s">
        <v>2774</v>
      </c>
    </row>
    <row r="85" spans="1:19" x14ac:dyDescent="0.25">
      <c r="A85" t="s">
        <v>2775</v>
      </c>
      <c r="O85">
        <v>69</v>
      </c>
      <c r="P85">
        <v>98</v>
      </c>
      <c r="Q85">
        <v>98</v>
      </c>
    </row>
    <row r="86" spans="1:19" x14ac:dyDescent="0.25">
      <c r="A86" t="s">
        <v>2776</v>
      </c>
    </row>
    <row r="87" spans="1:19" x14ac:dyDescent="0.25">
      <c r="A87" t="s">
        <v>2777</v>
      </c>
      <c r="O87">
        <v>33</v>
      </c>
      <c r="P87">
        <v>57.84</v>
      </c>
      <c r="Q87">
        <v>57.84</v>
      </c>
      <c r="R87">
        <v>57.84</v>
      </c>
      <c r="S87">
        <v>57.84</v>
      </c>
    </row>
    <row r="88" spans="1:19" x14ac:dyDescent="0.25">
      <c r="A88" t="s">
        <v>2790</v>
      </c>
      <c r="J88">
        <v>29.9</v>
      </c>
      <c r="K88">
        <v>57.52</v>
      </c>
      <c r="L88">
        <v>26.97</v>
      </c>
      <c r="M88">
        <v>34.119999999999997</v>
      </c>
      <c r="N88">
        <v>56.31</v>
      </c>
      <c r="O88">
        <v>66.459999999999994</v>
      </c>
      <c r="P88">
        <v>58.42</v>
      </c>
      <c r="Q88">
        <v>57.46</v>
      </c>
      <c r="R88">
        <v>54.35</v>
      </c>
      <c r="S88">
        <v>52.88</v>
      </c>
    </row>
    <row r="89" spans="1:19" x14ac:dyDescent="0.25">
      <c r="A89" t="s">
        <v>2778</v>
      </c>
    </row>
    <row r="90" spans="1:19" x14ac:dyDescent="0.25">
      <c r="A90" t="s">
        <v>17</v>
      </c>
    </row>
    <row r="91" spans="1:19" x14ac:dyDescent="0.25">
      <c r="A91" t="s">
        <v>2791</v>
      </c>
    </row>
    <row r="92" spans="1:19" x14ac:dyDescent="0.25">
      <c r="A92" t="s">
        <v>2764</v>
      </c>
      <c r="J92">
        <v>46.38</v>
      </c>
      <c r="K92">
        <v>86.02</v>
      </c>
      <c r="L92">
        <v>37.35</v>
      </c>
      <c r="M92">
        <v>41.7</v>
      </c>
      <c r="N92">
        <v>68.56</v>
      </c>
      <c r="O92">
        <v>70.989999999999995</v>
      </c>
      <c r="P92">
        <v>70.14</v>
      </c>
      <c r="Q92">
        <v>69.3</v>
      </c>
    </row>
    <row r="93" spans="1:19" x14ac:dyDescent="0.25">
      <c r="A93" t="s">
        <v>2792</v>
      </c>
    </row>
    <row r="94" spans="1:19" x14ac:dyDescent="0.25">
      <c r="A94" t="s">
        <v>2787</v>
      </c>
      <c r="O94" s="2">
        <v>2789.82</v>
      </c>
      <c r="P94" s="2">
        <v>2650.74</v>
      </c>
      <c r="Q94" s="2">
        <v>2789.82</v>
      </c>
      <c r="R94" s="2">
        <v>3483.23</v>
      </c>
      <c r="S94" s="2">
        <v>3483.23</v>
      </c>
    </row>
    <row r="95" spans="1:19" x14ac:dyDescent="0.25">
      <c r="A95" t="s">
        <v>2768</v>
      </c>
    </row>
    <row r="96" spans="1:19" x14ac:dyDescent="0.25">
      <c r="A96" t="s">
        <v>2769</v>
      </c>
      <c r="O96" s="2">
        <v>1073.0999999999999</v>
      </c>
      <c r="P96" s="2">
        <v>1073.0999999999999</v>
      </c>
      <c r="Q96" s="2">
        <v>1076.04</v>
      </c>
      <c r="R96" s="2">
        <v>4150.93</v>
      </c>
      <c r="S96" s="2">
        <v>7246.27</v>
      </c>
    </row>
    <row r="97" spans="1:19" x14ac:dyDescent="0.25">
      <c r="A97" t="s">
        <v>2793</v>
      </c>
    </row>
    <row r="98" spans="1:19" x14ac:dyDescent="0.25">
      <c r="A98" t="s">
        <v>2787</v>
      </c>
    </row>
    <row r="99" spans="1:19" x14ac:dyDescent="0.25">
      <c r="A99" t="s">
        <v>2768</v>
      </c>
    </row>
    <row r="100" spans="1:19" x14ac:dyDescent="0.25">
      <c r="A100" t="s">
        <v>2769</v>
      </c>
    </row>
    <row r="101" spans="1:19" x14ac:dyDescent="0.25">
      <c r="A101" t="s">
        <v>2794</v>
      </c>
      <c r="O101">
        <v>68.510000000000005</v>
      </c>
      <c r="P101">
        <v>73.45</v>
      </c>
      <c r="Q101">
        <v>95.13</v>
      </c>
      <c r="R101">
        <v>82.59</v>
      </c>
      <c r="S101">
        <v>82.59</v>
      </c>
    </row>
    <row r="102" spans="1:19" x14ac:dyDescent="0.25">
      <c r="A102" t="s">
        <v>2773</v>
      </c>
    </row>
    <row r="103" spans="1:19" x14ac:dyDescent="0.25">
      <c r="A103" t="s">
        <v>2774</v>
      </c>
    </row>
    <row r="104" spans="1:19" x14ac:dyDescent="0.25">
      <c r="A104" t="s">
        <v>2775</v>
      </c>
    </row>
    <row r="105" spans="1:19" x14ac:dyDescent="0.25">
      <c r="A105" t="s">
        <v>2776</v>
      </c>
    </row>
    <row r="106" spans="1:19" x14ac:dyDescent="0.25">
      <c r="A106" t="s">
        <v>2777</v>
      </c>
    </row>
    <row r="107" spans="1:19" x14ac:dyDescent="0.25">
      <c r="A107" t="s">
        <v>17</v>
      </c>
    </row>
    <row r="108" spans="1:19" x14ac:dyDescent="0.25">
      <c r="A108" t="s">
        <v>2795</v>
      </c>
    </row>
    <row r="109" spans="1:19" x14ac:dyDescent="0.25">
      <c r="A109" t="s">
        <v>2764</v>
      </c>
      <c r="O109">
        <v>40.799999999999997</v>
      </c>
    </row>
    <row r="110" spans="1:19" x14ac:dyDescent="0.25">
      <c r="A110" t="s">
        <v>2787</v>
      </c>
      <c r="M110" s="2">
        <v>1848</v>
      </c>
      <c r="N110" s="2">
        <v>1849</v>
      </c>
      <c r="O110">
        <v>753</v>
      </c>
      <c r="P110">
        <v>753</v>
      </c>
      <c r="Q110">
        <v>753</v>
      </c>
    </row>
    <row r="111" spans="1:19" x14ac:dyDescent="0.25">
      <c r="A111" t="s">
        <v>2768</v>
      </c>
      <c r="M111">
        <v>5</v>
      </c>
      <c r="N111">
        <v>5</v>
      </c>
      <c r="O111">
        <v>62</v>
      </c>
      <c r="P111">
        <v>62</v>
      </c>
      <c r="Q111">
        <v>62</v>
      </c>
      <c r="R111">
        <v>162</v>
      </c>
      <c r="S111">
        <v>262</v>
      </c>
    </row>
    <row r="112" spans="1:19" x14ac:dyDescent="0.25">
      <c r="A112" t="s">
        <v>2769</v>
      </c>
      <c r="O112" s="2">
        <v>3818.13</v>
      </c>
      <c r="S112" s="2">
        <v>16134.69</v>
      </c>
    </row>
    <row r="113" spans="1:19" x14ac:dyDescent="0.25">
      <c r="A113" t="s">
        <v>2765</v>
      </c>
      <c r="J113" s="2">
        <v>50212</v>
      </c>
      <c r="K113" s="2">
        <v>51131</v>
      </c>
      <c r="L113" s="2">
        <v>44192</v>
      </c>
      <c r="M113" s="2">
        <v>41077</v>
      </c>
      <c r="N113" s="2">
        <v>42054</v>
      </c>
      <c r="O113" s="2">
        <v>39136.480000000003</v>
      </c>
      <c r="P113" s="2">
        <v>39652.57</v>
      </c>
      <c r="Q113" s="2">
        <v>39837.43</v>
      </c>
    </row>
    <row r="114" spans="1:19" x14ac:dyDescent="0.25">
      <c r="A114" t="s">
        <v>2796</v>
      </c>
    </row>
    <row r="115" spans="1:19" x14ac:dyDescent="0.25">
      <c r="A115" t="s">
        <v>944</v>
      </c>
      <c r="O115">
        <v>141.43</v>
      </c>
      <c r="S115" s="2">
        <v>1086.23</v>
      </c>
    </row>
    <row r="116" spans="1:19" x14ac:dyDescent="0.25">
      <c r="A116" t="s">
        <v>2769</v>
      </c>
    </row>
    <row r="117" spans="1:19" x14ac:dyDescent="0.25">
      <c r="A117" t="s">
        <v>17</v>
      </c>
    </row>
    <row r="118" spans="1:19" x14ac:dyDescent="0.25">
      <c r="A118" t="s">
        <v>2797</v>
      </c>
    </row>
    <row r="119" spans="1:19" x14ac:dyDescent="0.25">
      <c r="A119" t="s">
        <v>2798</v>
      </c>
    </row>
    <row r="120" spans="1:19" x14ac:dyDescent="0.25">
      <c r="A120" t="s">
        <v>2799</v>
      </c>
    </row>
    <row r="121" spans="1:19" x14ac:dyDescent="0.25">
      <c r="A121" t="s">
        <v>2800</v>
      </c>
      <c r="O121">
        <v>100</v>
      </c>
    </row>
    <row r="122" spans="1:19" x14ac:dyDescent="0.25">
      <c r="A122" t="s">
        <v>17</v>
      </c>
    </row>
    <row r="123" spans="1:19" x14ac:dyDescent="0.25">
      <c r="A123" t="s">
        <v>58</v>
      </c>
    </row>
    <row r="124" spans="1:19" x14ac:dyDescent="0.25">
      <c r="A124" t="s">
        <v>16</v>
      </c>
    </row>
    <row r="125" spans="1:19" x14ac:dyDescent="0.25">
      <c r="A125" t="s">
        <v>2801</v>
      </c>
      <c r="I125" s="2">
        <v>4617</v>
      </c>
      <c r="J125" s="2">
        <v>4564</v>
      </c>
      <c r="K125" s="2">
        <v>5159</v>
      </c>
      <c r="L125" s="2">
        <v>5138</v>
      </c>
      <c r="M125" s="2">
        <v>5522</v>
      </c>
      <c r="N125" s="2">
        <v>6487</v>
      </c>
      <c r="O125" s="2">
        <v>7333.01</v>
      </c>
      <c r="P125" s="2">
        <v>8376.8700000000008</v>
      </c>
      <c r="Q125" s="2">
        <v>9621.5400000000009</v>
      </c>
      <c r="R125" s="2">
        <v>7025</v>
      </c>
      <c r="S125" s="2">
        <v>7025</v>
      </c>
    </row>
    <row r="126" spans="1:19" x14ac:dyDescent="0.25">
      <c r="A126" t="s">
        <v>2802</v>
      </c>
      <c r="I126" s="2">
        <v>1432</v>
      </c>
      <c r="J126" s="2">
        <v>1576</v>
      </c>
      <c r="K126" s="2">
        <v>1596</v>
      </c>
      <c r="L126" s="2">
        <v>2021</v>
      </c>
      <c r="M126" s="2">
        <v>2050</v>
      </c>
      <c r="N126" s="2">
        <v>2190</v>
      </c>
      <c r="O126" s="2">
        <v>2363.0500000000002</v>
      </c>
      <c r="P126" s="2">
        <v>2765.6</v>
      </c>
      <c r="Q126" s="2">
        <v>3246.85</v>
      </c>
    </row>
    <row r="127" spans="1:19" x14ac:dyDescent="0.25">
      <c r="A127" t="s">
        <v>2803</v>
      </c>
      <c r="I127" s="2">
        <v>4029</v>
      </c>
      <c r="J127" s="2">
        <v>4060</v>
      </c>
      <c r="K127" s="2">
        <v>4657</v>
      </c>
      <c r="L127" s="2">
        <v>4658</v>
      </c>
      <c r="M127" s="2">
        <v>4805</v>
      </c>
      <c r="N127" s="2">
        <v>5804</v>
      </c>
      <c r="O127" s="2">
        <v>6050.25</v>
      </c>
      <c r="P127" s="2">
        <v>4946.2700000000004</v>
      </c>
      <c r="Q127" s="2">
        <v>6558.22</v>
      </c>
    </row>
    <row r="128" spans="1:19" x14ac:dyDescent="0.25">
      <c r="A128" t="s">
        <v>2804</v>
      </c>
      <c r="I128" s="2">
        <v>4049</v>
      </c>
      <c r="J128" s="2">
        <v>4918</v>
      </c>
      <c r="K128" s="2">
        <v>6716</v>
      </c>
      <c r="L128" s="2">
        <v>5851</v>
      </c>
      <c r="M128" s="2">
        <v>5506</v>
      </c>
      <c r="N128" s="2">
        <v>5583</v>
      </c>
      <c r="O128" s="2">
        <v>7396.5</v>
      </c>
      <c r="P128" s="2">
        <v>6739.64</v>
      </c>
      <c r="Q128" s="2">
        <v>7077.53</v>
      </c>
    </row>
    <row r="129" spans="1:19" x14ac:dyDescent="0.25">
      <c r="A129" t="s">
        <v>17</v>
      </c>
    </row>
    <row r="130" spans="1:19" x14ac:dyDescent="0.25">
      <c r="A130" t="s">
        <v>79</v>
      </c>
    </row>
    <row r="131" spans="1:19" x14ac:dyDescent="0.25">
      <c r="A131" t="s">
        <v>80</v>
      </c>
      <c r="L131" s="2">
        <v>24918</v>
      </c>
      <c r="M131" s="2">
        <v>23568</v>
      </c>
      <c r="N131" s="2">
        <v>25533</v>
      </c>
      <c r="O131" s="2">
        <v>32419.4</v>
      </c>
      <c r="P131" s="2">
        <v>32941.94</v>
      </c>
      <c r="Q131" s="2">
        <v>35609.129999999997</v>
      </c>
      <c r="R131" s="2">
        <v>37266.25</v>
      </c>
      <c r="S131" s="2">
        <v>38731.5</v>
      </c>
    </row>
    <row r="132" spans="1:19" x14ac:dyDescent="0.25">
      <c r="A132" t="s">
        <v>17</v>
      </c>
    </row>
    <row r="133" spans="1:19" x14ac:dyDescent="0.25">
      <c r="A133" t="s">
        <v>82</v>
      </c>
      <c r="I133" s="2">
        <v>9585</v>
      </c>
      <c r="J133" s="2">
        <v>12163</v>
      </c>
      <c r="K133" s="2">
        <v>17462</v>
      </c>
      <c r="L133" s="2">
        <v>16001</v>
      </c>
      <c r="M133" s="2">
        <v>11419</v>
      </c>
      <c r="N133" s="2">
        <v>14681</v>
      </c>
      <c r="O133" s="2">
        <v>16487.71</v>
      </c>
      <c r="P133" s="2">
        <v>16988.939999999999</v>
      </c>
      <c r="Q133" s="2">
        <v>18338.23</v>
      </c>
      <c r="R133" s="2">
        <v>17673.849999999999</v>
      </c>
      <c r="S133" s="2">
        <v>18010.810000000001</v>
      </c>
    </row>
    <row r="134" spans="1:19" x14ac:dyDescent="0.25">
      <c r="A134" t="s">
        <v>84</v>
      </c>
      <c r="I134" s="2">
        <v>8018</v>
      </c>
      <c r="J134" s="2">
        <v>7486</v>
      </c>
      <c r="K134" s="2">
        <v>6978</v>
      </c>
      <c r="L134" s="2">
        <v>8917</v>
      </c>
      <c r="M134" s="2">
        <v>12149</v>
      </c>
      <c r="N134" s="2">
        <v>10852</v>
      </c>
      <c r="O134" s="2">
        <v>14829.39</v>
      </c>
      <c r="P134" s="2">
        <v>15501.72</v>
      </c>
      <c r="Q134" s="2">
        <v>16956.439999999999</v>
      </c>
      <c r="R134" s="2">
        <v>17281.66</v>
      </c>
      <c r="S134" s="2">
        <v>18245.099999999999</v>
      </c>
    </row>
    <row r="135" spans="1:19" x14ac:dyDescent="0.25">
      <c r="A135" t="s">
        <v>85</v>
      </c>
      <c r="L135">
        <v>35.79</v>
      </c>
      <c r="M135">
        <v>51.55</v>
      </c>
      <c r="N135">
        <v>42.5</v>
      </c>
      <c r="O135">
        <v>46.47</v>
      </c>
      <c r="P135">
        <v>48.53</v>
      </c>
      <c r="Q135">
        <v>50.18</v>
      </c>
      <c r="R135">
        <v>50.68</v>
      </c>
      <c r="S135">
        <v>51.28</v>
      </c>
    </row>
    <row r="136" spans="1:19" x14ac:dyDescent="0.25">
      <c r="A136" t="s">
        <v>17</v>
      </c>
    </row>
    <row r="137" spans="1:19" x14ac:dyDescent="0.25">
      <c r="A137" t="s">
        <v>275</v>
      </c>
      <c r="I137" s="2">
        <v>17347</v>
      </c>
      <c r="J137" s="2">
        <v>19995</v>
      </c>
      <c r="K137" s="2">
        <v>23945</v>
      </c>
      <c r="L137" s="2">
        <v>23308</v>
      </c>
      <c r="M137" s="2">
        <v>19216</v>
      </c>
      <c r="N137" s="2">
        <v>22447</v>
      </c>
      <c r="O137" s="2">
        <v>26772.84</v>
      </c>
      <c r="P137" s="2">
        <v>29378.58</v>
      </c>
      <c r="Q137" s="2">
        <v>33767.39</v>
      </c>
      <c r="R137" s="2">
        <v>33607</v>
      </c>
      <c r="S137" s="2">
        <v>34318</v>
      </c>
    </row>
    <row r="138" spans="1:19" x14ac:dyDescent="0.25">
      <c r="A138" t="s">
        <v>2805</v>
      </c>
      <c r="I138">
        <v>482</v>
      </c>
      <c r="J138">
        <v>475</v>
      </c>
      <c r="K138">
        <v>552</v>
      </c>
      <c r="L138">
        <v>553</v>
      </c>
      <c r="M138">
        <v>586</v>
      </c>
      <c r="N138">
        <v>622</v>
      </c>
      <c r="O138">
        <v>662.08</v>
      </c>
      <c r="P138">
        <v>672.43</v>
      </c>
      <c r="Q138">
        <v>728.02</v>
      </c>
      <c r="R138">
        <v>746.39</v>
      </c>
      <c r="S138">
        <v>768.58</v>
      </c>
    </row>
    <row r="139" spans="1:19" x14ac:dyDescent="0.25">
      <c r="A139" t="s">
        <v>17</v>
      </c>
    </row>
    <row r="140" spans="1:19" x14ac:dyDescent="0.25">
      <c r="A140" t="s">
        <v>91</v>
      </c>
      <c r="I140">
        <v>256</v>
      </c>
      <c r="J140">
        <v>-346</v>
      </c>
      <c r="K140">
        <v>495</v>
      </c>
      <c r="L140" s="2">
        <v>1610</v>
      </c>
      <c r="M140" s="2">
        <v>4352</v>
      </c>
      <c r="N140" s="2">
        <v>3086</v>
      </c>
      <c r="O140" s="2">
        <v>6406.19</v>
      </c>
      <c r="P140" s="2">
        <v>6552.65</v>
      </c>
      <c r="Q140" s="2">
        <v>7867.8</v>
      </c>
      <c r="R140" s="2">
        <v>8677.83</v>
      </c>
      <c r="S140" s="2">
        <v>9131.94</v>
      </c>
    </row>
    <row r="141" spans="1:19" x14ac:dyDescent="0.25">
      <c r="A141" t="s">
        <v>92</v>
      </c>
      <c r="I141">
        <v>1.45</v>
      </c>
      <c r="J141">
        <v>-1.76</v>
      </c>
      <c r="K141">
        <v>2.0299999999999998</v>
      </c>
      <c r="L141">
        <v>6.46</v>
      </c>
      <c r="M141">
        <v>18.47</v>
      </c>
      <c r="N141">
        <v>12.09</v>
      </c>
      <c r="O141">
        <v>17.600000000000001</v>
      </c>
      <c r="P141">
        <v>17.100000000000001</v>
      </c>
      <c r="Q141">
        <v>19.91</v>
      </c>
      <c r="R141">
        <v>22.44</v>
      </c>
      <c r="S141">
        <v>23.4</v>
      </c>
    </row>
    <row r="142" spans="1:19" x14ac:dyDescent="0.25">
      <c r="A142" t="s">
        <v>17</v>
      </c>
    </row>
    <row r="143" spans="1:19" x14ac:dyDescent="0.25">
      <c r="A143" t="s">
        <v>2806</v>
      </c>
      <c r="I143" s="2">
        <v>5168</v>
      </c>
      <c r="J143" s="2">
        <v>4555</v>
      </c>
      <c r="K143" s="2">
        <v>4841</v>
      </c>
      <c r="L143" s="2">
        <v>5685</v>
      </c>
      <c r="M143" s="2">
        <v>6159</v>
      </c>
      <c r="N143" s="2">
        <v>6159</v>
      </c>
      <c r="O143" s="2">
        <v>6753.74</v>
      </c>
      <c r="P143" s="2">
        <v>6777.76</v>
      </c>
      <c r="Q143" s="2">
        <v>7211.22</v>
      </c>
      <c r="R143" s="2">
        <v>7233.65</v>
      </c>
      <c r="S143" s="2">
        <v>7373.21</v>
      </c>
    </row>
    <row r="144" spans="1:19" x14ac:dyDescent="0.25">
      <c r="A144" t="s">
        <v>93</v>
      </c>
      <c r="I144" s="2">
        <v>3636</v>
      </c>
      <c r="J144" s="2">
        <v>4540</v>
      </c>
      <c r="K144" s="2">
        <v>2427</v>
      </c>
      <c r="L144" s="2">
        <v>2514</v>
      </c>
      <c r="M144" s="2">
        <v>2700</v>
      </c>
      <c r="N144" s="2">
        <v>2601</v>
      </c>
      <c r="O144" s="2">
        <v>2991.01</v>
      </c>
      <c r="P144" s="2">
        <v>2818.74</v>
      </c>
      <c r="Q144" s="2">
        <v>2916.79</v>
      </c>
      <c r="R144" s="2">
        <v>3052.56</v>
      </c>
      <c r="S144" s="2">
        <v>3171.75</v>
      </c>
    </row>
    <row r="145" spans="1:19" x14ac:dyDescent="0.25">
      <c r="A145" t="s">
        <v>94</v>
      </c>
      <c r="I145" s="2">
        <v>2123</v>
      </c>
      <c r="J145" s="2">
        <v>3003</v>
      </c>
      <c r="K145" s="2">
        <v>1091</v>
      </c>
      <c r="L145" s="2">
        <v>1096</v>
      </c>
      <c r="M145" s="2">
        <v>1123</v>
      </c>
      <c r="N145">
        <v>985</v>
      </c>
      <c r="O145" s="2">
        <v>1551.82</v>
      </c>
      <c r="P145" s="2">
        <v>1666.07</v>
      </c>
      <c r="Q145" s="2">
        <v>1739.75</v>
      </c>
      <c r="R145" s="2">
        <v>1852.18</v>
      </c>
      <c r="S145" s="2">
        <v>1917.73</v>
      </c>
    </row>
    <row r="146" spans="1:19" x14ac:dyDescent="0.25">
      <c r="A146" t="s">
        <v>17</v>
      </c>
    </row>
    <row r="147" spans="1:19" x14ac:dyDescent="0.25">
      <c r="A147" t="s">
        <v>96</v>
      </c>
      <c r="I147">
        <v>357</v>
      </c>
      <c r="J147">
        <v>297</v>
      </c>
      <c r="K147">
        <v>251</v>
      </c>
      <c r="L147">
        <v>431</v>
      </c>
      <c r="M147">
        <v>506</v>
      </c>
      <c r="N147">
        <v>511</v>
      </c>
      <c r="O147">
        <v>819.6</v>
      </c>
      <c r="P147">
        <v>741.8</v>
      </c>
      <c r="Q147">
        <v>810.04</v>
      </c>
      <c r="R147">
        <v>834.08</v>
      </c>
      <c r="S147">
        <v>710.89</v>
      </c>
    </row>
    <row r="148" spans="1:19" x14ac:dyDescent="0.25">
      <c r="A148" t="s">
        <v>100</v>
      </c>
      <c r="L148" s="2">
        <v>2447</v>
      </c>
      <c r="M148" s="2">
        <v>4516</v>
      </c>
      <c r="N148" s="2">
        <v>3511</v>
      </c>
      <c r="O148" s="2">
        <v>5777.38</v>
      </c>
      <c r="P148" s="2">
        <v>5845.5</v>
      </c>
      <c r="Q148" s="2">
        <v>7161.93</v>
      </c>
      <c r="R148" s="2">
        <v>7310.57</v>
      </c>
      <c r="S148" s="2">
        <v>8081.71</v>
      </c>
    </row>
    <row r="149" spans="1:19" x14ac:dyDescent="0.25">
      <c r="A149" t="s">
        <v>17</v>
      </c>
    </row>
    <row r="150" spans="1:19" x14ac:dyDescent="0.25">
      <c r="A150" t="s">
        <v>101</v>
      </c>
      <c r="I150">
        <v>249</v>
      </c>
      <c r="J150">
        <v>225</v>
      </c>
      <c r="K150">
        <v>-388</v>
      </c>
      <c r="L150">
        <v>859</v>
      </c>
      <c r="M150">
        <v>774</v>
      </c>
      <c r="N150" s="2">
        <v>1187</v>
      </c>
      <c r="O150" s="2">
        <v>1420.09</v>
      </c>
      <c r="P150" s="2">
        <v>1347.41</v>
      </c>
      <c r="Q150" s="2">
        <v>1628.98</v>
      </c>
      <c r="R150" s="2">
        <v>1704.41</v>
      </c>
      <c r="S150" s="2">
        <v>1852.36</v>
      </c>
    </row>
    <row r="151" spans="1:19" x14ac:dyDescent="0.25">
      <c r="A151" t="s">
        <v>102</v>
      </c>
      <c r="I151">
        <v>29.78</v>
      </c>
      <c r="J151">
        <v>148.03</v>
      </c>
      <c r="L151">
        <v>35.1</v>
      </c>
      <c r="M151">
        <v>17.14</v>
      </c>
      <c r="N151">
        <v>33.81</v>
      </c>
      <c r="O151">
        <v>25.88</v>
      </c>
      <c r="P151">
        <v>22.27</v>
      </c>
      <c r="Q151">
        <v>22.39</v>
      </c>
      <c r="R151">
        <v>21.53</v>
      </c>
      <c r="S151">
        <v>21.53</v>
      </c>
    </row>
    <row r="152" spans="1:19" x14ac:dyDescent="0.25">
      <c r="A152" t="s">
        <v>17</v>
      </c>
    </row>
    <row r="153" spans="1:19" x14ac:dyDescent="0.25">
      <c r="A153" t="s">
        <v>106</v>
      </c>
      <c r="I153">
        <v>579</v>
      </c>
      <c r="J153">
        <v>-83</v>
      </c>
      <c r="K153">
        <v>-167</v>
      </c>
      <c r="L153" s="2">
        <v>1577</v>
      </c>
      <c r="M153" s="2">
        <v>3738</v>
      </c>
      <c r="N153" s="2">
        <v>2323</v>
      </c>
      <c r="O153" s="2">
        <v>4146.38</v>
      </c>
      <c r="P153" s="2">
        <v>4433.53</v>
      </c>
      <c r="Q153" s="2">
        <v>5365.9</v>
      </c>
      <c r="R153" s="2">
        <v>5796.56</v>
      </c>
      <c r="S153" s="2">
        <v>6254.81</v>
      </c>
    </row>
    <row r="154" spans="1:19" x14ac:dyDescent="0.25">
      <c r="A154" t="s">
        <v>280</v>
      </c>
      <c r="I154">
        <v>3.35</v>
      </c>
      <c r="J154">
        <v>-1.04</v>
      </c>
      <c r="K154">
        <v>-0.65</v>
      </c>
      <c r="L154">
        <v>6.51</v>
      </c>
      <c r="M154">
        <v>15.91</v>
      </c>
      <c r="N154">
        <v>9.08</v>
      </c>
      <c r="O154">
        <v>12.44</v>
      </c>
      <c r="P154">
        <v>14.1</v>
      </c>
      <c r="Q154">
        <v>16</v>
      </c>
      <c r="R154">
        <v>19.059999999999999</v>
      </c>
      <c r="S154">
        <v>20.04</v>
      </c>
    </row>
    <row r="155" spans="1:19" x14ac:dyDescent="0.25">
      <c r="A155" t="s">
        <v>105</v>
      </c>
      <c r="I155">
        <v>-10</v>
      </c>
      <c r="J155">
        <v>122</v>
      </c>
      <c r="K155">
        <v>-7</v>
      </c>
      <c r="L155">
        <v>-46</v>
      </c>
      <c r="M155">
        <v>-11</v>
      </c>
      <c r="N155">
        <v>4</v>
      </c>
      <c r="O155">
        <v>14.61</v>
      </c>
      <c r="P155">
        <v>13.42</v>
      </c>
      <c r="Q155">
        <v>16.45</v>
      </c>
      <c r="R155">
        <v>-0.89</v>
      </c>
      <c r="S155">
        <v>1.1299999999999999</v>
      </c>
    </row>
    <row r="156" spans="1:19" x14ac:dyDescent="0.25">
      <c r="A156" t="s">
        <v>589</v>
      </c>
      <c r="L156" s="2">
        <v>1623</v>
      </c>
      <c r="M156" s="2">
        <v>3749</v>
      </c>
      <c r="N156" s="2">
        <v>2319</v>
      </c>
      <c r="O156" s="2">
        <v>4282.09</v>
      </c>
      <c r="P156" s="2">
        <v>4383.5</v>
      </c>
      <c r="Q156" s="2">
        <v>5483.92</v>
      </c>
      <c r="R156" s="2">
        <v>5827.88</v>
      </c>
      <c r="S156" s="2">
        <v>6253.13</v>
      </c>
    </row>
    <row r="157" spans="1:19" x14ac:dyDescent="0.25">
      <c r="A157" t="s">
        <v>17</v>
      </c>
    </row>
    <row r="158" spans="1:19" x14ac:dyDescent="0.25">
      <c r="A158" t="s">
        <v>108</v>
      </c>
      <c r="I158">
        <v>326</v>
      </c>
      <c r="J158">
        <v>326</v>
      </c>
      <c r="K158">
        <v>326</v>
      </c>
      <c r="L158">
        <v>323</v>
      </c>
      <c r="M158">
        <v>315</v>
      </c>
      <c r="N158">
        <v>313</v>
      </c>
      <c r="O158">
        <v>346.87</v>
      </c>
      <c r="P158">
        <v>343.27</v>
      </c>
      <c r="Q158">
        <v>342.28</v>
      </c>
      <c r="R158">
        <v>330.23</v>
      </c>
      <c r="S158">
        <v>326.29000000000002</v>
      </c>
    </row>
    <row r="159" spans="1:19" x14ac:dyDescent="0.25">
      <c r="A159" t="s">
        <v>17</v>
      </c>
    </row>
    <row r="160" spans="1:19" x14ac:dyDescent="0.25">
      <c r="A160" t="s">
        <v>109</v>
      </c>
      <c r="I160">
        <v>326</v>
      </c>
      <c r="J160">
        <v>326</v>
      </c>
      <c r="K160">
        <v>326</v>
      </c>
      <c r="L160">
        <v>324</v>
      </c>
      <c r="M160">
        <v>315</v>
      </c>
      <c r="N160">
        <v>314</v>
      </c>
      <c r="O160">
        <v>349.53</v>
      </c>
      <c r="P160">
        <v>345.69</v>
      </c>
      <c r="Q160">
        <v>345.04</v>
      </c>
      <c r="R160">
        <v>338.73</v>
      </c>
      <c r="S160">
        <v>333</v>
      </c>
    </row>
    <row r="161" spans="1:19" x14ac:dyDescent="0.25">
      <c r="A161" t="s">
        <v>110</v>
      </c>
      <c r="L161">
        <v>5.01</v>
      </c>
      <c r="M161">
        <v>11.89</v>
      </c>
      <c r="N161">
        <v>7.4</v>
      </c>
      <c r="O161">
        <v>11.87</v>
      </c>
      <c r="P161">
        <v>12.89</v>
      </c>
      <c r="Q161">
        <v>16.22</v>
      </c>
      <c r="R161">
        <v>18.55</v>
      </c>
      <c r="S161">
        <v>20.02</v>
      </c>
    </row>
    <row r="162" spans="1:19" x14ac:dyDescent="0.25">
      <c r="A162" t="s">
        <v>17</v>
      </c>
    </row>
    <row r="163" spans="1:19" x14ac:dyDescent="0.25">
      <c r="A163" t="s">
        <v>487</v>
      </c>
      <c r="I163">
        <v>0</v>
      </c>
      <c r="J163">
        <v>0</v>
      </c>
      <c r="K163">
        <v>0.56000000000000005</v>
      </c>
      <c r="L163">
        <v>0.92</v>
      </c>
      <c r="M163">
        <v>1.41</v>
      </c>
      <c r="N163">
        <v>1.55</v>
      </c>
      <c r="O163">
        <v>1.65</v>
      </c>
      <c r="P163">
        <v>1.81</v>
      </c>
      <c r="Q163">
        <v>1.98</v>
      </c>
      <c r="R163">
        <v>2.17</v>
      </c>
      <c r="S163">
        <v>2.37</v>
      </c>
    </row>
    <row r="164" spans="1:19" x14ac:dyDescent="0.25">
      <c r="A164" t="s">
        <v>17</v>
      </c>
    </row>
    <row r="165" spans="1:19" x14ac:dyDescent="0.25">
      <c r="A165" t="s">
        <v>111</v>
      </c>
    </row>
    <row r="166" spans="1:19" x14ac:dyDescent="0.25">
      <c r="A166" t="s">
        <v>116</v>
      </c>
      <c r="L166" s="2">
        <v>1610</v>
      </c>
      <c r="M166" s="2">
        <v>4352</v>
      </c>
      <c r="N166" s="2">
        <v>3086</v>
      </c>
      <c r="O166" s="2">
        <v>6146.5</v>
      </c>
      <c r="P166" s="2">
        <v>6435.06</v>
      </c>
      <c r="Q166" s="2">
        <v>8064.59</v>
      </c>
      <c r="R166" s="2">
        <v>8472.89</v>
      </c>
      <c r="S166" s="2">
        <v>9209.33</v>
      </c>
    </row>
    <row r="167" spans="1:19" x14ac:dyDescent="0.25">
      <c r="A167" t="s">
        <v>117</v>
      </c>
      <c r="L167" s="2">
        <v>4025</v>
      </c>
      <c r="M167" s="2">
        <v>5475</v>
      </c>
      <c r="N167" s="2">
        <v>4071</v>
      </c>
      <c r="O167" s="2">
        <v>8333.58</v>
      </c>
      <c r="P167" s="2">
        <v>8619.15</v>
      </c>
      <c r="Q167" s="2">
        <v>10258.15</v>
      </c>
      <c r="R167" s="2">
        <v>10652.75</v>
      </c>
      <c r="S167" s="2">
        <v>11253.5</v>
      </c>
    </row>
    <row r="168" spans="1:19" x14ac:dyDescent="0.25">
      <c r="A168" t="s">
        <v>2807</v>
      </c>
      <c r="O168" s="2">
        <v>5352.25</v>
      </c>
      <c r="P168" s="2">
        <v>5377.25</v>
      </c>
      <c r="Q168" s="2">
        <v>5525.64</v>
      </c>
      <c r="R168" s="2">
        <v>5576</v>
      </c>
      <c r="S168" s="2">
        <v>5638.71</v>
      </c>
    </row>
    <row r="169" spans="1:19" x14ac:dyDescent="0.25">
      <c r="A169" t="s">
        <v>121</v>
      </c>
      <c r="L169" s="2">
        <v>1623</v>
      </c>
      <c r="M169" s="2">
        <v>2735</v>
      </c>
      <c r="N169" s="2">
        <v>2943</v>
      </c>
      <c r="O169" s="2">
        <v>4258.75</v>
      </c>
      <c r="P169" s="2">
        <v>4614.53</v>
      </c>
      <c r="Q169" s="2">
        <v>5644.75</v>
      </c>
      <c r="R169" s="2">
        <v>6040.33</v>
      </c>
      <c r="S169" s="2">
        <v>6577</v>
      </c>
    </row>
    <row r="170" spans="1:19" x14ac:dyDescent="0.25">
      <c r="A170" t="s">
        <v>124</v>
      </c>
      <c r="L170">
        <v>6.28</v>
      </c>
      <c r="M170">
        <v>8.67</v>
      </c>
      <c r="N170">
        <v>9.39</v>
      </c>
      <c r="O170">
        <v>11.95</v>
      </c>
      <c r="P170">
        <v>13.33</v>
      </c>
      <c r="Q170">
        <v>16.61</v>
      </c>
      <c r="R170">
        <v>19.39</v>
      </c>
      <c r="S170">
        <v>21.55</v>
      </c>
    </row>
    <row r="171" spans="1:19" x14ac:dyDescent="0.25">
      <c r="A171" t="s">
        <v>17</v>
      </c>
    </row>
    <row r="172" spans="1:19" x14ac:dyDescent="0.25">
      <c r="A172" t="s">
        <v>651</v>
      </c>
    </row>
    <row r="173" spans="1:19" x14ac:dyDescent="0.25">
      <c r="A173" t="s">
        <v>2808</v>
      </c>
      <c r="I173">
        <v>-11</v>
      </c>
      <c r="J173">
        <v>-201</v>
      </c>
      <c r="K173">
        <v>-1</v>
      </c>
      <c r="L173">
        <v>-27</v>
      </c>
      <c r="M173">
        <v>-71</v>
      </c>
      <c r="N173">
        <v>0</v>
      </c>
      <c r="O173">
        <v>-14</v>
      </c>
    </row>
    <row r="174" spans="1:19" x14ac:dyDescent="0.25">
      <c r="A174" t="s">
        <v>17</v>
      </c>
    </row>
    <row r="175" spans="1:19" x14ac:dyDescent="0.25">
      <c r="A175" t="s">
        <v>134</v>
      </c>
    </row>
    <row r="176" spans="1:19" x14ac:dyDescent="0.25">
      <c r="A176" t="s">
        <v>135</v>
      </c>
    </row>
    <row r="177" spans="1:19" x14ac:dyDescent="0.25">
      <c r="A177" t="s">
        <v>136</v>
      </c>
      <c r="I177" s="2">
        <v>6947</v>
      </c>
      <c r="J177" s="2">
        <v>7981</v>
      </c>
      <c r="K177" s="2">
        <v>9360</v>
      </c>
      <c r="L177" s="2">
        <v>8299</v>
      </c>
      <c r="M177" s="2">
        <v>10776</v>
      </c>
      <c r="N177" s="2">
        <v>12119</v>
      </c>
      <c r="O177" s="2">
        <v>14588.59</v>
      </c>
      <c r="P177" s="2">
        <v>14159.55</v>
      </c>
      <c r="Q177" s="2">
        <v>14611.6</v>
      </c>
      <c r="R177" s="2">
        <v>11860.99</v>
      </c>
      <c r="S177" s="2">
        <v>12596.16</v>
      </c>
    </row>
    <row r="178" spans="1:19" x14ac:dyDescent="0.25">
      <c r="A178" t="s">
        <v>536</v>
      </c>
      <c r="I178">
        <v>226</v>
      </c>
      <c r="J178">
        <v>504</v>
      </c>
      <c r="K178">
        <v>422</v>
      </c>
      <c r="L178">
        <v>368</v>
      </c>
      <c r="M178" s="2">
        <v>3022</v>
      </c>
      <c r="N178" s="2">
        <v>3641</v>
      </c>
      <c r="O178" s="2">
        <v>3377.05</v>
      </c>
      <c r="P178" s="2">
        <v>3300.14</v>
      </c>
      <c r="Q178" s="2">
        <v>4588.3599999999997</v>
      </c>
      <c r="R178" s="2">
        <v>6266.99</v>
      </c>
      <c r="S178" s="2">
        <v>7813.07</v>
      </c>
    </row>
    <row r="179" spans="1:19" x14ac:dyDescent="0.25">
      <c r="A179" t="s">
        <v>141</v>
      </c>
      <c r="I179" s="2">
        <v>1298</v>
      </c>
      <c r="J179" s="2">
        <v>1669</v>
      </c>
      <c r="K179" s="2">
        <v>2585</v>
      </c>
      <c r="L179" s="2">
        <v>1934</v>
      </c>
      <c r="M179" s="2">
        <v>3116</v>
      </c>
      <c r="N179" s="2">
        <v>3577</v>
      </c>
      <c r="O179" s="2">
        <v>4720.32</v>
      </c>
      <c r="P179" s="2">
        <v>4879.41</v>
      </c>
      <c r="Q179" s="2">
        <v>5069.21</v>
      </c>
      <c r="R179" s="2">
        <v>5262.46</v>
      </c>
      <c r="S179" s="2">
        <v>5419.5</v>
      </c>
    </row>
    <row r="180" spans="1:19" x14ac:dyDescent="0.25">
      <c r="A180" t="s">
        <v>408</v>
      </c>
      <c r="I180">
        <v>89</v>
      </c>
      <c r="J180">
        <v>72</v>
      </c>
      <c r="K180">
        <v>106</v>
      </c>
      <c r="L180">
        <v>86</v>
      </c>
      <c r="M180">
        <v>107</v>
      </c>
      <c r="N180">
        <v>107</v>
      </c>
      <c r="O180">
        <v>176.06</v>
      </c>
      <c r="P180">
        <v>176.49</v>
      </c>
      <c r="Q180">
        <v>176.93</v>
      </c>
      <c r="R180">
        <v>148.43</v>
      </c>
      <c r="S180">
        <v>148.97</v>
      </c>
    </row>
    <row r="181" spans="1:19" x14ac:dyDescent="0.25">
      <c r="A181" t="s">
        <v>2809</v>
      </c>
      <c r="I181" s="2">
        <v>1298</v>
      </c>
      <c r="J181" s="2">
        <v>1669</v>
      </c>
      <c r="K181" s="2">
        <v>2585</v>
      </c>
      <c r="L181" s="2">
        <v>1934</v>
      </c>
      <c r="M181" s="2">
        <v>3116</v>
      </c>
      <c r="N181" s="2">
        <v>3577</v>
      </c>
      <c r="O181" s="2">
        <v>3898.2</v>
      </c>
      <c r="P181" s="2">
        <v>4000.56</v>
      </c>
      <c r="Q181" s="2">
        <v>4196.9399999999996</v>
      </c>
      <c r="R181" s="2">
        <v>4169.05</v>
      </c>
      <c r="S181" s="2">
        <v>4231.3900000000003</v>
      </c>
    </row>
    <row r="182" spans="1:19" x14ac:dyDescent="0.25">
      <c r="A182" t="s">
        <v>2810</v>
      </c>
      <c r="I182">
        <v>352</v>
      </c>
      <c r="J182">
        <v>592</v>
      </c>
      <c r="K182">
        <v>731</v>
      </c>
      <c r="L182">
        <v>917</v>
      </c>
      <c r="M182">
        <v>602</v>
      </c>
      <c r="N182">
        <v>689</v>
      </c>
      <c r="O182">
        <v>981.46</v>
      </c>
      <c r="P182">
        <v>990.96</v>
      </c>
      <c r="Q182" s="2">
        <v>1008.22</v>
      </c>
      <c r="R182" s="2">
        <v>1001</v>
      </c>
      <c r="S182" s="2">
        <v>1002</v>
      </c>
    </row>
    <row r="183" spans="1:19" x14ac:dyDescent="0.25">
      <c r="A183" t="s">
        <v>146</v>
      </c>
    </row>
    <row r="184" spans="1:19" x14ac:dyDescent="0.25">
      <c r="A184" t="s">
        <v>2811</v>
      </c>
      <c r="I184" s="2">
        <v>14464</v>
      </c>
      <c r="J184" s="2">
        <v>15938</v>
      </c>
      <c r="K184" s="2">
        <v>14114</v>
      </c>
      <c r="L184" s="2">
        <v>16398</v>
      </c>
      <c r="M184" s="2">
        <v>17305</v>
      </c>
      <c r="N184" s="2">
        <v>19336</v>
      </c>
      <c r="O184" s="2">
        <v>18835.55</v>
      </c>
      <c r="P184" s="2">
        <v>18728.28</v>
      </c>
      <c r="Q184" s="2">
        <v>18799.88</v>
      </c>
      <c r="R184" s="2">
        <v>19607.23</v>
      </c>
      <c r="S184" s="2">
        <v>19957.810000000001</v>
      </c>
    </row>
    <row r="185" spans="1:19" x14ac:dyDescent="0.25">
      <c r="A185" t="s">
        <v>496</v>
      </c>
      <c r="I185">
        <v>0</v>
      </c>
      <c r="J185">
        <v>0</v>
      </c>
      <c r="K185">
        <v>0</v>
      </c>
      <c r="L185">
        <v>425</v>
      </c>
      <c r="M185">
        <v>420</v>
      </c>
      <c r="N185">
        <v>420</v>
      </c>
      <c r="O185" s="2">
        <v>8898</v>
      </c>
      <c r="P185" s="2">
        <v>8898</v>
      </c>
      <c r="Q185" s="2">
        <v>8898</v>
      </c>
      <c r="R185" s="2">
        <v>6254.33</v>
      </c>
      <c r="S185" s="2">
        <v>6254.33</v>
      </c>
    </row>
    <row r="186" spans="1:19" x14ac:dyDescent="0.25">
      <c r="A186" t="s">
        <v>148</v>
      </c>
      <c r="I186" s="2">
        <v>22214</v>
      </c>
      <c r="J186" s="2">
        <v>19612</v>
      </c>
      <c r="K186" s="2">
        <v>19822</v>
      </c>
      <c r="L186" s="2">
        <v>22116</v>
      </c>
      <c r="M186" s="2">
        <v>21235</v>
      </c>
      <c r="N186" s="2">
        <v>22474</v>
      </c>
      <c r="O186" s="2">
        <v>34915.74</v>
      </c>
      <c r="P186" s="2">
        <v>36802.21</v>
      </c>
      <c r="Q186" s="2">
        <v>38391.440000000002</v>
      </c>
      <c r="R186" s="2">
        <v>37763.279999999999</v>
      </c>
      <c r="S186" s="2">
        <v>38577.040000000001</v>
      </c>
    </row>
    <row r="187" spans="1:19" x14ac:dyDescent="0.25">
      <c r="A187" t="s">
        <v>1187</v>
      </c>
      <c r="J187" s="2">
        <v>35485</v>
      </c>
      <c r="O187" s="2">
        <v>52893.33</v>
      </c>
      <c r="P187" s="2">
        <v>57726.33</v>
      </c>
      <c r="Q187" s="2">
        <v>61551.33</v>
      </c>
      <c r="R187" s="2">
        <v>65184.67</v>
      </c>
      <c r="S187" s="2">
        <v>68817.67</v>
      </c>
    </row>
    <row r="188" spans="1:19" x14ac:dyDescent="0.25">
      <c r="A188" t="s">
        <v>2728</v>
      </c>
      <c r="I188">
        <v>184</v>
      </c>
      <c r="J188">
        <v>174</v>
      </c>
      <c r="K188">
        <v>202</v>
      </c>
      <c r="L188">
        <v>563</v>
      </c>
      <c r="M188">
        <v>640</v>
      </c>
      <c r="O188">
        <v>351.49</v>
      </c>
      <c r="P188">
        <v>356.59</v>
      </c>
      <c r="Q188">
        <v>361.83</v>
      </c>
      <c r="R188">
        <v>367.23</v>
      </c>
      <c r="S188">
        <v>372.8</v>
      </c>
    </row>
    <row r="189" spans="1:19" x14ac:dyDescent="0.25">
      <c r="A189" t="s">
        <v>2812</v>
      </c>
      <c r="I189" s="2">
        <v>18933</v>
      </c>
      <c r="J189" s="2">
        <v>40105</v>
      </c>
      <c r="K189" s="2">
        <v>17727</v>
      </c>
      <c r="L189" s="2">
        <v>20343</v>
      </c>
      <c r="M189" s="2">
        <v>42150</v>
      </c>
      <c r="N189" s="2">
        <v>45130</v>
      </c>
      <c r="O189" s="2">
        <v>71982.679999999993</v>
      </c>
      <c r="P189" s="2">
        <v>74101.52</v>
      </c>
      <c r="Q189" s="2">
        <v>76777.2</v>
      </c>
      <c r="R189" s="2">
        <v>76527.600000000006</v>
      </c>
      <c r="S189" s="2">
        <v>77120.710000000006</v>
      </c>
    </row>
    <row r="190" spans="1:19" x14ac:dyDescent="0.25">
      <c r="A190" t="s">
        <v>155</v>
      </c>
      <c r="I190" s="2">
        <v>48094</v>
      </c>
      <c r="J190" s="2">
        <v>48086</v>
      </c>
      <c r="K190" s="2">
        <v>46909</v>
      </c>
      <c r="L190" s="2">
        <v>50758</v>
      </c>
      <c r="M190" s="2">
        <v>52926</v>
      </c>
      <c r="N190" s="2">
        <v>57249</v>
      </c>
      <c r="O190" s="2">
        <v>80646.399999999994</v>
      </c>
      <c r="P190" s="2">
        <v>82987.960000000006</v>
      </c>
      <c r="Q190" s="2">
        <v>86356.15</v>
      </c>
      <c r="R190" s="2">
        <v>84084.22</v>
      </c>
      <c r="S190" s="2">
        <v>87747.21</v>
      </c>
    </row>
    <row r="191" spans="1:19" x14ac:dyDescent="0.25">
      <c r="A191" t="s">
        <v>17</v>
      </c>
    </row>
    <row r="192" spans="1:19" x14ac:dyDescent="0.25">
      <c r="A192" t="s">
        <v>156</v>
      </c>
    </row>
    <row r="193" spans="1:19" x14ac:dyDescent="0.25">
      <c r="A193" t="s">
        <v>157</v>
      </c>
      <c r="I193" s="2">
        <v>5219</v>
      </c>
      <c r="J193" s="2">
        <v>7996</v>
      </c>
      <c r="K193" s="2">
        <v>7839</v>
      </c>
      <c r="L193" s="2">
        <v>6319</v>
      </c>
      <c r="M193" s="2">
        <v>6846</v>
      </c>
      <c r="N193" s="2">
        <v>7944</v>
      </c>
      <c r="O193" s="2">
        <v>10212.969999999999</v>
      </c>
      <c r="P193" s="2">
        <v>10468.33</v>
      </c>
      <c r="Q193" s="2">
        <v>10609.44</v>
      </c>
      <c r="R193" s="2">
        <v>8988.39</v>
      </c>
      <c r="S193" s="2">
        <v>9505.0300000000007</v>
      </c>
    </row>
    <row r="194" spans="1:19" x14ac:dyDescent="0.25">
      <c r="A194" t="s">
        <v>158</v>
      </c>
      <c r="I194" s="2">
        <v>1253</v>
      </c>
      <c r="J194" s="2">
        <v>1757</v>
      </c>
      <c r="K194" s="2">
        <v>2828</v>
      </c>
      <c r="L194" s="2">
        <v>2612</v>
      </c>
      <c r="M194" s="2">
        <v>3943</v>
      </c>
      <c r="N194" s="2">
        <v>4294</v>
      </c>
      <c r="O194" s="2">
        <v>5189.22</v>
      </c>
      <c r="P194" s="2">
        <v>5373.64</v>
      </c>
      <c r="Q194" s="2">
        <v>5674.99</v>
      </c>
      <c r="R194" s="2">
        <v>6495.52</v>
      </c>
      <c r="S194" s="2">
        <v>6908.28</v>
      </c>
    </row>
    <row r="195" spans="1:19" x14ac:dyDescent="0.25">
      <c r="A195" t="s">
        <v>313</v>
      </c>
      <c r="I195">
        <v>840</v>
      </c>
      <c r="J195" s="2">
        <v>2082</v>
      </c>
      <c r="K195" s="2">
        <v>1159</v>
      </c>
      <c r="L195" s="2">
        <v>1644</v>
      </c>
      <c r="M195">
        <v>0</v>
      </c>
      <c r="N195" s="2">
        <v>1650</v>
      </c>
      <c r="O195" s="2">
        <v>2671.71</v>
      </c>
      <c r="P195" s="2">
        <v>2842</v>
      </c>
      <c r="Q195" s="2">
        <v>2842</v>
      </c>
      <c r="R195" s="2">
        <v>2544</v>
      </c>
      <c r="S195" s="2">
        <v>2544</v>
      </c>
    </row>
    <row r="196" spans="1:19" x14ac:dyDescent="0.25">
      <c r="A196" t="s">
        <v>694</v>
      </c>
      <c r="I196">
        <v>197</v>
      </c>
      <c r="J196" s="2">
        <v>1220</v>
      </c>
      <c r="K196">
        <v>143</v>
      </c>
      <c r="L196">
        <v>121</v>
      </c>
      <c r="M196" s="2">
        <v>1028</v>
      </c>
      <c r="N196">
        <v>92</v>
      </c>
      <c r="O196">
        <v>482.43</v>
      </c>
      <c r="P196">
        <v>737</v>
      </c>
      <c r="Q196">
        <v>738.13</v>
      </c>
      <c r="R196">
        <v>199.2</v>
      </c>
      <c r="S196">
        <v>444.5</v>
      </c>
    </row>
    <row r="197" spans="1:19" x14ac:dyDescent="0.25">
      <c r="A197" t="s">
        <v>201</v>
      </c>
      <c r="I197">
        <v>788</v>
      </c>
      <c r="J197">
        <v>737</v>
      </c>
      <c r="K197">
        <v>906</v>
      </c>
      <c r="O197">
        <v>587.83000000000004</v>
      </c>
      <c r="P197">
        <v>604.61</v>
      </c>
      <c r="Q197">
        <v>626.98</v>
      </c>
      <c r="R197">
        <v>606.48</v>
      </c>
      <c r="S197">
        <v>612.69000000000005</v>
      </c>
    </row>
    <row r="198" spans="1:19" x14ac:dyDescent="0.25">
      <c r="A198" t="s">
        <v>164</v>
      </c>
    </row>
    <row r="199" spans="1:19" x14ac:dyDescent="0.25">
      <c r="A199" t="s">
        <v>315</v>
      </c>
      <c r="I199" s="2">
        <v>5890</v>
      </c>
      <c r="J199" s="2">
        <v>4894</v>
      </c>
      <c r="K199" s="2">
        <v>4466</v>
      </c>
      <c r="L199" s="2">
        <v>7496</v>
      </c>
      <c r="M199" s="2">
        <v>7384</v>
      </c>
      <c r="N199" s="2">
        <v>7250</v>
      </c>
      <c r="O199" s="2">
        <v>16975.25</v>
      </c>
      <c r="P199" s="2">
        <v>16362.98</v>
      </c>
      <c r="Q199" s="2">
        <v>15457.42</v>
      </c>
      <c r="R199" s="2">
        <v>14594.8</v>
      </c>
      <c r="S199" s="2">
        <v>14354.71</v>
      </c>
    </row>
    <row r="200" spans="1:19" x14ac:dyDescent="0.25">
      <c r="A200" t="s">
        <v>501</v>
      </c>
      <c r="I200" s="2">
        <v>3656</v>
      </c>
      <c r="J200" s="2">
        <v>3703</v>
      </c>
      <c r="K200" s="2">
        <v>3031</v>
      </c>
      <c r="L200" s="2">
        <v>3209</v>
      </c>
      <c r="M200" s="2">
        <v>3331</v>
      </c>
      <c r="N200" s="2">
        <v>3544</v>
      </c>
      <c r="O200" s="2">
        <v>5659.6</v>
      </c>
      <c r="P200" s="2">
        <v>5734.6</v>
      </c>
      <c r="Q200" s="2">
        <v>5809.6</v>
      </c>
      <c r="R200" s="2">
        <v>5516.63</v>
      </c>
      <c r="S200" s="2">
        <v>5560.38</v>
      </c>
    </row>
    <row r="201" spans="1:19" x14ac:dyDescent="0.25">
      <c r="A201" t="s">
        <v>2813</v>
      </c>
      <c r="I201" s="2">
        <v>12054</v>
      </c>
      <c r="J201" s="2">
        <v>12819</v>
      </c>
      <c r="K201" s="2">
        <v>12699</v>
      </c>
      <c r="L201" s="2">
        <v>14118</v>
      </c>
      <c r="M201" s="2">
        <v>12449</v>
      </c>
      <c r="N201" s="2">
        <v>13193</v>
      </c>
      <c r="O201" s="2">
        <v>13143.22</v>
      </c>
      <c r="P201" s="2">
        <v>13259.89</v>
      </c>
      <c r="Q201" s="2">
        <v>13377.11</v>
      </c>
      <c r="R201" s="2">
        <v>13120.3</v>
      </c>
      <c r="S201" s="2">
        <v>13158.2</v>
      </c>
    </row>
    <row r="202" spans="1:19" x14ac:dyDescent="0.25">
      <c r="A202" t="s">
        <v>2814</v>
      </c>
      <c r="I202" s="2">
        <v>1211</v>
      </c>
      <c r="J202" s="2">
        <v>1288</v>
      </c>
      <c r="K202" s="2">
        <v>1505</v>
      </c>
      <c r="L202" s="2">
        <v>1500</v>
      </c>
      <c r="M202" s="2">
        <v>1600</v>
      </c>
      <c r="N202" s="2">
        <v>1736</v>
      </c>
      <c r="O202" s="2">
        <v>2329.33</v>
      </c>
      <c r="P202" s="2">
        <v>2384.96</v>
      </c>
      <c r="Q202" s="2">
        <v>2447.3000000000002</v>
      </c>
      <c r="R202" s="2">
        <v>2270.4</v>
      </c>
      <c r="S202" s="2">
        <v>2316.16</v>
      </c>
    </row>
    <row r="203" spans="1:19" x14ac:dyDescent="0.25">
      <c r="A203" t="s">
        <v>2815</v>
      </c>
      <c r="I203">
        <v>858</v>
      </c>
      <c r="J203">
        <v>847</v>
      </c>
      <c r="K203" s="2">
        <v>1214</v>
      </c>
      <c r="L203" s="2">
        <v>1802</v>
      </c>
      <c r="M203" s="2">
        <v>1875</v>
      </c>
      <c r="N203" s="2">
        <v>1977</v>
      </c>
      <c r="O203" s="2">
        <v>1977</v>
      </c>
      <c r="P203" s="2">
        <v>1977</v>
      </c>
      <c r="Q203" s="2">
        <v>1977</v>
      </c>
      <c r="R203" s="2">
        <v>1977</v>
      </c>
      <c r="S203" s="2">
        <v>1977</v>
      </c>
    </row>
    <row r="204" spans="1:19" x14ac:dyDescent="0.25">
      <c r="A204" t="s">
        <v>78</v>
      </c>
      <c r="I204" s="2">
        <v>22309</v>
      </c>
      <c r="J204" s="2">
        <v>23582</v>
      </c>
      <c r="K204" s="2">
        <v>23232</v>
      </c>
      <c r="L204" s="2">
        <v>25657</v>
      </c>
      <c r="M204" s="2">
        <v>25157</v>
      </c>
      <c r="N204" s="2">
        <v>27202</v>
      </c>
      <c r="O204" s="2">
        <v>28284.91</v>
      </c>
      <c r="P204" s="2">
        <v>28422.62</v>
      </c>
      <c r="Q204" s="2">
        <v>29527.54</v>
      </c>
      <c r="R204" s="2">
        <v>30037.7</v>
      </c>
      <c r="S204" s="2">
        <v>29833.33</v>
      </c>
    </row>
    <row r="205" spans="1:19" x14ac:dyDescent="0.25">
      <c r="A205" t="s">
        <v>167</v>
      </c>
      <c r="I205" s="2">
        <v>33418</v>
      </c>
      <c r="J205" s="2">
        <v>36472</v>
      </c>
      <c r="K205" s="2">
        <v>35537</v>
      </c>
      <c r="L205" s="2">
        <v>39472</v>
      </c>
      <c r="M205" s="2">
        <v>39387</v>
      </c>
      <c r="N205" s="2">
        <v>42396</v>
      </c>
      <c r="O205" s="2">
        <v>55438.14</v>
      </c>
      <c r="P205" s="2">
        <v>55213.440000000002</v>
      </c>
      <c r="Q205" s="2">
        <v>55210.42</v>
      </c>
      <c r="R205" s="2">
        <v>53179.86</v>
      </c>
      <c r="S205" s="2">
        <v>53678.33</v>
      </c>
    </row>
    <row r="206" spans="1:19" x14ac:dyDescent="0.25">
      <c r="A206" t="s">
        <v>170</v>
      </c>
      <c r="I206" s="2">
        <v>14676</v>
      </c>
      <c r="J206" s="2">
        <v>11614</v>
      </c>
      <c r="K206" s="2">
        <v>11372</v>
      </c>
      <c r="L206" s="2">
        <v>11286</v>
      </c>
      <c r="M206" s="2">
        <v>13539</v>
      </c>
      <c r="N206" s="2">
        <v>14853</v>
      </c>
      <c r="O206" s="2">
        <v>28192.82</v>
      </c>
      <c r="P206" s="2">
        <v>30532.89</v>
      </c>
      <c r="Q206" s="2">
        <v>33737.919999999998</v>
      </c>
      <c r="R206" s="2">
        <v>35356.730000000003</v>
      </c>
      <c r="S206" s="2">
        <v>38622.11</v>
      </c>
    </row>
    <row r="207" spans="1:19" x14ac:dyDescent="0.25">
      <c r="A207" t="s">
        <v>171</v>
      </c>
      <c r="I207" s="2">
        <v>9624</v>
      </c>
      <c r="J207" s="2">
        <v>10482</v>
      </c>
      <c r="K207" s="2">
        <v>13274</v>
      </c>
      <c r="L207" s="2">
        <v>12355</v>
      </c>
      <c r="M207" s="2">
        <v>11402</v>
      </c>
      <c r="N207" s="2">
        <v>11043</v>
      </c>
      <c r="O207" s="2">
        <v>19871.57</v>
      </c>
      <c r="P207" s="2">
        <v>19114.43</v>
      </c>
      <c r="Q207" s="2">
        <v>18428.71</v>
      </c>
      <c r="R207" s="2">
        <v>14027</v>
      </c>
      <c r="S207" s="2">
        <v>12477</v>
      </c>
    </row>
    <row r="208" spans="1:19" x14ac:dyDescent="0.25">
      <c r="A208" t="s">
        <v>173</v>
      </c>
      <c r="I208" s="2">
        <v>2775</v>
      </c>
      <c r="J208">
        <v>737</v>
      </c>
      <c r="K208" s="2">
        <v>-2256</v>
      </c>
      <c r="L208" s="2">
        <v>-1430</v>
      </c>
      <c r="M208" s="2">
        <v>1764</v>
      </c>
      <c r="N208" s="2">
        <v>3474</v>
      </c>
      <c r="O208" s="2">
        <v>7656.61</v>
      </c>
      <c r="P208" s="2">
        <v>11951.68</v>
      </c>
      <c r="Q208" s="2">
        <v>16981.78</v>
      </c>
      <c r="R208" s="2">
        <v>22452.84</v>
      </c>
      <c r="S208" s="2">
        <v>28611.38</v>
      </c>
    </row>
    <row r="209" spans="1:19" x14ac:dyDescent="0.25">
      <c r="A209" t="s">
        <v>2816</v>
      </c>
      <c r="I209">
        <v>-30</v>
      </c>
      <c r="J209">
        <v>-31</v>
      </c>
      <c r="K209" s="2">
        <v>-1760</v>
      </c>
      <c r="L209" s="2">
        <v>-2191</v>
      </c>
      <c r="M209" s="2">
        <v>-2302</v>
      </c>
      <c r="N209" s="2">
        <v>-2425</v>
      </c>
      <c r="O209" s="2">
        <v>-2095.5700000000002</v>
      </c>
      <c r="P209" s="2">
        <v>-2095.5700000000002</v>
      </c>
      <c r="Q209" s="2">
        <v>-2095.5700000000002</v>
      </c>
      <c r="R209" s="2">
        <v>-2418.25</v>
      </c>
      <c r="S209" s="2">
        <v>-2418.25</v>
      </c>
    </row>
    <row r="210" spans="1:19" x14ac:dyDescent="0.25">
      <c r="A210" t="s">
        <v>1235</v>
      </c>
      <c r="I210" s="2">
        <v>2277</v>
      </c>
      <c r="J210">
        <v>395</v>
      </c>
      <c r="K210">
        <v>354</v>
      </c>
      <c r="L210">
        <v>361</v>
      </c>
      <c r="M210">
        <v>373</v>
      </c>
      <c r="N210">
        <v>336</v>
      </c>
      <c r="O210">
        <v>342.66</v>
      </c>
      <c r="P210">
        <v>341.79</v>
      </c>
      <c r="Q210">
        <v>341.66</v>
      </c>
      <c r="R210">
        <v>340.35</v>
      </c>
      <c r="S210">
        <v>339.39</v>
      </c>
    </row>
    <row r="211" spans="1:19" x14ac:dyDescent="0.25">
      <c r="A211" t="s">
        <v>1664</v>
      </c>
      <c r="I211" s="2">
        <v>12399</v>
      </c>
      <c r="J211" s="2">
        <v>11219</v>
      </c>
      <c r="K211" s="2">
        <v>11018</v>
      </c>
      <c r="L211" s="2">
        <v>10925</v>
      </c>
      <c r="M211" s="2">
        <v>13166</v>
      </c>
      <c r="N211" s="2">
        <v>14517</v>
      </c>
      <c r="O211" s="2">
        <v>26965.63</v>
      </c>
      <c r="P211" s="2">
        <v>29814.29</v>
      </c>
      <c r="Q211" s="2">
        <v>33675.160000000003</v>
      </c>
      <c r="R211" s="2">
        <v>35772.06</v>
      </c>
      <c r="S211" s="2">
        <v>39479.54</v>
      </c>
    </row>
    <row r="212" spans="1:19" x14ac:dyDescent="0.25">
      <c r="A212" t="s">
        <v>326</v>
      </c>
      <c r="I212" s="2">
        <v>48094</v>
      </c>
      <c r="J212" s="2">
        <v>48086</v>
      </c>
      <c r="K212" s="2">
        <v>46909</v>
      </c>
      <c r="L212" s="2">
        <v>50758</v>
      </c>
      <c r="M212" s="2">
        <v>52926</v>
      </c>
      <c r="N212" s="2">
        <v>57249</v>
      </c>
      <c r="O212" s="2">
        <v>80646.399999999994</v>
      </c>
      <c r="P212" s="2">
        <v>82987.960000000006</v>
      </c>
      <c r="Q212" s="2">
        <v>86356.15</v>
      </c>
      <c r="R212" s="2">
        <v>84084.22</v>
      </c>
      <c r="S212" s="2">
        <v>87747.21</v>
      </c>
    </row>
    <row r="213" spans="1:19" x14ac:dyDescent="0.25">
      <c r="A213" t="s">
        <v>17</v>
      </c>
    </row>
    <row r="214" spans="1:19" x14ac:dyDescent="0.25">
      <c r="A214" t="s">
        <v>176</v>
      </c>
    </row>
    <row r="215" spans="1:19" x14ac:dyDescent="0.25">
      <c r="A215" t="s">
        <v>177</v>
      </c>
      <c r="I215" s="2">
        <v>6612</v>
      </c>
      <c r="J215" s="2">
        <v>7620</v>
      </c>
      <c r="K215" s="2">
        <v>5240</v>
      </c>
      <c r="L215" s="2">
        <v>8807</v>
      </c>
      <c r="M215" s="2">
        <v>5283</v>
      </c>
      <c r="N215" s="2">
        <v>5244</v>
      </c>
      <c r="O215" s="2">
        <v>14305.63</v>
      </c>
      <c r="P215" s="2">
        <v>14302.48</v>
      </c>
      <c r="Q215" s="2">
        <v>13395.37</v>
      </c>
      <c r="R215" s="2">
        <v>12348.19</v>
      </c>
      <c r="S215" s="2">
        <v>10890.12</v>
      </c>
    </row>
    <row r="216" spans="1:19" x14ac:dyDescent="0.25">
      <c r="A216" t="s">
        <v>17</v>
      </c>
    </row>
    <row r="217" spans="1:19" x14ac:dyDescent="0.25">
      <c r="A217" t="s">
        <v>188</v>
      </c>
    </row>
    <row r="218" spans="1:19" x14ac:dyDescent="0.25">
      <c r="A218" t="s">
        <v>189</v>
      </c>
    </row>
    <row r="219" spans="1:19" x14ac:dyDescent="0.25">
      <c r="A219" t="s">
        <v>121</v>
      </c>
      <c r="I219">
        <v>589</v>
      </c>
      <c r="J219">
        <v>-205</v>
      </c>
      <c r="K219">
        <v>-160</v>
      </c>
      <c r="L219" s="2">
        <v>1623</v>
      </c>
      <c r="M219" s="2">
        <v>3749</v>
      </c>
      <c r="N219" s="2">
        <v>2319</v>
      </c>
      <c r="O219" s="2">
        <v>4212.8900000000003</v>
      </c>
      <c r="P219" s="2">
        <v>4566.1499999999996</v>
      </c>
      <c r="Q219" s="2">
        <v>5697.97</v>
      </c>
      <c r="R219" s="2">
        <v>6157.59</v>
      </c>
      <c r="S219" s="2">
        <v>6580.83</v>
      </c>
    </row>
    <row r="220" spans="1:19" x14ac:dyDescent="0.25">
      <c r="A220" t="s">
        <v>190</v>
      </c>
      <c r="I220" s="2">
        <v>3636</v>
      </c>
      <c r="J220" s="2">
        <v>4540</v>
      </c>
      <c r="K220" s="2">
        <v>2427</v>
      </c>
      <c r="L220" s="2">
        <v>2514</v>
      </c>
      <c r="M220" s="2">
        <v>2700</v>
      </c>
      <c r="N220" s="2">
        <v>2601</v>
      </c>
      <c r="O220" s="2">
        <v>2991.01</v>
      </c>
      <c r="P220" s="2">
        <v>2818.74</v>
      </c>
      <c r="Q220" s="2">
        <v>2916.79</v>
      </c>
      <c r="R220" s="2">
        <v>3052.56</v>
      </c>
      <c r="S220" s="2">
        <v>3171.75</v>
      </c>
    </row>
    <row r="221" spans="1:19" x14ac:dyDescent="0.25">
      <c r="A221" t="s">
        <v>191</v>
      </c>
      <c r="I221" s="2">
        <v>2123</v>
      </c>
      <c r="J221" s="2">
        <v>3003</v>
      </c>
      <c r="K221" s="2">
        <v>1091</v>
      </c>
      <c r="L221" s="2">
        <v>1096</v>
      </c>
      <c r="M221" s="2">
        <v>1123</v>
      </c>
      <c r="N221">
        <v>985</v>
      </c>
      <c r="O221" s="2">
        <v>1551.82</v>
      </c>
      <c r="P221" s="2">
        <v>1666.07</v>
      </c>
      <c r="Q221" s="2">
        <v>1739.75</v>
      </c>
      <c r="R221" s="2">
        <v>1852.18</v>
      </c>
      <c r="S221" s="2">
        <v>1917.73</v>
      </c>
    </row>
    <row r="222" spans="1:19" x14ac:dyDescent="0.25">
      <c r="A222" t="s">
        <v>2606</v>
      </c>
      <c r="I222">
        <v>-319</v>
      </c>
      <c r="J222">
        <v>360</v>
      </c>
      <c r="K222" s="2">
        <v>1162</v>
      </c>
      <c r="L222" s="2">
        <v>-1330</v>
      </c>
      <c r="M222" s="2">
        <v>1121</v>
      </c>
      <c r="N222">
        <v>316</v>
      </c>
      <c r="O222">
        <v>454.23</v>
      </c>
      <c r="P222">
        <v>163.98</v>
      </c>
      <c r="Q222">
        <v>171.51</v>
      </c>
      <c r="R222">
        <v>128.65</v>
      </c>
      <c r="S222">
        <v>158.05000000000001</v>
      </c>
    </row>
    <row r="223" spans="1:19" x14ac:dyDescent="0.25">
      <c r="A223" t="s">
        <v>338</v>
      </c>
    </row>
    <row r="224" spans="1:19" x14ac:dyDescent="0.25">
      <c r="A224" t="s">
        <v>1929</v>
      </c>
      <c r="I224" s="2">
        <v>-4362</v>
      </c>
      <c r="J224" s="2">
        <v>-3540</v>
      </c>
      <c r="K224" s="2">
        <v>-5474</v>
      </c>
      <c r="L224" s="2">
        <v>-7806</v>
      </c>
      <c r="M224" s="2">
        <v>-11174</v>
      </c>
      <c r="N224">
        <v>-451</v>
      </c>
      <c r="O224">
        <v>102.8</v>
      </c>
      <c r="P224" s="2">
        <v>-2231.2399999999998</v>
      </c>
      <c r="Q224" s="2">
        <v>-2454.36</v>
      </c>
      <c r="R224" s="2">
        <v>-2699.8</v>
      </c>
      <c r="S224" s="2">
        <v>-2969.78</v>
      </c>
    </row>
    <row r="225" spans="1:19" x14ac:dyDescent="0.25">
      <c r="A225" t="s">
        <v>204</v>
      </c>
      <c r="I225">
        <v>584</v>
      </c>
      <c r="J225" s="2">
        <v>-1338</v>
      </c>
      <c r="K225" s="2">
        <v>-2353</v>
      </c>
      <c r="L225" s="2">
        <v>-5301</v>
      </c>
      <c r="M225" s="2">
        <v>-2464</v>
      </c>
      <c r="N225" s="2">
        <v>4237</v>
      </c>
      <c r="O225" s="2">
        <v>7571.09</v>
      </c>
      <c r="P225" s="2">
        <v>7229.26</v>
      </c>
      <c r="Q225" s="2">
        <v>8309.31</v>
      </c>
      <c r="R225" s="2">
        <v>8998.86</v>
      </c>
      <c r="S225" s="2">
        <v>9409.1200000000008</v>
      </c>
    </row>
    <row r="226" spans="1:19" x14ac:dyDescent="0.25">
      <c r="A226" t="s">
        <v>17</v>
      </c>
    </row>
    <row r="227" spans="1:19" x14ac:dyDescent="0.25">
      <c r="A227" t="s">
        <v>205</v>
      </c>
    </row>
    <row r="228" spans="1:19" x14ac:dyDescent="0.25">
      <c r="A228" t="s">
        <v>206</v>
      </c>
      <c r="I228" s="2">
        <v>-1747</v>
      </c>
      <c r="J228" s="2">
        <v>-1329</v>
      </c>
      <c r="K228" s="2">
        <v>-1689</v>
      </c>
      <c r="L228" s="2">
        <v>-2422</v>
      </c>
      <c r="M228" s="2">
        <v>-2565</v>
      </c>
      <c r="N228" s="2">
        <v>-2949</v>
      </c>
      <c r="O228" s="2">
        <v>-4378.6499999999996</v>
      </c>
      <c r="P228" s="2">
        <v>-3792.16</v>
      </c>
      <c r="Q228" s="2">
        <v>-3713.5</v>
      </c>
      <c r="R228" s="2">
        <v>-3494.46</v>
      </c>
      <c r="S228" s="2">
        <v>-3587.35</v>
      </c>
    </row>
    <row r="229" spans="1:19" x14ac:dyDescent="0.25">
      <c r="A229" t="s">
        <v>2817</v>
      </c>
      <c r="O229">
        <v>-278.25</v>
      </c>
      <c r="P229">
        <v>-305</v>
      </c>
      <c r="Q229">
        <v>-305</v>
      </c>
      <c r="R229">
        <v>-307.5</v>
      </c>
      <c r="S229">
        <v>-307.5</v>
      </c>
    </row>
    <row r="230" spans="1:19" x14ac:dyDescent="0.25">
      <c r="A230" t="s">
        <v>213</v>
      </c>
      <c r="I230" s="2">
        <v>1958</v>
      </c>
      <c r="J230" s="2">
        <v>3282</v>
      </c>
      <c r="K230" s="2">
        <v>3104</v>
      </c>
      <c r="L230" s="2">
        <v>3031</v>
      </c>
      <c r="M230" s="2">
        <v>7428</v>
      </c>
      <c r="N230" s="2">
        <v>-3198</v>
      </c>
      <c r="O230" s="2">
        <v>-10609.31</v>
      </c>
      <c r="P230" s="2">
        <v>-4548.01</v>
      </c>
      <c r="Q230" s="2">
        <v>-4358.93</v>
      </c>
      <c r="R230" s="2">
        <v>-4091.67</v>
      </c>
      <c r="S230" s="2">
        <v>-4194.8599999999997</v>
      </c>
    </row>
    <row r="231" spans="1:19" x14ac:dyDescent="0.25">
      <c r="A231" t="s">
        <v>17</v>
      </c>
    </row>
    <row r="232" spans="1:19" x14ac:dyDescent="0.25">
      <c r="A232" t="s">
        <v>214</v>
      </c>
    </row>
    <row r="233" spans="1:19" x14ac:dyDescent="0.25">
      <c r="A233" t="s">
        <v>2818</v>
      </c>
      <c r="I233" s="2">
        <v>3155</v>
      </c>
      <c r="J233">
        <v>152</v>
      </c>
      <c r="K233">
        <v>14</v>
      </c>
      <c r="L233" s="2">
        <v>3195</v>
      </c>
      <c r="M233" s="2">
        <v>1120</v>
      </c>
      <c r="N233" s="2">
        <v>1650</v>
      </c>
      <c r="P233">
        <v>400</v>
      </c>
    </row>
    <row r="234" spans="1:19" x14ac:dyDescent="0.25">
      <c r="A234" t="s">
        <v>347</v>
      </c>
      <c r="I234" s="2">
        <v>-1734</v>
      </c>
      <c r="J234" s="2">
        <v>-1832</v>
      </c>
      <c r="K234">
        <v>-185</v>
      </c>
      <c r="L234">
        <v>-366</v>
      </c>
      <c r="M234">
        <v>-444</v>
      </c>
      <c r="N234">
        <v>-486</v>
      </c>
      <c r="O234">
        <v>-578.27</v>
      </c>
      <c r="P234">
        <v>-629.89</v>
      </c>
      <c r="Q234">
        <v>-684.35</v>
      </c>
      <c r="R234">
        <v>-723.67</v>
      </c>
      <c r="S234">
        <v>-779.82</v>
      </c>
    </row>
    <row r="235" spans="1:19" x14ac:dyDescent="0.25">
      <c r="A235" t="s">
        <v>2819</v>
      </c>
      <c r="I235" s="2">
        <v>-4884</v>
      </c>
      <c r="J235">
        <v>-105</v>
      </c>
      <c r="K235" s="2">
        <v>-1420</v>
      </c>
      <c r="L235">
        <v>-168</v>
      </c>
      <c r="M235">
        <v>-121</v>
      </c>
      <c r="N235" s="2">
        <v>-1076</v>
      </c>
      <c r="O235" s="2">
        <v>-3268.5</v>
      </c>
      <c r="Q235" s="2">
        <v>-1867</v>
      </c>
      <c r="R235">
        <v>-364.5</v>
      </c>
    </row>
    <row r="236" spans="1:19" x14ac:dyDescent="0.25">
      <c r="A236" t="s">
        <v>2820</v>
      </c>
      <c r="L236">
        <v>-992</v>
      </c>
      <c r="M236">
        <v>-999</v>
      </c>
      <c r="N236">
        <v>-400</v>
      </c>
      <c r="O236" s="2">
        <v>-2525</v>
      </c>
      <c r="P236" s="2">
        <v>-1550</v>
      </c>
      <c r="Q236" s="2">
        <v>-1400</v>
      </c>
      <c r="R236" s="2">
        <v>-2000</v>
      </c>
      <c r="S236" s="2">
        <v>-2083.33</v>
      </c>
    </row>
    <row r="237" spans="1:19" x14ac:dyDescent="0.25">
      <c r="A237" t="s">
        <v>765</v>
      </c>
      <c r="L237">
        <v>-992</v>
      </c>
      <c r="M237">
        <v>-999</v>
      </c>
      <c r="N237">
        <v>-400</v>
      </c>
      <c r="O237" s="2">
        <v>1393.86</v>
      </c>
      <c r="P237" s="2">
        <v>-1914.29</v>
      </c>
      <c r="Q237" s="2">
        <v>-2100</v>
      </c>
      <c r="R237" s="2">
        <v>-3500</v>
      </c>
      <c r="S237" s="2">
        <v>-3500</v>
      </c>
    </row>
    <row r="238" spans="1:19" x14ac:dyDescent="0.25">
      <c r="A238" t="s">
        <v>522</v>
      </c>
      <c r="I238">
        <v>279</v>
      </c>
      <c r="J238" s="2">
        <v>-1152</v>
      </c>
      <c r="K238" s="2">
        <v>1715</v>
      </c>
      <c r="L238">
        <v>42</v>
      </c>
      <c r="M238">
        <v>-1</v>
      </c>
      <c r="N238">
        <v>-108</v>
      </c>
      <c r="O238">
        <v>-87.67</v>
      </c>
      <c r="P238">
        <v>-100</v>
      </c>
      <c r="Q238">
        <v>-100</v>
      </c>
    </row>
    <row r="239" spans="1:19" x14ac:dyDescent="0.25">
      <c r="A239" t="s">
        <v>218</v>
      </c>
      <c r="I239" s="2">
        <v>-2664</v>
      </c>
      <c r="J239" s="2">
        <v>-1695</v>
      </c>
      <c r="K239">
        <v>-799</v>
      </c>
      <c r="L239" s="2">
        <v>2196</v>
      </c>
      <c r="M239" s="2">
        <v>-2289</v>
      </c>
      <c r="N239">
        <v>-420</v>
      </c>
      <c r="O239" s="2">
        <v>2840.64</v>
      </c>
      <c r="P239" s="2">
        <v>-2880.07</v>
      </c>
      <c r="Q239" s="2">
        <v>-3401.23</v>
      </c>
      <c r="R239" s="2">
        <v>-4115.55</v>
      </c>
      <c r="S239" s="2">
        <v>-4111.82</v>
      </c>
    </row>
    <row r="240" spans="1:19" x14ac:dyDescent="0.25">
      <c r="A240" t="s">
        <v>17</v>
      </c>
    </row>
    <row r="241" spans="1:19" x14ac:dyDescent="0.25">
      <c r="A241" t="s">
        <v>176</v>
      </c>
    </row>
    <row r="242" spans="1:19" x14ac:dyDescent="0.25">
      <c r="A242" t="s">
        <v>1213</v>
      </c>
      <c r="I242">
        <v>-122</v>
      </c>
      <c r="J242">
        <v>249</v>
      </c>
      <c r="K242">
        <v>-48</v>
      </c>
      <c r="L242">
        <v>-74</v>
      </c>
      <c r="M242" s="2">
        <v>2675</v>
      </c>
      <c r="N242">
        <v>619</v>
      </c>
      <c r="O242">
        <v>-275.56</v>
      </c>
      <c r="P242">
        <v>-62.86</v>
      </c>
      <c r="Q242">
        <v>899.74</v>
      </c>
      <c r="R242" s="2">
        <v>1270.7</v>
      </c>
      <c r="S242" s="2">
        <v>1647.01</v>
      </c>
    </row>
    <row r="243" spans="1:19" x14ac:dyDescent="0.25">
      <c r="A243" t="s">
        <v>221</v>
      </c>
      <c r="I243">
        <v>449</v>
      </c>
      <c r="J243">
        <v>327</v>
      </c>
      <c r="K243">
        <v>576</v>
      </c>
      <c r="L243">
        <v>528</v>
      </c>
      <c r="M243">
        <v>454</v>
      </c>
      <c r="N243" s="2">
        <v>3129</v>
      </c>
      <c r="O243" s="2">
        <v>3736.15</v>
      </c>
      <c r="P243" s="2">
        <v>3236.53</v>
      </c>
      <c r="Q243" s="2">
        <v>2751.12</v>
      </c>
      <c r="R243" s="2">
        <v>3820.85</v>
      </c>
      <c r="S243" s="2">
        <v>4979.95</v>
      </c>
    </row>
    <row r="244" spans="1:19" x14ac:dyDescent="0.25">
      <c r="A244" t="s">
        <v>222</v>
      </c>
      <c r="I244">
        <v>327</v>
      </c>
      <c r="J244">
        <v>576</v>
      </c>
      <c r="K244">
        <v>528</v>
      </c>
      <c r="L244">
        <v>454</v>
      </c>
      <c r="M244" s="2">
        <v>3129</v>
      </c>
      <c r="N244" s="2">
        <v>3748</v>
      </c>
      <c r="O244" s="2">
        <v>3584.35</v>
      </c>
      <c r="P244" s="2">
        <v>3038.26</v>
      </c>
      <c r="Q244" s="2">
        <v>3662.1</v>
      </c>
      <c r="R244" s="2">
        <v>4979.95</v>
      </c>
      <c r="S244" s="2">
        <v>6500.16</v>
      </c>
    </row>
    <row r="245" spans="1:19" x14ac:dyDescent="0.25">
      <c r="A245" t="s">
        <v>178</v>
      </c>
    </row>
    <row r="246" spans="1:19" x14ac:dyDescent="0.25">
      <c r="A246" t="s">
        <v>225</v>
      </c>
      <c r="I246" s="2">
        <v>-1163</v>
      </c>
      <c r="J246" s="2">
        <v>-2667</v>
      </c>
      <c r="K246" s="2">
        <v>-4042</v>
      </c>
      <c r="L246" s="2">
        <v>-7723</v>
      </c>
      <c r="M246" s="2">
        <v>-5029</v>
      </c>
      <c r="N246" s="2">
        <v>1288</v>
      </c>
      <c r="O246" s="2">
        <v>4105.38</v>
      </c>
      <c r="P246" s="2">
        <v>3579.03</v>
      </c>
      <c r="Q246" s="2">
        <v>4642.8500000000004</v>
      </c>
      <c r="R246" s="2">
        <v>6362.72</v>
      </c>
      <c r="S246" s="2">
        <v>6917.08</v>
      </c>
    </row>
    <row r="247" spans="1:19" x14ac:dyDescent="0.25">
      <c r="A247" t="s">
        <v>1757</v>
      </c>
      <c r="I247">
        <v>-3.57</v>
      </c>
      <c r="J247">
        <v>-8.18</v>
      </c>
      <c r="K247">
        <v>-12.4</v>
      </c>
      <c r="L247">
        <v>-23.91</v>
      </c>
      <c r="M247">
        <v>-15.97</v>
      </c>
      <c r="N247">
        <v>4.12</v>
      </c>
      <c r="O247">
        <v>3.81</v>
      </c>
      <c r="P247">
        <v>6.41</v>
      </c>
      <c r="Q247">
        <v>8.5299999999999994</v>
      </c>
      <c r="R247">
        <v>16.940000000000001</v>
      </c>
      <c r="S247">
        <v>17.670000000000002</v>
      </c>
    </row>
    <row r="248" spans="1:19" x14ac:dyDescent="0.25">
      <c r="A248" t="s">
        <v>17</v>
      </c>
    </row>
    <row r="249" spans="1:19" x14ac:dyDescent="0.25">
      <c r="A249" t="s">
        <v>231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433F-EDBC-4B9D-AFFE-B9B2409491CB}">
  <dimension ref="A1:U117"/>
  <sheetViews>
    <sheetView workbookViewId="0">
      <selection sqref="A1:U117"/>
    </sheetView>
  </sheetViews>
  <sheetFormatPr defaultRowHeight="15" x14ac:dyDescent="0.25"/>
  <sheetData>
    <row r="1" spans="1:21" x14ac:dyDescent="0.25">
      <c r="A1" t="s">
        <v>2821</v>
      </c>
    </row>
    <row r="2" spans="1:21" x14ac:dyDescent="0.25">
      <c r="A2" t="s">
        <v>2822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J6">
        <v>-0.03</v>
      </c>
      <c r="K6">
        <v>0.06</v>
      </c>
      <c r="L6">
        <v>-0.47</v>
      </c>
      <c r="M6">
        <v>-0.74</v>
      </c>
      <c r="N6">
        <v>-0.72</v>
      </c>
      <c r="O6">
        <v>-0.97</v>
      </c>
      <c r="P6">
        <v>-1.1299999999999999</v>
      </c>
      <c r="Q6">
        <v>-1.3</v>
      </c>
      <c r="R6">
        <v>-1.1499999999999999</v>
      </c>
      <c r="S6">
        <v>-0.45</v>
      </c>
      <c r="T6">
        <v>0.56000000000000005</v>
      </c>
      <c r="U6">
        <v>0.14000000000000001</v>
      </c>
    </row>
    <row r="7" spans="1:21" x14ac:dyDescent="0.25">
      <c r="A7" t="s">
        <v>16</v>
      </c>
      <c r="J7">
        <v>0</v>
      </c>
      <c r="K7">
        <v>0</v>
      </c>
      <c r="L7">
        <v>0</v>
      </c>
      <c r="M7">
        <v>0</v>
      </c>
      <c r="N7">
        <v>0</v>
      </c>
      <c r="O7">
        <v>3.34</v>
      </c>
      <c r="P7">
        <v>12.09</v>
      </c>
      <c r="Q7">
        <v>70.760000000000005</v>
      </c>
      <c r="R7">
        <v>99.03</v>
      </c>
      <c r="S7">
        <v>320.86</v>
      </c>
      <c r="T7">
        <v>736.17</v>
      </c>
      <c r="U7" s="2">
        <v>1362.17</v>
      </c>
    </row>
    <row r="8" spans="1:21" x14ac:dyDescent="0.25">
      <c r="A8" t="s">
        <v>17</v>
      </c>
    </row>
    <row r="9" spans="1:21" x14ac:dyDescent="0.25">
      <c r="A9" t="s">
        <v>2823</v>
      </c>
      <c r="L9">
        <v>9.76</v>
      </c>
      <c r="M9">
        <v>26.71</v>
      </c>
      <c r="N9">
        <v>58.85</v>
      </c>
      <c r="O9">
        <v>126.11</v>
      </c>
      <c r="P9">
        <v>133.59</v>
      </c>
      <c r="Q9">
        <v>137.5</v>
      </c>
      <c r="R9">
        <v>142.1</v>
      </c>
      <c r="S9">
        <v>147.19999999999999</v>
      </c>
      <c r="T9">
        <v>151.19999999999999</v>
      </c>
      <c r="U9">
        <v>153.04</v>
      </c>
    </row>
    <row r="10" spans="1:21" x14ac:dyDescent="0.25">
      <c r="A10" t="s">
        <v>106</v>
      </c>
      <c r="J10">
        <v>-1.06</v>
      </c>
      <c r="K10">
        <v>3.93</v>
      </c>
      <c r="L10">
        <v>-32.17</v>
      </c>
      <c r="M10">
        <v>-73.62</v>
      </c>
      <c r="N10">
        <v>-105.66</v>
      </c>
      <c r="O10">
        <v>-140.86000000000001</v>
      </c>
      <c r="P10">
        <v>-163.74</v>
      </c>
      <c r="Q10">
        <v>-182.85</v>
      </c>
      <c r="R10">
        <v>-186.44</v>
      </c>
      <c r="S10">
        <v>-176.45</v>
      </c>
      <c r="T10">
        <v>-67</v>
      </c>
      <c r="U10">
        <v>120.37</v>
      </c>
    </row>
    <row r="11" spans="1:21" x14ac:dyDescent="0.25">
      <c r="A11" t="s">
        <v>17</v>
      </c>
    </row>
    <row r="12" spans="1:21" x14ac:dyDescent="0.25">
      <c r="A12" t="s">
        <v>2824</v>
      </c>
      <c r="K12">
        <v>3.58</v>
      </c>
      <c r="L12">
        <v>9.8699999999999992</v>
      </c>
      <c r="M12">
        <v>97.13</v>
      </c>
      <c r="N12">
        <v>788.45</v>
      </c>
      <c r="O12" s="2">
        <v>1705.1</v>
      </c>
      <c r="P12" s="2">
        <v>1527.43</v>
      </c>
      <c r="Q12" s="2">
        <v>1020.4</v>
      </c>
      <c r="R12">
        <v>576.76</v>
      </c>
      <c r="S12">
        <v>175</v>
      </c>
      <c r="T12">
        <v>-273.22000000000003</v>
      </c>
      <c r="U12">
        <v>-572.08000000000004</v>
      </c>
    </row>
    <row r="13" spans="1:21" x14ac:dyDescent="0.25">
      <c r="A13" t="s">
        <v>17</v>
      </c>
    </row>
    <row r="14" spans="1:21" x14ac:dyDescent="0.25">
      <c r="A14" t="s">
        <v>37</v>
      </c>
    </row>
    <row r="15" spans="1:21" x14ac:dyDescent="0.25">
      <c r="A15" t="s">
        <v>2825</v>
      </c>
      <c r="O15">
        <v>6</v>
      </c>
      <c r="P15">
        <v>6</v>
      </c>
      <c r="Q15">
        <v>6</v>
      </c>
      <c r="R15">
        <v>6</v>
      </c>
      <c r="S15">
        <v>6</v>
      </c>
      <c r="T15">
        <v>5.82</v>
      </c>
      <c r="U15">
        <v>5.65</v>
      </c>
    </row>
    <row r="16" spans="1:21" x14ac:dyDescent="0.25">
      <c r="A16" t="s">
        <v>2826</v>
      </c>
      <c r="O16">
        <v>126</v>
      </c>
      <c r="P16">
        <v>129.78</v>
      </c>
      <c r="Q16">
        <v>133.66999999999999</v>
      </c>
      <c r="R16">
        <v>137.68</v>
      </c>
      <c r="S16">
        <v>141.81</v>
      </c>
      <c r="T16">
        <v>146.07</v>
      </c>
      <c r="U16">
        <v>150.44999999999999</v>
      </c>
    </row>
    <row r="17" spans="1:21" x14ac:dyDescent="0.25">
      <c r="A17" t="s">
        <v>17</v>
      </c>
    </row>
    <row r="18" spans="1:21" x14ac:dyDescent="0.25">
      <c r="A18" t="s">
        <v>79</v>
      </c>
    </row>
    <row r="19" spans="1:21" x14ac:dyDescent="0.25">
      <c r="A19" t="s">
        <v>80</v>
      </c>
      <c r="J19">
        <v>0</v>
      </c>
      <c r="K19">
        <v>0</v>
      </c>
      <c r="L19">
        <v>0</v>
      </c>
      <c r="M19">
        <v>0</v>
      </c>
      <c r="N19">
        <v>0</v>
      </c>
      <c r="O19">
        <v>3.34</v>
      </c>
      <c r="P19">
        <v>12.09</v>
      </c>
      <c r="Q19">
        <v>70.760000000000005</v>
      </c>
      <c r="R19">
        <v>99.03</v>
      </c>
      <c r="S19">
        <v>320.86</v>
      </c>
      <c r="T19">
        <v>736.17</v>
      </c>
      <c r="U19" s="2">
        <v>1362.17</v>
      </c>
    </row>
    <row r="20" spans="1:21" x14ac:dyDescent="0.25">
      <c r="A20" t="s">
        <v>17</v>
      </c>
    </row>
    <row r="21" spans="1:21" x14ac:dyDescent="0.25">
      <c r="A21" t="s">
        <v>82</v>
      </c>
      <c r="K21">
        <v>0</v>
      </c>
      <c r="L21">
        <v>0</v>
      </c>
      <c r="M21">
        <v>0</v>
      </c>
      <c r="N21">
        <v>0</v>
      </c>
      <c r="O21">
        <v>2.4300000000000002</v>
      </c>
      <c r="P21">
        <v>3.6</v>
      </c>
      <c r="Q21">
        <v>7.12</v>
      </c>
    </row>
    <row r="22" spans="1:21" x14ac:dyDescent="0.25">
      <c r="A22" t="s">
        <v>84</v>
      </c>
      <c r="O22">
        <v>1.23</v>
      </c>
      <c r="P22">
        <v>-4.26</v>
      </c>
      <c r="Q22">
        <v>-46.59</v>
      </c>
      <c r="R22">
        <v>-116.49</v>
      </c>
      <c r="S22">
        <v>-247.1</v>
      </c>
      <c r="T22">
        <v>105.29</v>
      </c>
      <c r="U22">
        <v>628.20000000000005</v>
      </c>
    </row>
    <row r="23" spans="1:21" x14ac:dyDescent="0.25">
      <c r="A23" t="s">
        <v>17</v>
      </c>
    </row>
    <row r="24" spans="1:21" x14ac:dyDescent="0.25">
      <c r="A24" t="s">
        <v>275</v>
      </c>
      <c r="K24">
        <v>1.81</v>
      </c>
      <c r="L24">
        <v>18.64</v>
      </c>
      <c r="M24">
        <v>52.8</v>
      </c>
      <c r="N24">
        <v>139.29</v>
      </c>
      <c r="O24">
        <v>226.33</v>
      </c>
      <c r="P24">
        <v>244.67</v>
      </c>
      <c r="Q24">
        <v>259.08999999999997</v>
      </c>
      <c r="R24">
        <v>279.77</v>
      </c>
      <c r="S24">
        <v>317.58</v>
      </c>
      <c r="T24">
        <v>331.57</v>
      </c>
      <c r="U24">
        <v>329.32</v>
      </c>
    </row>
    <row r="25" spans="1:21" x14ac:dyDescent="0.25">
      <c r="A25" t="s">
        <v>89</v>
      </c>
      <c r="L25">
        <v>9.76</v>
      </c>
      <c r="M25">
        <v>26.71</v>
      </c>
      <c r="N25">
        <v>58.85</v>
      </c>
      <c r="O25">
        <v>126.11</v>
      </c>
      <c r="P25">
        <v>133.59</v>
      </c>
      <c r="Q25">
        <v>137.5</v>
      </c>
      <c r="R25">
        <v>142.1</v>
      </c>
      <c r="S25">
        <v>147.19999999999999</v>
      </c>
      <c r="T25">
        <v>151.19999999999999</v>
      </c>
      <c r="U25">
        <v>153.04</v>
      </c>
    </row>
    <row r="26" spans="1:21" x14ac:dyDescent="0.25">
      <c r="A26" t="s">
        <v>88</v>
      </c>
      <c r="L26">
        <v>8.8699999999999992</v>
      </c>
      <c r="M26">
        <v>26.09</v>
      </c>
      <c r="N26">
        <v>80.44</v>
      </c>
      <c r="O26">
        <v>119.11</v>
      </c>
      <c r="P26">
        <v>136.79</v>
      </c>
      <c r="Q26">
        <v>146.83000000000001</v>
      </c>
      <c r="R26">
        <v>156.47</v>
      </c>
      <c r="S26">
        <v>171.66</v>
      </c>
      <c r="T26">
        <v>191.63</v>
      </c>
      <c r="U26">
        <v>215.87</v>
      </c>
    </row>
    <row r="27" spans="1:21" x14ac:dyDescent="0.25">
      <c r="A27" t="s">
        <v>17</v>
      </c>
    </row>
    <row r="28" spans="1:21" x14ac:dyDescent="0.25">
      <c r="A28" t="s">
        <v>91</v>
      </c>
      <c r="J28">
        <v>-1.18</v>
      </c>
      <c r="K28">
        <v>-1.81</v>
      </c>
      <c r="L28">
        <v>-18.64</v>
      </c>
      <c r="M28">
        <v>-52.8</v>
      </c>
      <c r="N28">
        <v>-139.29</v>
      </c>
      <c r="O28">
        <v>-252.71</v>
      </c>
      <c r="P28">
        <v>-274.48</v>
      </c>
      <c r="Q28">
        <v>-289.95999999999998</v>
      </c>
      <c r="R28">
        <v>-273.73</v>
      </c>
      <c r="S28">
        <v>-221.42</v>
      </c>
      <c r="T28">
        <v>-99.61</v>
      </c>
      <c r="U28">
        <v>99.17</v>
      </c>
    </row>
    <row r="29" spans="1:21" x14ac:dyDescent="0.25">
      <c r="A29" t="s">
        <v>17</v>
      </c>
    </row>
    <row r="30" spans="1:21" x14ac:dyDescent="0.25">
      <c r="A30" t="s">
        <v>93</v>
      </c>
      <c r="L30">
        <v>0.08</v>
      </c>
      <c r="M30">
        <v>0.27</v>
      </c>
      <c r="N30">
        <v>0.52</v>
      </c>
      <c r="O30">
        <v>2.78</v>
      </c>
      <c r="P30">
        <v>13.26</v>
      </c>
      <c r="Q30">
        <v>29.94</v>
      </c>
      <c r="R30">
        <v>58.67</v>
      </c>
      <c r="S30">
        <v>116.96</v>
      </c>
      <c r="T30">
        <v>228.35</v>
      </c>
      <c r="U30">
        <v>347.4</v>
      </c>
    </row>
    <row r="31" spans="1:21" x14ac:dyDescent="0.25">
      <c r="A31" t="s">
        <v>277</v>
      </c>
      <c r="J31">
        <v>-1.18</v>
      </c>
      <c r="K31">
        <v>-1.81</v>
      </c>
      <c r="L31">
        <v>-18.559999999999999</v>
      </c>
      <c r="M31">
        <v>-52.53</v>
      </c>
      <c r="N31">
        <v>-138.77000000000001</v>
      </c>
      <c r="O31">
        <v>-240.62</v>
      </c>
      <c r="P31">
        <v>-257.14</v>
      </c>
      <c r="Q31">
        <v>-242.13</v>
      </c>
      <c r="R31">
        <v>-171.01</v>
      </c>
      <c r="S31">
        <v>-35.1</v>
      </c>
      <c r="T31">
        <v>123.61</v>
      </c>
      <c r="U31">
        <v>621.01</v>
      </c>
    </row>
    <row r="32" spans="1:21" x14ac:dyDescent="0.25">
      <c r="A32" t="s">
        <v>17</v>
      </c>
    </row>
    <row r="33" spans="1:21" x14ac:dyDescent="0.25">
      <c r="A33" t="s">
        <v>2827</v>
      </c>
      <c r="K33">
        <v>7.28</v>
      </c>
      <c r="L33">
        <v>0.18</v>
      </c>
      <c r="M33">
        <v>7.73</v>
      </c>
      <c r="N33">
        <v>29.1</v>
      </c>
      <c r="O33">
        <v>84.17</v>
      </c>
      <c r="P33">
        <v>68.97</v>
      </c>
      <c r="Q33">
        <v>51.28</v>
      </c>
      <c r="R33">
        <v>33.96</v>
      </c>
      <c r="S33">
        <v>11.55</v>
      </c>
      <c r="T33">
        <v>-5.55</v>
      </c>
      <c r="U33">
        <v>-23.47</v>
      </c>
    </row>
    <row r="34" spans="1:21" x14ac:dyDescent="0.25">
      <c r="A34" t="s">
        <v>2828</v>
      </c>
      <c r="K34">
        <v>-7.21</v>
      </c>
      <c r="L34">
        <v>13.54</v>
      </c>
      <c r="M34">
        <v>20.13</v>
      </c>
      <c r="N34">
        <v>-29.1</v>
      </c>
      <c r="O34">
        <v>-83.82</v>
      </c>
      <c r="P34">
        <v>-73.88</v>
      </c>
      <c r="Q34">
        <v>-55.98</v>
      </c>
      <c r="R34">
        <v>-31.55</v>
      </c>
      <c r="S34">
        <v>2.59</v>
      </c>
      <c r="T34">
        <v>38.159999999999997</v>
      </c>
      <c r="U34">
        <v>83.43</v>
      </c>
    </row>
    <row r="35" spans="1:21" x14ac:dyDescent="0.25">
      <c r="A35" t="s">
        <v>100</v>
      </c>
      <c r="J35">
        <v>-1.05</v>
      </c>
      <c r="K35">
        <v>5.4</v>
      </c>
      <c r="L35">
        <v>-32.17</v>
      </c>
      <c r="M35">
        <v>-72.930000000000007</v>
      </c>
      <c r="N35">
        <v>-110.19</v>
      </c>
      <c r="O35">
        <v>-170.02</v>
      </c>
      <c r="P35">
        <v>-207.76</v>
      </c>
      <c r="Q35">
        <v>-249.83</v>
      </c>
      <c r="R35">
        <v>-248.34</v>
      </c>
      <c r="S35">
        <v>-200.8</v>
      </c>
      <c r="T35">
        <v>-61.93</v>
      </c>
      <c r="U35">
        <v>189.79</v>
      </c>
    </row>
    <row r="36" spans="1:21" x14ac:dyDescent="0.25">
      <c r="A36" t="s">
        <v>17</v>
      </c>
    </row>
    <row r="37" spans="1:21" x14ac:dyDescent="0.25">
      <c r="A37" t="s">
        <v>101</v>
      </c>
      <c r="K37">
        <v>1.47</v>
      </c>
      <c r="L37">
        <v>0</v>
      </c>
      <c r="M37">
        <v>0.68</v>
      </c>
      <c r="N37">
        <v>-4.53</v>
      </c>
      <c r="O37">
        <v>-1.82</v>
      </c>
      <c r="P37">
        <v>-10.35</v>
      </c>
      <c r="Q37">
        <v>-28.5</v>
      </c>
      <c r="R37">
        <v>-67.09</v>
      </c>
      <c r="S37">
        <v>-164.2</v>
      </c>
      <c r="T37">
        <v>-263.58999999999997</v>
      </c>
      <c r="U37">
        <v>-180.68</v>
      </c>
    </row>
    <row r="38" spans="1:21" x14ac:dyDescent="0.25">
      <c r="A38" t="s">
        <v>102</v>
      </c>
      <c r="K38">
        <v>27.3</v>
      </c>
      <c r="N38">
        <v>4.0999999999999996</v>
      </c>
      <c r="O38">
        <v>-0.31</v>
      </c>
      <c r="P38">
        <v>0.51</v>
      </c>
      <c r="Q38">
        <v>0.64</v>
      </c>
      <c r="R38">
        <v>7.13</v>
      </c>
      <c r="S38">
        <v>7.13</v>
      </c>
      <c r="T38">
        <v>7.13</v>
      </c>
      <c r="U38">
        <v>7.13</v>
      </c>
    </row>
    <row r="39" spans="1:21" x14ac:dyDescent="0.25">
      <c r="A39" t="s">
        <v>17</v>
      </c>
    </row>
    <row r="40" spans="1:21" x14ac:dyDescent="0.25">
      <c r="A40" t="s">
        <v>106</v>
      </c>
      <c r="J40">
        <v>-1.06</v>
      </c>
      <c r="K40">
        <v>3.93</v>
      </c>
      <c r="L40">
        <v>-32.17</v>
      </c>
      <c r="M40">
        <v>-73.62</v>
      </c>
      <c r="N40">
        <v>-105.66</v>
      </c>
      <c r="O40">
        <v>-140.86000000000001</v>
      </c>
      <c r="P40">
        <v>-163.74</v>
      </c>
      <c r="Q40">
        <v>-182.85</v>
      </c>
      <c r="R40">
        <v>-186.44</v>
      </c>
      <c r="S40">
        <v>-176.45</v>
      </c>
      <c r="T40">
        <v>-67</v>
      </c>
      <c r="U40">
        <v>120.37</v>
      </c>
    </row>
    <row r="41" spans="1:21" x14ac:dyDescent="0.25">
      <c r="A41" t="s">
        <v>17</v>
      </c>
    </row>
    <row r="42" spans="1:21" x14ac:dyDescent="0.25">
      <c r="A42" t="s">
        <v>108</v>
      </c>
      <c r="K42">
        <v>63.95</v>
      </c>
      <c r="L42">
        <v>68.89</v>
      </c>
      <c r="M42">
        <v>98.91</v>
      </c>
      <c r="N42">
        <v>146.35</v>
      </c>
      <c r="O42">
        <v>175.82</v>
      </c>
      <c r="P42">
        <v>181.45</v>
      </c>
      <c r="Q42">
        <v>185.07</v>
      </c>
      <c r="R42">
        <v>186.86</v>
      </c>
      <c r="S42">
        <v>191.69</v>
      </c>
      <c r="T42">
        <v>198.19</v>
      </c>
      <c r="U42">
        <v>201.85</v>
      </c>
    </row>
    <row r="43" spans="1:21" x14ac:dyDescent="0.25">
      <c r="A43" t="s">
        <v>888</v>
      </c>
      <c r="K43">
        <v>0.06</v>
      </c>
      <c r="L43">
        <v>-0.47</v>
      </c>
      <c r="M43">
        <v>-0.74</v>
      </c>
      <c r="N43">
        <v>-0.72</v>
      </c>
      <c r="O43">
        <v>-0.89</v>
      </c>
      <c r="P43">
        <v>-0.99</v>
      </c>
      <c r="Q43">
        <v>-1.17</v>
      </c>
      <c r="R43">
        <v>-1.1100000000000001</v>
      </c>
      <c r="S43">
        <v>-0.71</v>
      </c>
      <c r="T43">
        <v>0.39</v>
      </c>
      <c r="U43">
        <v>1.88</v>
      </c>
    </row>
    <row r="44" spans="1:21" x14ac:dyDescent="0.25">
      <c r="A44" t="s">
        <v>17</v>
      </c>
    </row>
    <row r="45" spans="1:21" x14ac:dyDescent="0.25">
      <c r="A45" t="s">
        <v>109</v>
      </c>
      <c r="K45">
        <v>63.95</v>
      </c>
      <c r="L45">
        <v>68.89</v>
      </c>
      <c r="M45">
        <v>98.91</v>
      </c>
      <c r="N45">
        <v>146.35</v>
      </c>
      <c r="O45">
        <v>175.48</v>
      </c>
      <c r="P45">
        <v>181.96</v>
      </c>
      <c r="Q45">
        <v>185.65</v>
      </c>
      <c r="R45">
        <v>192.72</v>
      </c>
      <c r="S45">
        <v>200.68</v>
      </c>
      <c r="T45">
        <v>207.61</v>
      </c>
      <c r="U45">
        <v>209.93</v>
      </c>
    </row>
    <row r="46" spans="1:21" x14ac:dyDescent="0.25">
      <c r="A46" t="s">
        <v>110</v>
      </c>
      <c r="J46">
        <v>-0.03</v>
      </c>
      <c r="K46">
        <v>0.06</v>
      </c>
      <c r="L46">
        <v>-0.47</v>
      </c>
      <c r="M46">
        <v>-0.74</v>
      </c>
      <c r="N46">
        <v>-0.72</v>
      </c>
      <c r="O46">
        <v>-0.93</v>
      </c>
      <c r="P46">
        <v>-1.05</v>
      </c>
      <c r="Q46">
        <v>-1.19</v>
      </c>
      <c r="R46">
        <v>-0.79</v>
      </c>
      <c r="S46">
        <v>0.24</v>
      </c>
      <c r="T46">
        <v>1.51</v>
      </c>
      <c r="U46">
        <v>0.9</v>
      </c>
    </row>
    <row r="47" spans="1:21" x14ac:dyDescent="0.25">
      <c r="A47" t="s">
        <v>17</v>
      </c>
    </row>
    <row r="48" spans="1:21" x14ac:dyDescent="0.25">
      <c r="A48" t="s">
        <v>487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21" x14ac:dyDescent="0.25">
      <c r="A49" t="s">
        <v>17</v>
      </c>
    </row>
    <row r="50" spans="1:21" x14ac:dyDescent="0.25">
      <c r="A50" t="s">
        <v>111</v>
      </c>
    </row>
    <row r="51" spans="1:21" x14ac:dyDescent="0.25">
      <c r="A51" t="s">
        <v>121</v>
      </c>
      <c r="J51">
        <v>-1.06</v>
      </c>
      <c r="K51">
        <v>3.93</v>
      </c>
      <c r="L51">
        <v>-32.17</v>
      </c>
      <c r="M51">
        <v>-73.62</v>
      </c>
      <c r="N51">
        <v>-105.66</v>
      </c>
      <c r="O51">
        <v>-163.44999999999999</v>
      </c>
      <c r="P51">
        <v>-192.75</v>
      </c>
      <c r="Q51">
        <v>-223.73</v>
      </c>
      <c r="R51">
        <v>-220.51</v>
      </c>
      <c r="S51">
        <v>-132.30000000000001</v>
      </c>
      <c r="T51">
        <v>47.93</v>
      </c>
      <c r="U51">
        <v>295.05</v>
      </c>
    </row>
    <row r="52" spans="1:21" x14ac:dyDescent="0.25">
      <c r="A52" t="s">
        <v>124</v>
      </c>
      <c r="J52">
        <v>-0.03</v>
      </c>
      <c r="K52">
        <v>0.06</v>
      </c>
      <c r="L52">
        <v>-0.47</v>
      </c>
      <c r="M52">
        <v>-0.74</v>
      </c>
      <c r="N52">
        <v>-0.72</v>
      </c>
      <c r="O52">
        <v>-0.97</v>
      </c>
      <c r="P52">
        <v>-1.1299999999999999</v>
      </c>
      <c r="Q52">
        <v>-1.3</v>
      </c>
      <c r="R52">
        <v>-1.1499999999999999</v>
      </c>
      <c r="S52">
        <v>-0.45</v>
      </c>
      <c r="T52">
        <v>0.56000000000000005</v>
      </c>
      <c r="U52">
        <v>0.14000000000000001</v>
      </c>
    </row>
    <row r="53" spans="1:21" x14ac:dyDescent="0.25">
      <c r="A53" t="s">
        <v>17</v>
      </c>
    </row>
    <row r="54" spans="1:21" x14ac:dyDescent="0.25">
      <c r="A54" t="s">
        <v>125</v>
      </c>
    </row>
    <row r="55" spans="1:21" x14ac:dyDescent="0.25">
      <c r="A55" t="s">
        <v>335</v>
      </c>
      <c r="L55">
        <v>0.78</v>
      </c>
      <c r="M55">
        <v>12.48</v>
      </c>
      <c r="N55">
        <v>41.8</v>
      </c>
      <c r="O55">
        <v>53.91</v>
      </c>
      <c r="P55">
        <v>57.67</v>
      </c>
      <c r="Q55">
        <v>58.42</v>
      </c>
      <c r="R55">
        <v>58.27</v>
      </c>
      <c r="S55">
        <v>64.05</v>
      </c>
      <c r="T55">
        <v>77.3</v>
      </c>
      <c r="U55">
        <v>88.99</v>
      </c>
    </row>
    <row r="56" spans="1:21" x14ac:dyDescent="0.25">
      <c r="A56" t="s">
        <v>17</v>
      </c>
    </row>
    <row r="57" spans="1:21" x14ac:dyDescent="0.25">
      <c r="A57" t="s">
        <v>134</v>
      </c>
    </row>
    <row r="58" spans="1:21" x14ac:dyDescent="0.25">
      <c r="A58" t="s">
        <v>135</v>
      </c>
    </row>
    <row r="59" spans="1:21" x14ac:dyDescent="0.25">
      <c r="A59" t="s">
        <v>136</v>
      </c>
      <c r="J59">
        <v>4.18</v>
      </c>
      <c r="K59">
        <v>4</v>
      </c>
      <c r="L59">
        <v>14.2</v>
      </c>
      <c r="M59">
        <v>231.94</v>
      </c>
      <c r="N59" s="2">
        <v>1253.77</v>
      </c>
      <c r="O59" s="2">
        <v>2235.54</v>
      </c>
      <c r="P59" s="2">
        <v>2039.15</v>
      </c>
      <c r="Q59" s="2">
        <v>1739.62</v>
      </c>
      <c r="R59" s="2">
        <v>1668.66</v>
      </c>
      <c r="S59" s="2">
        <v>1580.31</v>
      </c>
      <c r="T59" s="2">
        <v>1488</v>
      </c>
      <c r="U59" s="2">
        <v>1626.1</v>
      </c>
    </row>
    <row r="60" spans="1:21" x14ac:dyDescent="0.25">
      <c r="A60" t="s">
        <v>536</v>
      </c>
      <c r="J60">
        <v>3.34</v>
      </c>
      <c r="K60">
        <v>3.58</v>
      </c>
      <c r="L60">
        <v>9.8699999999999992</v>
      </c>
      <c r="M60">
        <v>97.13</v>
      </c>
      <c r="N60">
        <v>788.45</v>
      </c>
      <c r="O60" s="2">
        <v>1537.54</v>
      </c>
      <c r="P60" s="2">
        <v>1428.47</v>
      </c>
      <c r="Q60" s="2">
        <v>1185.6099999999999</v>
      </c>
      <c r="R60" s="2">
        <v>1123.06</v>
      </c>
      <c r="S60">
        <v>973.79</v>
      </c>
      <c r="T60">
        <v>799.09</v>
      </c>
      <c r="U60">
        <v>841.5</v>
      </c>
    </row>
    <row r="61" spans="1:21" x14ac:dyDescent="0.25">
      <c r="A61" t="s">
        <v>2829</v>
      </c>
      <c r="J61">
        <v>0</v>
      </c>
      <c r="K61">
        <v>0</v>
      </c>
      <c r="L61">
        <v>0</v>
      </c>
      <c r="M61">
        <v>130.68</v>
      </c>
      <c r="N61">
        <v>439.53</v>
      </c>
      <c r="O61">
        <v>698.21</v>
      </c>
      <c r="P61">
        <v>677.39</v>
      </c>
      <c r="Q61">
        <v>667.64</v>
      </c>
      <c r="R61">
        <v>707.07</v>
      </c>
      <c r="S61">
        <v>684.66</v>
      </c>
      <c r="T61">
        <v>649.16</v>
      </c>
      <c r="U61">
        <v>648.66999999999996</v>
      </c>
    </row>
    <row r="62" spans="1:21" x14ac:dyDescent="0.25">
      <c r="A62" t="s">
        <v>1862</v>
      </c>
      <c r="L62">
        <v>4.33</v>
      </c>
      <c r="M62">
        <v>4.13</v>
      </c>
      <c r="N62">
        <v>25.8</v>
      </c>
      <c r="O62">
        <v>40.49</v>
      </c>
      <c r="P62">
        <v>42.76</v>
      </c>
      <c r="Q62">
        <v>45.98</v>
      </c>
      <c r="R62">
        <v>52.41</v>
      </c>
      <c r="S62">
        <v>57.39</v>
      </c>
      <c r="T62">
        <v>63.64</v>
      </c>
      <c r="U62">
        <v>73.709999999999994</v>
      </c>
    </row>
    <row r="63" spans="1:21" x14ac:dyDescent="0.25">
      <c r="A63" t="s">
        <v>146</v>
      </c>
      <c r="J63">
        <v>500.54</v>
      </c>
      <c r="K63">
        <v>506.14</v>
      </c>
      <c r="L63">
        <v>0.69</v>
      </c>
      <c r="M63">
        <v>49.8</v>
      </c>
      <c r="N63">
        <v>274.69</v>
      </c>
      <c r="O63" s="2">
        <v>1022.89</v>
      </c>
      <c r="P63" s="2">
        <v>1460.76</v>
      </c>
      <c r="Q63" s="2">
        <v>2027.54</v>
      </c>
      <c r="R63" s="2">
        <v>2933.21</v>
      </c>
      <c r="S63" s="2">
        <v>4227.91</v>
      </c>
      <c r="T63" s="2">
        <v>5873.95</v>
      </c>
      <c r="U63" s="2">
        <v>7642.84</v>
      </c>
    </row>
    <row r="64" spans="1:21" x14ac:dyDescent="0.25">
      <c r="A64" t="s">
        <v>148</v>
      </c>
      <c r="L64">
        <v>0.57999999999999996</v>
      </c>
      <c r="M64">
        <v>1.2</v>
      </c>
      <c r="N64">
        <v>42.31</v>
      </c>
      <c r="O64">
        <v>426.89</v>
      </c>
      <c r="P64">
        <v>862.71</v>
      </c>
      <c r="Q64" s="2">
        <v>1443.57</v>
      </c>
      <c r="R64" s="2">
        <v>2329.1999999999998</v>
      </c>
      <c r="S64" s="2">
        <v>3541.05</v>
      </c>
      <c r="T64" s="2">
        <v>5059.93</v>
      </c>
      <c r="U64" s="2">
        <v>6763.63</v>
      </c>
    </row>
    <row r="65" spans="1:21" x14ac:dyDescent="0.25">
      <c r="A65" t="s">
        <v>310</v>
      </c>
      <c r="L65">
        <v>0.08</v>
      </c>
      <c r="M65">
        <v>0.98</v>
      </c>
      <c r="N65">
        <v>1.38</v>
      </c>
      <c r="O65">
        <v>4.5</v>
      </c>
      <c r="P65">
        <v>7.36</v>
      </c>
      <c r="Q65">
        <v>10.210000000000001</v>
      </c>
      <c r="R65">
        <v>13.07</v>
      </c>
      <c r="S65">
        <v>15.93</v>
      </c>
      <c r="T65">
        <v>18.78</v>
      </c>
      <c r="U65">
        <v>21.64</v>
      </c>
    </row>
    <row r="66" spans="1:21" x14ac:dyDescent="0.25">
      <c r="A66" t="s">
        <v>2830</v>
      </c>
      <c r="L66">
        <v>0</v>
      </c>
      <c r="M66">
        <v>47.47</v>
      </c>
      <c r="N66">
        <v>184.57</v>
      </c>
      <c r="O66">
        <v>401.27</v>
      </c>
      <c r="P66">
        <v>395.65</v>
      </c>
      <c r="Q66">
        <v>393.43</v>
      </c>
      <c r="R66">
        <v>367.25</v>
      </c>
      <c r="S66">
        <v>364.41</v>
      </c>
      <c r="T66">
        <v>365.65</v>
      </c>
      <c r="U66">
        <v>366.84</v>
      </c>
    </row>
    <row r="67" spans="1:21" x14ac:dyDescent="0.25">
      <c r="A67" t="s">
        <v>155</v>
      </c>
      <c r="J67">
        <v>504.72</v>
      </c>
      <c r="K67">
        <v>510.14</v>
      </c>
      <c r="L67">
        <v>14.89</v>
      </c>
      <c r="M67">
        <v>281.74</v>
      </c>
      <c r="N67" s="2">
        <v>1528.46</v>
      </c>
      <c r="O67" s="2">
        <v>3020.25</v>
      </c>
      <c r="P67" s="2">
        <v>3291.96</v>
      </c>
      <c r="Q67" s="2">
        <v>3596.2</v>
      </c>
      <c r="R67" s="2">
        <v>4388.37</v>
      </c>
      <c r="S67" s="2">
        <v>5581.78</v>
      </c>
      <c r="T67" s="2">
        <v>7178.77</v>
      </c>
      <c r="U67" s="2">
        <v>9107.2800000000007</v>
      </c>
    </row>
    <row r="68" spans="1:21" x14ac:dyDescent="0.25">
      <c r="A68" t="s">
        <v>17</v>
      </c>
    </row>
    <row r="69" spans="1:21" x14ac:dyDescent="0.25">
      <c r="A69" t="s">
        <v>156</v>
      </c>
    </row>
    <row r="70" spans="1:21" x14ac:dyDescent="0.25">
      <c r="A70" t="s">
        <v>157</v>
      </c>
      <c r="J70">
        <v>0.4</v>
      </c>
      <c r="K70">
        <v>1.48</v>
      </c>
      <c r="L70">
        <v>3.2</v>
      </c>
      <c r="M70">
        <v>5.34</v>
      </c>
      <c r="N70">
        <v>25.55</v>
      </c>
      <c r="O70">
        <v>45.92</v>
      </c>
      <c r="P70">
        <v>52.64</v>
      </c>
      <c r="Q70">
        <v>62.24</v>
      </c>
      <c r="R70">
        <v>77.98</v>
      </c>
      <c r="S70">
        <v>95.1</v>
      </c>
      <c r="T70">
        <v>113.76</v>
      </c>
      <c r="U70">
        <v>135.72</v>
      </c>
    </row>
    <row r="71" spans="1:21" x14ac:dyDescent="0.25">
      <c r="A71" t="s">
        <v>158</v>
      </c>
      <c r="L71">
        <v>2.27</v>
      </c>
      <c r="M71">
        <v>2.97</v>
      </c>
      <c r="N71">
        <v>4.1500000000000004</v>
      </c>
      <c r="O71">
        <v>11.33</v>
      </c>
      <c r="P71">
        <v>14.71</v>
      </c>
      <c r="Q71">
        <v>17.54</v>
      </c>
      <c r="R71">
        <v>24.24</v>
      </c>
      <c r="S71">
        <v>31.37</v>
      </c>
      <c r="T71">
        <v>40.46</v>
      </c>
      <c r="U71">
        <v>48.51</v>
      </c>
    </row>
    <row r="72" spans="1:21" x14ac:dyDescent="0.25">
      <c r="A72" t="s">
        <v>1921</v>
      </c>
      <c r="J72">
        <v>0.4</v>
      </c>
      <c r="K72">
        <v>0.3</v>
      </c>
      <c r="L72">
        <v>0.84</v>
      </c>
      <c r="M72">
        <v>1.89</v>
      </c>
      <c r="N72">
        <v>20.5</v>
      </c>
      <c r="O72">
        <v>33.93</v>
      </c>
      <c r="P72">
        <v>33.549999999999997</v>
      </c>
      <c r="Q72">
        <v>37.35</v>
      </c>
      <c r="R72">
        <v>41.25</v>
      </c>
      <c r="S72">
        <v>47.42</v>
      </c>
      <c r="T72">
        <v>53.13</v>
      </c>
      <c r="U72">
        <v>63.68</v>
      </c>
    </row>
    <row r="73" spans="1:21" x14ac:dyDescent="0.25">
      <c r="A73" t="s">
        <v>415</v>
      </c>
      <c r="L73">
        <v>0.09</v>
      </c>
      <c r="M73">
        <v>0.48</v>
      </c>
      <c r="N73">
        <v>0.9</v>
      </c>
      <c r="O73">
        <v>3.2</v>
      </c>
      <c r="P73">
        <v>7.62</v>
      </c>
      <c r="Q73">
        <v>12.07</v>
      </c>
      <c r="R73">
        <v>16.53</v>
      </c>
      <c r="S73">
        <v>21.01</v>
      </c>
      <c r="T73">
        <v>25.51</v>
      </c>
      <c r="U73">
        <v>30.05</v>
      </c>
    </row>
    <row r="74" spans="1:21" x14ac:dyDescent="0.25">
      <c r="A74" t="s">
        <v>164</v>
      </c>
      <c r="J74">
        <v>17.5</v>
      </c>
      <c r="K74">
        <v>17.91</v>
      </c>
      <c r="L74">
        <v>46.04</v>
      </c>
      <c r="M74">
        <v>25.54</v>
      </c>
      <c r="N74">
        <v>26.7</v>
      </c>
      <c r="O74">
        <v>106.21</v>
      </c>
      <c r="P74">
        <v>335.59</v>
      </c>
      <c r="Q74">
        <v>780.71</v>
      </c>
      <c r="R74" s="2">
        <v>1927.44</v>
      </c>
      <c r="S74" s="2">
        <v>3200.2</v>
      </c>
      <c r="T74" s="2">
        <v>4581.7700000000004</v>
      </c>
      <c r="U74" s="2">
        <v>5844.37</v>
      </c>
    </row>
    <row r="75" spans="1:21" x14ac:dyDescent="0.25">
      <c r="A75" t="s">
        <v>419</v>
      </c>
      <c r="K75">
        <v>0</v>
      </c>
      <c r="L75">
        <v>0</v>
      </c>
      <c r="M75">
        <v>0.54</v>
      </c>
      <c r="N75">
        <v>0.55000000000000004</v>
      </c>
      <c r="O75">
        <v>3.19</v>
      </c>
      <c r="P75">
        <v>5.69</v>
      </c>
      <c r="Q75">
        <v>8.19</v>
      </c>
      <c r="R75">
        <v>10.69</v>
      </c>
      <c r="S75">
        <v>13.19</v>
      </c>
      <c r="T75">
        <v>15.69</v>
      </c>
      <c r="U75">
        <v>18.190000000000001</v>
      </c>
    </row>
    <row r="76" spans="1:21" x14ac:dyDescent="0.25">
      <c r="A76" t="s">
        <v>2831</v>
      </c>
      <c r="K76">
        <v>0.41</v>
      </c>
      <c r="L76">
        <v>46.04</v>
      </c>
      <c r="M76">
        <v>25</v>
      </c>
      <c r="N76">
        <v>26.16</v>
      </c>
      <c r="O76">
        <v>25.49</v>
      </c>
      <c r="P76">
        <v>25.49</v>
      </c>
      <c r="Q76">
        <v>25.49</v>
      </c>
      <c r="R76">
        <v>25.49</v>
      </c>
      <c r="S76">
        <v>25.49</v>
      </c>
      <c r="T76">
        <v>25.49</v>
      </c>
      <c r="U76">
        <v>25.49</v>
      </c>
    </row>
    <row r="77" spans="1:21" x14ac:dyDescent="0.25">
      <c r="A77" t="s">
        <v>167</v>
      </c>
      <c r="J77">
        <v>17.899999999999999</v>
      </c>
      <c r="K77">
        <v>19.399999999999999</v>
      </c>
      <c r="L77">
        <v>49.25</v>
      </c>
      <c r="M77">
        <v>30.88</v>
      </c>
      <c r="N77">
        <v>52.25</v>
      </c>
      <c r="O77">
        <v>191.86</v>
      </c>
      <c r="P77">
        <v>390.29</v>
      </c>
      <c r="Q77">
        <v>703.8</v>
      </c>
      <c r="R77" s="2">
        <v>1273.24</v>
      </c>
      <c r="S77" s="2">
        <v>2072.56</v>
      </c>
      <c r="T77" s="2">
        <v>3099.35</v>
      </c>
      <c r="U77" s="2">
        <v>4208.6499999999996</v>
      </c>
    </row>
    <row r="78" spans="1:21" x14ac:dyDescent="0.25">
      <c r="A78" t="s">
        <v>2832</v>
      </c>
      <c r="J78">
        <v>486.82</v>
      </c>
      <c r="K78">
        <v>490.74</v>
      </c>
      <c r="L78">
        <v>-34.36</v>
      </c>
      <c r="M78">
        <v>250.86</v>
      </c>
      <c r="N78" s="2">
        <v>1476.21</v>
      </c>
      <c r="O78" s="2">
        <v>2838.05</v>
      </c>
      <c r="P78" s="2">
        <v>2921.93</v>
      </c>
      <c r="Q78" s="2">
        <v>2936.91</v>
      </c>
      <c r="R78" s="2">
        <v>3100.88</v>
      </c>
      <c r="S78" s="2">
        <v>3475.97</v>
      </c>
      <c r="T78" s="2">
        <v>4014.34</v>
      </c>
      <c r="U78" s="2">
        <v>4774.8999999999996</v>
      </c>
    </row>
    <row r="79" spans="1:21" x14ac:dyDescent="0.25">
      <c r="A79" t="s">
        <v>172</v>
      </c>
      <c r="J79">
        <v>0</v>
      </c>
      <c r="K79">
        <v>0</v>
      </c>
      <c r="L79">
        <v>27.13</v>
      </c>
      <c r="M79">
        <v>383.74</v>
      </c>
      <c r="N79" s="2">
        <v>1715.79</v>
      </c>
      <c r="O79" s="2">
        <v>3561.34</v>
      </c>
      <c r="P79" s="2">
        <v>3614.44</v>
      </c>
      <c r="Q79" s="2">
        <v>3687.24</v>
      </c>
      <c r="R79" s="2">
        <v>4096.82</v>
      </c>
      <c r="S79" s="2">
        <v>4625.22</v>
      </c>
      <c r="T79" s="2">
        <v>5079.49</v>
      </c>
      <c r="U79" s="2">
        <v>5519.37</v>
      </c>
    </row>
    <row r="80" spans="1:21" x14ac:dyDescent="0.25">
      <c r="A80" t="s">
        <v>173</v>
      </c>
      <c r="J80">
        <v>-13.19</v>
      </c>
      <c r="K80">
        <v>-13.8</v>
      </c>
      <c r="L80">
        <v>-61.49</v>
      </c>
      <c r="M80">
        <v>-135.11000000000001</v>
      </c>
      <c r="N80">
        <v>-240.77</v>
      </c>
      <c r="O80">
        <v>-397.96</v>
      </c>
      <c r="P80">
        <v>-580.46</v>
      </c>
      <c r="Q80">
        <v>-804.36</v>
      </c>
      <c r="R80" s="2">
        <v>-1045.55</v>
      </c>
      <c r="S80" s="2">
        <v>-1150.54</v>
      </c>
      <c r="T80" s="2">
        <v>-1085.98</v>
      </c>
      <c r="U80">
        <v>-666.02</v>
      </c>
    </row>
    <row r="81" spans="1:21" x14ac:dyDescent="0.25">
      <c r="A81" t="s">
        <v>913</v>
      </c>
      <c r="L81">
        <v>0</v>
      </c>
      <c r="M81">
        <v>2.21</v>
      </c>
      <c r="N81">
        <v>1.18</v>
      </c>
      <c r="O81">
        <v>-2.74</v>
      </c>
      <c r="P81">
        <v>-2.74</v>
      </c>
      <c r="Q81">
        <v>-2.74</v>
      </c>
      <c r="R81">
        <v>-2.74</v>
      </c>
      <c r="S81">
        <v>-2.74</v>
      </c>
      <c r="T81">
        <v>-2.74</v>
      </c>
      <c r="U81">
        <v>-2.74</v>
      </c>
    </row>
    <row r="82" spans="1:21" x14ac:dyDescent="0.25">
      <c r="A82" t="s">
        <v>326</v>
      </c>
      <c r="J82">
        <v>504.72</v>
      </c>
      <c r="K82">
        <v>510.14</v>
      </c>
      <c r="L82">
        <v>14.89</v>
      </c>
      <c r="M82">
        <v>281.74</v>
      </c>
      <c r="N82" s="2">
        <v>1528.46</v>
      </c>
      <c r="O82" s="2">
        <v>3020.25</v>
      </c>
      <c r="P82" s="2">
        <v>3291.96</v>
      </c>
      <c r="Q82" s="2">
        <v>3596.2</v>
      </c>
      <c r="R82" s="2">
        <v>4388.37</v>
      </c>
      <c r="S82" s="2">
        <v>5581.78</v>
      </c>
      <c r="T82" s="2">
        <v>7178.77</v>
      </c>
      <c r="U82" s="2">
        <v>9107.2800000000007</v>
      </c>
    </row>
    <row r="83" spans="1:21" x14ac:dyDescent="0.25">
      <c r="A83" t="s">
        <v>17</v>
      </c>
    </row>
    <row r="84" spans="1:21" x14ac:dyDescent="0.25">
      <c r="A84" t="s">
        <v>176</v>
      </c>
    </row>
    <row r="85" spans="1:21" x14ac:dyDescent="0.25">
      <c r="A85" t="s">
        <v>505</v>
      </c>
      <c r="J85">
        <v>14.16</v>
      </c>
      <c r="K85">
        <v>13.92</v>
      </c>
      <c r="L85">
        <v>-9.8699999999999992</v>
      </c>
      <c r="M85">
        <v>-275.29000000000002</v>
      </c>
      <c r="N85" s="2">
        <v>-1412.54</v>
      </c>
      <c r="O85" s="2">
        <v>-1290.8</v>
      </c>
      <c r="P85">
        <v>-867.5</v>
      </c>
      <c r="Q85">
        <v>-722</v>
      </c>
      <c r="R85">
        <v>69.900000000000006</v>
      </c>
      <c r="S85" s="2">
        <v>2540.35</v>
      </c>
      <c r="T85">
        <v>533</v>
      </c>
      <c r="U85">
        <v>769</v>
      </c>
    </row>
    <row r="86" spans="1:21" x14ac:dyDescent="0.25">
      <c r="A86" t="s">
        <v>178</v>
      </c>
    </row>
    <row r="87" spans="1:21" x14ac:dyDescent="0.25">
      <c r="A87" t="s">
        <v>179</v>
      </c>
      <c r="K87">
        <v>0.77</v>
      </c>
      <c r="L87">
        <v>-12.26</v>
      </c>
      <c r="M87">
        <v>-49.64</v>
      </c>
      <c r="N87">
        <v>-11.67</v>
      </c>
      <c r="O87">
        <v>-3.85</v>
      </c>
      <c r="P87">
        <v>-2.41</v>
      </c>
      <c r="Q87">
        <v>-0.06</v>
      </c>
      <c r="R87">
        <v>5</v>
      </c>
      <c r="S87">
        <v>8.73</v>
      </c>
      <c r="T87">
        <v>10.17</v>
      </c>
      <c r="U87">
        <v>11.19</v>
      </c>
    </row>
    <row r="88" spans="1:21" x14ac:dyDescent="0.25">
      <c r="A88" t="s">
        <v>180</v>
      </c>
      <c r="K88">
        <v>0.8</v>
      </c>
      <c r="L88">
        <v>3.02</v>
      </c>
      <c r="N88">
        <v>-12.24</v>
      </c>
      <c r="O88">
        <v>-7.6</v>
      </c>
      <c r="P88">
        <v>-7.73</v>
      </c>
      <c r="Q88">
        <v>-9</v>
      </c>
    </row>
    <row r="89" spans="1:21" x14ac:dyDescent="0.25">
      <c r="A89" t="s">
        <v>424</v>
      </c>
      <c r="J89">
        <v>7.61</v>
      </c>
      <c r="K89">
        <v>7.67</v>
      </c>
      <c r="L89">
        <v>-0.5</v>
      </c>
      <c r="M89">
        <v>1.82</v>
      </c>
      <c r="N89">
        <v>9.1999999999999993</v>
      </c>
      <c r="O89">
        <v>18.07</v>
      </c>
      <c r="P89">
        <v>16.77</v>
      </c>
      <c r="Q89">
        <v>15.59</v>
      </c>
      <c r="R89">
        <v>16</v>
      </c>
      <c r="S89">
        <v>16.11</v>
      </c>
      <c r="T89">
        <v>17.11</v>
      </c>
      <c r="U89">
        <v>20.11</v>
      </c>
    </row>
    <row r="90" spans="1:21" x14ac:dyDescent="0.25">
      <c r="A90" t="s">
        <v>17</v>
      </c>
    </row>
    <row r="91" spans="1:21" x14ac:dyDescent="0.25">
      <c r="A91" t="s">
        <v>188</v>
      </c>
    </row>
    <row r="92" spans="1:21" x14ac:dyDescent="0.25">
      <c r="A92" t="s">
        <v>189</v>
      </c>
    </row>
    <row r="93" spans="1:21" x14ac:dyDescent="0.25">
      <c r="A93" t="s">
        <v>121</v>
      </c>
      <c r="J93">
        <v>-1.06</v>
      </c>
      <c r="K93">
        <v>3.93</v>
      </c>
      <c r="L93">
        <v>-32.17</v>
      </c>
      <c r="M93">
        <v>-73.62</v>
      </c>
      <c r="N93">
        <v>-105.66</v>
      </c>
      <c r="O93">
        <v>-140.86000000000001</v>
      </c>
      <c r="P93">
        <v>-163.74</v>
      </c>
      <c r="Q93">
        <v>-182.85</v>
      </c>
      <c r="R93">
        <v>-186.44</v>
      </c>
      <c r="S93">
        <v>-176.45</v>
      </c>
      <c r="T93">
        <v>-67</v>
      </c>
      <c r="U93">
        <v>120.37</v>
      </c>
    </row>
    <row r="94" spans="1:21" x14ac:dyDescent="0.25">
      <c r="A94" t="s">
        <v>190</v>
      </c>
      <c r="L94">
        <v>0.08</v>
      </c>
      <c r="M94">
        <v>0.27</v>
      </c>
      <c r="N94">
        <v>0.52</v>
      </c>
      <c r="O94">
        <v>2.78</v>
      </c>
      <c r="P94">
        <v>13.26</v>
      </c>
      <c r="Q94">
        <v>29.94</v>
      </c>
      <c r="R94">
        <v>58.67</v>
      </c>
      <c r="S94">
        <v>116.96</v>
      </c>
      <c r="T94">
        <v>228.35</v>
      </c>
      <c r="U94">
        <v>347.4</v>
      </c>
    </row>
    <row r="95" spans="1:21" x14ac:dyDescent="0.25">
      <c r="A95" t="s">
        <v>335</v>
      </c>
      <c r="L95">
        <v>0.78</v>
      </c>
      <c r="M95">
        <v>12.48</v>
      </c>
      <c r="N95">
        <v>41.8</v>
      </c>
      <c r="O95">
        <v>53.91</v>
      </c>
      <c r="P95">
        <v>57.67</v>
      </c>
      <c r="Q95">
        <v>58.42</v>
      </c>
      <c r="R95">
        <v>58.27</v>
      </c>
      <c r="S95">
        <v>64.05</v>
      </c>
      <c r="T95">
        <v>77.3</v>
      </c>
      <c r="U95">
        <v>88.99</v>
      </c>
    </row>
    <row r="96" spans="1:21" x14ac:dyDescent="0.25">
      <c r="A96" t="s">
        <v>513</v>
      </c>
      <c r="K96">
        <v>-1.26</v>
      </c>
      <c r="L96">
        <v>8.48</v>
      </c>
      <c r="M96">
        <v>215.61</v>
      </c>
      <c r="N96" s="2">
        <v>1001.62</v>
      </c>
      <c r="O96">
        <v>-9.7100000000000009</v>
      </c>
      <c r="P96">
        <v>13.9</v>
      </c>
      <c r="Q96">
        <v>11.52</v>
      </c>
      <c r="R96">
        <v>115.81</v>
      </c>
      <c r="S96">
        <v>59.97</v>
      </c>
      <c r="T96">
        <v>136.34</v>
      </c>
      <c r="U96">
        <v>157.1</v>
      </c>
    </row>
    <row r="97" spans="1:21" x14ac:dyDescent="0.25">
      <c r="A97" t="s">
        <v>204</v>
      </c>
      <c r="K97">
        <v>-0.95</v>
      </c>
      <c r="L97">
        <v>-16</v>
      </c>
      <c r="M97">
        <v>-38.39</v>
      </c>
      <c r="N97">
        <v>-82.17</v>
      </c>
      <c r="O97">
        <v>-112.16</v>
      </c>
      <c r="P97">
        <v>-95.99</v>
      </c>
      <c r="Q97">
        <v>-111.32</v>
      </c>
      <c r="R97">
        <v>-71.69</v>
      </c>
      <c r="S97">
        <v>84.64</v>
      </c>
      <c r="T97">
        <v>370.19</v>
      </c>
      <c r="U97">
        <v>755.66</v>
      </c>
    </row>
    <row r="98" spans="1:21" x14ac:dyDescent="0.25">
      <c r="A98" t="s">
        <v>17</v>
      </c>
    </row>
    <row r="99" spans="1:21" x14ac:dyDescent="0.25">
      <c r="A99" t="s">
        <v>205</v>
      </c>
    </row>
    <row r="100" spans="1:21" x14ac:dyDescent="0.25">
      <c r="A100" t="s">
        <v>206</v>
      </c>
      <c r="K100">
        <v>0</v>
      </c>
      <c r="L100">
        <v>-0.08</v>
      </c>
      <c r="M100">
        <v>-0.35</v>
      </c>
      <c r="N100">
        <v>-33.21</v>
      </c>
      <c r="O100">
        <v>-434.08</v>
      </c>
      <c r="P100">
        <v>-477.69</v>
      </c>
      <c r="Q100">
        <v>-663.58</v>
      </c>
      <c r="R100">
        <v>-995.9</v>
      </c>
      <c r="S100" s="2">
        <v>-1468.9</v>
      </c>
      <c r="T100" s="2">
        <v>-1835.6</v>
      </c>
      <c r="U100" s="2">
        <v>-2072.6999999999998</v>
      </c>
    </row>
    <row r="101" spans="1:21" x14ac:dyDescent="0.25">
      <c r="A101" t="s">
        <v>2833</v>
      </c>
      <c r="L101">
        <v>0</v>
      </c>
      <c r="M101">
        <v>116.2</v>
      </c>
      <c r="N101">
        <v>376.99</v>
      </c>
      <c r="O101">
        <v>557.82000000000005</v>
      </c>
      <c r="P101">
        <v>51.25</v>
      </c>
      <c r="Q101">
        <v>37.08</v>
      </c>
      <c r="R101">
        <v>119.58</v>
      </c>
      <c r="S101">
        <v>93.22</v>
      </c>
      <c r="T101">
        <v>121.1</v>
      </c>
      <c r="U101">
        <v>206.62</v>
      </c>
    </row>
    <row r="102" spans="1:21" x14ac:dyDescent="0.25">
      <c r="A102" t="s">
        <v>2834</v>
      </c>
      <c r="K102">
        <v>0</v>
      </c>
      <c r="L102">
        <v>0</v>
      </c>
      <c r="M102">
        <v>0</v>
      </c>
      <c r="N102">
        <v>-0.9</v>
      </c>
      <c r="O102">
        <v>-25.73</v>
      </c>
      <c r="P102">
        <v>0</v>
      </c>
    </row>
    <row r="103" spans="1:21" x14ac:dyDescent="0.25">
      <c r="A103" t="s">
        <v>213</v>
      </c>
      <c r="K103">
        <v>1.2</v>
      </c>
      <c r="L103">
        <v>-0.08</v>
      </c>
      <c r="M103">
        <v>-175.77</v>
      </c>
      <c r="N103">
        <v>-489.68</v>
      </c>
      <c r="O103">
        <v>-978.09</v>
      </c>
      <c r="P103">
        <v>-484.44</v>
      </c>
      <c r="Q103">
        <v>-678.39</v>
      </c>
      <c r="R103" s="2">
        <v>-1021.12</v>
      </c>
      <c r="S103" s="2">
        <v>-1490.47</v>
      </c>
      <c r="T103" s="2">
        <v>-1956.1</v>
      </c>
      <c r="U103" s="2">
        <v>-2286.2199999999998</v>
      </c>
    </row>
    <row r="104" spans="1:21" x14ac:dyDescent="0.25">
      <c r="A104" t="s">
        <v>17</v>
      </c>
    </row>
    <row r="105" spans="1:21" x14ac:dyDescent="0.25">
      <c r="A105" t="s">
        <v>214</v>
      </c>
    </row>
    <row r="106" spans="1:21" x14ac:dyDescent="0.25">
      <c r="A106" t="s">
        <v>2835</v>
      </c>
      <c r="K106">
        <v>3.93</v>
      </c>
      <c r="L106">
        <v>-525.1</v>
      </c>
      <c r="M106">
        <v>285.22000000000003</v>
      </c>
      <c r="N106" s="2">
        <v>1225.3499999999999</v>
      </c>
      <c r="O106" s="2">
        <v>1181.9000000000001</v>
      </c>
      <c r="P106">
        <v>50</v>
      </c>
      <c r="Q106">
        <v>50</v>
      </c>
      <c r="R106">
        <v>500</v>
      </c>
      <c r="S106">
        <v>500</v>
      </c>
      <c r="T106">
        <v>500</v>
      </c>
      <c r="U106">
        <v>559.19000000000005</v>
      </c>
    </row>
    <row r="107" spans="1:21" x14ac:dyDescent="0.25">
      <c r="A107" t="s">
        <v>2836</v>
      </c>
      <c r="K107">
        <v>0</v>
      </c>
      <c r="L107">
        <v>0</v>
      </c>
      <c r="M107">
        <v>0</v>
      </c>
      <c r="N107">
        <v>0</v>
      </c>
      <c r="O107">
        <v>76.709999999999994</v>
      </c>
      <c r="P107">
        <v>204.55</v>
      </c>
      <c r="Q107">
        <v>273</v>
      </c>
      <c r="R107">
        <v>469.49</v>
      </c>
      <c r="S107">
        <v>848.55</v>
      </c>
      <c r="T107" s="2">
        <v>1520.94</v>
      </c>
      <c r="U107" s="2">
        <v>1913.53</v>
      </c>
    </row>
    <row r="108" spans="1:21" x14ac:dyDescent="0.25">
      <c r="A108" t="s">
        <v>218</v>
      </c>
      <c r="K108">
        <v>0</v>
      </c>
      <c r="L108">
        <v>16.3</v>
      </c>
      <c r="M108">
        <v>301.43</v>
      </c>
      <c r="N108" s="2">
        <v>1263.17</v>
      </c>
      <c r="O108" s="2">
        <v>1635.79</v>
      </c>
      <c r="P108">
        <v>408.17</v>
      </c>
      <c r="Q108">
        <v>464.12</v>
      </c>
      <c r="R108">
        <v>879.09</v>
      </c>
      <c r="S108" s="2">
        <v>1430.3</v>
      </c>
      <c r="T108" s="2">
        <v>1549.61</v>
      </c>
      <c r="U108" s="2">
        <v>1555.23</v>
      </c>
    </row>
    <row r="109" spans="1:21" x14ac:dyDescent="0.25">
      <c r="A109" t="s">
        <v>17</v>
      </c>
    </row>
    <row r="110" spans="1:21" x14ac:dyDescent="0.25">
      <c r="A110" t="s">
        <v>176</v>
      </c>
    </row>
    <row r="111" spans="1:21" x14ac:dyDescent="0.25">
      <c r="A111" t="s">
        <v>1213</v>
      </c>
      <c r="K111">
        <v>0.24</v>
      </c>
      <c r="L111">
        <v>0.21</v>
      </c>
      <c r="M111">
        <v>87.26</v>
      </c>
      <c r="N111">
        <v>691.31</v>
      </c>
      <c r="O111">
        <v>765.46</v>
      </c>
      <c r="P111">
        <v>-153.22</v>
      </c>
      <c r="Q111">
        <v>-302.7</v>
      </c>
      <c r="R111">
        <v>-295.38</v>
      </c>
      <c r="S111">
        <v>-201.02</v>
      </c>
      <c r="T111">
        <v>-84.24</v>
      </c>
      <c r="U111">
        <v>47.87</v>
      </c>
    </row>
    <row r="112" spans="1:21" x14ac:dyDescent="0.25">
      <c r="A112" t="s">
        <v>221</v>
      </c>
      <c r="K112">
        <v>3.34</v>
      </c>
      <c r="L112">
        <v>9.65</v>
      </c>
      <c r="M112">
        <v>9.8699999999999992</v>
      </c>
      <c r="N112">
        <v>97.13</v>
      </c>
      <c r="O112">
        <v>751.57</v>
      </c>
      <c r="P112" s="2">
        <v>1520.59</v>
      </c>
      <c r="Q112" s="2">
        <v>1410.93</v>
      </c>
      <c r="R112" s="2">
        <v>1134.97</v>
      </c>
      <c r="S112">
        <v>994.69</v>
      </c>
      <c r="T112">
        <v>891.95</v>
      </c>
      <c r="U112">
        <v>787.25</v>
      </c>
    </row>
    <row r="113" spans="1:21" x14ac:dyDescent="0.25">
      <c r="A113" t="s">
        <v>222</v>
      </c>
      <c r="K113">
        <v>3.58</v>
      </c>
      <c r="L113">
        <v>9.8699999999999992</v>
      </c>
      <c r="M113">
        <v>97.13</v>
      </c>
      <c r="N113">
        <v>788.45</v>
      </c>
      <c r="O113" s="2">
        <v>1705.1</v>
      </c>
      <c r="P113" s="2">
        <v>1527.43</v>
      </c>
      <c r="Q113" s="2">
        <v>1020.4</v>
      </c>
      <c r="R113">
        <v>576.76</v>
      </c>
      <c r="S113">
        <v>175</v>
      </c>
      <c r="T113">
        <v>-273.22000000000003</v>
      </c>
      <c r="U113">
        <v>-572.08000000000004</v>
      </c>
    </row>
    <row r="114" spans="1:21" x14ac:dyDescent="0.25">
      <c r="A114" t="s">
        <v>178</v>
      </c>
    </row>
    <row r="115" spans="1:21" x14ac:dyDescent="0.25">
      <c r="A115" t="s">
        <v>225</v>
      </c>
      <c r="K115">
        <v>-0.95</v>
      </c>
      <c r="L115">
        <v>-16.079999999999998</v>
      </c>
      <c r="M115">
        <v>-38.74</v>
      </c>
      <c r="N115">
        <v>-115.38</v>
      </c>
      <c r="O115">
        <v>-490.96</v>
      </c>
      <c r="P115">
        <v>-497.11</v>
      </c>
      <c r="Q115">
        <v>-673.25</v>
      </c>
      <c r="R115">
        <v>-830.9</v>
      </c>
      <c r="S115" s="2">
        <v>-1237.0899999999999</v>
      </c>
      <c r="T115">
        <v>-833.88</v>
      </c>
      <c r="U115">
        <v>-765.82</v>
      </c>
    </row>
    <row r="116" spans="1:21" x14ac:dyDescent="0.25">
      <c r="A116" t="s">
        <v>17</v>
      </c>
    </row>
    <row r="117" spans="1:21" x14ac:dyDescent="0.25">
      <c r="A117" t="s">
        <v>231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9C59-156B-40D8-8031-6F8E41A00CB2}">
  <dimension ref="A1:U84"/>
  <sheetViews>
    <sheetView workbookViewId="0">
      <selection sqref="A1:U84"/>
    </sheetView>
  </sheetViews>
  <sheetFormatPr defaultRowHeight="15" x14ac:dyDescent="0.25"/>
  <sheetData>
    <row r="1" spans="1:21" x14ac:dyDescent="0.25">
      <c r="A1" t="s">
        <v>2837</v>
      </c>
    </row>
    <row r="2" spans="1:21" x14ac:dyDescent="0.25">
      <c r="A2" t="s">
        <v>2838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N6">
        <v>-0.54</v>
      </c>
      <c r="O6">
        <v>-0.69</v>
      </c>
      <c r="P6">
        <v>-0.5</v>
      </c>
      <c r="Q6">
        <v>-0.33</v>
      </c>
      <c r="R6">
        <v>-0.08</v>
      </c>
      <c r="S6">
        <v>0.85</v>
      </c>
      <c r="T6">
        <v>1.76</v>
      </c>
      <c r="U6">
        <v>2.6</v>
      </c>
    </row>
    <row r="7" spans="1:21" x14ac:dyDescent="0.25">
      <c r="A7" t="s">
        <v>16</v>
      </c>
      <c r="N7">
        <v>109.1</v>
      </c>
      <c r="O7">
        <v>189.75</v>
      </c>
      <c r="P7">
        <v>677.5</v>
      </c>
      <c r="Q7" s="2">
        <v>1058.6300000000001</v>
      </c>
      <c r="R7" s="2">
        <v>1231.8</v>
      </c>
      <c r="S7" s="2">
        <v>1893</v>
      </c>
      <c r="T7" s="2">
        <v>2392</v>
      </c>
      <c r="U7" s="2">
        <v>2611</v>
      </c>
    </row>
    <row r="8" spans="1:21" x14ac:dyDescent="0.25">
      <c r="A8" t="s">
        <v>17</v>
      </c>
    </row>
    <row r="9" spans="1:21" x14ac:dyDescent="0.25">
      <c r="A9" t="s">
        <v>528</v>
      </c>
      <c r="N9">
        <v>-389.78</v>
      </c>
      <c r="O9">
        <v>-404.25</v>
      </c>
      <c r="P9">
        <v>-181.19</v>
      </c>
      <c r="Q9">
        <v>-119.41</v>
      </c>
      <c r="R9">
        <v>-41.46</v>
      </c>
      <c r="S9">
        <v>247.38</v>
      </c>
      <c r="T9">
        <v>535.86</v>
      </c>
      <c r="U9" s="2">
        <v>1001.8</v>
      </c>
    </row>
    <row r="10" spans="1:21" x14ac:dyDescent="0.25">
      <c r="A10" t="s">
        <v>17</v>
      </c>
    </row>
    <row r="11" spans="1:21" x14ac:dyDescent="0.25">
      <c r="A11" t="s">
        <v>204</v>
      </c>
      <c r="M11">
        <v>-96.16</v>
      </c>
      <c r="N11">
        <v>-149.86000000000001</v>
      </c>
      <c r="O11">
        <v>-242.03</v>
      </c>
      <c r="P11">
        <v>-184.44</v>
      </c>
      <c r="Q11">
        <v>-86.26</v>
      </c>
      <c r="R11">
        <v>-43.18</v>
      </c>
      <c r="S11">
        <v>337.51</v>
      </c>
      <c r="T11">
        <v>607.53</v>
      </c>
      <c r="U11">
        <v>864.62</v>
      </c>
    </row>
    <row r="12" spans="1:21" x14ac:dyDescent="0.25">
      <c r="A12" t="s">
        <v>213</v>
      </c>
      <c r="M12">
        <v>-1.87</v>
      </c>
      <c r="N12">
        <v>-628.34</v>
      </c>
      <c r="O12">
        <v>-317.81</v>
      </c>
      <c r="P12">
        <v>-451.3</v>
      </c>
      <c r="Q12">
        <v>-247.15</v>
      </c>
      <c r="R12">
        <v>-257.55</v>
      </c>
      <c r="S12">
        <v>-373.35</v>
      </c>
      <c r="T12">
        <v>-592</v>
      </c>
      <c r="U12">
        <v>-750.02</v>
      </c>
    </row>
    <row r="13" spans="1:21" x14ac:dyDescent="0.25">
      <c r="A13" t="s">
        <v>218</v>
      </c>
      <c r="M13">
        <v>598.34</v>
      </c>
      <c r="N13">
        <v>726.13</v>
      </c>
      <c r="O13" s="2">
        <v>1094.3</v>
      </c>
      <c r="P13">
        <v>394.21</v>
      </c>
      <c r="Q13">
        <v>109.56</v>
      </c>
      <c r="R13">
        <v>-88.73</v>
      </c>
      <c r="S13">
        <v>14.72</v>
      </c>
      <c r="T13">
        <v>73.42</v>
      </c>
      <c r="U13">
        <v>-65.92</v>
      </c>
    </row>
    <row r="14" spans="1:21" x14ac:dyDescent="0.25">
      <c r="A14" t="s">
        <v>17</v>
      </c>
    </row>
    <row r="15" spans="1:21" x14ac:dyDescent="0.25">
      <c r="A15" t="s">
        <v>37</v>
      </c>
    </row>
    <row r="16" spans="1:21" x14ac:dyDescent="0.25">
      <c r="A16" t="s">
        <v>2839</v>
      </c>
    </row>
    <row r="17" spans="1:21" x14ac:dyDescent="0.25">
      <c r="A17" t="s">
        <v>60</v>
      </c>
      <c r="Q17">
        <v>53.43</v>
      </c>
      <c r="R17">
        <v>106.62</v>
      </c>
      <c r="S17">
        <v>467.2</v>
      </c>
      <c r="T17">
        <v>658.58</v>
      </c>
      <c r="U17">
        <v>713.3</v>
      </c>
    </row>
    <row r="18" spans="1:21" x14ac:dyDescent="0.25">
      <c r="A18" t="s">
        <v>63</v>
      </c>
      <c r="Q18">
        <v>24.67</v>
      </c>
      <c r="R18">
        <v>49.35</v>
      </c>
      <c r="S18">
        <v>236.5</v>
      </c>
      <c r="T18">
        <v>307.19</v>
      </c>
      <c r="U18">
        <v>266.83999999999997</v>
      </c>
    </row>
    <row r="19" spans="1:21" x14ac:dyDescent="0.25">
      <c r="A19" t="s">
        <v>2840</v>
      </c>
      <c r="O19">
        <v>-177</v>
      </c>
      <c r="P19">
        <v>-563</v>
      </c>
      <c r="Q19">
        <v>-348.5</v>
      </c>
      <c r="R19">
        <v>-416.5</v>
      </c>
      <c r="S19">
        <v>-595</v>
      </c>
      <c r="T19">
        <v>-943.5</v>
      </c>
      <c r="U19" s="2">
        <v>-1020</v>
      </c>
    </row>
    <row r="20" spans="1:21" x14ac:dyDescent="0.25">
      <c r="A20" t="s">
        <v>17</v>
      </c>
    </row>
    <row r="21" spans="1:21" x14ac:dyDescent="0.25">
      <c r="A21" t="s">
        <v>2841</v>
      </c>
      <c r="U21">
        <v>1</v>
      </c>
    </row>
    <row r="22" spans="1:21" x14ac:dyDescent="0.25">
      <c r="A22" t="s">
        <v>2842</v>
      </c>
      <c r="O22">
        <v>100</v>
      </c>
      <c r="P22">
        <v>100</v>
      </c>
      <c r="Q22">
        <v>200</v>
      </c>
      <c r="R22">
        <v>200</v>
      </c>
      <c r="S22">
        <v>200</v>
      </c>
      <c r="T22">
        <v>200</v>
      </c>
      <c r="U22">
        <v>200</v>
      </c>
    </row>
    <row r="23" spans="1:21" x14ac:dyDescent="0.25">
      <c r="A23" t="s">
        <v>17</v>
      </c>
    </row>
    <row r="24" spans="1:21" x14ac:dyDescent="0.25">
      <c r="A24" t="s">
        <v>79</v>
      </c>
    </row>
    <row r="25" spans="1:21" x14ac:dyDescent="0.25">
      <c r="A25" t="s">
        <v>80</v>
      </c>
      <c r="N25">
        <v>109.1</v>
      </c>
      <c r="O25">
        <v>189.75</v>
      </c>
      <c r="P25">
        <v>677.5</v>
      </c>
      <c r="Q25" s="2">
        <v>1058.6300000000001</v>
      </c>
      <c r="R25" s="2">
        <v>1231.8</v>
      </c>
      <c r="S25" s="2">
        <v>1893</v>
      </c>
      <c r="T25" s="2">
        <v>2392</v>
      </c>
      <c r="U25" s="2">
        <v>2611</v>
      </c>
    </row>
    <row r="26" spans="1:21" x14ac:dyDescent="0.25">
      <c r="A26" t="s">
        <v>17</v>
      </c>
    </row>
    <row r="27" spans="1:21" x14ac:dyDescent="0.25">
      <c r="A27" t="s">
        <v>84</v>
      </c>
      <c r="M27">
        <v>-9.9600000000000009</v>
      </c>
      <c r="N27">
        <v>-52.27</v>
      </c>
      <c r="O27">
        <v>4.05</v>
      </c>
      <c r="P27">
        <v>11.88</v>
      </c>
      <c r="Q27">
        <v>83.86</v>
      </c>
      <c r="R27">
        <v>362.08</v>
      </c>
      <c r="S27">
        <v>861.45</v>
      </c>
    </row>
    <row r="28" spans="1:21" x14ac:dyDescent="0.25">
      <c r="A28" t="s">
        <v>85</v>
      </c>
      <c r="N28">
        <v>-47.91</v>
      </c>
      <c r="O28">
        <v>-46.3</v>
      </c>
      <c r="P28">
        <v>-33.96</v>
      </c>
      <c r="Q28">
        <v>4.8099999999999996</v>
      </c>
      <c r="R28">
        <v>7.25</v>
      </c>
      <c r="S28">
        <v>18.95</v>
      </c>
      <c r="T28">
        <v>23.46</v>
      </c>
      <c r="U28">
        <v>49.96</v>
      </c>
    </row>
    <row r="29" spans="1:21" x14ac:dyDescent="0.25">
      <c r="A29" t="s">
        <v>17</v>
      </c>
    </row>
    <row r="30" spans="1:21" x14ac:dyDescent="0.25">
      <c r="A30" t="s">
        <v>91</v>
      </c>
      <c r="N30">
        <v>-170.3</v>
      </c>
      <c r="O30">
        <v>-343</v>
      </c>
      <c r="P30">
        <v>-254.8</v>
      </c>
      <c r="Q30">
        <v>-129.78</v>
      </c>
      <c r="R30">
        <v>61.67</v>
      </c>
      <c r="S30">
        <v>490.57</v>
      </c>
      <c r="T30">
        <v>920.08</v>
      </c>
      <c r="U30" s="2">
        <v>1385.23</v>
      </c>
    </row>
    <row r="31" spans="1:21" x14ac:dyDescent="0.25">
      <c r="A31" t="s">
        <v>17</v>
      </c>
    </row>
    <row r="32" spans="1:21" x14ac:dyDescent="0.25">
      <c r="A32" t="s">
        <v>93</v>
      </c>
      <c r="M32">
        <v>0.91</v>
      </c>
      <c r="N32">
        <v>1.39</v>
      </c>
      <c r="O32">
        <v>2.3199999999999998</v>
      </c>
      <c r="P32">
        <v>5.45</v>
      </c>
      <c r="Q32">
        <v>12.9</v>
      </c>
      <c r="R32">
        <v>21.52</v>
      </c>
      <c r="S32">
        <v>25.7</v>
      </c>
      <c r="T32">
        <v>32.15</v>
      </c>
      <c r="U32">
        <v>40.36</v>
      </c>
    </row>
    <row r="33" spans="1:21" x14ac:dyDescent="0.25">
      <c r="A33" t="s">
        <v>277</v>
      </c>
      <c r="N33">
        <v>-168.91</v>
      </c>
      <c r="O33">
        <v>-276.57</v>
      </c>
      <c r="P33">
        <v>-225.14</v>
      </c>
      <c r="Q33">
        <v>-109.11</v>
      </c>
      <c r="R33">
        <v>36.799999999999997</v>
      </c>
      <c r="S33">
        <v>411.88</v>
      </c>
      <c r="T33">
        <v>643.25</v>
      </c>
      <c r="U33" s="2">
        <v>1211.75</v>
      </c>
    </row>
    <row r="34" spans="1:21" x14ac:dyDescent="0.25">
      <c r="A34" t="s">
        <v>17</v>
      </c>
    </row>
    <row r="35" spans="1:21" x14ac:dyDescent="0.25">
      <c r="A35" t="s">
        <v>97</v>
      </c>
      <c r="M35">
        <v>13.74</v>
      </c>
      <c r="N35">
        <v>20.29</v>
      </c>
      <c r="O35">
        <v>43.7</v>
      </c>
      <c r="P35">
        <v>27.27</v>
      </c>
      <c r="Q35">
        <v>-6.58</v>
      </c>
      <c r="R35">
        <v>9.44</v>
      </c>
      <c r="S35">
        <v>4.55</v>
      </c>
      <c r="T35">
        <v>-4.55</v>
      </c>
      <c r="U35">
        <v>-10.92</v>
      </c>
    </row>
    <row r="36" spans="1:21" x14ac:dyDescent="0.25">
      <c r="A36" t="s">
        <v>100</v>
      </c>
      <c r="N36">
        <v>-389.78</v>
      </c>
      <c r="O36">
        <v>-394.43</v>
      </c>
      <c r="P36">
        <v>-240.43</v>
      </c>
      <c r="Q36">
        <v>-153.81</v>
      </c>
      <c r="R36">
        <v>-42.5</v>
      </c>
      <c r="S36">
        <v>238.58</v>
      </c>
      <c r="T36">
        <v>523.66</v>
      </c>
      <c r="U36" s="2">
        <v>1019.4</v>
      </c>
    </row>
    <row r="37" spans="1:21" x14ac:dyDescent="0.25">
      <c r="A37" t="s">
        <v>17</v>
      </c>
    </row>
    <row r="38" spans="1:21" x14ac:dyDescent="0.25">
      <c r="A38" t="s">
        <v>106</v>
      </c>
      <c r="N38">
        <v>-389.78</v>
      </c>
      <c r="O38">
        <v>-366.25</v>
      </c>
      <c r="P38">
        <v>-200.6</v>
      </c>
      <c r="Q38">
        <v>-137.78</v>
      </c>
      <c r="R38">
        <v>-84.33</v>
      </c>
      <c r="S38">
        <v>199.98</v>
      </c>
      <c r="T38">
        <v>449.08</v>
      </c>
      <c r="U38">
        <v>907</v>
      </c>
    </row>
    <row r="39" spans="1:21" x14ac:dyDescent="0.25">
      <c r="A39" t="s">
        <v>17</v>
      </c>
    </row>
    <row r="40" spans="1:21" x14ac:dyDescent="0.25">
      <c r="A40" t="s">
        <v>110</v>
      </c>
      <c r="N40">
        <v>-0.54</v>
      </c>
      <c r="O40">
        <v>-0.79</v>
      </c>
      <c r="P40">
        <v>-0.63</v>
      </c>
      <c r="Q40">
        <v>-0.38</v>
      </c>
      <c r="R40">
        <v>-0.28000000000000003</v>
      </c>
      <c r="S40">
        <v>0.09</v>
      </c>
      <c r="T40">
        <v>0.18</v>
      </c>
      <c r="U40">
        <v>0.52</v>
      </c>
    </row>
    <row r="41" spans="1:21" x14ac:dyDescent="0.25">
      <c r="A41" t="s">
        <v>17</v>
      </c>
    </row>
    <row r="42" spans="1:21" x14ac:dyDescent="0.25">
      <c r="A42" t="s">
        <v>111</v>
      </c>
    </row>
    <row r="43" spans="1:21" x14ac:dyDescent="0.25">
      <c r="A43" t="s">
        <v>121</v>
      </c>
      <c r="N43">
        <v>-389.78</v>
      </c>
      <c r="O43">
        <v>-404.25</v>
      </c>
      <c r="P43">
        <v>-181.19</v>
      </c>
      <c r="Q43">
        <v>-119.41</v>
      </c>
      <c r="R43">
        <v>-41.46</v>
      </c>
      <c r="S43">
        <v>247.38</v>
      </c>
      <c r="T43">
        <v>535.86</v>
      </c>
      <c r="U43" s="2">
        <v>1001.8</v>
      </c>
    </row>
    <row r="44" spans="1:21" x14ac:dyDescent="0.25">
      <c r="A44" t="s">
        <v>124</v>
      </c>
      <c r="N44">
        <v>-0.54</v>
      </c>
      <c r="O44">
        <v>-0.69</v>
      </c>
      <c r="P44">
        <v>-0.5</v>
      </c>
      <c r="Q44">
        <v>-0.33</v>
      </c>
      <c r="R44">
        <v>-0.08</v>
      </c>
      <c r="S44">
        <v>0.85</v>
      </c>
      <c r="T44">
        <v>1.76</v>
      </c>
      <c r="U44">
        <v>2.6</v>
      </c>
    </row>
    <row r="45" spans="1:21" x14ac:dyDescent="0.25">
      <c r="A45" t="s">
        <v>17</v>
      </c>
    </row>
    <row r="46" spans="1:21" x14ac:dyDescent="0.25">
      <c r="A46" t="s">
        <v>134</v>
      </c>
    </row>
    <row r="47" spans="1:21" x14ac:dyDescent="0.25">
      <c r="A47" t="s">
        <v>135</v>
      </c>
    </row>
    <row r="48" spans="1:21" x14ac:dyDescent="0.25">
      <c r="A48" t="s">
        <v>136</v>
      </c>
      <c r="M48">
        <v>561.89</v>
      </c>
      <c r="N48">
        <v>854.38</v>
      </c>
      <c r="O48" s="2">
        <v>1628.44</v>
      </c>
      <c r="P48" s="2">
        <v>1336.69</v>
      </c>
      <c r="Q48" s="2">
        <v>1170.8499999999999</v>
      </c>
      <c r="R48">
        <v>921.08</v>
      </c>
      <c r="S48">
        <v>916.41</v>
      </c>
      <c r="T48">
        <v>954.62</v>
      </c>
      <c r="U48">
        <v>960.67</v>
      </c>
    </row>
    <row r="49" spans="1:21" x14ac:dyDescent="0.25">
      <c r="A49" t="s">
        <v>536</v>
      </c>
      <c r="M49">
        <v>514.6</v>
      </c>
      <c r="N49">
        <v>458.93</v>
      </c>
      <c r="O49">
        <v>968.31</v>
      </c>
      <c r="P49">
        <v>667.26</v>
      </c>
      <c r="Q49">
        <v>351.54</v>
      </c>
      <c r="R49">
        <v>315.69</v>
      </c>
      <c r="S49">
        <v>242.57</v>
      </c>
      <c r="T49">
        <v>239.85</v>
      </c>
      <c r="U49">
        <v>226.48</v>
      </c>
    </row>
    <row r="50" spans="1:21" x14ac:dyDescent="0.25">
      <c r="A50" t="s">
        <v>141</v>
      </c>
      <c r="M50">
        <v>1.21</v>
      </c>
      <c r="N50">
        <v>32.94</v>
      </c>
      <c r="O50">
        <v>27.14</v>
      </c>
      <c r="P50">
        <v>68.319999999999993</v>
      </c>
      <c r="Q50">
        <v>103.91</v>
      </c>
      <c r="R50">
        <v>137.19999999999999</v>
      </c>
      <c r="S50">
        <v>205.02</v>
      </c>
      <c r="T50">
        <v>261.43</v>
      </c>
      <c r="U50">
        <v>258.12</v>
      </c>
    </row>
    <row r="51" spans="1:21" x14ac:dyDescent="0.25">
      <c r="A51" t="s">
        <v>146</v>
      </c>
      <c r="M51">
        <v>17.62</v>
      </c>
      <c r="N51">
        <v>356.89</v>
      </c>
      <c r="O51">
        <v>546.25</v>
      </c>
      <c r="P51" s="2">
        <v>1111.75</v>
      </c>
      <c r="Q51" s="2">
        <v>1475.25</v>
      </c>
      <c r="R51" s="2">
        <v>1633.25</v>
      </c>
      <c r="S51" s="2">
        <v>2157.75</v>
      </c>
      <c r="T51" s="2">
        <v>2682.25</v>
      </c>
      <c r="U51" s="2">
        <v>3561.75</v>
      </c>
    </row>
    <row r="52" spans="1:21" x14ac:dyDescent="0.25">
      <c r="A52" t="s">
        <v>1706</v>
      </c>
      <c r="M52">
        <v>5.83</v>
      </c>
      <c r="N52">
        <v>50.11</v>
      </c>
      <c r="O52">
        <v>210.22</v>
      </c>
      <c r="P52">
        <v>664.1</v>
      </c>
      <c r="Q52">
        <v>959.19</v>
      </c>
      <c r="R52" s="2">
        <v>1087.54</v>
      </c>
      <c r="S52" s="2">
        <v>1300.92</v>
      </c>
      <c r="T52" s="2">
        <v>1526.78</v>
      </c>
      <c r="U52" s="2">
        <v>2026.71</v>
      </c>
    </row>
    <row r="53" spans="1:21" x14ac:dyDescent="0.25">
      <c r="A53" t="s">
        <v>155</v>
      </c>
      <c r="M53">
        <v>579.51</v>
      </c>
      <c r="N53" s="2">
        <v>1211.27</v>
      </c>
      <c r="O53" s="2">
        <v>2142.1799999999998</v>
      </c>
      <c r="P53" s="2">
        <v>2308.7399999999998</v>
      </c>
      <c r="Q53" s="2">
        <v>2474.37</v>
      </c>
      <c r="R53" s="2">
        <v>2484.1</v>
      </c>
      <c r="S53" s="2">
        <v>2857.35</v>
      </c>
      <c r="T53" s="2">
        <v>3519.45</v>
      </c>
      <c r="U53" s="2">
        <v>4400.03</v>
      </c>
    </row>
    <row r="54" spans="1:21" x14ac:dyDescent="0.25">
      <c r="A54" t="s">
        <v>17</v>
      </c>
    </row>
    <row r="55" spans="1:21" x14ac:dyDescent="0.25">
      <c r="A55" t="s">
        <v>156</v>
      </c>
    </row>
    <row r="56" spans="1:21" x14ac:dyDescent="0.25">
      <c r="A56" t="s">
        <v>157</v>
      </c>
      <c r="M56">
        <v>64.72</v>
      </c>
      <c r="N56">
        <v>58.81</v>
      </c>
      <c r="O56">
        <v>101.97</v>
      </c>
      <c r="P56">
        <v>129.36000000000001</v>
      </c>
      <c r="Q56">
        <v>176.15</v>
      </c>
      <c r="R56">
        <v>202.96</v>
      </c>
      <c r="S56">
        <v>230.23</v>
      </c>
      <c r="T56">
        <v>254.84</v>
      </c>
      <c r="U56">
        <v>186.79</v>
      </c>
    </row>
    <row r="57" spans="1:21" x14ac:dyDescent="0.25">
      <c r="A57" t="s">
        <v>164</v>
      </c>
      <c r="M57">
        <v>60.97</v>
      </c>
      <c r="N57">
        <v>310.20999999999998</v>
      </c>
      <c r="O57">
        <v>55.26</v>
      </c>
      <c r="P57">
        <v>259.26</v>
      </c>
      <c r="Q57">
        <v>402.06</v>
      </c>
      <c r="R57">
        <v>871.26</v>
      </c>
      <c r="S57" s="2">
        <v>1279.26</v>
      </c>
      <c r="T57" s="2">
        <v>1972.86</v>
      </c>
      <c r="U57" s="2">
        <v>2728.86</v>
      </c>
    </row>
    <row r="58" spans="1:21" x14ac:dyDescent="0.25">
      <c r="A58" t="s">
        <v>2843</v>
      </c>
      <c r="M58">
        <v>50.63</v>
      </c>
      <c r="N58">
        <v>274.17</v>
      </c>
    </row>
    <row r="59" spans="1:21" x14ac:dyDescent="0.25">
      <c r="A59" t="s">
        <v>167</v>
      </c>
      <c r="M59">
        <v>125.7</v>
      </c>
      <c r="N59">
        <v>369.01</v>
      </c>
      <c r="O59">
        <v>113.96</v>
      </c>
      <c r="P59">
        <v>411.15</v>
      </c>
      <c r="Q59">
        <v>661.96</v>
      </c>
      <c r="R59">
        <v>850.97</v>
      </c>
      <c r="S59" s="2">
        <v>1092.5</v>
      </c>
      <c r="T59" s="2">
        <v>1467.05</v>
      </c>
      <c r="U59" s="2">
        <v>1891.45</v>
      </c>
    </row>
    <row r="60" spans="1:21" x14ac:dyDescent="0.25">
      <c r="A60" t="s">
        <v>170</v>
      </c>
      <c r="M60">
        <v>453.82</v>
      </c>
      <c r="N60">
        <v>842.26</v>
      </c>
      <c r="O60" s="2">
        <v>1607.67</v>
      </c>
      <c r="P60" s="2">
        <v>1397.67</v>
      </c>
      <c r="Q60" s="2">
        <v>1336</v>
      </c>
      <c r="R60" s="2">
        <v>1397</v>
      </c>
      <c r="S60" s="2">
        <v>1607.33</v>
      </c>
      <c r="T60" s="2">
        <v>2071</v>
      </c>
      <c r="U60" s="2">
        <v>2961.67</v>
      </c>
    </row>
    <row r="61" spans="1:21" x14ac:dyDescent="0.25">
      <c r="A61" t="s">
        <v>326</v>
      </c>
      <c r="M61">
        <v>579.51</v>
      </c>
      <c r="N61" s="2">
        <v>1211.27</v>
      </c>
      <c r="O61" s="2">
        <v>2142.1799999999998</v>
      </c>
      <c r="P61" s="2">
        <v>2308.7399999999998</v>
      </c>
      <c r="Q61" s="2">
        <v>2474.37</v>
      </c>
      <c r="R61" s="2">
        <v>2484.1</v>
      </c>
      <c r="S61" s="2">
        <v>2857.35</v>
      </c>
      <c r="T61" s="2">
        <v>3519.45</v>
      </c>
      <c r="U61" s="2">
        <v>4400.03</v>
      </c>
    </row>
    <row r="62" spans="1:21" x14ac:dyDescent="0.25">
      <c r="A62" t="s">
        <v>17</v>
      </c>
    </row>
    <row r="63" spans="1:21" x14ac:dyDescent="0.25">
      <c r="A63" t="s">
        <v>188</v>
      </c>
    </row>
    <row r="64" spans="1:21" x14ac:dyDescent="0.25">
      <c r="A64" t="s">
        <v>189</v>
      </c>
    </row>
    <row r="65" spans="1:21" x14ac:dyDescent="0.25">
      <c r="A65" t="s">
        <v>121</v>
      </c>
      <c r="N65">
        <v>-389.78</v>
      </c>
      <c r="O65">
        <v>-366.25</v>
      </c>
      <c r="P65">
        <v>-200.6</v>
      </c>
      <c r="Q65">
        <v>-137.78</v>
      </c>
      <c r="R65">
        <v>-84.33</v>
      </c>
      <c r="S65">
        <v>199.98</v>
      </c>
      <c r="T65">
        <v>449.08</v>
      </c>
      <c r="U65">
        <v>907</v>
      </c>
    </row>
    <row r="66" spans="1:21" x14ac:dyDescent="0.25">
      <c r="A66" t="s">
        <v>190</v>
      </c>
      <c r="M66">
        <v>0.91</v>
      </c>
      <c r="N66">
        <v>1.39</v>
      </c>
      <c r="O66">
        <v>2.3199999999999998</v>
      </c>
      <c r="P66">
        <v>5.45</v>
      </c>
      <c r="Q66">
        <v>12.9</v>
      </c>
      <c r="R66">
        <v>21.52</v>
      </c>
      <c r="S66">
        <v>25.7</v>
      </c>
      <c r="T66">
        <v>32.15</v>
      </c>
      <c r="U66">
        <v>40.36</v>
      </c>
    </row>
    <row r="67" spans="1:21" x14ac:dyDescent="0.25">
      <c r="A67" t="s">
        <v>204</v>
      </c>
      <c r="M67">
        <v>-96.16</v>
      </c>
      <c r="N67">
        <v>-149.86000000000001</v>
      </c>
      <c r="O67">
        <v>-242.03</v>
      </c>
      <c r="P67">
        <v>-184.44</v>
      </c>
      <c r="Q67">
        <v>-86.26</v>
      </c>
      <c r="R67">
        <v>-43.18</v>
      </c>
      <c r="S67">
        <v>337.51</v>
      </c>
      <c r="T67">
        <v>607.53</v>
      </c>
      <c r="U67">
        <v>864.62</v>
      </c>
    </row>
    <row r="68" spans="1:21" x14ac:dyDescent="0.25">
      <c r="A68" t="s">
        <v>17</v>
      </c>
    </row>
    <row r="69" spans="1:21" x14ac:dyDescent="0.25">
      <c r="A69" t="s">
        <v>205</v>
      </c>
    </row>
    <row r="70" spans="1:21" x14ac:dyDescent="0.25">
      <c r="A70" t="s">
        <v>206</v>
      </c>
      <c r="M70">
        <v>-4.16</v>
      </c>
      <c r="N70">
        <v>-117.24</v>
      </c>
      <c r="O70">
        <v>-195.67</v>
      </c>
      <c r="P70">
        <v>-468.6</v>
      </c>
      <c r="Q70">
        <v>-330.8</v>
      </c>
      <c r="R70">
        <v>-147.75</v>
      </c>
      <c r="S70">
        <v>-371</v>
      </c>
      <c r="T70">
        <v>-612.5</v>
      </c>
      <c r="U70">
        <v>-909.75</v>
      </c>
    </row>
    <row r="71" spans="1:21" x14ac:dyDescent="0.25">
      <c r="A71" t="s">
        <v>213</v>
      </c>
      <c r="M71">
        <v>-1.87</v>
      </c>
      <c r="N71">
        <v>-628.34</v>
      </c>
      <c r="O71">
        <v>-317.81</v>
      </c>
      <c r="P71">
        <v>-451.3</v>
      </c>
      <c r="Q71">
        <v>-247.15</v>
      </c>
      <c r="R71">
        <v>-257.55</v>
      </c>
      <c r="S71">
        <v>-373.35</v>
      </c>
      <c r="T71">
        <v>-592</v>
      </c>
      <c r="U71">
        <v>-750.02</v>
      </c>
    </row>
    <row r="72" spans="1:21" x14ac:dyDescent="0.25">
      <c r="A72" t="s">
        <v>17</v>
      </c>
    </row>
    <row r="73" spans="1:21" x14ac:dyDescent="0.25">
      <c r="A73" t="s">
        <v>214</v>
      </c>
    </row>
    <row r="74" spans="1:21" x14ac:dyDescent="0.25">
      <c r="A74" t="s">
        <v>218</v>
      </c>
      <c r="M74">
        <v>598.34</v>
      </c>
      <c r="N74">
        <v>726.13</v>
      </c>
      <c r="O74" s="2">
        <v>1094.3</v>
      </c>
      <c r="P74">
        <v>394.21</v>
      </c>
      <c r="Q74">
        <v>109.56</v>
      </c>
      <c r="R74">
        <v>-88.73</v>
      </c>
      <c r="S74">
        <v>14.72</v>
      </c>
      <c r="T74">
        <v>73.42</v>
      </c>
      <c r="U74">
        <v>-65.92</v>
      </c>
    </row>
    <row r="75" spans="1:21" x14ac:dyDescent="0.25">
      <c r="A75" t="s">
        <v>17</v>
      </c>
    </row>
    <row r="76" spans="1:21" x14ac:dyDescent="0.25">
      <c r="A76" t="s">
        <v>176</v>
      </c>
    </row>
    <row r="77" spans="1:21" x14ac:dyDescent="0.25">
      <c r="A77" t="s">
        <v>220</v>
      </c>
    </row>
    <row r="78" spans="1:21" x14ac:dyDescent="0.25">
      <c r="A78" t="s">
        <v>221</v>
      </c>
      <c r="M78">
        <v>14.4</v>
      </c>
      <c r="N78">
        <v>514.6</v>
      </c>
      <c r="O78">
        <v>656.55</v>
      </c>
      <c r="P78">
        <v>932.05</v>
      </c>
      <c r="Q78">
        <v>630.99</v>
      </c>
      <c r="R78">
        <v>315.26</v>
      </c>
      <c r="S78">
        <v>279.42</v>
      </c>
      <c r="T78">
        <v>206.32</v>
      </c>
      <c r="U78">
        <v>203.6</v>
      </c>
    </row>
    <row r="79" spans="1:21" x14ac:dyDescent="0.25">
      <c r="A79" t="s">
        <v>222</v>
      </c>
      <c r="M79">
        <v>514.6</v>
      </c>
      <c r="N79">
        <v>462.63</v>
      </c>
      <c r="O79" s="2">
        <v>1347.09</v>
      </c>
      <c r="P79" s="2">
        <v>1001.9</v>
      </c>
      <c r="Q79">
        <v>792.79</v>
      </c>
      <c r="R79">
        <v>253.41</v>
      </c>
      <c r="S79">
        <v>350.5</v>
      </c>
      <c r="T79">
        <v>585.04</v>
      </c>
      <c r="U79">
        <v>884.72</v>
      </c>
    </row>
    <row r="80" spans="1:21" x14ac:dyDescent="0.25">
      <c r="A80" t="s">
        <v>178</v>
      </c>
    </row>
    <row r="81" spans="1:21" x14ac:dyDescent="0.25">
      <c r="A81" t="s">
        <v>224</v>
      </c>
      <c r="O81">
        <v>-0.35</v>
      </c>
      <c r="P81">
        <v>-0.14000000000000001</v>
      </c>
      <c r="Q81">
        <v>0.03</v>
      </c>
    </row>
    <row r="82" spans="1:21" x14ac:dyDescent="0.25">
      <c r="A82" t="s">
        <v>225</v>
      </c>
      <c r="M82">
        <v>-100.32</v>
      </c>
      <c r="N82">
        <v>-267.10000000000002</v>
      </c>
      <c r="O82">
        <v>-421.04</v>
      </c>
      <c r="P82">
        <v>-663.11</v>
      </c>
      <c r="Q82">
        <v>-483.42</v>
      </c>
      <c r="R82">
        <v>-218.94</v>
      </c>
      <c r="S82">
        <v>50.26</v>
      </c>
      <c r="T82">
        <v>97.95</v>
      </c>
      <c r="U82">
        <v>-21.37</v>
      </c>
    </row>
    <row r="83" spans="1:21" x14ac:dyDescent="0.25">
      <c r="A83" t="s">
        <v>17</v>
      </c>
    </row>
    <row r="84" spans="1:21" x14ac:dyDescent="0.25">
      <c r="A84" t="s">
        <v>231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5B9C-B67C-4C8D-814B-DDC2E796D5D5}">
  <dimension ref="A1:U191"/>
  <sheetViews>
    <sheetView workbookViewId="0">
      <selection sqref="A1:U191"/>
    </sheetView>
  </sheetViews>
  <sheetFormatPr defaultRowHeight="15" x14ac:dyDescent="0.25"/>
  <sheetData>
    <row r="1" spans="1:21" x14ac:dyDescent="0.25">
      <c r="A1" t="s">
        <v>2844</v>
      </c>
    </row>
    <row r="2" spans="1:21" x14ac:dyDescent="0.25">
      <c r="A2" t="s">
        <v>2845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M6">
        <v>0</v>
      </c>
      <c r="N6">
        <v>0</v>
      </c>
      <c r="O6">
        <v>-0.47</v>
      </c>
      <c r="P6">
        <v>1.18</v>
      </c>
      <c r="Q6">
        <v>6.47</v>
      </c>
      <c r="R6">
        <v>17.27</v>
      </c>
      <c r="S6">
        <v>34.090000000000003</v>
      </c>
    </row>
    <row r="7" spans="1:21" x14ac:dyDescent="0.25">
      <c r="A7" t="s">
        <v>16</v>
      </c>
      <c r="M7">
        <v>290.25</v>
      </c>
      <c r="N7">
        <v>509.99</v>
      </c>
      <c r="O7">
        <v>883.6</v>
      </c>
      <c r="P7" s="2">
        <v>2974.09</v>
      </c>
      <c r="Q7" s="2">
        <v>7701.55</v>
      </c>
      <c r="R7" s="2">
        <v>12416.67</v>
      </c>
      <c r="S7" s="2">
        <v>27129</v>
      </c>
    </row>
    <row r="8" spans="1:21" x14ac:dyDescent="0.25">
      <c r="A8" t="s">
        <v>17</v>
      </c>
    </row>
    <row r="9" spans="1:21" x14ac:dyDescent="0.25">
      <c r="A9" t="s">
        <v>2846</v>
      </c>
    </row>
    <row r="10" spans="1:21" x14ac:dyDescent="0.25">
      <c r="A10" t="s">
        <v>1956</v>
      </c>
      <c r="O10">
        <v>317.29000000000002</v>
      </c>
      <c r="P10">
        <v>336.36</v>
      </c>
      <c r="Q10" s="2">
        <v>1014.64</v>
      </c>
      <c r="R10" s="2">
        <v>1786.44</v>
      </c>
      <c r="S10" s="2">
        <v>6476.76</v>
      </c>
    </row>
    <row r="11" spans="1:21" x14ac:dyDescent="0.25">
      <c r="A11" t="s">
        <v>2847</v>
      </c>
      <c r="O11">
        <v>575.51</v>
      </c>
      <c r="P11" s="2">
        <v>2700.08</v>
      </c>
      <c r="Q11" s="2">
        <v>6775.62</v>
      </c>
      <c r="R11" s="2">
        <v>10106.65</v>
      </c>
      <c r="S11" s="2">
        <v>20652.41</v>
      </c>
    </row>
    <row r="12" spans="1:21" x14ac:dyDescent="0.25">
      <c r="A12" t="s">
        <v>17</v>
      </c>
    </row>
    <row r="13" spans="1:21" x14ac:dyDescent="0.25">
      <c r="A13" t="s">
        <v>378</v>
      </c>
      <c r="O13">
        <v>370.23</v>
      </c>
      <c r="P13" s="2">
        <v>1486.03</v>
      </c>
      <c r="Q13" s="2">
        <v>4289.99</v>
      </c>
      <c r="R13" s="2">
        <v>7326.77</v>
      </c>
      <c r="S13" s="2">
        <v>16805.52</v>
      </c>
    </row>
    <row r="14" spans="1:21" x14ac:dyDescent="0.25">
      <c r="A14" t="s">
        <v>85</v>
      </c>
      <c r="M14">
        <v>42.29</v>
      </c>
      <c r="N14">
        <v>39.03</v>
      </c>
      <c r="O14">
        <v>41.95</v>
      </c>
      <c r="P14">
        <v>51.2</v>
      </c>
      <c r="Q14">
        <v>57.9</v>
      </c>
      <c r="R14">
        <v>60.73</v>
      </c>
      <c r="S14">
        <v>61.95</v>
      </c>
    </row>
    <row r="15" spans="1:21" x14ac:dyDescent="0.25">
      <c r="A15" t="s">
        <v>29</v>
      </c>
      <c r="M15">
        <v>-101.44</v>
      </c>
      <c r="N15">
        <v>-145.86000000000001</v>
      </c>
      <c r="O15">
        <v>-157.56</v>
      </c>
      <c r="P15">
        <v>352.24</v>
      </c>
      <c r="Q15" s="2">
        <v>2437.5500000000002</v>
      </c>
      <c r="R15" s="2">
        <v>4816.67</v>
      </c>
      <c r="S15" s="2">
        <v>13337</v>
      </c>
    </row>
    <row r="16" spans="1:21" x14ac:dyDescent="0.25">
      <c r="A16" t="s">
        <v>92</v>
      </c>
      <c r="O16">
        <v>-17.96</v>
      </c>
      <c r="P16">
        <v>10.94</v>
      </c>
      <c r="Q16">
        <v>31.51</v>
      </c>
      <c r="R16">
        <v>36.25</v>
      </c>
      <c r="S16">
        <v>49.16</v>
      </c>
    </row>
    <row r="17" spans="1:19" x14ac:dyDescent="0.25">
      <c r="A17" t="s">
        <v>528</v>
      </c>
      <c r="M17">
        <v>-42.87</v>
      </c>
      <c r="N17">
        <v>-96.1</v>
      </c>
      <c r="O17">
        <v>-109</v>
      </c>
      <c r="P17">
        <v>378.4</v>
      </c>
      <c r="Q17" s="2">
        <v>2002.18</v>
      </c>
      <c r="R17" s="2">
        <v>4792</v>
      </c>
      <c r="S17" s="2">
        <v>14284</v>
      </c>
    </row>
    <row r="18" spans="1:19" x14ac:dyDescent="0.25">
      <c r="A18" t="s">
        <v>17</v>
      </c>
    </row>
    <row r="19" spans="1:19" x14ac:dyDescent="0.25">
      <c r="A19" t="s">
        <v>36</v>
      </c>
      <c r="M19">
        <v>428.54</v>
      </c>
      <c r="N19">
        <v>-392.79</v>
      </c>
      <c r="O19" s="2">
        <v>-1679.89</v>
      </c>
      <c r="P19" s="2">
        <v>-1847.55</v>
      </c>
      <c r="Q19" s="2">
        <v>3088.19</v>
      </c>
      <c r="R19" s="2">
        <v>4216.92</v>
      </c>
      <c r="S19" s="2">
        <v>13833.54</v>
      </c>
    </row>
    <row r="20" spans="1:19" x14ac:dyDescent="0.25">
      <c r="A20" t="s">
        <v>17</v>
      </c>
    </row>
    <row r="21" spans="1:19" x14ac:dyDescent="0.25">
      <c r="A21" t="s">
        <v>37</v>
      </c>
    </row>
    <row r="22" spans="1:19" x14ac:dyDescent="0.25">
      <c r="A22" t="s">
        <v>17</v>
      </c>
    </row>
    <row r="23" spans="1:19" x14ac:dyDescent="0.25">
      <c r="A23" t="s">
        <v>383</v>
      </c>
    </row>
    <row r="24" spans="1:19" x14ac:dyDescent="0.25">
      <c r="A24" t="s">
        <v>17</v>
      </c>
    </row>
    <row r="25" spans="1:19" x14ac:dyDescent="0.25">
      <c r="A25" t="s">
        <v>58</v>
      </c>
    </row>
    <row r="26" spans="1:19" x14ac:dyDescent="0.25">
      <c r="A26" t="s">
        <v>2848</v>
      </c>
    </row>
    <row r="27" spans="1:19" x14ac:dyDescent="0.25">
      <c r="A27" t="s">
        <v>60</v>
      </c>
      <c r="O27">
        <v>317.29000000000002</v>
      </c>
      <c r="P27">
        <v>336.36</v>
      </c>
      <c r="Q27" s="2">
        <v>1014.64</v>
      </c>
      <c r="R27" s="2">
        <v>1786.44</v>
      </c>
      <c r="S27" s="2">
        <v>6476.76</v>
      </c>
    </row>
    <row r="28" spans="1:19" x14ac:dyDescent="0.25">
      <c r="A28" t="s">
        <v>63</v>
      </c>
      <c r="O28">
        <v>129.69999999999999</v>
      </c>
      <c r="P28">
        <v>143.5</v>
      </c>
      <c r="Q28">
        <v>452</v>
      </c>
    </row>
    <row r="29" spans="1:19" x14ac:dyDescent="0.25">
      <c r="A29" t="s">
        <v>64</v>
      </c>
      <c r="O29">
        <v>39.65</v>
      </c>
      <c r="P29">
        <v>45.01</v>
      </c>
      <c r="Q29">
        <v>51.47</v>
      </c>
      <c r="R29">
        <v>57.82</v>
      </c>
      <c r="S29">
        <v>61.78</v>
      </c>
    </row>
    <row r="30" spans="1:19" x14ac:dyDescent="0.25">
      <c r="A30" t="s">
        <v>17</v>
      </c>
    </row>
    <row r="31" spans="1:19" x14ac:dyDescent="0.25">
      <c r="A31" t="s">
        <v>2849</v>
      </c>
    </row>
    <row r="32" spans="1:19" x14ac:dyDescent="0.25">
      <c r="A32" t="s">
        <v>60</v>
      </c>
      <c r="O32">
        <v>575.51</v>
      </c>
      <c r="P32" s="2">
        <v>2700.08</v>
      </c>
      <c r="Q32" s="2">
        <v>6775.62</v>
      </c>
      <c r="R32" s="2">
        <v>10106.65</v>
      </c>
      <c r="S32" s="2">
        <v>20652.41</v>
      </c>
    </row>
    <row r="33" spans="1:19" x14ac:dyDescent="0.25">
      <c r="A33" t="s">
        <v>63</v>
      </c>
      <c r="O33">
        <v>241.5</v>
      </c>
      <c r="P33" s="2">
        <v>1233.4000000000001</v>
      </c>
      <c r="Q33" s="2">
        <v>3500.3</v>
      </c>
    </row>
    <row r="34" spans="1:19" x14ac:dyDescent="0.25">
      <c r="A34" t="s">
        <v>64</v>
      </c>
      <c r="O34">
        <v>43.31</v>
      </c>
      <c r="P34">
        <v>52.44</v>
      </c>
      <c r="Q34">
        <v>58.43</v>
      </c>
      <c r="R34">
        <v>61.35</v>
      </c>
      <c r="S34">
        <v>62</v>
      </c>
    </row>
    <row r="35" spans="1:19" x14ac:dyDescent="0.25">
      <c r="A35" t="s">
        <v>17</v>
      </c>
    </row>
    <row r="36" spans="1:19" x14ac:dyDescent="0.25">
      <c r="A36" t="s">
        <v>2850</v>
      </c>
    </row>
    <row r="37" spans="1:19" x14ac:dyDescent="0.25">
      <c r="A37" t="s">
        <v>60</v>
      </c>
      <c r="M37">
        <v>211.97</v>
      </c>
      <c r="N37">
        <v>358.44</v>
      </c>
    </row>
    <row r="38" spans="1:19" x14ac:dyDescent="0.25">
      <c r="A38" t="s">
        <v>62</v>
      </c>
      <c r="M38">
        <v>137.31</v>
      </c>
      <c r="N38">
        <v>204.75</v>
      </c>
    </row>
    <row r="39" spans="1:19" x14ac:dyDescent="0.25">
      <c r="A39" t="s">
        <v>63</v>
      </c>
    </row>
    <row r="40" spans="1:19" x14ac:dyDescent="0.25">
      <c r="A40" t="s">
        <v>64</v>
      </c>
    </row>
    <row r="41" spans="1:19" x14ac:dyDescent="0.25">
      <c r="A41" t="s">
        <v>17</v>
      </c>
    </row>
    <row r="42" spans="1:19" x14ac:dyDescent="0.25">
      <c r="A42" t="s">
        <v>2851</v>
      </c>
    </row>
    <row r="43" spans="1:19" x14ac:dyDescent="0.25">
      <c r="A43" t="s">
        <v>60</v>
      </c>
      <c r="M43">
        <v>78.290000000000006</v>
      </c>
      <c r="N43">
        <v>151.55000000000001</v>
      </c>
    </row>
    <row r="44" spans="1:19" x14ac:dyDescent="0.25">
      <c r="A44" t="s">
        <v>62</v>
      </c>
      <c r="M44">
        <v>30.2</v>
      </c>
      <c r="N44">
        <v>106.17</v>
      </c>
    </row>
    <row r="45" spans="1:19" x14ac:dyDescent="0.25">
      <c r="A45" t="s">
        <v>63</v>
      </c>
    </row>
    <row r="46" spans="1:19" x14ac:dyDescent="0.25">
      <c r="A46" t="s">
        <v>64</v>
      </c>
    </row>
    <row r="47" spans="1:19" x14ac:dyDescent="0.25">
      <c r="A47" t="s">
        <v>17</v>
      </c>
    </row>
    <row r="48" spans="1:19" x14ac:dyDescent="0.25">
      <c r="A48" t="s">
        <v>72</v>
      </c>
    </row>
    <row r="49" spans="1:19" x14ac:dyDescent="0.25">
      <c r="A49" t="s">
        <v>16</v>
      </c>
    </row>
    <row r="50" spans="1:19" x14ac:dyDescent="0.25">
      <c r="A50" t="s">
        <v>73</v>
      </c>
      <c r="M50">
        <v>282.69</v>
      </c>
      <c r="N50">
        <v>187.64</v>
      </c>
    </row>
    <row r="51" spans="1:19" x14ac:dyDescent="0.25">
      <c r="A51" t="s">
        <v>2852</v>
      </c>
      <c r="M51">
        <v>7.57</v>
      </c>
      <c r="N51">
        <v>322.23</v>
      </c>
    </row>
    <row r="52" spans="1:19" x14ac:dyDescent="0.25">
      <c r="A52" t="s">
        <v>212</v>
      </c>
      <c r="M52">
        <v>0</v>
      </c>
      <c r="N52">
        <v>0.12</v>
      </c>
    </row>
    <row r="53" spans="1:19" x14ac:dyDescent="0.25">
      <c r="A53" t="s">
        <v>17</v>
      </c>
    </row>
    <row r="54" spans="1:19" x14ac:dyDescent="0.25">
      <c r="A54" t="s">
        <v>570</v>
      </c>
    </row>
    <row r="55" spans="1:19" x14ac:dyDescent="0.25">
      <c r="A55" t="s">
        <v>2853</v>
      </c>
    </row>
    <row r="56" spans="1:19" x14ac:dyDescent="0.25">
      <c r="A56" t="s">
        <v>2854</v>
      </c>
    </row>
    <row r="57" spans="1:19" x14ac:dyDescent="0.25">
      <c r="A57" t="s">
        <v>2855</v>
      </c>
    </row>
    <row r="58" spans="1:19" x14ac:dyDescent="0.25">
      <c r="A58" t="s">
        <v>2856</v>
      </c>
    </row>
    <row r="59" spans="1:19" x14ac:dyDescent="0.25">
      <c r="A59" t="s">
        <v>2857</v>
      </c>
    </row>
    <row r="60" spans="1:19" x14ac:dyDescent="0.25">
      <c r="A60" t="s">
        <v>17</v>
      </c>
    </row>
    <row r="61" spans="1:19" x14ac:dyDescent="0.25">
      <c r="A61" t="s">
        <v>79</v>
      </c>
    </row>
    <row r="62" spans="1:19" x14ac:dyDescent="0.25">
      <c r="A62" t="s">
        <v>16</v>
      </c>
      <c r="M62">
        <v>290.25</v>
      </c>
      <c r="N62">
        <v>509.99</v>
      </c>
      <c r="O62">
        <v>883.6</v>
      </c>
      <c r="P62" s="2">
        <v>2974.09</v>
      </c>
      <c r="Q62" s="2">
        <v>7701.55</v>
      </c>
      <c r="R62" s="2">
        <v>12416.67</v>
      </c>
      <c r="S62" s="2">
        <v>27129</v>
      </c>
    </row>
    <row r="63" spans="1:19" x14ac:dyDescent="0.25">
      <c r="A63" t="s">
        <v>477</v>
      </c>
      <c r="M63">
        <v>211.97</v>
      </c>
      <c r="N63">
        <v>358.44</v>
      </c>
      <c r="O63">
        <v>275.18</v>
      </c>
      <c r="P63">
        <v>318.10000000000002</v>
      </c>
      <c r="Q63">
        <v>847.54</v>
      </c>
      <c r="R63" s="2">
        <v>1042.1300000000001</v>
      </c>
    </row>
    <row r="64" spans="1:19" x14ac:dyDescent="0.25">
      <c r="A64" t="s">
        <v>17</v>
      </c>
    </row>
    <row r="65" spans="1:19" x14ac:dyDescent="0.25">
      <c r="A65" t="s">
        <v>82</v>
      </c>
      <c r="M65">
        <v>167.51</v>
      </c>
      <c r="N65">
        <v>310.92</v>
      </c>
      <c r="O65">
        <v>570.65</v>
      </c>
      <c r="P65" s="2">
        <v>1740.1</v>
      </c>
      <c r="Q65" s="2">
        <v>3870.17</v>
      </c>
      <c r="R65" s="2">
        <v>5004.42</v>
      </c>
    </row>
    <row r="66" spans="1:19" x14ac:dyDescent="0.25">
      <c r="A66" t="s">
        <v>84</v>
      </c>
      <c r="M66">
        <v>122.74</v>
      </c>
      <c r="N66">
        <v>199.07</v>
      </c>
      <c r="O66">
        <v>225.75</v>
      </c>
      <c r="P66" s="2">
        <v>1253.53</v>
      </c>
      <c r="Q66" s="2">
        <v>3613.34</v>
      </c>
      <c r="R66" s="2">
        <v>6271.3</v>
      </c>
      <c r="S66" s="2">
        <v>15363.64</v>
      </c>
    </row>
    <row r="67" spans="1:19" x14ac:dyDescent="0.25">
      <c r="A67" t="s">
        <v>85</v>
      </c>
      <c r="M67">
        <v>42.3</v>
      </c>
      <c r="N67">
        <v>39</v>
      </c>
      <c r="O67">
        <v>34.61</v>
      </c>
      <c r="P67">
        <v>44.61</v>
      </c>
      <c r="Q67">
        <v>50.97</v>
      </c>
      <c r="R67">
        <v>46.7</v>
      </c>
      <c r="S67">
        <v>48.47</v>
      </c>
    </row>
    <row r="68" spans="1:19" x14ac:dyDescent="0.25">
      <c r="A68" t="s">
        <v>17</v>
      </c>
    </row>
    <row r="69" spans="1:19" x14ac:dyDescent="0.25">
      <c r="A69" t="s">
        <v>275</v>
      </c>
      <c r="M69">
        <v>224.18</v>
      </c>
      <c r="N69">
        <v>344.93</v>
      </c>
      <c r="O69" s="2">
        <v>1110.68</v>
      </c>
      <c r="P69" s="2">
        <v>1219.3499999999999</v>
      </c>
      <c r="Q69" s="2">
        <v>1777.85</v>
      </c>
      <c r="R69" s="2">
        <v>2633.06</v>
      </c>
      <c r="S69" s="2">
        <v>3899.67</v>
      </c>
    </row>
    <row r="70" spans="1:19" x14ac:dyDescent="0.25">
      <c r="A70" t="s">
        <v>89</v>
      </c>
      <c r="M70">
        <v>158.22999999999999</v>
      </c>
      <c r="N70">
        <v>243.32</v>
      </c>
    </row>
    <row r="71" spans="1:19" x14ac:dyDescent="0.25">
      <c r="A71" t="s">
        <v>90</v>
      </c>
      <c r="M71">
        <v>20.98</v>
      </c>
      <c r="N71">
        <v>70.650000000000006</v>
      </c>
    </row>
    <row r="72" spans="1:19" x14ac:dyDescent="0.25">
      <c r="A72" t="s">
        <v>88</v>
      </c>
      <c r="M72">
        <v>44.96</v>
      </c>
      <c r="N72">
        <v>30.97</v>
      </c>
    </row>
    <row r="73" spans="1:19" x14ac:dyDescent="0.25">
      <c r="A73" t="s">
        <v>17</v>
      </c>
    </row>
    <row r="74" spans="1:19" x14ac:dyDescent="0.25">
      <c r="A74" t="s">
        <v>91</v>
      </c>
      <c r="M74">
        <v>-101.44</v>
      </c>
      <c r="N74">
        <v>-145.86000000000001</v>
      </c>
      <c r="O74">
        <v>-822.55</v>
      </c>
      <c r="P74">
        <v>-357.54</v>
      </c>
      <c r="Q74">
        <v>895.17</v>
      </c>
      <c r="R74" s="2">
        <v>3135.5</v>
      </c>
      <c r="S74" s="2">
        <v>11463.97</v>
      </c>
    </row>
    <row r="75" spans="1:19" x14ac:dyDescent="0.25">
      <c r="A75" t="s">
        <v>92</v>
      </c>
      <c r="M75">
        <v>-34.950000000000003</v>
      </c>
      <c r="N75">
        <v>-28.6</v>
      </c>
      <c r="O75">
        <v>-95.96</v>
      </c>
      <c r="P75">
        <v>-10.77</v>
      </c>
      <c r="Q75">
        <v>10.89</v>
      </c>
      <c r="R75">
        <v>18.87</v>
      </c>
      <c r="S75">
        <v>36.17</v>
      </c>
    </row>
    <row r="76" spans="1:19" x14ac:dyDescent="0.25">
      <c r="A76" t="s">
        <v>17</v>
      </c>
    </row>
    <row r="77" spans="1:19" x14ac:dyDescent="0.25">
      <c r="A77" t="s">
        <v>2858</v>
      </c>
      <c r="M77">
        <v>378.24</v>
      </c>
      <c r="N77">
        <v>-390.75</v>
      </c>
      <c r="O77">
        <v>-2.5</v>
      </c>
    </row>
    <row r="78" spans="1:19" x14ac:dyDescent="0.25">
      <c r="A78" t="s">
        <v>17</v>
      </c>
    </row>
    <row r="79" spans="1:19" x14ac:dyDescent="0.25">
      <c r="A79" t="s">
        <v>100</v>
      </c>
      <c r="M79">
        <v>-479.68</v>
      </c>
      <c r="N79">
        <v>244.88</v>
      </c>
    </row>
    <row r="80" spans="1:19" x14ac:dyDescent="0.25">
      <c r="A80" t="s">
        <v>17</v>
      </c>
    </row>
    <row r="81" spans="1:19" x14ac:dyDescent="0.25">
      <c r="A81" t="s">
        <v>101</v>
      </c>
      <c r="M81">
        <v>1.93</v>
      </c>
      <c r="N81">
        <v>7.06</v>
      </c>
      <c r="O81">
        <v>3.14</v>
      </c>
      <c r="P81">
        <v>51.29</v>
      </c>
      <c r="Q81">
        <v>542.72</v>
      </c>
      <c r="R81">
        <v>761.86</v>
      </c>
      <c r="S81" s="2">
        <v>2025.72</v>
      </c>
    </row>
    <row r="82" spans="1:19" x14ac:dyDescent="0.25">
      <c r="A82" t="s">
        <v>17</v>
      </c>
    </row>
    <row r="83" spans="1:19" x14ac:dyDescent="0.25">
      <c r="A83" t="s">
        <v>106</v>
      </c>
      <c r="M83">
        <v>-481.6</v>
      </c>
      <c r="N83">
        <v>237.83</v>
      </c>
      <c r="O83">
        <v>-812.56</v>
      </c>
      <c r="P83">
        <v>110.4</v>
      </c>
      <c r="Q83" s="2">
        <v>1922.03</v>
      </c>
      <c r="R83" s="2">
        <v>4326.67</v>
      </c>
      <c r="S83" s="2">
        <v>14284</v>
      </c>
    </row>
    <row r="84" spans="1:19" x14ac:dyDescent="0.25">
      <c r="A84" t="s">
        <v>107</v>
      </c>
      <c r="M84">
        <v>-165.93</v>
      </c>
      <c r="N84">
        <v>46.63</v>
      </c>
      <c r="O84">
        <v>-86.51</v>
      </c>
      <c r="P84">
        <v>-4.05</v>
      </c>
      <c r="Q84">
        <v>17.45</v>
      </c>
      <c r="R84">
        <v>7.84</v>
      </c>
      <c r="S84">
        <v>52.65</v>
      </c>
    </row>
    <row r="85" spans="1:19" x14ac:dyDescent="0.25">
      <c r="A85" t="s">
        <v>17</v>
      </c>
    </row>
    <row r="86" spans="1:19" x14ac:dyDescent="0.25">
      <c r="A86" t="s">
        <v>109</v>
      </c>
      <c r="M86">
        <v>48.97</v>
      </c>
      <c r="N86">
        <v>171.82</v>
      </c>
      <c r="O86">
        <v>248.2</v>
      </c>
      <c r="P86">
        <v>316.5</v>
      </c>
      <c r="Q86">
        <v>323.75</v>
      </c>
    </row>
    <row r="87" spans="1:19" x14ac:dyDescent="0.25">
      <c r="A87" t="s">
        <v>110</v>
      </c>
      <c r="M87">
        <v>-9.9</v>
      </c>
      <c r="N87">
        <v>1.38</v>
      </c>
      <c r="O87">
        <v>-3.45</v>
      </c>
      <c r="P87">
        <v>1.1200000000000001</v>
      </c>
      <c r="Q87">
        <v>7.88</v>
      </c>
      <c r="R87">
        <v>16.73</v>
      </c>
    </row>
    <row r="88" spans="1:19" x14ac:dyDescent="0.25">
      <c r="A88" t="s">
        <v>17</v>
      </c>
    </row>
    <row r="89" spans="1:19" x14ac:dyDescent="0.25">
      <c r="A89" t="s">
        <v>111</v>
      </c>
    </row>
    <row r="90" spans="1:19" x14ac:dyDescent="0.25">
      <c r="A90" t="s">
        <v>62</v>
      </c>
      <c r="O90">
        <v>513.74</v>
      </c>
      <c r="P90" s="2">
        <v>1414.04</v>
      </c>
      <c r="Q90" s="2">
        <v>3185.84</v>
      </c>
      <c r="R90" s="2">
        <v>5612.67</v>
      </c>
      <c r="S90" s="2">
        <v>10323.65</v>
      </c>
    </row>
    <row r="91" spans="1:19" x14ac:dyDescent="0.25">
      <c r="A91" t="s">
        <v>63</v>
      </c>
      <c r="O91">
        <v>370.23</v>
      </c>
      <c r="P91" s="2">
        <v>1486.03</v>
      </c>
      <c r="Q91" s="2">
        <v>4289.99</v>
      </c>
      <c r="R91" s="2">
        <v>7326.77</v>
      </c>
      <c r="S91" s="2">
        <v>16805.52</v>
      </c>
    </row>
    <row r="92" spans="1:19" x14ac:dyDescent="0.25">
      <c r="A92" t="s">
        <v>64</v>
      </c>
      <c r="M92">
        <v>42.29</v>
      </c>
      <c r="N92">
        <v>39.03</v>
      </c>
      <c r="O92">
        <v>41.95</v>
      </c>
      <c r="P92">
        <v>51.2</v>
      </c>
      <c r="Q92">
        <v>57.9</v>
      </c>
      <c r="R92">
        <v>60.73</v>
      </c>
      <c r="S92">
        <v>61.95</v>
      </c>
    </row>
    <row r="93" spans="1:19" x14ac:dyDescent="0.25">
      <c r="A93" t="s">
        <v>1702</v>
      </c>
      <c r="O93">
        <v>530.9</v>
      </c>
      <c r="P93" s="2">
        <v>1099.56</v>
      </c>
      <c r="Q93" s="2">
        <v>1778.12</v>
      </c>
      <c r="R93" s="2">
        <v>2314.9699999999998</v>
      </c>
      <c r="S93" s="2">
        <v>3468.65</v>
      </c>
    </row>
    <row r="94" spans="1:19" x14ac:dyDescent="0.25">
      <c r="A94" t="s">
        <v>114</v>
      </c>
      <c r="O94">
        <v>370.25</v>
      </c>
      <c r="P94">
        <v>700.19</v>
      </c>
      <c r="Q94" s="2">
        <v>1162.72</v>
      </c>
      <c r="R94" s="2">
        <v>1586.4</v>
      </c>
      <c r="S94" s="2">
        <v>2428.7600000000002</v>
      </c>
    </row>
    <row r="95" spans="1:19" x14ac:dyDescent="0.25">
      <c r="A95" t="s">
        <v>113</v>
      </c>
      <c r="O95">
        <v>60.28</v>
      </c>
      <c r="P95">
        <v>198.72</v>
      </c>
      <c r="Q95">
        <v>317.7</v>
      </c>
      <c r="R95">
        <v>398.98</v>
      </c>
      <c r="S95">
        <v>390.5</v>
      </c>
    </row>
    <row r="96" spans="1:19" x14ac:dyDescent="0.25">
      <c r="A96" t="s">
        <v>115</v>
      </c>
      <c r="O96">
        <v>96.46</v>
      </c>
      <c r="P96">
        <v>188.11</v>
      </c>
      <c r="Q96">
        <v>266.5</v>
      </c>
      <c r="R96">
        <v>329.63</v>
      </c>
      <c r="S96">
        <v>649.39</v>
      </c>
    </row>
    <row r="97" spans="1:21" x14ac:dyDescent="0.25">
      <c r="A97" t="s">
        <v>116</v>
      </c>
      <c r="M97">
        <v>-101.44</v>
      </c>
      <c r="N97">
        <v>-145.86000000000001</v>
      </c>
      <c r="O97">
        <v>-157.56</v>
      </c>
      <c r="P97">
        <v>352.24</v>
      </c>
      <c r="Q97" s="2">
        <v>2437.5500000000002</v>
      </c>
      <c r="R97" s="2">
        <v>4816.67</v>
      </c>
      <c r="S97" s="2">
        <v>13337</v>
      </c>
    </row>
    <row r="98" spans="1:21" x14ac:dyDescent="0.25">
      <c r="A98" t="s">
        <v>119</v>
      </c>
      <c r="M98">
        <v>-479.68</v>
      </c>
      <c r="N98">
        <v>244.88</v>
      </c>
      <c r="O98">
        <v>-117.45</v>
      </c>
      <c r="P98">
        <v>417.33</v>
      </c>
      <c r="Q98" s="2">
        <v>2610.44</v>
      </c>
      <c r="R98" s="2">
        <v>5947</v>
      </c>
    </row>
    <row r="99" spans="1:21" x14ac:dyDescent="0.25">
      <c r="A99" t="s">
        <v>120</v>
      </c>
    </row>
    <row r="100" spans="1:21" x14ac:dyDescent="0.25">
      <c r="A100" t="s">
        <v>489</v>
      </c>
    </row>
    <row r="101" spans="1:21" x14ac:dyDescent="0.25">
      <c r="A101" t="s">
        <v>121</v>
      </c>
      <c r="M101">
        <v>-42.87</v>
      </c>
      <c r="N101">
        <v>-96.1</v>
      </c>
      <c r="O101">
        <v>-109</v>
      </c>
      <c r="P101">
        <v>378.4</v>
      </c>
      <c r="Q101" s="2">
        <v>2002.18</v>
      </c>
      <c r="R101" s="2">
        <v>4792</v>
      </c>
      <c r="S101" s="2">
        <v>14284</v>
      </c>
    </row>
    <row r="102" spans="1:21" x14ac:dyDescent="0.25">
      <c r="A102" t="s">
        <v>124</v>
      </c>
      <c r="M102">
        <v>0</v>
      </c>
      <c r="N102">
        <v>0</v>
      </c>
      <c r="O102">
        <v>-0.47</v>
      </c>
      <c r="P102">
        <v>1.18</v>
      </c>
      <c r="Q102">
        <v>6.47</v>
      </c>
      <c r="R102">
        <v>17.27</v>
      </c>
      <c r="S102">
        <v>34.090000000000003</v>
      </c>
    </row>
    <row r="103" spans="1:21" x14ac:dyDescent="0.25">
      <c r="A103" t="s">
        <v>17</v>
      </c>
    </row>
    <row r="104" spans="1:21" x14ac:dyDescent="0.25">
      <c r="A104" t="s">
        <v>125</v>
      </c>
    </row>
    <row r="105" spans="1:21" x14ac:dyDescent="0.25">
      <c r="A105" t="s">
        <v>67</v>
      </c>
      <c r="M105">
        <v>58.56</v>
      </c>
      <c r="N105">
        <v>49.77</v>
      </c>
      <c r="O105">
        <v>553.72</v>
      </c>
      <c r="P105">
        <v>239.3</v>
      </c>
      <c r="Q105">
        <v>344.74</v>
      </c>
      <c r="R105">
        <v>443.05</v>
      </c>
      <c r="S105">
        <v>431.02</v>
      </c>
    </row>
    <row r="106" spans="1:21" x14ac:dyDescent="0.25">
      <c r="A106" t="s">
        <v>114</v>
      </c>
      <c r="M106">
        <v>41.4</v>
      </c>
      <c r="N106">
        <v>32.15</v>
      </c>
    </row>
    <row r="107" spans="1:21" x14ac:dyDescent="0.25">
      <c r="A107" t="s">
        <v>394</v>
      </c>
      <c r="M107">
        <v>8.7200000000000006</v>
      </c>
      <c r="N107">
        <v>9.9499999999999993</v>
      </c>
    </row>
    <row r="108" spans="1:21" x14ac:dyDescent="0.25">
      <c r="A108" t="s">
        <v>115</v>
      </c>
      <c r="M108">
        <v>7.52</v>
      </c>
      <c r="N108">
        <v>6.84</v>
      </c>
    </row>
    <row r="109" spans="1:21" x14ac:dyDescent="0.25">
      <c r="A109" t="s">
        <v>17</v>
      </c>
    </row>
    <row r="110" spans="1:21" x14ac:dyDescent="0.25">
      <c r="A110" t="s">
        <v>134</v>
      </c>
    </row>
    <row r="111" spans="1:21" x14ac:dyDescent="0.25">
      <c r="A111" t="s">
        <v>135</v>
      </c>
    </row>
    <row r="112" spans="1:21" x14ac:dyDescent="0.25">
      <c r="A112" t="s">
        <v>136</v>
      </c>
      <c r="M112" s="2">
        <v>1030.48</v>
      </c>
      <c r="N112" s="2">
        <v>1543.65</v>
      </c>
      <c r="O112" s="2">
        <v>8284.25</v>
      </c>
      <c r="P112" s="2">
        <v>6457.61</v>
      </c>
      <c r="Q112" s="2">
        <v>9652.68</v>
      </c>
      <c r="R112" s="2">
        <v>12630.76</v>
      </c>
      <c r="S112" s="2">
        <v>21651.34</v>
      </c>
      <c r="T112" s="2">
        <v>10562.05</v>
      </c>
      <c r="U112" s="2">
        <v>10562.05</v>
      </c>
    </row>
    <row r="113" spans="1:21" x14ac:dyDescent="0.25">
      <c r="A113" t="s">
        <v>536</v>
      </c>
      <c r="M113">
        <v>220.21</v>
      </c>
      <c r="N113">
        <v>701.71</v>
      </c>
      <c r="O113" s="2">
        <v>7604.28</v>
      </c>
      <c r="P113" s="2">
        <v>4571</v>
      </c>
      <c r="Q113" s="2">
        <v>6081.97</v>
      </c>
      <c r="R113" s="2">
        <v>11109.87</v>
      </c>
      <c r="S113" s="2">
        <v>28631.34</v>
      </c>
    </row>
    <row r="114" spans="1:21" x14ac:dyDescent="0.25">
      <c r="A114" t="s">
        <v>408</v>
      </c>
      <c r="M114">
        <v>361.76</v>
      </c>
      <c r="N114">
        <v>228.67</v>
      </c>
    </row>
    <row r="115" spans="1:21" x14ac:dyDescent="0.25">
      <c r="A115" t="s">
        <v>2728</v>
      </c>
      <c r="M115">
        <v>116.94</v>
      </c>
      <c r="N115">
        <v>406.53</v>
      </c>
      <c r="O115" s="2">
        <v>1179.3900000000001</v>
      </c>
      <c r="P115" s="2">
        <v>1179.3900000000001</v>
      </c>
      <c r="Q115" s="2">
        <v>1179.3900000000001</v>
      </c>
      <c r="R115" s="2">
        <v>1179.3900000000001</v>
      </c>
      <c r="S115" s="2">
        <v>1179.3900000000001</v>
      </c>
      <c r="T115" s="2">
        <v>1179.3900000000001</v>
      </c>
      <c r="U115" s="2">
        <v>1179.3900000000001</v>
      </c>
    </row>
    <row r="116" spans="1:21" x14ac:dyDescent="0.25">
      <c r="A116" t="s">
        <v>806</v>
      </c>
      <c r="M116">
        <v>137.44</v>
      </c>
      <c r="N116">
        <v>50.42</v>
      </c>
      <c r="O116">
        <v>114.1</v>
      </c>
      <c r="P116">
        <v>466.16</v>
      </c>
      <c r="Q116">
        <v>890.27</v>
      </c>
      <c r="R116">
        <v>825.1</v>
      </c>
      <c r="S116" s="2">
        <v>1802.99</v>
      </c>
    </row>
    <row r="117" spans="1:21" x14ac:dyDescent="0.25">
      <c r="A117" t="s">
        <v>340</v>
      </c>
      <c r="M117">
        <v>174.49</v>
      </c>
      <c r="N117">
        <v>63.63</v>
      </c>
      <c r="O117">
        <v>74.959999999999994</v>
      </c>
      <c r="P117">
        <v>195.46</v>
      </c>
      <c r="Q117">
        <v>424.37</v>
      </c>
      <c r="R117">
        <v>772.77</v>
      </c>
      <c r="S117" s="2">
        <v>2040.98</v>
      </c>
    </row>
    <row r="118" spans="1:21" x14ac:dyDescent="0.25">
      <c r="A118" t="s">
        <v>2859</v>
      </c>
    </row>
    <row r="119" spans="1:21" x14ac:dyDescent="0.25">
      <c r="A119" t="s">
        <v>2860</v>
      </c>
      <c r="M119">
        <v>19.64</v>
      </c>
      <c r="N119">
        <v>92.69</v>
      </c>
    </row>
    <row r="120" spans="1:21" x14ac:dyDescent="0.25">
      <c r="A120" t="s">
        <v>146</v>
      </c>
      <c r="M120">
        <v>82.26</v>
      </c>
      <c r="N120">
        <v>782.39</v>
      </c>
      <c r="O120" s="2">
        <v>4288.5200000000004</v>
      </c>
      <c r="P120" s="2">
        <v>13687.42</v>
      </c>
      <c r="Q120" s="2">
        <v>15942.05</v>
      </c>
      <c r="R120" s="2">
        <v>14991.24</v>
      </c>
    </row>
    <row r="121" spans="1:21" x14ac:dyDescent="0.25">
      <c r="A121" t="s">
        <v>2861</v>
      </c>
      <c r="M121">
        <v>43.17</v>
      </c>
      <c r="N121">
        <v>437.4</v>
      </c>
      <c r="O121" s="2">
        <v>1814.56</v>
      </c>
      <c r="P121" s="2">
        <v>5040.9399999999996</v>
      </c>
      <c r="Q121" s="2">
        <v>6460.51</v>
      </c>
      <c r="R121" s="2">
        <v>4894.1099999999997</v>
      </c>
      <c r="S121" s="2">
        <v>6121.33</v>
      </c>
    </row>
    <row r="122" spans="1:21" x14ac:dyDescent="0.25">
      <c r="A122" t="s">
        <v>692</v>
      </c>
      <c r="M122">
        <v>36.57</v>
      </c>
      <c r="N122">
        <v>248.95</v>
      </c>
      <c r="O122">
        <v>585.82000000000005</v>
      </c>
      <c r="P122" s="2">
        <v>2044.79</v>
      </c>
      <c r="Q122" s="2">
        <v>2404.58</v>
      </c>
      <c r="R122" s="2">
        <v>4654.99</v>
      </c>
      <c r="S122">
        <v>248.95</v>
      </c>
    </row>
    <row r="123" spans="1:21" x14ac:dyDescent="0.25">
      <c r="A123" t="s">
        <v>154</v>
      </c>
      <c r="M123">
        <v>2.5099999999999998</v>
      </c>
      <c r="N123">
        <v>96.05</v>
      </c>
      <c r="O123">
        <v>528.72</v>
      </c>
      <c r="P123">
        <v>533.98</v>
      </c>
      <c r="Q123">
        <v>537.02</v>
      </c>
      <c r="R123">
        <v>548.79</v>
      </c>
      <c r="S123">
        <v>795.9</v>
      </c>
      <c r="T123">
        <v>991.08</v>
      </c>
      <c r="U123">
        <v>991.08</v>
      </c>
    </row>
    <row r="124" spans="1:21" x14ac:dyDescent="0.25">
      <c r="A124" t="s">
        <v>155</v>
      </c>
      <c r="M124" s="2">
        <v>1112.74</v>
      </c>
      <c r="N124" s="2">
        <v>2326.04</v>
      </c>
      <c r="O124" s="2">
        <v>11512.73</v>
      </c>
      <c r="P124" s="2">
        <v>14393.99</v>
      </c>
      <c r="Q124" s="2">
        <v>19393.650000000001</v>
      </c>
      <c r="R124" s="2">
        <v>22660.18</v>
      </c>
      <c r="S124" s="2">
        <v>30388.03</v>
      </c>
      <c r="T124" s="2">
        <v>19621.8</v>
      </c>
      <c r="U124" s="2">
        <v>19621.8</v>
      </c>
    </row>
    <row r="125" spans="1:21" x14ac:dyDescent="0.25">
      <c r="A125" t="s">
        <v>17</v>
      </c>
    </row>
    <row r="126" spans="1:21" x14ac:dyDescent="0.25">
      <c r="A126" t="s">
        <v>156</v>
      </c>
    </row>
    <row r="127" spans="1:21" x14ac:dyDescent="0.25">
      <c r="A127" t="s">
        <v>157</v>
      </c>
      <c r="M127" s="2">
        <v>1178.1400000000001</v>
      </c>
      <c r="N127">
        <v>719.54</v>
      </c>
      <c r="O127" s="2">
        <v>1242.6300000000001</v>
      </c>
      <c r="P127" s="2">
        <v>1811.58</v>
      </c>
      <c r="Q127" s="2">
        <v>2611.73</v>
      </c>
      <c r="R127" s="2">
        <v>2114.89</v>
      </c>
      <c r="S127" s="2">
        <v>1647.61</v>
      </c>
      <c r="T127">
        <v>824.46</v>
      </c>
      <c r="U127">
        <v>824.46</v>
      </c>
    </row>
    <row r="128" spans="1:21" x14ac:dyDescent="0.25">
      <c r="A128" t="s">
        <v>158</v>
      </c>
      <c r="M128">
        <v>25.63</v>
      </c>
      <c r="N128">
        <v>48.63</v>
      </c>
      <c r="O128">
        <v>90.08</v>
      </c>
      <c r="P128">
        <v>253.12</v>
      </c>
      <c r="Q128">
        <v>485.62</v>
      </c>
      <c r="R128">
        <v>662.63</v>
      </c>
      <c r="S128" s="2">
        <v>1360.65</v>
      </c>
    </row>
    <row r="129" spans="1:21" x14ac:dyDescent="0.25">
      <c r="A129" t="s">
        <v>2862</v>
      </c>
      <c r="M129">
        <v>401.87</v>
      </c>
      <c r="N129">
        <v>131.05000000000001</v>
      </c>
      <c r="O129">
        <v>167.5</v>
      </c>
      <c r="P129">
        <v>189.73</v>
      </c>
      <c r="Q129">
        <v>243.57</v>
      </c>
      <c r="R129">
        <v>173.74</v>
      </c>
    </row>
    <row r="130" spans="1:21" x14ac:dyDescent="0.25">
      <c r="A130" t="s">
        <v>2863</v>
      </c>
    </row>
    <row r="131" spans="1:21" x14ac:dyDescent="0.25">
      <c r="A131" t="s">
        <v>1821</v>
      </c>
      <c r="M131">
        <v>640.32000000000005</v>
      </c>
      <c r="N131">
        <v>354.46</v>
      </c>
      <c r="O131">
        <v>223.7</v>
      </c>
      <c r="P131">
        <v>51.76</v>
      </c>
      <c r="Q131">
        <v>51.76</v>
      </c>
      <c r="R131">
        <v>242.67</v>
      </c>
    </row>
    <row r="132" spans="1:21" x14ac:dyDescent="0.25">
      <c r="A132" t="s">
        <v>2864</v>
      </c>
    </row>
    <row r="133" spans="1:21" x14ac:dyDescent="0.25">
      <c r="A133" t="s">
        <v>2865</v>
      </c>
      <c r="M133">
        <v>110.32</v>
      </c>
      <c r="N133">
        <v>185.4</v>
      </c>
    </row>
    <row r="134" spans="1:21" x14ac:dyDescent="0.25">
      <c r="A134" t="s">
        <v>164</v>
      </c>
      <c r="M134">
        <v>51.33</v>
      </c>
      <c r="N134">
        <v>251.8</v>
      </c>
      <c r="O134" s="2">
        <v>1092.33</v>
      </c>
      <c r="P134" s="2">
        <v>3914.93</v>
      </c>
      <c r="Q134" s="2">
        <v>5384.17</v>
      </c>
      <c r="R134" s="2">
        <v>5490.52</v>
      </c>
      <c r="S134" s="2">
        <v>2577.35</v>
      </c>
      <c r="T134" s="2">
        <v>2577.35</v>
      </c>
      <c r="U134" s="2">
        <v>2577.35</v>
      </c>
    </row>
    <row r="135" spans="1:21" x14ac:dyDescent="0.25">
      <c r="A135" t="s">
        <v>2866</v>
      </c>
      <c r="M135">
        <v>27.37</v>
      </c>
      <c r="N135">
        <v>215.96</v>
      </c>
      <c r="O135">
        <v>669.89</v>
      </c>
      <c r="P135" s="2">
        <v>2358.17</v>
      </c>
      <c r="Q135" s="2">
        <v>2812.4</v>
      </c>
      <c r="R135" s="2">
        <v>4122.8500000000004</v>
      </c>
      <c r="S135">
        <v>215.96</v>
      </c>
    </row>
    <row r="136" spans="1:21" x14ac:dyDescent="0.25">
      <c r="A136" t="s">
        <v>502</v>
      </c>
      <c r="M136">
        <v>23.96</v>
      </c>
      <c r="N136">
        <v>35.85</v>
      </c>
    </row>
    <row r="137" spans="1:21" x14ac:dyDescent="0.25">
      <c r="A137" t="s">
        <v>2867</v>
      </c>
    </row>
    <row r="138" spans="1:21" x14ac:dyDescent="0.25">
      <c r="A138" t="s">
        <v>167</v>
      </c>
      <c r="M138" s="2">
        <v>1229.46</v>
      </c>
      <c r="N138">
        <v>971.34</v>
      </c>
      <c r="O138" s="2">
        <v>2253.46</v>
      </c>
      <c r="P138" s="2">
        <v>4222.09</v>
      </c>
      <c r="Q138" s="2">
        <v>6169.61</v>
      </c>
      <c r="R138" s="2">
        <v>6017.3</v>
      </c>
      <c r="S138" s="2">
        <v>3299.38</v>
      </c>
      <c r="T138" s="2">
        <v>3138.44</v>
      </c>
      <c r="U138" s="2">
        <v>3138.44</v>
      </c>
    </row>
    <row r="139" spans="1:21" x14ac:dyDescent="0.25">
      <c r="A139" t="s">
        <v>2734</v>
      </c>
      <c r="M139">
        <v>850.07</v>
      </c>
      <c r="N139" s="2">
        <v>1933.35</v>
      </c>
      <c r="O139" s="2">
        <v>5933.35</v>
      </c>
      <c r="P139" s="2">
        <v>5933.35</v>
      </c>
      <c r="Q139" s="2">
        <v>5933.35</v>
      </c>
      <c r="R139" s="2">
        <v>5933.35</v>
      </c>
      <c r="S139" s="2">
        <v>5933.35</v>
      </c>
    </row>
    <row r="140" spans="1:21" x14ac:dyDescent="0.25">
      <c r="A140" t="s">
        <v>170</v>
      </c>
      <c r="M140">
        <v>-116.73</v>
      </c>
      <c r="N140" s="2">
        <v>1354.69</v>
      </c>
      <c r="O140" s="2">
        <v>8706.75</v>
      </c>
      <c r="P140" s="2">
        <v>9457</v>
      </c>
      <c r="Q140" s="2">
        <v>12366</v>
      </c>
      <c r="R140" s="2">
        <v>21351</v>
      </c>
      <c r="S140" s="2">
        <v>37694</v>
      </c>
    </row>
    <row r="141" spans="1:21" x14ac:dyDescent="0.25">
      <c r="A141" t="s">
        <v>171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21" x14ac:dyDescent="0.25">
      <c r="A142" t="s">
        <v>325</v>
      </c>
      <c r="M142">
        <v>0.09</v>
      </c>
      <c r="N142">
        <v>21.46</v>
      </c>
      <c r="O142">
        <v>21.46</v>
      </c>
      <c r="P142">
        <v>21.46</v>
      </c>
      <c r="Q142">
        <v>21.46</v>
      </c>
      <c r="R142">
        <v>21.46</v>
      </c>
      <c r="S142">
        <v>21.46</v>
      </c>
    </row>
    <row r="143" spans="1:21" x14ac:dyDescent="0.25">
      <c r="A143" t="s">
        <v>503</v>
      </c>
      <c r="M143">
        <v>176.23</v>
      </c>
      <c r="N143">
        <v>346.83</v>
      </c>
      <c r="O143" s="2">
        <v>7611.3</v>
      </c>
      <c r="P143" s="2">
        <v>8014.85</v>
      </c>
      <c r="Q143" s="2">
        <v>8391.75</v>
      </c>
      <c r="R143" s="2">
        <v>8648.4500000000007</v>
      </c>
      <c r="S143" s="2">
        <v>6234.43</v>
      </c>
      <c r="T143" s="2">
        <v>10518.74</v>
      </c>
      <c r="U143" s="2">
        <v>10518.74</v>
      </c>
    </row>
    <row r="144" spans="1:21" x14ac:dyDescent="0.25">
      <c r="A144" t="s">
        <v>174</v>
      </c>
      <c r="M144">
        <v>0.22</v>
      </c>
      <c r="N144">
        <v>1.3</v>
      </c>
      <c r="O144">
        <v>4.28</v>
      </c>
      <c r="P144">
        <v>4.28</v>
      </c>
      <c r="Q144">
        <v>4.28</v>
      </c>
      <c r="R144">
        <v>4.28</v>
      </c>
      <c r="S144">
        <v>3.53</v>
      </c>
      <c r="T144">
        <v>5.77</v>
      </c>
      <c r="U144">
        <v>5.77</v>
      </c>
    </row>
    <row r="145" spans="1:21" x14ac:dyDescent="0.25">
      <c r="A145" t="s">
        <v>1192</v>
      </c>
      <c r="M145" s="2">
        <v>-1143.1600000000001</v>
      </c>
      <c r="N145">
        <v>-905.33</v>
      </c>
      <c r="O145" s="2">
        <v>1606.86</v>
      </c>
      <c r="P145" s="2">
        <v>1920.61</v>
      </c>
      <c r="Q145" s="2">
        <v>4771.92</v>
      </c>
      <c r="R145" s="2">
        <v>5583.16</v>
      </c>
      <c r="S145" s="2">
        <v>17229.47</v>
      </c>
      <c r="T145" s="2">
        <v>4628.33</v>
      </c>
      <c r="U145" s="2">
        <v>4628.33</v>
      </c>
    </row>
    <row r="146" spans="1:21" x14ac:dyDescent="0.25">
      <c r="A146" t="s">
        <v>326</v>
      </c>
      <c r="M146" s="2">
        <v>1112.74</v>
      </c>
      <c r="N146" s="2">
        <v>2326.04</v>
      </c>
      <c r="O146" s="2">
        <v>11512.73</v>
      </c>
      <c r="P146" s="2">
        <v>14393.99</v>
      </c>
      <c r="Q146" s="2">
        <v>19393.650000000001</v>
      </c>
      <c r="R146" s="2">
        <v>22660.18</v>
      </c>
      <c r="S146" s="2">
        <v>30388.03</v>
      </c>
      <c r="T146" s="2">
        <v>19621.8</v>
      </c>
      <c r="U146" s="2">
        <v>19621.8</v>
      </c>
    </row>
    <row r="147" spans="1:21" x14ac:dyDescent="0.25">
      <c r="A147" t="s">
        <v>17</v>
      </c>
    </row>
    <row r="148" spans="1:21" x14ac:dyDescent="0.25">
      <c r="A148" t="s">
        <v>176</v>
      </c>
    </row>
    <row r="149" spans="1:21" x14ac:dyDescent="0.25">
      <c r="A149" t="s">
        <v>179</v>
      </c>
      <c r="N149">
        <v>13.83</v>
      </c>
      <c r="O149">
        <v>-1.2</v>
      </c>
      <c r="P149">
        <v>2.6</v>
      </c>
      <c r="Q149">
        <v>10.4</v>
      </c>
    </row>
    <row r="150" spans="1:21" x14ac:dyDescent="0.25">
      <c r="A150" t="s">
        <v>424</v>
      </c>
      <c r="M150">
        <v>-18.11</v>
      </c>
      <c r="N150">
        <v>-9.99</v>
      </c>
      <c r="O150">
        <v>43.25</v>
      </c>
      <c r="P150">
        <v>38.92</v>
      </c>
      <c r="Q150">
        <v>49.24</v>
      </c>
    </row>
    <row r="151" spans="1:21" x14ac:dyDescent="0.25">
      <c r="A151" t="s">
        <v>186</v>
      </c>
      <c r="M151">
        <v>0.87</v>
      </c>
      <c r="N151">
        <v>2.15</v>
      </c>
      <c r="O151">
        <v>5.05</v>
      </c>
      <c r="P151">
        <v>3.19</v>
      </c>
      <c r="Q151">
        <v>3.61</v>
      </c>
      <c r="R151">
        <v>12.81</v>
      </c>
      <c r="S151">
        <v>12.81</v>
      </c>
      <c r="T151">
        <v>12.81</v>
      </c>
      <c r="U151">
        <v>12.81</v>
      </c>
    </row>
    <row r="152" spans="1:21" x14ac:dyDescent="0.25">
      <c r="A152" t="s">
        <v>812</v>
      </c>
      <c r="M152">
        <v>2.11</v>
      </c>
      <c r="N152">
        <v>10.11</v>
      </c>
      <c r="O152">
        <v>5.75</v>
      </c>
      <c r="P152">
        <v>5.94</v>
      </c>
      <c r="Q152">
        <v>7.86</v>
      </c>
    </row>
    <row r="153" spans="1:21" x14ac:dyDescent="0.25">
      <c r="A153" t="s">
        <v>17</v>
      </c>
    </row>
    <row r="154" spans="1:21" x14ac:dyDescent="0.25">
      <c r="A154" t="s">
        <v>188</v>
      </c>
    </row>
    <row r="155" spans="1:21" x14ac:dyDescent="0.25">
      <c r="A155" t="s">
        <v>189</v>
      </c>
    </row>
    <row r="156" spans="1:21" x14ac:dyDescent="0.25">
      <c r="A156" t="s">
        <v>121</v>
      </c>
      <c r="M156">
        <v>-481.6</v>
      </c>
      <c r="N156">
        <v>237.83</v>
      </c>
      <c r="O156">
        <v>-812.56</v>
      </c>
      <c r="P156">
        <v>110.4</v>
      </c>
      <c r="Q156" s="2">
        <v>1922.03</v>
      </c>
      <c r="R156" s="2">
        <v>4326.67</v>
      </c>
      <c r="S156" s="2">
        <v>14284</v>
      </c>
    </row>
    <row r="157" spans="1:21" x14ac:dyDescent="0.25">
      <c r="A157" t="s">
        <v>190</v>
      </c>
      <c r="M157">
        <v>11.54</v>
      </c>
      <c r="N157">
        <v>34.450000000000003</v>
      </c>
      <c r="O157">
        <v>178.31</v>
      </c>
      <c r="P157">
        <v>786.44</v>
      </c>
      <c r="Q157" s="2">
        <v>1470.81</v>
      </c>
      <c r="R157" s="2">
        <v>1762.77</v>
      </c>
      <c r="S157" s="2">
        <v>4053.44</v>
      </c>
    </row>
    <row r="158" spans="1:21" x14ac:dyDescent="0.25">
      <c r="A158" t="s">
        <v>67</v>
      </c>
      <c r="M158">
        <v>58.56</v>
      </c>
      <c r="N158">
        <v>49.77</v>
      </c>
      <c r="O158">
        <v>553.72</v>
      </c>
      <c r="P158">
        <v>239.3</v>
      </c>
      <c r="Q158">
        <v>344.74</v>
      </c>
      <c r="R158">
        <v>443.05</v>
      </c>
      <c r="S158">
        <v>431.02</v>
      </c>
    </row>
    <row r="159" spans="1:21" x14ac:dyDescent="0.25">
      <c r="A159" t="s">
        <v>1868</v>
      </c>
      <c r="M159">
        <v>7.61</v>
      </c>
      <c r="N159">
        <v>22.67</v>
      </c>
      <c r="O159">
        <v>203.79</v>
      </c>
      <c r="P159">
        <v>322.97000000000003</v>
      </c>
      <c r="Q159">
        <v>740.28</v>
      </c>
      <c r="R159">
        <v>880.65</v>
      </c>
    </row>
    <row r="160" spans="1:21" x14ac:dyDescent="0.25">
      <c r="A160" t="s">
        <v>2868</v>
      </c>
      <c r="M160">
        <v>12.53</v>
      </c>
      <c r="N160">
        <v>20.97</v>
      </c>
      <c r="O160">
        <v>39.1</v>
      </c>
    </row>
    <row r="161" spans="1:19" x14ac:dyDescent="0.25">
      <c r="A161" t="s">
        <v>2869</v>
      </c>
    </row>
    <row r="162" spans="1:19" x14ac:dyDescent="0.25">
      <c r="A162" t="s">
        <v>656</v>
      </c>
      <c r="M162">
        <v>-130.66999999999999</v>
      </c>
      <c r="N162">
        <v>87.01</v>
      </c>
      <c r="O162">
        <v>-64.39</v>
      </c>
      <c r="P162">
        <v>-427.16</v>
      </c>
      <c r="Q162">
        <v>-397</v>
      </c>
      <c r="R162">
        <v>-571.70000000000005</v>
      </c>
      <c r="S162">
        <v>-744.15</v>
      </c>
    </row>
    <row r="163" spans="1:19" x14ac:dyDescent="0.25">
      <c r="A163" t="s">
        <v>340</v>
      </c>
      <c r="M163">
        <v>-144.97</v>
      </c>
      <c r="N163">
        <v>63.31</v>
      </c>
      <c r="O163">
        <v>-9.35</v>
      </c>
      <c r="P163">
        <v>-158.78</v>
      </c>
      <c r="Q163">
        <v>-274.54000000000002</v>
      </c>
      <c r="R163">
        <v>-392.73</v>
      </c>
      <c r="S163">
        <v>-816.17</v>
      </c>
    </row>
    <row r="164" spans="1:19" x14ac:dyDescent="0.25">
      <c r="A164" t="s">
        <v>407</v>
      </c>
      <c r="M164">
        <v>-17.05</v>
      </c>
      <c r="N164">
        <v>-13.87</v>
      </c>
      <c r="O164">
        <v>124.28</v>
      </c>
      <c r="P164">
        <v>-152.44999999999999</v>
      </c>
      <c r="Q164">
        <v>-20</v>
      </c>
      <c r="R164">
        <v>-20</v>
      </c>
      <c r="S164">
        <v>-20</v>
      </c>
    </row>
    <row r="165" spans="1:19" x14ac:dyDescent="0.25">
      <c r="A165" t="s">
        <v>158</v>
      </c>
      <c r="M165">
        <v>9.01</v>
      </c>
      <c r="N165">
        <v>21.15</v>
      </c>
      <c r="O165">
        <v>-12.94</v>
      </c>
      <c r="P165">
        <v>172.68</v>
      </c>
      <c r="Q165">
        <v>217.71</v>
      </c>
      <c r="R165">
        <v>307.36</v>
      </c>
      <c r="S165">
        <v>544.11</v>
      </c>
    </row>
    <row r="166" spans="1:19" x14ac:dyDescent="0.25">
      <c r="A166" t="s">
        <v>161</v>
      </c>
      <c r="M166">
        <v>38.200000000000003</v>
      </c>
      <c r="N166">
        <v>109.47</v>
      </c>
      <c r="O166">
        <v>-0.02</v>
      </c>
      <c r="P166">
        <v>448.46</v>
      </c>
      <c r="Q166">
        <v>800</v>
      </c>
      <c r="R166">
        <v>800</v>
      </c>
    </row>
    <row r="167" spans="1:19" x14ac:dyDescent="0.25">
      <c r="A167" t="s">
        <v>1821</v>
      </c>
      <c r="M167">
        <v>640.32000000000005</v>
      </c>
      <c r="N167">
        <v>-285.86</v>
      </c>
      <c r="O167">
        <v>-130.61000000000001</v>
      </c>
      <c r="P167">
        <v>-176.29</v>
      </c>
      <c r="Q167">
        <v>-100</v>
      </c>
      <c r="R167">
        <v>-100</v>
      </c>
    </row>
    <row r="168" spans="1:19" x14ac:dyDescent="0.25">
      <c r="A168" t="s">
        <v>166</v>
      </c>
      <c r="M168">
        <v>48.64</v>
      </c>
      <c r="N168">
        <v>3.14</v>
      </c>
    </row>
    <row r="169" spans="1:19" x14ac:dyDescent="0.25">
      <c r="A169" t="s">
        <v>204</v>
      </c>
      <c r="M169">
        <v>451.98</v>
      </c>
      <c r="N169">
        <v>-10.050000000000001</v>
      </c>
      <c r="O169">
        <v>-199.44</v>
      </c>
      <c r="P169" s="2">
        <v>1791.7</v>
      </c>
      <c r="Q169" s="2">
        <v>4435.08</v>
      </c>
      <c r="R169" s="2">
        <v>5926.2</v>
      </c>
      <c r="S169" s="2">
        <v>19409.689999999999</v>
      </c>
    </row>
    <row r="170" spans="1:19" x14ac:dyDescent="0.25">
      <c r="A170" t="s">
        <v>17</v>
      </c>
    </row>
    <row r="171" spans="1:19" x14ac:dyDescent="0.25">
      <c r="A171" t="s">
        <v>1205</v>
      </c>
    </row>
    <row r="172" spans="1:19" x14ac:dyDescent="0.25">
      <c r="A172" t="s">
        <v>2870</v>
      </c>
      <c r="M172">
        <v>-23.44</v>
      </c>
      <c r="N172">
        <v>-382.74</v>
      </c>
      <c r="O172" s="2">
        <v>-1600.8</v>
      </c>
      <c r="P172" s="2">
        <v>-3987.17</v>
      </c>
      <c r="Q172" s="2">
        <v>-3431.5</v>
      </c>
      <c r="R172" s="2">
        <v>-3683</v>
      </c>
      <c r="S172" s="2">
        <v>-5576</v>
      </c>
    </row>
    <row r="173" spans="1:19" x14ac:dyDescent="0.25">
      <c r="A173" t="s">
        <v>431</v>
      </c>
      <c r="M173">
        <v>-302.89999999999998</v>
      </c>
      <c r="N173">
        <v>-525.41</v>
      </c>
      <c r="O173" s="2">
        <v>-1275.52</v>
      </c>
    </row>
    <row r="174" spans="1:19" x14ac:dyDescent="0.25">
      <c r="A174" t="s">
        <v>1674</v>
      </c>
      <c r="M174">
        <v>309.55</v>
      </c>
      <c r="N174">
        <v>240.58</v>
      </c>
      <c r="O174">
        <v>906.89</v>
      </c>
    </row>
    <row r="175" spans="1:19" x14ac:dyDescent="0.25">
      <c r="A175" t="s">
        <v>213</v>
      </c>
      <c r="M175">
        <v>-16.79</v>
      </c>
      <c r="N175">
        <v>-667.58</v>
      </c>
      <c r="O175" s="2">
        <v>-2013.85</v>
      </c>
      <c r="P175" s="2">
        <v>-3994.1</v>
      </c>
      <c r="Q175" s="2">
        <v>-3000.57</v>
      </c>
      <c r="R175" s="2">
        <v>-2815.52</v>
      </c>
      <c r="S175" s="2">
        <v>-5576.15</v>
      </c>
    </row>
    <row r="176" spans="1:19" x14ac:dyDescent="0.25">
      <c r="A176" t="s">
        <v>17</v>
      </c>
    </row>
    <row r="177" spans="1:21" x14ac:dyDescent="0.25">
      <c r="A177" t="s">
        <v>1207</v>
      </c>
    </row>
    <row r="178" spans="1:21" x14ac:dyDescent="0.25">
      <c r="A178" t="s">
        <v>2871</v>
      </c>
      <c r="M178">
        <v>85</v>
      </c>
      <c r="N178" s="2">
        <v>1100</v>
      </c>
      <c r="O178" s="2">
        <v>5174.2</v>
      </c>
    </row>
    <row r="179" spans="1:21" x14ac:dyDescent="0.25">
      <c r="A179" t="s">
        <v>1827</v>
      </c>
      <c r="M179">
        <v>27.75</v>
      </c>
      <c r="N179">
        <v>17.3</v>
      </c>
      <c r="O179">
        <v>20.22</v>
      </c>
    </row>
    <row r="180" spans="1:21" x14ac:dyDescent="0.25">
      <c r="A180" t="s">
        <v>218</v>
      </c>
      <c r="M180">
        <v>112.3</v>
      </c>
      <c r="N180" s="2">
        <v>1026.56</v>
      </c>
      <c r="O180" s="2">
        <v>7808.21</v>
      </c>
      <c r="P180">
        <v>-658.06</v>
      </c>
      <c r="Q180">
        <v>-153.21</v>
      </c>
    </row>
    <row r="181" spans="1:21" x14ac:dyDescent="0.25">
      <c r="A181" t="s">
        <v>17</v>
      </c>
    </row>
    <row r="182" spans="1:21" x14ac:dyDescent="0.25">
      <c r="A182" t="s">
        <v>176</v>
      </c>
    </row>
    <row r="183" spans="1:21" x14ac:dyDescent="0.25">
      <c r="A183" t="s">
        <v>219</v>
      </c>
      <c r="M183">
        <v>-0.3</v>
      </c>
      <c r="N183">
        <v>-0.52</v>
      </c>
      <c r="O183">
        <v>0.64</v>
      </c>
    </row>
    <row r="184" spans="1:21" x14ac:dyDescent="0.25">
      <c r="A184" t="s">
        <v>220</v>
      </c>
      <c r="M184">
        <v>547.19000000000005</v>
      </c>
      <c r="N184">
        <v>348.41</v>
      </c>
      <c r="O184" s="2">
        <v>4786.9399999999996</v>
      </c>
      <c r="P184" s="2">
        <v>-2939.96</v>
      </c>
      <c r="Q184">
        <v>-520.5</v>
      </c>
      <c r="R184" s="2">
        <v>4893.42</v>
      </c>
    </row>
    <row r="185" spans="1:21" x14ac:dyDescent="0.25">
      <c r="A185" t="s">
        <v>221</v>
      </c>
      <c r="M185">
        <v>34.78</v>
      </c>
      <c r="N185">
        <v>581.97</v>
      </c>
      <c r="O185">
        <v>934.89</v>
      </c>
      <c r="P185" s="2">
        <v>6565.63</v>
      </c>
      <c r="Q185" s="2">
        <v>3914.34</v>
      </c>
      <c r="R185" s="2">
        <v>7536.63</v>
      </c>
      <c r="S185" s="2">
        <v>12432.08</v>
      </c>
      <c r="T185" s="2">
        <v>9382.66</v>
      </c>
      <c r="U185" s="2">
        <v>9382.66</v>
      </c>
    </row>
    <row r="186" spans="1:21" x14ac:dyDescent="0.25">
      <c r="A186" t="s">
        <v>222</v>
      </c>
      <c r="M186">
        <v>581.97</v>
      </c>
      <c r="N186">
        <v>930.38</v>
      </c>
      <c r="O186" s="2">
        <v>5993.38</v>
      </c>
      <c r="P186" s="2">
        <v>3444.15</v>
      </c>
      <c r="Q186" s="2">
        <v>4659.3100000000004</v>
      </c>
      <c r="R186" s="2">
        <v>9644.73</v>
      </c>
      <c r="S186" s="2">
        <v>9382.66</v>
      </c>
      <c r="T186" s="2">
        <v>9382.66</v>
      </c>
      <c r="U186" s="2">
        <v>9382.66</v>
      </c>
    </row>
    <row r="187" spans="1:21" x14ac:dyDescent="0.25">
      <c r="A187" t="s">
        <v>178</v>
      </c>
    </row>
    <row r="188" spans="1:21" x14ac:dyDescent="0.25">
      <c r="A188" t="s">
        <v>225</v>
      </c>
      <c r="M188">
        <v>428.54</v>
      </c>
      <c r="N188">
        <v>-392.79</v>
      </c>
      <c r="O188" s="2">
        <v>-1679.89</v>
      </c>
      <c r="P188" s="2">
        <v>-1847.55</v>
      </c>
      <c r="Q188" s="2">
        <v>3088.19</v>
      </c>
      <c r="R188" s="2">
        <v>4216.92</v>
      </c>
      <c r="S188" s="2">
        <v>13833.54</v>
      </c>
    </row>
    <row r="189" spans="1:21" x14ac:dyDescent="0.25">
      <c r="A189" t="s">
        <v>224</v>
      </c>
      <c r="M189">
        <v>9.23</v>
      </c>
      <c r="N189">
        <v>-0.19</v>
      </c>
      <c r="O189">
        <v>1.3</v>
      </c>
      <c r="P189">
        <v>9.07</v>
      </c>
      <c r="Q189">
        <v>26.61</v>
      </c>
      <c r="R189">
        <v>-81.25</v>
      </c>
    </row>
    <row r="190" spans="1:21" x14ac:dyDescent="0.25">
      <c r="A190" t="s">
        <v>17</v>
      </c>
    </row>
    <row r="191" spans="1:21" x14ac:dyDescent="0.25">
      <c r="A191" t="s">
        <v>231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4DDE-1DB3-458D-BCCE-AE5D5CF5D027}">
  <dimension ref="A1:U191"/>
  <sheetViews>
    <sheetView workbookViewId="0">
      <selection sqref="A1:U191"/>
    </sheetView>
  </sheetViews>
  <sheetFormatPr defaultRowHeight="15" x14ac:dyDescent="0.25"/>
  <sheetData>
    <row r="1" spans="1:21" x14ac:dyDescent="0.25">
      <c r="A1" t="s">
        <v>2844</v>
      </c>
    </row>
    <row r="2" spans="1:21" x14ac:dyDescent="0.25">
      <c r="A2" t="s">
        <v>2845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M6">
        <v>0</v>
      </c>
      <c r="N6">
        <v>0</v>
      </c>
      <c r="O6">
        <v>-0.47</v>
      </c>
      <c r="P6">
        <v>1.18</v>
      </c>
      <c r="Q6">
        <v>6.47</v>
      </c>
      <c r="R6">
        <v>17.27</v>
      </c>
      <c r="S6">
        <v>34.090000000000003</v>
      </c>
    </row>
    <row r="7" spans="1:21" x14ac:dyDescent="0.25">
      <c r="A7" t="s">
        <v>16</v>
      </c>
      <c r="M7">
        <v>290.25</v>
      </c>
      <c r="N7">
        <v>509.99</v>
      </c>
      <c r="O7">
        <v>883.6</v>
      </c>
      <c r="P7" s="2">
        <v>2974.09</v>
      </c>
      <c r="Q7" s="2">
        <v>7701.55</v>
      </c>
      <c r="R7" s="2">
        <v>12416.67</v>
      </c>
      <c r="S7" s="2">
        <v>27129</v>
      </c>
    </row>
    <row r="8" spans="1:21" x14ac:dyDescent="0.25">
      <c r="A8" t="s">
        <v>17</v>
      </c>
    </row>
    <row r="9" spans="1:21" x14ac:dyDescent="0.25">
      <c r="A9" t="s">
        <v>2846</v>
      </c>
    </row>
    <row r="10" spans="1:21" x14ac:dyDescent="0.25">
      <c r="A10" t="s">
        <v>1956</v>
      </c>
      <c r="O10">
        <v>317.29000000000002</v>
      </c>
      <c r="P10">
        <v>336.36</v>
      </c>
      <c r="Q10" s="2">
        <v>1014.64</v>
      </c>
      <c r="R10" s="2">
        <v>1786.44</v>
      </c>
      <c r="S10" s="2">
        <v>6476.76</v>
      </c>
    </row>
    <row r="11" spans="1:21" x14ac:dyDescent="0.25">
      <c r="A11" t="s">
        <v>2847</v>
      </c>
      <c r="O11">
        <v>575.51</v>
      </c>
      <c r="P11" s="2">
        <v>2700.08</v>
      </c>
      <c r="Q11" s="2">
        <v>6775.62</v>
      </c>
      <c r="R11" s="2">
        <v>10106.65</v>
      </c>
      <c r="S11" s="2">
        <v>20652.41</v>
      </c>
    </row>
    <row r="12" spans="1:21" x14ac:dyDescent="0.25">
      <c r="A12" t="s">
        <v>17</v>
      </c>
    </row>
    <row r="13" spans="1:21" x14ac:dyDescent="0.25">
      <c r="A13" t="s">
        <v>378</v>
      </c>
      <c r="O13">
        <v>370.23</v>
      </c>
      <c r="P13" s="2">
        <v>1486.03</v>
      </c>
      <c r="Q13" s="2">
        <v>4289.99</v>
      </c>
      <c r="R13" s="2">
        <v>7326.77</v>
      </c>
      <c r="S13" s="2">
        <v>16805.52</v>
      </c>
    </row>
    <row r="14" spans="1:21" x14ac:dyDescent="0.25">
      <c r="A14" t="s">
        <v>85</v>
      </c>
      <c r="M14">
        <v>42.29</v>
      </c>
      <c r="N14">
        <v>39.03</v>
      </c>
      <c r="O14">
        <v>41.95</v>
      </c>
      <c r="P14">
        <v>51.2</v>
      </c>
      <c r="Q14">
        <v>57.9</v>
      </c>
      <c r="R14">
        <v>60.73</v>
      </c>
      <c r="S14">
        <v>61.95</v>
      </c>
    </row>
    <row r="15" spans="1:21" x14ac:dyDescent="0.25">
      <c r="A15" t="s">
        <v>29</v>
      </c>
      <c r="M15">
        <v>-101.44</v>
      </c>
      <c r="N15">
        <v>-145.86000000000001</v>
      </c>
      <c r="O15">
        <v>-157.56</v>
      </c>
      <c r="P15">
        <v>352.24</v>
      </c>
      <c r="Q15" s="2">
        <v>2437.5500000000002</v>
      </c>
      <c r="R15" s="2">
        <v>4816.67</v>
      </c>
      <c r="S15" s="2">
        <v>13337</v>
      </c>
    </row>
    <row r="16" spans="1:21" x14ac:dyDescent="0.25">
      <c r="A16" t="s">
        <v>92</v>
      </c>
      <c r="O16">
        <v>-17.96</v>
      </c>
      <c r="P16">
        <v>10.94</v>
      </c>
      <c r="Q16">
        <v>31.51</v>
      </c>
      <c r="R16">
        <v>36.25</v>
      </c>
      <c r="S16">
        <v>49.16</v>
      </c>
    </row>
    <row r="17" spans="1:19" x14ac:dyDescent="0.25">
      <c r="A17" t="s">
        <v>528</v>
      </c>
      <c r="M17">
        <v>-42.87</v>
      </c>
      <c r="N17">
        <v>-96.1</v>
      </c>
      <c r="O17">
        <v>-109</v>
      </c>
      <c r="P17">
        <v>378.4</v>
      </c>
      <c r="Q17" s="2">
        <v>2002.18</v>
      </c>
      <c r="R17" s="2">
        <v>4792</v>
      </c>
      <c r="S17" s="2">
        <v>14284</v>
      </c>
    </row>
    <row r="18" spans="1:19" x14ac:dyDescent="0.25">
      <c r="A18" t="s">
        <v>17</v>
      </c>
    </row>
    <row r="19" spans="1:19" x14ac:dyDescent="0.25">
      <c r="A19" t="s">
        <v>36</v>
      </c>
      <c r="M19">
        <v>428.54</v>
      </c>
      <c r="N19">
        <v>-392.79</v>
      </c>
      <c r="O19" s="2">
        <v>-1679.89</v>
      </c>
      <c r="P19" s="2">
        <v>-1847.55</v>
      </c>
      <c r="Q19" s="2">
        <v>3088.19</v>
      </c>
      <c r="R19" s="2">
        <v>4216.92</v>
      </c>
      <c r="S19" s="2">
        <v>13833.54</v>
      </c>
    </row>
    <row r="20" spans="1:19" x14ac:dyDescent="0.25">
      <c r="A20" t="s">
        <v>17</v>
      </c>
    </row>
    <row r="21" spans="1:19" x14ac:dyDescent="0.25">
      <c r="A21" t="s">
        <v>37</v>
      </c>
    </row>
    <row r="22" spans="1:19" x14ac:dyDescent="0.25">
      <c r="A22" t="s">
        <v>17</v>
      </c>
    </row>
    <row r="23" spans="1:19" x14ac:dyDescent="0.25">
      <c r="A23" t="s">
        <v>383</v>
      </c>
    </row>
    <row r="24" spans="1:19" x14ac:dyDescent="0.25">
      <c r="A24" t="s">
        <v>17</v>
      </c>
    </row>
    <row r="25" spans="1:19" x14ac:dyDescent="0.25">
      <c r="A25" t="s">
        <v>58</v>
      </c>
    </row>
    <row r="26" spans="1:19" x14ac:dyDescent="0.25">
      <c r="A26" t="s">
        <v>2848</v>
      </c>
    </row>
    <row r="27" spans="1:19" x14ac:dyDescent="0.25">
      <c r="A27" t="s">
        <v>60</v>
      </c>
      <c r="O27">
        <v>317.29000000000002</v>
      </c>
      <c r="P27">
        <v>336.36</v>
      </c>
      <c r="Q27" s="2">
        <v>1014.64</v>
      </c>
      <c r="R27" s="2">
        <v>1786.44</v>
      </c>
      <c r="S27" s="2">
        <v>6476.76</v>
      </c>
    </row>
    <row r="28" spans="1:19" x14ac:dyDescent="0.25">
      <c r="A28" t="s">
        <v>63</v>
      </c>
      <c r="O28">
        <v>129.69999999999999</v>
      </c>
      <c r="P28">
        <v>143.5</v>
      </c>
      <c r="Q28">
        <v>452</v>
      </c>
    </row>
    <row r="29" spans="1:19" x14ac:dyDescent="0.25">
      <c r="A29" t="s">
        <v>64</v>
      </c>
      <c r="O29">
        <v>39.65</v>
      </c>
      <c r="P29">
        <v>45.01</v>
      </c>
      <c r="Q29">
        <v>51.47</v>
      </c>
      <c r="R29">
        <v>57.82</v>
      </c>
      <c r="S29">
        <v>61.78</v>
      </c>
    </row>
    <row r="30" spans="1:19" x14ac:dyDescent="0.25">
      <c r="A30" t="s">
        <v>17</v>
      </c>
    </row>
    <row r="31" spans="1:19" x14ac:dyDescent="0.25">
      <c r="A31" t="s">
        <v>2849</v>
      </c>
    </row>
    <row r="32" spans="1:19" x14ac:dyDescent="0.25">
      <c r="A32" t="s">
        <v>60</v>
      </c>
      <c r="O32">
        <v>575.51</v>
      </c>
      <c r="P32" s="2">
        <v>2700.08</v>
      </c>
      <c r="Q32" s="2">
        <v>6775.62</v>
      </c>
      <c r="R32" s="2">
        <v>10106.65</v>
      </c>
      <c r="S32" s="2">
        <v>20652.41</v>
      </c>
    </row>
    <row r="33" spans="1:19" x14ac:dyDescent="0.25">
      <c r="A33" t="s">
        <v>63</v>
      </c>
      <c r="O33">
        <v>241.5</v>
      </c>
      <c r="P33" s="2">
        <v>1233.4000000000001</v>
      </c>
      <c r="Q33" s="2">
        <v>3500.3</v>
      </c>
    </row>
    <row r="34" spans="1:19" x14ac:dyDescent="0.25">
      <c r="A34" t="s">
        <v>64</v>
      </c>
      <c r="O34">
        <v>43.31</v>
      </c>
      <c r="P34">
        <v>52.44</v>
      </c>
      <c r="Q34">
        <v>58.43</v>
      </c>
      <c r="R34">
        <v>61.35</v>
      </c>
      <c r="S34">
        <v>62</v>
      </c>
    </row>
    <row r="35" spans="1:19" x14ac:dyDescent="0.25">
      <c r="A35" t="s">
        <v>17</v>
      </c>
    </row>
    <row r="36" spans="1:19" x14ac:dyDescent="0.25">
      <c r="A36" t="s">
        <v>2850</v>
      </c>
    </row>
    <row r="37" spans="1:19" x14ac:dyDescent="0.25">
      <c r="A37" t="s">
        <v>60</v>
      </c>
      <c r="M37">
        <v>211.97</v>
      </c>
      <c r="N37">
        <v>358.44</v>
      </c>
    </row>
    <row r="38" spans="1:19" x14ac:dyDescent="0.25">
      <c r="A38" t="s">
        <v>62</v>
      </c>
      <c r="M38">
        <v>137.31</v>
      </c>
      <c r="N38">
        <v>204.75</v>
      </c>
    </row>
    <row r="39" spans="1:19" x14ac:dyDescent="0.25">
      <c r="A39" t="s">
        <v>63</v>
      </c>
    </row>
    <row r="40" spans="1:19" x14ac:dyDescent="0.25">
      <c r="A40" t="s">
        <v>64</v>
      </c>
    </row>
    <row r="41" spans="1:19" x14ac:dyDescent="0.25">
      <c r="A41" t="s">
        <v>17</v>
      </c>
    </row>
    <row r="42" spans="1:19" x14ac:dyDescent="0.25">
      <c r="A42" t="s">
        <v>2851</v>
      </c>
    </row>
    <row r="43" spans="1:19" x14ac:dyDescent="0.25">
      <c r="A43" t="s">
        <v>60</v>
      </c>
      <c r="M43">
        <v>78.290000000000006</v>
      </c>
      <c r="N43">
        <v>151.55000000000001</v>
      </c>
    </row>
    <row r="44" spans="1:19" x14ac:dyDescent="0.25">
      <c r="A44" t="s">
        <v>62</v>
      </c>
      <c r="M44">
        <v>30.2</v>
      </c>
      <c r="N44">
        <v>106.17</v>
      </c>
    </row>
    <row r="45" spans="1:19" x14ac:dyDescent="0.25">
      <c r="A45" t="s">
        <v>63</v>
      </c>
    </row>
    <row r="46" spans="1:19" x14ac:dyDescent="0.25">
      <c r="A46" t="s">
        <v>64</v>
      </c>
    </row>
    <row r="47" spans="1:19" x14ac:dyDescent="0.25">
      <c r="A47" t="s">
        <v>17</v>
      </c>
    </row>
    <row r="48" spans="1:19" x14ac:dyDescent="0.25">
      <c r="A48" t="s">
        <v>72</v>
      </c>
    </row>
    <row r="49" spans="1:19" x14ac:dyDescent="0.25">
      <c r="A49" t="s">
        <v>16</v>
      </c>
    </row>
    <row r="50" spans="1:19" x14ac:dyDescent="0.25">
      <c r="A50" t="s">
        <v>73</v>
      </c>
      <c r="M50">
        <v>282.69</v>
      </c>
      <c r="N50">
        <v>187.64</v>
      </c>
    </row>
    <row r="51" spans="1:19" x14ac:dyDescent="0.25">
      <c r="A51" t="s">
        <v>2852</v>
      </c>
      <c r="M51">
        <v>7.57</v>
      </c>
      <c r="N51">
        <v>322.23</v>
      </c>
    </row>
    <row r="52" spans="1:19" x14ac:dyDescent="0.25">
      <c r="A52" t="s">
        <v>212</v>
      </c>
      <c r="M52">
        <v>0</v>
      </c>
      <c r="N52">
        <v>0.12</v>
      </c>
    </row>
    <row r="53" spans="1:19" x14ac:dyDescent="0.25">
      <c r="A53" t="s">
        <v>17</v>
      </c>
    </row>
    <row r="54" spans="1:19" x14ac:dyDescent="0.25">
      <c r="A54" t="s">
        <v>570</v>
      </c>
    </row>
    <row r="55" spans="1:19" x14ac:dyDescent="0.25">
      <c r="A55" t="s">
        <v>2853</v>
      </c>
    </row>
    <row r="56" spans="1:19" x14ac:dyDescent="0.25">
      <c r="A56" t="s">
        <v>2854</v>
      </c>
    </row>
    <row r="57" spans="1:19" x14ac:dyDescent="0.25">
      <c r="A57" t="s">
        <v>2855</v>
      </c>
    </row>
    <row r="58" spans="1:19" x14ac:dyDescent="0.25">
      <c r="A58" t="s">
        <v>2856</v>
      </c>
    </row>
    <row r="59" spans="1:19" x14ac:dyDescent="0.25">
      <c r="A59" t="s">
        <v>2857</v>
      </c>
    </row>
    <row r="60" spans="1:19" x14ac:dyDescent="0.25">
      <c r="A60" t="s">
        <v>17</v>
      </c>
    </row>
    <row r="61" spans="1:19" x14ac:dyDescent="0.25">
      <c r="A61" t="s">
        <v>79</v>
      </c>
    </row>
    <row r="62" spans="1:19" x14ac:dyDescent="0.25">
      <c r="A62" t="s">
        <v>16</v>
      </c>
      <c r="M62">
        <v>290.25</v>
      </c>
      <c r="N62">
        <v>509.99</v>
      </c>
      <c r="O62">
        <v>883.6</v>
      </c>
      <c r="P62" s="2">
        <v>2974.09</v>
      </c>
      <c r="Q62" s="2">
        <v>7701.55</v>
      </c>
      <c r="R62" s="2">
        <v>12416.67</v>
      </c>
      <c r="S62" s="2">
        <v>27129</v>
      </c>
    </row>
    <row r="63" spans="1:19" x14ac:dyDescent="0.25">
      <c r="A63" t="s">
        <v>477</v>
      </c>
      <c r="M63">
        <v>211.97</v>
      </c>
      <c r="N63">
        <v>358.44</v>
      </c>
      <c r="O63">
        <v>275.18</v>
      </c>
      <c r="P63">
        <v>318.10000000000002</v>
      </c>
      <c r="Q63">
        <v>847.54</v>
      </c>
      <c r="R63" s="2">
        <v>1042.1300000000001</v>
      </c>
    </row>
    <row r="64" spans="1:19" x14ac:dyDescent="0.25">
      <c r="A64" t="s">
        <v>17</v>
      </c>
    </row>
    <row r="65" spans="1:19" x14ac:dyDescent="0.25">
      <c r="A65" t="s">
        <v>82</v>
      </c>
      <c r="M65">
        <v>167.51</v>
      </c>
      <c r="N65">
        <v>310.92</v>
      </c>
      <c r="O65">
        <v>570.65</v>
      </c>
      <c r="P65" s="2">
        <v>1740.1</v>
      </c>
      <c r="Q65" s="2">
        <v>3870.17</v>
      </c>
      <c r="R65" s="2">
        <v>5004.42</v>
      </c>
    </row>
    <row r="66" spans="1:19" x14ac:dyDescent="0.25">
      <c r="A66" t="s">
        <v>84</v>
      </c>
      <c r="M66">
        <v>122.74</v>
      </c>
      <c r="N66">
        <v>199.07</v>
      </c>
      <c r="O66">
        <v>225.75</v>
      </c>
      <c r="P66" s="2">
        <v>1253.53</v>
      </c>
      <c r="Q66" s="2">
        <v>3613.34</v>
      </c>
      <c r="R66" s="2">
        <v>6271.3</v>
      </c>
      <c r="S66" s="2">
        <v>15363.64</v>
      </c>
    </row>
    <row r="67" spans="1:19" x14ac:dyDescent="0.25">
      <c r="A67" t="s">
        <v>85</v>
      </c>
      <c r="M67">
        <v>42.3</v>
      </c>
      <c r="N67">
        <v>39</v>
      </c>
      <c r="O67">
        <v>34.61</v>
      </c>
      <c r="P67">
        <v>44.61</v>
      </c>
      <c r="Q67">
        <v>50.97</v>
      </c>
      <c r="R67">
        <v>46.7</v>
      </c>
      <c r="S67">
        <v>48.47</v>
      </c>
    </row>
    <row r="68" spans="1:19" x14ac:dyDescent="0.25">
      <c r="A68" t="s">
        <v>17</v>
      </c>
    </row>
    <row r="69" spans="1:19" x14ac:dyDescent="0.25">
      <c r="A69" t="s">
        <v>275</v>
      </c>
      <c r="M69">
        <v>224.18</v>
      </c>
      <c r="N69">
        <v>344.93</v>
      </c>
      <c r="O69" s="2">
        <v>1110.68</v>
      </c>
      <c r="P69" s="2">
        <v>1219.3499999999999</v>
      </c>
      <c r="Q69" s="2">
        <v>1777.85</v>
      </c>
      <c r="R69" s="2">
        <v>2633.06</v>
      </c>
      <c r="S69" s="2">
        <v>3899.67</v>
      </c>
    </row>
    <row r="70" spans="1:19" x14ac:dyDescent="0.25">
      <c r="A70" t="s">
        <v>89</v>
      </c>
      <c r="M70">
        <v>158.22999999999999</v>
      </c>
      <c r="N70">
        <v>243.32</v>
      </c>
    </row>
    <row r="71" spans="1:19" x14ac:dyDescent="0.25">
      <c r="A71" t="s">
        <v>90</v>
      </c>
      <c r="M71">
        <v>20.98</v>
      </c>
      <c r="N71">
        <v>70.650000000000006</v>
      </c>
    </row>
    <row r="72" spans="1:19" x14ac:dyDescent="0.25">
      <c r="A72" t="s">
        <v>88</v>
      </c>
      <c r="M72">
        <v>44.96</v>
      </c>
      <c r="N72">
        <v>30.97</v>
      </c>
    </row>
    <row r="73" spans="1:19" x14ac:dyDescent="0.25">
      <c r="A73" t="s">
        <v>17</v>
      </c>
    </row>
    <row r="74" spans="1:19" x14ac:dyDescent="0.25">
      <c r="A74" t="s">
        <v>91</v>
      </c>
      <c r="M74">
        <v>-101.44</v>
      </c>
      <c r="N74">
        <v>-145.86000000000001</v>
      </c>
      <c r="O74">
        <v>-822.55</v>
      </c>
      <c r="P74">
        <v>-357.54</v>
      </c>
      <c r="Q74">
        <v>895.17</v>
      </c>
      <c r="R74" s="2">
        <v>3135.5</v>
      </c>
      <c r="S74" s="2">
        <v>11463.97</v>
      </c>
    </row>
    <row r="75" spans="1:19" x14ac:dyDescent="0.25">
      <c r="A75" t="s">
        <v>92</v>
      </c>
      <c r="M75">
        <v>-34.950000000000003</v>
      </c>
      <c r="N75">
        <v>-28.6</v>
      </c>
      <c r="O75">
        <v>-95.96</v>
      </c>
      <c r="P75">
        <v>-10.77</v>
      </c>
      <c r="Q75">
        <v>10.89</v>
      </c>
      <c r="R75">
        <v>18.87</v>
      </c>
      <c r="S75">
        <v>36.17</v>
      </c>
    </row>
    <row r="76" spans="1:19" x14ac:dyDescent="0.25">
      <c r="A76" t="s">
        <v>17</v>
      </c>
    </row>
    <row r="77" spans="1:19" x14ac:dyDescent="0.25">
      <c r="A77" t="s">
        <v>2858</v>
      </c>
      <c r="M77">
        <v>378.24</v>
      </c>
      <c r="N77">
        <v>-390.75</v>
      </c>
      <c r="O77">
        <v>-2.5</v>
      </c>
    </row>
    <row r="78" spans="1:19" x14ac:dyDescent="0.25">
      <c r="A78" t="s">
        <v>17</v>
      </c>
    </row>
    <row r="79" spans="1:19" x14ac:dyDescent="0.25">
      <c r="A79" t="s">
        <v>100</v>
      </c>
      <c r="M79">
        <v>-479.68</v>
      </c>
      <c r="N79">
        <v>244.88</v>
      </c>
    </row>
    <row r="80" spans="1:19" x14ac:dyDescent="0.25">
      <c r="A80" t="s">
        <v>17</v>
      </c>
    </row>
    <row r="81" spans="1:19" x14ac:dyDescent="0.25">
      <c r="A81" t="s">
        <v>101</v>
      </c>
      <c r="M81">
        <v>1.93</v>
      </c>
      <c r="N81">
        <v>7.06</v>
      </c>
      <c r="O81">
        <v>3.14</v>
      </c>
      <c r="P81">
        <v>51.29</v>
      </c>
      <c r="Q81">
        <v>542.72</v>
      </c>
      <c r="R81">
        <v>761.86</v>
      </c>
      <c r="S81" s="2">
        <v>2025.72</v>
      </c>
    </row>
    <row r="82" spans="1:19" x14ac:dyDescent="0.25">
      <c r="A82" t="s">
        <v>17</v>
      </c>
    </row>
    <row r="83" spans="1:19" x14ac:dyDescent="0.25">
      <c r="A83" t="s">
        <v>106</v>
      </c>
      <c r="M83">
        <v>-481.6</v>
      </c>
      <c r="N83">
        <v>237.83</v>
      </c>
      <c r="O83">
        <v>-812.56</v>
      </c>
      <c r="P83">
        <v>110.4</v>
      </c>
      <c r="Q83" s="2">
        <v>1922.03</v>
      </c>
      <c r="R83" s="2">
        <v>4326.67</v>
      </c>
      <c r="S83" s="2">
        <v>14284</v>
      </c>
    </row>
    <row r="84" spans="1:19" x14ac:dyDescent="0.25">
      <c r="A84" t="s">
        <v>107</v>
      </c>
      <c r="M84">
        <v>-165.93</v>
      </c>
      <c r="N84">
        <v>46.63</v>
      </c>
      <c r="O84">
        <v>-86.51</v>
      </c>
      <c r="P84">
        <v>-4.05</v>
      </c>
      <c r="Q84">
        <v>17.45</v>
      </c>
      <c r="R84">
        <v>7.84</v>
      </c>
      <c r="S84">
        <v>52.65</v>
      </c>
    </row>
    <row r="85" spans="1:19" x14ac:dyDescent="0.25">
      <c r="A85" t="s">
        <v>17</v>
      </c>
    </row>
    <row r="86" spans="1:19" x14ac:dyDescent="0.25">
      <c r="A86" t="s">
        <v>109</v>
      </c>
      <c r="M86">
        <v>48.97</v>
      </c>
      <c r="N86">
        <v>171.82</v>
      </c>
      <c r="O86">
        <v>248.2</v>
      </c>
      <c r="P86">
        <v>316.5</v>
      </c>
      <c r="Q86">
        <v>323.75</v>
      </c>
    </row>
    <row r="87" spans="1:19" x14ac:dyDescent="0.25">
      <c r="A87" t="s">
        <v>110</v>
      </c>
      <c r="M87">
        <v>-9.9</v>
      </c>
      <c r="N87">
        <v>1.38</v>
      </c>
      <c r="O87">
        <v>-3.45</v>
      </c>
      <c r="P87">
        <v>1.1200000000000001</v>
      </c>
      <c r="Q87">
        <v>7.88</v>
      </c>
      <c r="R87">
        <v>16.73</v>
      </c>
    </row>
    <row r="88" spans="1:19" x14ac:dyDescent="0.25">
      <c r="A88" t="s">
        <v>17</v>
      </c>
    </row>
    <row r="89" spans="1:19" x14ac:dyDescent="0.25">
      <c r="A89" t="s">
        <v>111</v>
      </c>
    </row>
    <row r="90" spans="1:19" x14ac:dyDescent="0.25">
      <c r="A90" t="s">
        <v>62</v>
      </c>
      <c r="O90">
        <v>513.74</v>
      </c>
      <c r="P90" s="2">
        <v>1414.04</v>
      </c>
      <c r="Q90" s="2">
        <v>3185.84</v>
      </c>
      <c r="R90" s="2">
        <v>5612.67</v>
      </c>
      <c r="S90" s="2">
        <v>10323.65</v>
      </c>
    </row>
    <row r="91" spans="1:19" x14ac:dyDescent="0.25">
      <c r="A91" t="s">
        <v>63</v>
      </c>
      <c r="O91">
        <v>370.23</v>
      </c>
      <c r="P91" s="2">
        <v>1486.03</v>
      </c>
      <c r="Q91" s="2">
        <v>4289.99</v>
      </c>
      <c r="R91" s="2">
        <v>7326.77</v>
      </c>
      <c r="S91" s="2">
        <v>16805.52</v>
      </c>
    </row>
    <row r="92" spans="1:19" x14ac:dyDescent="0.25">
      <c r="A92" t="s">
        <v>64</v>
      </c>
      <c r="M92">
        <v>42.29</v>
      </c>
      <c r="N92">
        <v>39.03</v>
      </c>
      <c r="O92">
        <v>41.95</v>
      </c>
      <c r="P92">
        <v>51.2</v>
      </c>
      <c r="Q92">
        <v>57.9</v>
      </c>
      <c r="R92">
        <v>60.73</v>
      </c>
      <c r="S92">
        <v>61.95</v>
      </c>
    </row>
    <row r="93" spans="1:19" x14ac:dyDescent="0.25">
      <c r="A93" t="s">
        <v>1702</v>
      </c>
      <c r="O93">
        <v>530.9</v>
      </c>
      <c r="P93" s="2">
        <v>1099.56</v>
      </c>
      <c r="Q93" s="2">
        <v>1778.12</v>
      </c>
      <c r="R93" s="2">
        <v>2314.9699999999998</v>
      </c>
      <c r="S93" s="2">
        <v>3468.65</v>
      </c>
    </row>
    <row r="94" spans="1:19" x14ac:dyDescent="0.25">
      <c r="A94" t="s">
        <v>114</v>
      </c>
      <c r="O94">
        <v>370.25</v>
      </c>
      <c r="P94">
        <v>700.19</v>
      </c>
      <c r="Q94" s="2">
        <v>1162.72</v>
      </c>
      <c r="R94" s="2">
        <v>1586.4</v>
      </c>
      <c r="S94" s="2">
        <v>2428.7600000000002</v>
      </c>
    </row>
    <row r="95" spans="1:19" x14ac:dyDescent="0.25">
      <c r="A95" t="s">
        <v>113</v>
      </c>
      <c r="O95">
        <v>60.28</v>
      </c>
      <c r="P95">
        <v>198.72</v>
      </c>
      <c r="Q95">
        <v>317.7</v>
      </c>
      <c r="R95">
        <v>398.98</v>
      </c>
      <c r="S95">
        <v>390.5</v>
      </c>
    </row>
    <row r="96" spans="1:19" x14ac:dyDescent="0.25">
      <c r="A96" t="s">
        <v>115</v>
      </c>
      <c r="O96">
        <v>96.46</v>
      </c>
      <c r="P96">
        <v>188.11</v>
      </c>
      <c r="Q96">
        <v>266.5</v>
      </c>
      <c r="R96">
        <v>329.63</v>
      </c>
      <c r="S96">
        <v>649.39</v>
      </c>
    </row>
    <row r="97" spans="1:21" x14ac:dyDescent="0.25">
      <c r="A97" t="s">
        <v>116</v>
      </c>
      <c r="M97">
        <v>-101.44</v>
      </c>
      <c r="N97">
        <v>-145.86000000000001</v>
      </c>
      <c r="O97">
        <v>-157.56</v>
      </c>
      <c r="P97">
        <v>352.24</v>
      </c>
      <c r="Q97" s="2">
        <v>2437.5500000000002</v>
      </c>
      <c r="R97" s="2">
        <v>4816.67</v>
      </c>
      <c r="S97" s="2">
        <v>13337</v>
      </c>
    </row>
    <row r="98" spans="1:21" x14ac:dyDescent="0.25">
      <c r="A98" t="s">
        <v>119</v>
      </c>
      <c r="M98">
        <v>-479.68</v>
      </c>
      <c r="N98">
        <v>244.88</v>
      </c>
      <c r="O98">
        <v>-117.45</v>
      </c>
      <c r="P98">
        <v>417.33</v>
      </c>
      <c r="Q98" s="2">
        <v>2610.44</v>
      </c>
      <c r="R98" s="2">
        <v>5947</v>
      </c>
    </row>
    <row r="99" spans="1:21" x14ac:dyDescent="0.25">
      <c r="A99" t="s">
        <v>120</v>
      </c>
    </row>
    <row r="100" spans="1:21" x14ac:dyDescent="0.25">
      <c r="A100" t="s">
        <v>489</v>
      </c>
    </row>
    <row r="101" spans="1:21" x14ac:dyDescent="0.25">
      <c r="A101" t="s">
        <v>121</v>
      </c>
      <c r="M101">
        <v>-42.87</v>
      </c>
      <c r="N101">
        <v>-96.1</v>
      </c>
      <c r="O101">
        <v>-109</v>
      </c>
      <c r="P101">
        <v>378.4</v>
      </c>
      <c r="Q101" s="2">
        <v>2002.18</v>
      </c>
      <c r="R101" s="2">
        <v>4792</v>
      </c>
      <c r="S101" s="2">
        <v>14284</v>
      </c>
    </row>
    <row r="102" spans="1:21" x14ac:dyDescent="0.25">
      <c r="A102" t="s">
        <v>124</v>
      </c>
      <c r="M102">
        <v>0</v>
      </c>
      <c r="N102">
        <v>0</v>
      </c>
      <c r="O102">
        <v>-0.47</v>
      </c>
      <c r="P102">
        <v>1.18</v>
      </c>
      <c r="Q102">
        <v>6.47</v>
      </c>
      <c r="R102">
        <v>17.27</v>
      </c>
      <c r="S102">
        <v>34.090000000000003</v>
      </c>
    </row>
    <row r="103" spans="1:21" x14ac:dyDescent="0.25">
      <c r="A103" t="s">
        <v>17</v>
      </c>
    </row>
    <row r="104" spans="1:21" x14ac:dyDescent="0.25">
      <c r="A104" t="s">
        <v>125</v>
      </c>
    </row>
    <row r="105" spans="1:21" x14ac:dyDescent="0.25">
      <c r="A105" t="s">
        <v>67</v>
      </c>
      <c r="M105">
        <v>58.56</v>
      </c>
      <c r="N105">
        <v>49.77</v>
      </c>
      <c r="O105">
        <v>553.72</v>
      </c>
      <c r="P105">
        <v>239.3</v>
      </c>
      <c r="Q105">
        <v>344.74</v>
      </c>
      <c r="R105">
        <v>443.05</v>
      </c>
      <c r="S105">
        <v>431.02</v>
      </c>
    </row>
    <row r="106" spans="1:21" x14ac:dyDescent="0.25">
      <c r="A106" t="s">
        <v>114</v>
      </c>
      <c r="M106">
        <v>41.4</v>
      </c>
      <c r="N106">
        <v>32.15</v>
      </c>
    </row>
    <row r="107" spans="1:21" x14ac:dyDescent="0.25">
      <c r="A107" t="s">
        <v>394</v>
      </c>
      <c r="M107">
        <v>8.7200000000000006</v>
      </c>
      <c r="N107">
        <v>9.9499999999999993</v>
      </c>
    </row>
    <row r="108" spans="1:21" x14ac:dyDescent="0.25">
      <c r="A108" t="s">
        <v>115</v>
      </c>
      <c r="M108">
        <v>7.52</v>
      </c>
      <c r="N108">
        <v>6.84</v>
      </c>
    </row>
    <row r="109" spans="1:21" x14ac:dyDescent="0.25">
      <c r="A109" t="s">
        <v>17</v>
      </c>
    </row>
    <row r="110" spans="1:21" x14ac:dyDescent="0.25">
      <c r="A110" t="s">
        <v>134</v>
      </c>
    </row>
    <row r="111" spans="1:21" x14ac:dyDescent="0.25">
      <c r="A111" t="s">
        <v>135</v>
      </c>
    </row>
    <row r="112" spans="1:21" x14ac:dyDescent="0.25">
      <c r="A112" t="s">
        <v>136</v>
      </c>
      <c r="M112" s="2">
        <v>1030.48</v>
      </c>
      <c r="N112" s="2">
        <v>1543.65</v>
      </c>
      <c r="O112" s="2">
        <v>8284.25</v>
      </c>
      <c r="P112" s="2">
        <v>6457.61</v>
      </c>
      <c r="Q112" s="2">
        <v>9652.68</v>
      </c>
      <c r="R112" s="2">
        <v>12630.76</v>
      </c>
      <c r="S112" s="2">
        <v>21651.34</v>
      </c>
      <c r="T112" s="2">
        <v>10562.05</v>
      </c>
      <c r="U112" s="2">
        <v>10562.05</v>
      </c>
    </row>
    <row r="113" spans="1:21" x14ac:dyDescent="0.25">
      <c r="A113" t="s">
        <v>536</v>
      </c>
      <c r="M113">
        <v>220.21</v>
      </c>
      <c r="N113">
        <v>701.71</v>
      </c>
      <c r="O113" s="2">
        <v>7604.28</v>
      </c>
      <c r="P113" s="2">
        <v>4571</v>
      </c>
      <c r="Q113" s="2">
        <v>6081.97</v>
      </c>
      <c r="R113" s="2">
        <v>11109.87</v>
      </c>
      <c r="S113" s="2">
        <v>28631.34</v>
      </c>
    </row>
    <row r="114" spans="1:21" x14ac:dyDescent="0.25">
      <c r="A114" t="s">
        <v>408</v>
      </c>
      <c r="M114">
        <v>361.76</v>
      </c>
      <c r="N114">
        <v>228.67</v>
      </c>
    </row>
    <row r="115" spans="1:21" x14ac:dyDescent="0.25">
      <c r="A115" t="s">
        <v>2728</v>
      </c>
      <c r="M115">
        <v>116.94</v>
      </c>
      <c r="N115">
        <v>406.53</v>
      </c>
      <c r="O115" s="2">
        <v>1179.3900000000001</v>
      </c>
      <c r="P115" s="2">
        <v>1179.3900000000001</v>
      </c>
      <c r="Q115" s="2">
        <v>1179.3900000000001</v>
      </c>
      <c r="R115" s="2">
        <v>1179.3900000000001</v>
      </c>
      <c r="S115" s="2">
        <v>1179.3900000000001</v>
      </c>
      <c r="T115" s="2">
        <v>1179.3900000000001</v>
      </c>
      <c r="U115" s="2">
        <v>1179.3900000000001</v>
      </c>
    </row>
    <row r="116" spans="1:21" x14ac:dyDescent="0.25">
      <c r="A116" t="s">
        <v>806</v>
      </c>
      <c r="M116">
        <v>137.44</v>
      </c>
      <c r="N116">
        <v>50.42</v>
      </c>
      <c r="O116">
        <v>114.1</v>
      </c>
      <c r="P116">
        <v>466.16</v>
      </c>
      <c r="Q116">
        <v>890.27</v>
      </c>
      <c r="R116">
        <v>825.1</v>
      </c>
      <c r="S116" s="2">
        <v>1802.99</v>
      </c>
    </row>
    <row r="117" spans="1:21" x14ac:dyDescent="0.25">
      <c r="A117" t="s">
        <v>340</v>
      </c>
      <c r="M117">
        <v>174.49</v>
      </c>
      <c r="N117">
        <v>63.63</v>
      </c>
      <c r="O117">
        <v>74.959999999999994</v>
      </c>
      <c r="P117">
        <v>195.46</v>
      </c>
      <c r="Q117">
        <v>424.37</v>
      </c>
      <c r="R117">
        <v>772.77</v>
      </c>
      <c r="S117" s="2">
        <v>2040.98</v>
      </c>
    </row>
    <row r="118" spans="1:21" x14ac:dyDescent="0.25">
      <c r="A118" t="s">
        <v>2859</v>
      </c>
    </row>
    <row r="119" spans="1:21" x14ac:dyDescent="0.25">
      <c r="A119" t="s">
        <v>2860</v>
      </c>
      <c r="M119">
        <v>19.64</v>
      </c>
      <c r="N119">
        <v>92.69</v>
      </c>
    </row>
    <row r="120" spans="1:21" x14ac:dyDescent="0.25">
      <c r="A120" t="s">
        <v>146</v>
      </c>
      <c r="M120">
        <v>82.26</v>
      </c>
      <c r="N120">
        <v>782.39</v>
      </c>
      <c r="O120" s="2">
        <v>4288.5200000000004</v>
      </c>
      <c r="P120" s="2">
        <v>13687.42</v>
      </c>
      <c r="Q120" s="2">
        <v>15942.05</v>
      </c>
      <c r="R120" s="2">
        <v>14991.24</v>
      </c>
    </row>
    <row r="121" spans="1:21" x14ac:dyDescent="0.25">
      <c r="A121" t="s">
        <v>2861</v>
      </c>
      <c r="M121">
        <v>43.17</v>
      </c>
      <c r="N121">
        <v>437.4</v>
      </c>
      <c r="O121" s="2">
        <v>1814.56</v>
      </c>
      <c r="P121" s="2">
        <v>5040.9399999999996</v>
      </c>
      <c r="Q121" s="2">
        <v>6460.51</v>
      </c>
      <c r="R121" s="2">
        <v>4894.1099999999997</v>
      </c>
      <c r="S121" s="2">
        <v>6121.33</v>
      </c>
    </row>
    <row r="122" spans="1:21" x14ac:dyDescent="0.25">
      <c r="A122" t="s">
        <v>692</v>
      </c>
      <c r="M122">
        <v>36.57</v>
      </c>
      <c r="N122">
        <v>248.95</v>
      </c>
      <c r="O122">
        <v>585.82000000000005</v>
      </c>
      <c r="P122" s="2">
        <v>2044.79</v>
      </c>
      <c r="Q122" s="2">
        <v>2404.58</v>
      </c>
      <c r="R122" s="2">
        <v>4654.99</v>
      </c>
      <c r="S122">
        <v>248.95</v>
      </c>
    </row>
    <row r="123" spans="1:21" x14ac:dyDescent="0.25">
      <c r="A123" t="s">
        <v>154</v>
      </c>
      <c r="M123">
        <v>2.5099999999999998</v>
      </c>
      <c r="N123">
        <v>96.05</v>
      </c>
      <c r="O123">
        <v>528.72</v>
      </c>
      <c r="P123">
        <v>533.98</v>
      </c>
      <c r="Q123">
        <v>537.02</v>
      </c>
      <c r="R123">
        <v>548.79</v>
      </c>
      <c r="S123">
        <v>795.9</v>
      </c>
      <c r="T123">
        <v>991.08</v>
      </c>
      <c r="U123">
        <v>991.08</v>
      </c>
    </row>
    <row r="124" spans="1:21" x14ac:dyDescent="0.25">
      <c r="A124" t="s">
        <v>155</v>
      </c>
      <c r="M124" s="2">
        <v>1112.74</v>
      </c>
      <c r="N124" s="2">
        <v>2326.04</v>
      </c>
      <c r="O124" s="2">
        <v>11512.73</v>
      </c>
      <c r="P124" s="2">
        <v>14393.99</v>
      </c>
      <c r="Q124" s="2">
        <v>19393.650000000001</v>
      </c>
      <c r="R124" s="2">
        <v>22660.18</v>
      </c>
      <c r="S124" s="2">
        <v>30388.03</v>
      </c>
      <c r="T124" s="2">
        <v>19621.8</v>
      </c>
      <c r="U124" s="2">
        <v>19621.8</v>
      </c>
    </row>
    <row r="125" spans="1:21" x14ac:dyDescent="0.25">
      <c r="A125" t="s">
        <v>17</v>
      </c>
    </row>
    <row r="126" spans="1:21" x14ac:dyDescent="0.25">
      <c r="A126" t="s">
        <v>156</v>
      </c>
    </row>
    <row r="127" spans="1:21" x14ac:dyDescent="0.25">
      <c r="A127" t="s">
        <v>157</v>
      </c>
      <c r="M127" s="2">
        <v>1178.1400000000001</v>
      </c>
      <c r="N127">
        <v>719.54</v>
      </c>
      <c r="O127" s="2">
        <v>1242.6300000000001</v>
      </c>
      <c r="P127" s="2">
        <v>1811.58</v>
      </c>
      <c r="Q127" s="2">
        <v>2611.73</v>
      </c>
      <c r="R127" s="2">
        <v>2114.89</v>
      </c>
      <c r="S127" s="2">
        <v>1647.61</v>
      </c>
      <c r="T127">
        <v>824.46</v>
      </c>
      <c r="U127">
        <v>824.46</v>
      </c>
    </row>
    <row r="128" spans="1:21" x14ac:dyDescent="0.25">
      <c r="A128" t="s">
        <v>158</v>
      </c>
      <c r="M128">
        <v>25.63</v>
      </c>
      <c r="N128">
        <v>48.63</v>
      </c>
      <c r="O128">
        <v>90.08</v>
      </c>
      <c r="P128">
        <v>253.12</v>
      </c>
      <c r="Q128">
        <v>485.62</v>
      </c>
      <c r="R128">
        <v>662.63</v>
      </c>
      <c r="S128" s="2">
        <v>1360.65</v>
      </c>
    </row>
    <row r="129" spans="1:21" x14ac:dyDescent="0.25">
      <c r="A129" t="s">
        <v>2862</v>
      </c>
      <c r="M129">
        <v>401.87</v>
      </c>
      <c r="N129">
        <v>131.05000000000001</v>
      </c>
      <c r="O129">
        <v>167.5</v>
      </c>
      <c r="P129">
        <v>189.73</v>
      </c>
      <c r="Q129">
        <v>243.57</v>
      </c>
      <c r="R129">
        <v>173.74</v>
      </c>
    </row>
    <row r="130" spans="1:21" x14ac:dyDescent="0.25">
      <c r="A130" t="s">
        <v>2863</v>
      </c>
    </row>
    <row r="131" spans="1:21" x14ac:dyDescent="0.25">
      <c r="A131" t="s">
        <v>1821</v>
      </c>
      <c r="M131">
        <v>640.32000000000005</v>
      </c>
      <c r="N131">
        <v>354.46</v>
      </c>
      <c r="O131">
        <v>223.7</v>
      </c>
      <c r="P131">
        <v>51.76</v>
      </c>
      <c r="Q131">
        <v>51.76</v>
      </c>
      <c r="R131">
        <v>242.67</v>
      </c>
    </row>
    <row r="132" spans="1:21" x14ac:dyDescent="0.25">
      <c r="A132" t="s">
        <v>2864</v>
      </c>
    </row>
    <row r="133" spans="1:21" x14ac:dyDescent="0.25">
      <c r="A133" t="s">
        <v>2865</v>
      </c>
      <c r="M133">
        <v>110.32</v>
      </c>
      <c r="N133">
        <v>185.4</v>
      </c>
    </row>
    <row r="134" spans="1:21" x14ac:dyDescent="0.25">
      <c r="A134" t="s">
        <v>164</v>
      </c>
      <c r="M134">
        <v>51.33</v>
      </c>
      <c r="N134">
        <v>251.8</v>
      </c>
      <c r="O134" s="2">
        <v>1092.33</v>
      </c>
      <c r="P134" s="2">
        <v>3914.93</v>
      </c>
      <c r="Q134" s="2">
        <v>5384.17</v>
      </c>
      <c r="R134" s="2">
        <v>5490.52</v>
      </c>
      <c r="S134" s="2">
        <v>2577.35</v>
      </c>
      <c r="T134" s="2">
        <v>2577.35</v>
      </c>
      <c r="U134" s="2">
        <v>2577.35</v>
      </c>
    </row>
    <row r="135" spans="1:21" x14ac:dyDescent="0.25">
      <c r="A135" t="s">
        <v>2866</v>
      </c>
      <c r="M135">
        <v>27.37</v>
      </c>
      <c r="N135">
        <v>215.96</v>
      </c>
      <c r="O135">
        <v>669.89</v>
      </c>
      <c r="P135" s="2">
        <v>2358.17</v>
      </c>
      <c r="Q135" s="2">
        <v>2812.4</v>
      </c>
      <c r="R135" s="2">
        <v>4122.8500000000004</v>
      </c>
      <c r="S135">
        <v>215.96</v>
      </c>
    </row>
    <row r="136" spans="1:21" x14ac:dyDescent="0.25">
      <c r="A136" t="s">
        <v>502</v>
      </c>
      <c r="M136">
        <v>23.96</v>
      </c>
      <c r="N136">
        <v>35.85</v>
      </c>
    </row>
    <row r="137" spans="1:21" x14ac:dyDescent="0.25">
      <c r="A137" t="s">
        <v>2867</v>
      </c>
    </row>
    <row r="138" spans="1:21" x14ac:dyDescent="0.25">
      <c r="A138" t="s">
        <v>167</v>
      </c>
      <c r="M138" s="2">
        <v>1229.46</v>
      </c>
      <c r="N138">
        <v>971.34</v>
      </c>
      <c r="O138" s="2">
        <v>2253.46</v>
      </c>
      <c r="P138" s="2">
        <v>4222.09</v>
      </c>
      <c r="Q138" s="2">
        <v>6169.61</v>
      </c>
      <c r="R138" s="2">
        <v>6017.3</v>
      </c>
      <c r="S138" s="2">
        <v>3299.38</v>
      </c>
      <c r="T138" s="2">
        <v>3138.44</v>
      </c>
      <c r="U138" s="2">
        <v>3138.44</v>
      </c>
    </row>
    <row r="139" spans="1:21" x14ac:dyDescent="0.25">
      <c r="A139" t="s">
        <v>2734</v>
      </c>
      <c r="M139">
        <v>850.07</v>
      </c>
      <c r="N139" s="2">
        <v>1933.35</v>
      </c>
      <c r="O139" s="2">
        <v>5933.35</v>
      </c>
      <c r="P139" s="2">
        <v>5933.35</v>
      </c>
      <c r="Q139" s="2">
        <v>5933.35</v>
      </c>
      <c r="R139" s="2">
        <v>5933.35</v>
      </c>
      <c r="S139" s="2">
        <v>5933.35</v>
      </c>
    </row>
    <row r="140" spans="1:21" x14ac:dyDescent="0.25">
      <c r="A140" t="s">
        <v>170</v>
      </c>
      <c r="M140">
        <v>-116.73</v>
      </c>
      <c r="N140" s="2">
        <v>1354.69</v>
      </c>
      <c r="O140" s="2">
        <v>8706.75</v>
      </c>
      <c r="P140" s="2">
        <v>9457</v>
      </c>
      <c r="Q140" s="2">
        <v>12366</v>
      </c>
      <c r="R140" s="2">
        <v>21351</v>
      </c>
      <c r="S140" s="2">
        <v>37694</v>
      </c>
    </row>
    <row r="141" spans="1:21" x14ac:dyDescent="0.25">
      <c r="A141" t="s">
        <v>171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21" x14ac:dyDescent="0.25">
      <c r="A142" t="s">
        <v>325</v>
      </c>
      <c r="M142">
        <v>0.09</v>
      </c>
      <c r="N142">
        <v>21.46</v>
      </c>
      <c r="O142">
        <v>21.46</v>
      </c>
      <c r="P142">
        <v>21.46</v>
      </c>
      <c r="Q142">
        <v>21.46</v>
      </c>
      <c r="R142">
        <v>21.46</v>
      </c>
      <c r="S142">
        <v>21.46</v>
      </c>
    </row>
    <row r="143" spans="1:21" x14ac:dyDescent="0.25">
      <c r="A143" t="s">
        <v>503</v>
      </c>
      <c r="M143">
        <v>176.23</v>
      </c>
      <c r="N143">
        <v>346.83</v>
      </c>
      <c r="O143" s="2">
        <v>7611.3</v>
      </c>
      <c r="P143" s="2">
        <v>8014.85</v>
      </c>
      <c r="Q143" s="2">
        <v>8391.75</v>
      </c>
      <c r="R143" s="2">
        <v>8648.4500000000007</v>
      </c>
      <c r="S143" s="2">
        <v>6234.43</v>
      </c>
      <c r="T143" s="2">
        <v>10518.74</v>
      </c>
      <c r="U143" s="2">
        <v>10518.74</v>
      </c>
    </row>
    <row r="144" spans="1:21" x14ac:dyDescent="0.25">
      <c r="A144" t="s">
        <v>174</v>
      </c>
      <c r="M144">
        <v>0.22</v>
      </c>
      <c r="N144">
        <v>1.3</v>
      </c>
      <c r="O144">
        <v>4.28</v>
      </c>
      <c r="P144">
        <v>4.28</v>
      </c>
      <c r="Q144">
        <v>4.28</v>
      </c>
      <c r="R144">
        <v>4.28</v>
      </c>
      <c r="S144">
        <v>3.53</v>
      </c>
      <c r="T144">
        <v>5.77</v>
      </c>
      <c r="U144">
        <v>5.77</v>
      </c>
    </row>
    <row r="145" spans="1:21" x14ac:dyDescent="0.25">
      <c r="A145" t="s">
        <v>1192</v>
      </c>
      <c r="M145" s="2">
        <v>-1143.1600000000001</v>
      </c>
      <c r="N145">
        <v>-905.33</v>
      </c>
      <c r="O145" s="2">
        <v>1606.86</v>
      </c>
      <c r="P145" s="2">
        <v>1920.61</v>
      </c>
      <c r="Q145" s="2">
        <v>4771.92</v>
      </c>
      <c r="R145" s="2">
        <v>5583.16</v>
      </c>
      <c r="S145" s="2">
        <v>17229.47</v>
      </c>
      <c r="T145" s="2">
        <v>4628.33</v>
      </c>
      <c r="U145" s="2">
        <v>4628.33</v>
      </c>
    </row>
    <row r="146" spans="1:21" x14ac:dyDescent="0.25">
      <c r="A146" t="s">
        <v>326</v>
      </c>
      <c r="M146" s="2">
        <v>1112.74</v>
      </c>
      <c r="N146" s="2">
        <v>2326.04</v>
      </c>
      <c r="O146" s="2">
        <v>11512.73</v>
      </c>
      <c r="P146" s="2">
        <v>14393.99</v>
      </c>
      <c r="Q146" s="2">
        <v>19393.650000000001</v>
      </c>
      <c r="R146" s="2">
        <v>22660.18</v>
      </c>
      <c r="S146" s="2">
        <v>30388.03</v>
      </c>
      <c r="T146" s="2">
        <v>19621.8</v>
      </c>
      <c r="U146" s="2">
        <v>19621.8</v>
      </c>
    </row>
    <row r="147" spans="1:21" x14ac:dyDescent="0.25">
      <c r="A147" t="s">
        <v>17</v>
      </c>
    </row>
    <row r="148" spans="1:21" x14ac:dyDescent="0.25">
      <c r="A148" t="s">
        <v>176</v>
      </c>
    </row>
    <row r="149" spans="1:21" x14ac:dyDescent="0.25">
      <c r="A149" t="s">
        <v>179</v>
      </c>
      <c r="N149">
        <v>13.83</v>
      </c>
      <c r="O149">
        <v>-1.2</v>
      </c>
      <c r="P149">
        <v>2.6</v>
      </c>
      <c r="Q149">
        <v>10.4</v>
      </c>
    </row>
    <row r="150" spans="1:21" x14ac:dyDescent="0.25">
      <c r="A150" t="s">
        <v>424</v>
      </c>
      <c r="M150">
        <v>-18.11</v>
      </c>
      <c r="N150">
        <v>-9.99</v>
      </c>
      <c r="O150">
        <v>43.25</v>
      </c>
      <c r="P150">
        <v>38.92</v>
      </c>
      <c r="Q150">
        <v>49.24</v>
      </c>
    </row>
    <row r="151" spans="1:21" x14ac:dyDescent="0.25">
      <c r="A151" t="s">
        <v>186</v>
      </c>
      <c r="M151">
        <v>0.87</v>
      </c>
      <c r="N151">
        <v>2.15</v>
      </c>
      <c r="O151">
        <v>5.05</v>
      </c>
      <c r="P151">
        <v>3.19</v>
      </c>
      <c r="Q151">
        <v>3.61</v>
      </c>
      <c r="R151">
        <v>12.81</v>
      </c>
      <c r="S151">
        <v>12.81</v>
      </c>
      <c r="T151">
        <v>12.81</v>
      </c>
      <c r="U151">
        <v>12.81</v>
      </c>
    </row>
    <row r="152" spans="1:21" x14ac:dyDescent="0.25">
      <c r="A152" t="s">
        <v>812</v>
      </c>
      <c r="M152">
        <v>2.11</v>
      </c>
      <c r="N152">
        <v>10.11</v>
      </c>
      <c r="O152">
        <v>5.75</v>
      </c>
      <c r="P152">
        <v>5.94</v>
      </c>
      <c r="Q152">
        <v>7.86</v>
      </c>
    </row>
    <row r="153" spans="1:21" x14ac:dyDescent="0.25">
      <c r="A153" t="s">
        <v>17</v>
      </c>
    </row>
    <row r="154" spans="1:21" x14ac:dyDescent="0.25">
      <c r="A154" t="s">
        <v>188</v>
      </c>
    </row>
    <row r="155" spans="1:21" x14ac:dyDescent="0.25">
      <c r="A155" t="s">
        <v>189</v>
      </c>
    </row>
    <row r="156" spans="1:21" x14ac:dyDescent="0.25">
      <c r="A156" t="s">
        <v>121</v>
      </c>
      <c r="M156">
        <v>-481.6</v>
      </c>
      <c r="N156">
        <v>237.83</v>
      </c>
      <c r="O156">
        <v>-812.56</v>
      </c>
      <c r="P156">
        <v>110.4</v>
      </c>
      <c r="Q156" s="2">
        <v>1922.03</v>
      </c>
      <c r="R156" s="2">
        <v>4326.67</v>
      </c>
      <c r="S156" s="2">
        <v>14284</v>
      </c>
    </row>
    <row r="157" spans="1:21" x14ac:dyDescent="0.25">
      <c r="A157" t="s">
        <v>190</v>
      </c>
      <c r="M157">
        <v>11.54</v>
      </c>
      <c r="N157">
        <v>34.450000000000003</v>
      </c>
      <c r="O157">
        <v>178.31</v>
      </c>
      <c r="P157">
        <v>786.44</v>
      </c>
      <c r="Q157" s="2">
        <v>1470.81</v>
      </c>
      <c r="R157" s="2">
        <v>1762.77</v>
      </c>
      <c r="S157" s="2">
        <v>4053.44</v>
      </c>
    </row>
    <row r="158" spans="1:21" x14ac:dyDescent="0.25">
      <c r="A158" t="s">
        <v>67</v>
      </c>
      <c r="M158">
        <v>58.56</v>
      </c>
      <c r="N158">
        <v>49.77</v>
      </c>
      <c r="O158">
        <v>553.72</v>
      </c>
      <c r="P158">
        <v>239.3</v>
      </c>
      <c r="Q158">
        <v>344.74</v>
      </c>
      <c r="R158">
        <v>443.05</v>
      </c>
      <c r="S158">
        <v>431.02</v>
      </c>
    </row>
    <row r="159" spans="1:21" x14ac:dyDescent="0.25">
      <c r="A159" t="s">
        <v>1868</v>
      </c>
      <c r="M159">
        <v>7.61</v>
      </c>
      <c r="N159">
        <v>22.67</v>
      </c>
      <c r="O159">
        <v>203.79</v>
      </c>
      <c r="P159">
        <v>322.97000000000003</v>
      </c>
      <c r="Q159">
        <v>740.28</v>
      </c>
      <c r="R159">
        <v>880.65</v>
      </c>
    </row>
    <row r="160" spans="1:21" x14ac:dyDescent="0.25">
      <c r="A160" t="s">
        <v>2868</v>
      </c>
      <c r="M160">
        <v>12.53</v>
      </c>
      <c r="N160">
        <v>20.97</v>
      </c>
      <c r="O160">
        <v>39.1</v>
      </c>
    </row>
    <row r="161" spans="1:19" x14ac:dyDescent="0.25">
      <c r="A161" t="s">
        <v>2869</v>
      </c>
    </row>
    <row r="162" spans="1:19" x14ac:dyDescent="0.25">
      <c r="A162" t="s">
        <v>656</v>
      </c>
      <c r="M162">
        <v>-130.66999999999999</v>
      </c>
      <c r="N162">
        <v>87.01</v>
      </c>
      <c r="O162">
        <v>-64.39</v>
      </c>
      <c r="P162">
        <v>-427.16</v>
      </c>
      <c r="Q162">
        <v>-397</v>
      </c>
      <c r="R162">
        <v>-571.70000000000005</v>
      </c>
      <c r="S162">
        <v>-744.15</v>
      </c>
    </row>
    <row r="163" spans="1:19" x14ac:dyDescent="0.25">
      <c r="A163" t="s">
        <v>340</v>
      </c>
      <c r="M163">
        <v>-144.97</v>
      </c>
      <c r="N163">
        <v>63.31</v>
      </c>
      <c r="O163">
        <v>-9.35</v>
      </c>
      <c r="P163">
        <v>-158.78</v>
      </c>
      <c r="Q163">
        <v>-274.54000000000002</v>
      </c>
      <c r="R163">
        <v>-392.73</v>
      </c>
      <c r="S163">
        <v>-816.17</v>
      </c>
    </row>
    <row r="164" spans="1:19" x14ac:dyDescent="0.25">
      <c r="A164" t="s">
        <v>407</v>
      </c>
      <c r="M164">
        <v>-17.05</v>
      </c>
      <c r="N164">
        <v>-13.87</v>
      </c>
      <c r="O164">
        <v>124.28</v>
      </c>
      <c r="P164">
        <v>-152.44999999999999</v>
      </c>
      <c r="Q164">
        <v>-20</v>
      </c>
      <c r="R164">
        <v>-20</v>
      </c>
      <c r="S164">
        <v>-20</v>
      </c>
    </row>
    <row r="165" spans="1:19" x14ac:dyDescent="0.25">
      <c r="A165" t="s">
        <v>158</v>
      </c>
      <c r="M165">
        <v>9.01</v>
      </c>
      <c r="N165">
        <v>21.15</v>
      </c>
      <c r="O165">
        <v>-12.94</v>
      </c>
      <c r="P165">
        <v>172.68</v>
      </c>
      <c r="Q165">
        <v>217.71</v>
      </c>
      <c r="R165">
        <v>307.36</v>
      </c>
      <c r="S165">
        <v>544.11</v>
      </c>
    </row>
    <row r="166" spans="1:19" x14ac:dyDescent="0.25">
      <c r="A166" t="s">
        <v>161</v>
      </c>
      <c r="M166">
        <v>38.200000000000003</v>
      </c>
      <c r="N166">
        <v>109.47</v>
      </c>
      <c r="O166">
        <v>-0.02</v>
      </c>
      <c r="P166">
        <v>448.46</v>
      </c>
      <c r="Q166">
        <v>800</v>
      </c>
      <c r="R166">
        <v>800</v>
      </c>
    </row>
    <row r="167" spans="1:19" x14ac:dyDescent="0.25">
      <c r="A167" t="s">
        <v>1821</v>
      </c>
      <c r="M167">
        <v>640.32000000000005</v>
      </c>
      <c r="N167">
        <v>-285.86</v>
      </c>
      <c r="O167">
        <v>-130.61000000000001</v>
      </c>
      <c r="P167">
        <v>-176.29</v>
      </c>
      <c r="Q167">
        <v>-100</v>
      </c>
      <c r="R167">
        <v>-100</v>
      </c>
    </row>
    <row r="168" spans="1:19" x14ac:dyDescent="0.25">
      <c r="A168" t="s">
        <v>166</v>
      </c>
      <c r="M168">
        <v>48.64</v>
      </c>
      <c r="N168">
        <v>3.14</v>
      </c>
    </row>
    <row r="169" spans="1:19" x14ac:dyDescent="0.25">
      <c r="A169" t="s">
        <v>204</v>
      </c>
      <c r="M169">
        <v>451.98</v>
      </c>
      <c r="N169">
        <v>-10.050000000000001</v>
      </c>
      <c r="O169">
        <v>-199.44</v>
      </c>
      <c r="P169" s="2">
        <v>1791.7</v>
      </c>
      <c r="Q169" s="2">
        <v>4435.08</v>
      </c>
      <c r="R169" s="2">
        <v>5926.2</v>
      </c>
      <c r="S169" s="2">
        <v>19409.689999999999</v>
      </c>
    </row>
    <row r="170" spans="1:19" x14ac:dyDescent="0.25">
      <c r="A170" t="s">
        <v>17</v>
      </c>
    </row>
    <row r="171" spans="1:19" x14ac:dyDescent="0.25">
      <c r="A171" t="s">
        <v>1205</v>
      </c>
    </row>
    <row r="172" spans="1:19" x14ac:dyDescent="0.25">
      <c r="A172" t="s">
        <v>2870</v>
      </c>
      <c r="M172">
        <v>-23.44</v>
      </c>
      <c r="N172">
        <v>-382.74</v>
      </c>
      <c r="O172" s="2">
        <v>-1600.8</v>
      </c>
      <c r="P172" s="2">
        <v>-3987.17</v>
      </c>
      <c r="Q172" s="2">
        <v>-3431.5</v>
      </c>
      <c r="R172" s="2">
        <v>-3683</v>
      </c>
      <c r="S172" s="2">
        <v>-5576</v>
      </c>
    </row>
    <row r="173" spans="1:19" x14ac:dyDescent="0.25">
      <c r="A173" t="s">
        <v>431</v>
      </c>
      <c r="M173">
        <v>-302.89999999999998</v>
      </c>
      <c r="N173">
        <v>-525.41</v>
      </c>
      <c r="O173" s="2">
        <v>-1275.52</v>
      </c>
    </row>
    <row r="174" spans="1:19" x14ac:dyDescent="0.25">
      <c r="A174" t="s">
        <v>1674</v>
      </c>
      <c r="M174">
        <v>309.55</v>
      </c>
      <c r="N174">
        <v>240.58</v>
      </c>
      <c r="O174">
        <v>906.89</v>
      </c>
    </row>
    <row r="175" spans="1:19" x14ac:dyDescent="0.25">
      <c r="A175" t="s">
        <v>213</v>
      </c>
      <c r="M175">
        <v>-16.79</v>
      </c>
      <c r="N175">
        <v>-667.58</v>
      </c>
      <c r="O175" s="2">
        <v>-2013.85</v>
      </c>
      <c r="P175" s="2">
        <v>-3994.1</v>
      </c>
      <c r="Q175" s="2">
        <v>-3000.57</v>
      </c>
      <c r="R175" s="2">
        <v>-2815.52</v>
      </c>
      <c r="S175" s="2">
        <v>-5576.15</v>
      </c>
    </row>
    <row r="176" spans="1:19" x14ac:dyDescent="0.25">
      <c r="A176" t="s">
        <v>17</v>
      </c>
    </row>
    <row r="177" spans="1:21" x14ac:dyDescent="0.25">
      <c r="A177" t="s">
        <v>1207</v>
      </c>
    </row>
    <row r="178" spans="1:21" x14ac:dyDescent="0.25">
      <c r="A178" t="s">
        <v>2871</v>
      </c>
      <c r="M178">
        <v>85</v>
      </c>
      <c r="N178" s="2">
        <v>1100</v>
      </c>
      <c r="O178" s="2">
        <v>5174.2</v>
      </c>
    </row>
    <row r="179" spans="1:21" x14ac:dyDescent="0.25">
      <c r="A179" t="s">
        <v>1827</v>
      </c>
      <c r="M179">
        <v>27.75</v>
      </c>
      <c r="N179">
        <v>17.3</v>
      </c>
      <c r="O179">
        <v>20.22</v>
      </c>
    </row>
    <row r="180" spans="1:21" x14ac:dyDescent="0.25">
      <c r="A180" t="s">
        <v>218</v>
      </c>
      <c r="M180">
        <v>112.3</v>
      </c>
      <c r="N180" s="2">
        <v>1026.56</v>
      </c>
      <c r="O180" s="2">
        <v>7808.21</v>
      </c>
      <c r="P180">
        <v>-658.06</v>
      </c>
      <c r="Q180">
        <v>-153.21</v>
      </c>
    </row>
    <row r="181" spans="1:21" x14ac:dyDescent="0.25">
      <c r="A181" t="s">
        <v>17</v>
      </c>
    </row>
    <row r="182" spans="1:21" x14ac:dyDescent="0.25">
      <c r="A182" t="s">
        <v>176</v>
      </c>
    </row>
    <row r="183" spans="1:21" x14ac:dyDescent="0.25">
      <c r="A183" t="s">
        <v>219</v>
      </c>
      <c r="M183">
        <v>-0.3</v>
      </c>
      <c r="N183">
        <v>-0.52</v>
      </c>
      <c r="O183">
        <v>0.64</v>
      </c>
    </row>
    <row r="184" spans="1:21" x14ac:dyDescent="0.25">
      <c r="A184" t="s">
        <v>220</v>
      </c>
      <c r="M184">
        <v>547.19000000000005</v>
      </c>
      <c r="N184">
        <v>348.41</v>
      </c>
      <c r="O184" s="2">
        <v>4786.9399999999996</v>
      </c>
      <c r="P184" s="2">
        <v>-2939.96</v>
      </c>
      <c r="Q184">
        <v>-520.5</v>
      </c>
      <c r="R184" s="2">
        <v>4893.42</v>
      </c>
    </row>
    <row r="185" spans="1:21" x14ac:dyDescent="0.25">
      <c r="A185" t="s">
        <v>221</v>
      </c>
      <c r="M185">
        <v>34.78</v>
      </c>
      <c r="N185">
        <v>581.97</v>
      </c>
      <c r="O185">
        <v>934.89</v>
      </c>
      <c r="P185" s="2">
        <v>6565.63</v>
      </c>
      <c r="Q185" s="2">
        <v>3914.34</v>
      </c>
      <c r="R185" s="2">
        <v>7536.63</v>
      </c>
      <c r="S185" s="2">
        <v>12432.08</v>
      </c>
      <c r="T185" s="2">
        <v>9382.66</v>
      </c>
      <c r="U185" s="2">
        <v>9382.66</v>
      </c>
    </row>
    <row r="186" spans="1:21" x14ac:dyDescent="0.25">
      <c r="A186" t="s">
        <v>222</v>
      </c>
      <c r="M186">
        <v>581.97</v>
      </c>
      <c r="N186">
        <v>930.38</v>
      </c>
      <c r="O186" s="2">
        <v>5993.38</v>
      </c>
      <c r="P186" s="2">
        <v>3444.15</v>
      </c>
      <c r="Q186" s="2">
        <v>4659.3100000000004</v>
      </c>
      <c r="R186" s="2">
        <v>9644.73</v>
      </c>
      <c r="S186" s="2">
        <v>9382.66</v>
      </c>
      <c r="T186" s="2">
        <v>9382.66</v>
      </c>
      <c r="U186" s="2">
        <v>9382.66</v>
      </c>
    </row>
    <row r="187" spans="1:21" x14ac:dyDescent="0.25">
      <c r="A187" t="s">
        <v>178</v>
      </c>
    </row>
    <row r="188" spans="1:21" x14ac:dyDescent="0.25">
      <c r="A188" t="s">
        <v>225</v>
      </c>
      <c r="M188">
        <v>428.54</v>
      </c>
      <c r="N188">
        <v>-392.79</v>
      </c>
      <c r="O188" s="2">
        <v>-1679.89</v>
      </c>
      <c r="P188" s="2">
        <v>-1847.55</v>
      </c>
      <c r="Q188" s="2">
        <v>3088.19</v>
      </c>
      <c r="R188" s="2">
        <v>4216.92</v>
      </c>
      <c r="S188" s="2">
        <v>13833.54</v>
      </c>
    </row>
    <row r="189" spans="1:21" x14ac:dyDescent="0.25">
      <c r="A189" t="s">
        <v>224</v>
      </c>
      <c r="M189">
        <v>9.23</v>
      </c>
      <c r="N189">
        <v>-0.19</v>
      </c>
      <c r="O189">
        <v>1.3</v>
      </c>
      <c r="P189">
        <v>9.07</v>
      </c>
      <c r="Q189">
        <v>26.61</v>
      </c>
      <c r="R189">
        <v>-81.25</v>
      </c>
    </row>
    <row r="190" spans="1:21" x14ac:dyDescent="0.25">
      <c r="A190" t="s">
        <v>17</v>
      </c>
    </row>
    <row r="191" spans="1:21" x14ac:dyDescent="0.25">
      <c r="A191" t="s">
        <v>231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3ECD-C52A-42D7-8A5B-0E5ADA37BF53}">
  <dimension ref="A1:U221"/>
  <sheetViews>
    <sheetView workbookViewId="0">
      <selection sqref="A1:U221"/>
    </sheetView>
  </sheetViews>
  <sheetFormatPr defaultRowHeight="15" x14ac:dyDescent="0.25"/>
  <sheetData>
    <row r="1" spans="1:21" x14ac:dyDescent="0.25">
      <c r="A1" t="s">
        <v>2872</v>
      </c>
    </row>
    <row r="2" spans="1:21" x14ac:dyDescent="0.25">
      <c r="A2" t="s">
        <v>2873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0.59</v>
      </c>
      <c r="C6">
        <v>0.69</v>
      </c>
      <c r="D6">
        <v>0.85</v>
      </c>
      <c r="E6">
        <v>0.94</v>
      </c>
      <c r="F6">
        <v>1.44</v>
      </c>
      <c r="G6">
        <v>1.89</v>
      </c>
      <c r="H6">
        <v>1.93</v>
      </c>
      <c r="I6">
        <v>2.54</v>
      </c>
      <c r="J6">
        <v>3.44</v>
      </c>
      <c r="K6">
        <v>3.73</v>
      </c>
      <c r="L6">
        <v>2.64</v>
      </c>
      <c r="M6">
        <v>3</v>
      </c>
      <c r="N6">
        <v>2.75</v>
      </c>
      <c r="O6">
        <v>3.92</v>
      </c>
      <c r="P6">
        <v>5.07</v>
      </c>
      <c r="Q6">
        <v>6.16</v>
      </c>
      <c r="R6">
        <v>5.93</v>
      </c>
      <c r="S6">
        <v>6.95</v>
      </c>
    </row>
    <row r="7" spans="1:21" x14ac:dyDescent="0.25">
      <c r="A7" t="s">
        <v>16</v>
      </c>
      <c r="B7">
        <v>693.46</v>
      </c>
      <c r="C7">
        <v>962.07</v>
      </c>
      <c r="D7" s="2">
        <v>1081.1199999999999</v>
      </c>
      <c r="E7" s="2">
        <v>1175.27</v>
      </c>
      <c r="F7" s="2">
        <v>1342.53</v>
      </c>
      <c r="G7" s="2">
        <v>1550.5</v>
      </c>
      <c r="H7" s="2">
        <v>1591.07</v>
      </c>
      <c r="I7" s="2">
        <v>1859.31</v>
      </c>
      <c r="J7" s="2">
        <v>2298.89</v>
      </c>
      <c r="K7" s="2">
        <v>3282.03</v>
      </c>
      <c r="L7" s="2">
        <v>3523.93</v>
      </c>
      <c r="M7" s="2">
        <v>3241.21</v>
      </c>
      <c r="N7" s="2">
        <v>3196.6</v>
      </c>
      <c r="O7" s="2">
        <v>3570.5</v>
      </c>
      <c r="P7" s="2">
        <v>4029.27</v>
      </c>
      <c r="Q7" s="2">
        <v>4446.29</v>
      </c>
      <c r="R7" s="2">
        <v>4563</v>
      </c>
      <c r="S7" s="2">
        <v>4969.5</v>
      </c>
    </row>
    <row r="8" spans="1:21" x14ac:dyDescent="0.25">
      <c r="A8" t="s">
        <v>17</v>
      </c>
    </row>
    <row r="9" spans="1:21" x14ac:dyDescent="0.25">
      <c r="A9" t="s">
        <v>788</v>
      </c>
      <c r="B9">
        <v>53.62</v>
      </c>
      <c r="C9">
        <v>58.41</v>
      </c>
      <c r="D9">
        <v>47.74</v>
      </c>
      <c r="E9">
        <v>51.59</v>
      </c>
      <c r="F9">
        <v>49.87</v>
      </c>
      <c r="G9">
        <v>52.27</v>
      </c>
      <c r="H9">
        <v>53.77</v>
      </c>
      <c r="I9">
        <v>52.04</v>
      </c>
      <c r="J9">
        <v>55.16</v>
      </c>
      <c r="K9">
        <v>59.55</v>
      </c>
      <c r="L9">
        <v>47.34</v>
      </c>
      <c r="M9">
        <v>55.93</v>
      </c>
      <c r="N9">
        <v>52.38</v>
      </c>
      <c r="O9">
        <v>54.52</v>
      </c>
      <c r="P9">
        <v>53.58</v>
      </c>
    </row>
    <row r="10" spans="1:21" x14ac:dyDescent="0.25">
      <c r="A10" t="s">
        <v>17</v>
      </c>
    </row>
    <row r="11" spans="1:21" x14ac:dyDescent="0.25">
      <c r="A11" t="s">
        <v>32</v>
      </c>
    </row>
    <row r="12" spans="1:21" x14ac:dyDescent="0.25">
      <c r="A12" t="s">
        <v>2874</v>
      </c>
      <c r="L12" s="2">
        <v>1689.5</v>
      </c>
      <c r="M12" s="2">
        <v>1400.08</v>
      </c>
      <c r="N12" s="2">
        <v>1406.7</v>
      </c>
      <c r="O12" s="2">
        <v>1508.29</v>
      </c>
      <c r="P12" s="2">
        <v>1691.53</v>
      </c>
      <c r="Q12" s="2">
        <v>1805.67</v>
      </c>
      <c r="R12" s="2">
        <v>1874.2</v>
      </c>
      <c r="S12" s="2">
        <v>2045.5</v>
      </c>
    </row>
    <row r="13" spans="1:21" x14ac:dyDescent="0.25">
      <c r="A13" t="s">
        <v>2875</v>
      </c>
      <c r="L13" s="2">
        <v>1846.6</v>
      </c>
      <c r="M13" s="2">
        <v>1850.2</v>
      </c>
      <c r="N13" s="2">
        <v>1799.1</v>
      </c>
      <c r="O13" s="2">
        <v>2078.2399999999998</v>
      </c>
      <c r="P13" s="2">
        <v>2330.71</v>
      </c>
      <c r="Q13" s="2">
        <v>2602.0300000000002</v>
      </c>
      <c r="R13" s="2">
        <v>2641.8</v>
      </c>
      <c r="S13" s="2">
        <v>2887.5</v>
      </c>
    </row>
    <row r="14" spans="1:21" x14ac:dyDescent="0.25">
      <c r="A14" t="s">
        <v>2876</v>
      </c>
      <c r="G14">
        <v>-26.99</v>
      </c>
      <c r="H14">
        <v>-27.41</v>
      </c>
      <c r="I14">
        <v>-31.09</v>
      </c>
      <c r="J14">
        <v>-36.71</v>
      </c>
      <c r="K14">
        <v>-50.66</v>
      </c>
      <c r="L14">
        <v>-12.1</v>
      </c>
      <c r="M14">
        <v>-9.07</v>
      </c>
      <c r="N14">
        <v>-9.1999999999999993</v>
      </c>
      <c r="O14">
        <v>-19.350000000000001</v>
      </c>
      <c r="P14">
        <v>2.31</v>
      </c>
      <c r="Q14">
        <v>-11.3</v>
      </c>
      <c r="R14">
        <v>-13.7</v>
      </c>
      <c r="S14">
        <v>-14.9</v>
      </c>
    </row>
    <row r="15" spans="1:21" x14ac:dyDescent="0.25">
      <c r="A15" t="s">
        <v>17</v>
      </c>
    </row>
    <row r="16" spans="1:21" x14ac:dyDescent="0.25">
      <c r="A16" t="s">
        <v>2823</v>
      </c>
      <c r="B16">
        <v>55.32</v>
      </c>
      <c r="C16">
        <v>87.71</v>
      </c>
      <c r="D16">
        <v>105.9</v>
      </c>
      <c r="E16">
        <v>106.99</v>
      </c>
      <c r="F16">
        <v>106.95</v>
      </c>
      <c r="G16">
        <v>118.46</v>
      </c>
      <c r="H16">
        <v>121.14</v>
      </c>
      <c r="I16">
        <v>136.06</v>
      </c>
      <c r="J16">
        <v>167.63</v>
      </c>
      <c r="K16">
        <v>228.99</v>
      </c>
      <c r="L16">
        <v>277.31</v>
      </c>
      <c r="M16">
        <v>316.11</v>
      </c>
      <c r="N16">
        <v>329</v>
      </c>
      <c r="O16">
        <v>340.44</v>
      </c>
      <c r="P16">
        <v>381.54</v>
      </c>
      <c r="Q16">
        <v>412.59</v>
      </c>
      <c r="R16">
        <v>420.1</v>
      </c>
      <c r="S16">
        <v>445.15</v>
      </c>
    </row>
    <row r="17" spans="1:19" x14ac:dyDescent="0.25">
      <c r="A17" t="s">
        <v>17</v>
      </c>
    </row>
    <row r="18" spans="1:19" x14ac:dyDescent="0.25">
      <c r="A18" t="s">
        <v>378</v>
      </c>
      <c r="C18">
        <v>425.82</v>
      </c>
      <c r="D18">
        <v>470.23</v>
      </c>
      <c r="E18">
        <v>508.69</v>
      </c>
      <c r="F18">
        <v>615.05999999999995</v>
      </c>
      <c r="G18">
        <v>727.16</v>
      </c>
      <c r="H18">
        <v>720.53</v>
      </c>
      <c r="I18">
        <v>849.22</v>
      </c>
      <c r="J18" s="2">
        <v>1060.0899999999999</v>
      </c>
      <c r="K18" s="2">
        <v>1458.35</v>
      </c>
      <c r="L18" s="2">
        <v>1505.8</v>
      </c>
      <c r="M18" s="2">
        <v>1487.15</v>
      </c>
      <c r="N18" s="2">
        <v>1424.2</v>
      </c>
      <c r="O18" s="2">
        <v>1705.81</v>
      </c>
      <c r="P18" s="2">
        <v>1963.19</v>
      </c>
      <c r="Q18" s="2">
        <v>2182.9899999999998</v>
      </c>
      <c r="R18" s="2">
        <v>2244.3000000000002</v>
      </c>
      <c r="S18" s="2">
        <v>2474.4</v>
      </c>
    </row>
    <row r="19" spans="1:19" x14ac:dyDescent="0.25">
      <c r="A19" t="s">
        <v>445</v>
      </c>
      <c r="B19">
        <v>42.79</v>
      </c>
      <c r="C19">
        <v>44.26</v>
      </c>
      <c r="D19">
        <v>43.49</v>
      </c>
      <c r="E19">
        <v>43.82</v>
      </c>
      <c r="F19">
        <v>45.36</v>
      </c>
      <c r="G19">
        <v>46.9</v>
      </c>
      <c r="H19">
        <v>45.3</v>
      </c>
      <c r="I19">
        <v>45.7</v>
      </c>
      <c r="J19">
        <v>46.1</v>
      </c>
      <c r="K19">
        <v>42.52</v>
      </c>
      <c r="L19">
        <v>42.7</v>
      </c>
      <c r="M19">
        <v>45.9</v>
      </c>
      <c r="N19">
        <v>44.6</v>
      </c>
      <c r="O19">
        <v>47.73</v>
      </c>
      <c r="P19">
        <v>49.25</v>
      </c>
      <c r="Q19">
        <v>50.63</v>
      </c>
      <c r="R19">
        <v>49.5</v>
      </c>
      <c r="S19">
        <v>50.2</v>
      </c>
    </row>
    <row r="20" spans="1:19" x14ac:dyDescent="0.25">
      <c r="A20" t="s">
        <v>680</v>
      </c>
      <c r="B20">
        <v>133.75</v>
      </c>
      <c r="C20">
        <v>207.92</v>
      </c>
      <c r="D20">
        <v>232.39</v>
      </c>
      <c r="E20">
        <v>263.64999999999998</v>
      </c>
      <c r="F20">
        <v>357.15</v>
      </c>
      <c r="G20">
        <v>436.11</v>
      </c>
      <c r="H20">
        <v>436.82</v>
      </c>
      <c r="I20">
        <v>542.46</v>
      </c>
      <c r="J20">
        <v>699.42</v>
      </c>
      <c r="K20">
        <v>973.22</v>
      </c>
      <c r="L20">
        <v>942.36</v>
      </c>
      <c r="M20">
        <v>931.07</v>
      </c>
      <c r="N20">
        <v>886.2</v>
      </c>
      <c r="O20" s="2">
        <v>1023.8</v>
      </c>
      <c r="P20" s="2">
        <v>1224.7</v>
      </c>
      <c r="Q20" s="2">
        <v>1426.43</v>
      </c>
      <c r="R20" s="2">
        <v>1397</v>
      </c>
      <c r="S20" s="2">
        <v>1566</v>
      </c>
    </row>
    <row r="21" spans="1:19" x14ac:dyDescent="0.25">
      <c r="A21" t="s">
        <v>17</v>
      </c>
    </row>
    <row r="22" spans="1:19" x14ac:dyDescent="0.25">
      <c r="A22" t="s">
        <v>37</v>
      </c>
    </row>
    <row r="23" spans="1:19" x14ac:dyDescent="0.25">
      <c r="A23" t="s">
        <v>17</v>
      </c>
    </row>
    <row r="24" spans="1:19" x14ac:dyDescent="0.25">
      <c r="A24" t="s">
        <v>252</v>
      </c>
    </row>
    <row r="25" spans="1:19" x14ac:dyDescent="0.25">
      <c r="A25" t="s">
        <v>788</v>
      </c>
      <c r="B25">
        <v>53.62</v>
      </c>
      <c r="C25">
        <v>58.41</v>
      </c>
      <c r="D25">
        <v>47.74</v>
      </c>
      <c r="E25">
        <v>51.59</v>
      </c>
      <c r="F25">
        <v>49.87</v>
      </c>
      <c r="G25">
        <v>52.27</v>
      </c>
      <c r="H25">
        <v>53.77</v>
      </c>
      <c r="I25">
        <v>52.04</v>
      </c>
      <c r="J25">
        <v>55.16</v>
      </c>
      <c r="K25">
        <v>59.55</v>
      </c>
      <c r="L25">
        <v>47.34</v>
      </c>
      <c r="M25">
        <v>55.93</v>
      </c>
      <c r="N25">
        <v>52.38</v>
      </c>
      <c r="O25">
        <v>54.52</v>
      </c>
      <c r="P25">
        <v>53.58</v>
      </c>
    </row>
    <row r="26" spans="1:19" x14ac:dyDescent="0.25">
      <c r="A26" t="s">
        <v>2877</v>
      </c>
      <c r="B26">
        <v>7.08</v>
      </c>
      <c r="C26">
        <v>7.52</v>
      </c>
      <c r="D26">
        <v>7.32</v>
      </c>
      <c r="E26">
        <v>7.65</v>
      </c>
      <c r="F26">
        <v>7.69</v>
      </c>
      <c r="G26">
        <v>7.65</v>
      </c>
      <c r="H26">
        <v>6.97</v>
      </c>
      <c r="I26">
        <v>7.46</v>
      </c>
      <c r="J26">
        <v>7.52</v>
      </c>
      <c r="K26">
        <v>7.43</v>
      </c>
      <c r="L26">
        <v>7.1</v>
      </c>
      <c r="M26">
        <v>6.81</v>
      </c>
      <c r="N26">
        <v>6.7</v>
      </c>
      <c r="O26">
        <v>6.81</v>
      </c>
      <c r="P26">
        <v>6.49</v>
      </c>
      <c r="Q26">
        <v>6.57</v>
      </c>
    </row>
    <row r="27" spans="1:19" x14ac:dyDescent="0.25">
      <c r="A27" t="s">
        <v>17</v>
      </c>
    </row>
    <row r="28" spans="1:19" x14ac:dyDescent="0.25">
      <c r="A28" t="s">
        <v>58</v>
      </c>
    </row>
    <row r="29" spans="1:19" x14ac:dyDescent="0.25">
      <c r="A29" t="s">
        <v>2878</v>
      </c>
    </row>
    <row r="30" spans="1:19" x14ac:dyDescent="0.25">
      <c r="A30" t="s">
        <v>60</v>
      </c>
      <c r="L30" s="2">
        <v>1689.5</v>
      </c>
      <c r="M30" s="2">
        <v>1400.08</v>
      </c>
      <c r="N30" s="2">
        <v>1406.7</v>
      </c>
      <c r="O30" s="2">
        <v>1508.29</v>
      </c>
      <c r="P30" s="2">
        <v>1691.53</v>
      </c>
      <c r="Q30" s="2">
        <v>1805.67</v>
      </c>
      <c r="R30" s="2">
        <v>1874.2</v>
      </c>
      <c r="S30" s="2">
        <v>2045.5</v>
      </c>
    </row>
    <row r="31" spans="1:19" x14ac:dyDescent="0.25">
      <c r="A31" t="s">
        <v>116</v>
      </c>
      <c r="L31">
        <v>296.38</v>
      </c>
      <c r="M31">
        <v>286.22000000000003</v>
      </c>
      <c r="N31">
        <v>276.60000000000002</v>
      </c>
    </row>
    <row r="32" spans="1:19" x14ac:dyDescent="0.25">
      <c r="A32" t="s">
        <v>2879</v>
      </c>
    </row>
    <row r="33" spans="1:19" x14ac:dyDescent="0.25">
      <c r="A33" t="s">
        <v>1308</v>
      </c>
      <c r="L33">
        <v>290.39999999999998</v>
      </c>
      <c r="M33">
        <v>296.02999999999997</v>
      </c>
      <c r="N33">
        <v>292.2</v>
      </c>
      <c r="O33">
        <v>323.51</v>
      </c>
      <c r="P33">
        <v>390.16</v>
      </c>
      <c r="Q33">
        <v>429.14</v>
      </c>
      <c r="R33">
        <v>421.7</v>
      </c>
      <c r="S33">
        <v>493</v>
      </c>
    </row>
    <row r="34" spans="1:19" x14ac:dyDescent="0.25">
      <c r="A34" t="s">
        <v>2880</v>
      </c>
      <c r="L34">
        <v>17.2</v>
      </c>
      <c r="M34">
        <v>21.1</v>
      </c>
      <c r="N34">
        <v>20.8</v>
      </c>
      <c r="O34">
        <v>21.22</v>
      </c>
      <c r="P34">
        <v>23.02</v>
      </c>
      <c r="Q34">
        <v>24.08</v>
      </c>
      <c r="R34">
        <v>22.5</v>
      </c>
      <c r="S34">
        <v>24.1</v>
      </c>
    </row>
    <row r="35" spans="1:19" x14ac:dyDescent="0.25">
      <c r="A35" t="s">
        <v>17</v>
      </c>
    </row>
    <row r="36" spans="1:19" x14ac:dyDescent="0.25">
      <c r="A36" t="s">
        <v>2881</v>
      </c>
    </row>
    <row r="37" spans="1:19" x14ac:dyDescent="0.25">
      <c r="A37" t="s">
        <v>60</v>
      </c>
      <c r="L37" s="2">
        <v>1846.6</v>
      </c>
      <c r="M37" s="2">
        <v>1850.2</v>
      </c>
      <c r="N37" s="2">
        <v>1799.1</v>
      </c>
      <c r="O37" s="2">
        <v>2078.2399999999998</v>
      </c>
      <c r="P37" s="2">
        <v>2330.71</v>
      </c>
      <c r="Q37" s="2">
        <v>2602.0300000000002</v>
      </c>
      <c r="R37" s="2">
        <v>2641.8</v>
      </c>
      <c r="S37" s="2">
        <v>2887.5</v>
      </c>
    </row>
    <row r="38" spans="1:19" x14ac:dyDescent="0.25">
      <c r="A38" t="s">
        <v>116</v>
      </c>
      <c r="M38">
        <v>496.13</v>
      </c>
      <c r="N38">
        <v>363.7</v>
      </c>
    </row>
    <row r="39" spans="1:19" x14ac:dyDescent="0.25">
      <c r="A39" t="s">
        <v>2879</v>
      </c>
    </row>
    <row r="40" spans="1:19" x14ac:dyDescent="0.25">
      <c r="A40" t="s">
        <v>1308</v>
      </c>
      <c r="L40">
        <v>536.5</v>
      </c>
      <c r="M40">
        <v>498.25</v>
      </c>
      <c r="N40">
        <v>450.4</v>
      </c>
      <c r="O40">
        <v>625.08000000000004</v>
      </c>
      <c r="P40">
        <v>751.59</v>
      </c>
      <c r="Q40">
        <v>819.15</v>
      </c>
      <c r="R40">
        <v>868.4</v>
      </c>
      <c r="S40">
        <v>981.4</v>
      </c>
    </row>
    <row r="41" spans="1:19" x14ac:dyDescent="0.25">
      <c r="A41" t="s">
        <v>2880</v>
      </c>
      <c r="L41">
        <v>29.1</v>
      </c>
      <c r="M41">
        <v>26.9</v>
      </c>
      <c r="N41">
        <v>25</v>
      </c>
      <c r="O41">
        <v>30.2</v>
      </c>
      <c r="P41">
        <v>31.56</v>
      </c>
      <c r="Q41">
        <v>31.97</v>
      </c>
      <c r="R41">
        <v>32.9</v>
      </c>
      <c r="S41">
        <v>34</v>
      </c>
    </row>
    <row r="42" spans="1:19" x14ac:dyDescent="0.25">
      <c r="A42" t="s">
        <v>17</v>
      </c>
    </row>
    <row r="43" spans="1:19" x14ac:dyDescent="0.25">
      <c r="A43" t="s">
        <v>2882</v>
      </c>
      <c r="G43">
        <v>-26.99</v>
      </c>
      <c r="H43">
        <v>-27.41</v>
      </c>
      <c r="I43">
        <v>-31.09</v>
      </c>
      <c r="J43">
        <v>-36.71</v>
      </c>
      <c r="K43">
        <v>-50.66</v>
      </c>
      <c r="L43">
        <v>-12.1</v>
      </c>
      <c r="M43">
        <v>-9.07</v>
      </c>
      <c r="N43">
        <v>-9.1999999999999993</v>
      </c>
      <c r="O43">
        <v>-19.350000000000001</v>
      </c>
      <c r="P43">
        <v>2.31</v>
      </c>
      <c r="Q43">
        <v>-11.3</v>
      </c>
      <c r="R43">
        <v>-13.7</v>
      </c>
      <c r="S43">
        <v>-14.9</v>
      </c>
    </row>
    <row r="44" spans="1:19" x14ac:dyDescent="0.25">
      <c r="A44" t="s">
        <v>17</v>
      </c>
    </row>
    <row r="45" spans="1:19" x14ac:dyDescent="0.25">
      <c r="A45" t="s">
        <v>51</v>
      </c>
    </row>
    <row r="46" spans="1:19" x14ac:dyDescent="0.25">
      <c r="A46" t="s">
        <v>2883</v>
      </c>
    </row>
    <row r="47" spans="1:19" x14ac:dyDescent="0.25">
      <c r="A47" t="s">
        <v>944</v>
      </c>
      <c r="F47">
        <v>445</v>
      </c>
      <c r="G47">
        <v>493.4</v>
      </c>
      <c r="H47">
        <v>458.29</v>
      </c>
      <c r="I47">
        <v>538.67999999999995</v>
      </c>
      <c r="J47">
        <v>704.95</v>
      </c>
      <c r="K47">
        <v>846.49</v>
      </c>
      <c r="L47">
        <v>758.65</v>
      </c>
      <c r="O47">
        <v>768.91</v>
      </c>
      <c r="P47">
        <v>765.83</v>
      </c>
      <c r="Q47">
        <v>959.79</v>
      </c>
    </row>
    <row r="48" spans="1:19" x14ac:dyDescent="0.25">
      <c r="A48" t="s">
        <v>2884</v>
      </c>
      <c r="D48">
        <v>66.42</v>
      </c>
      <c r="E48">
        <v>73.45</v>
      </c>
      <c r="F48">
        <v>59.84</v>
      </c>
      <c r="G48">
        <v>92.33</v>
      </c>
      <c r="H48">
        <v>75.17</v>
      </c>
      <c r="I48">
        <v>111.03</v>
      </c>
      <c r="J48">
        <v>160</v>
      </c>
      <c r="K48">
        <v>183.74</v>
      </c>
      <c r="L48">
        <v>136.1</v>
      </c>
    </row>
    <row r="49" spans="1:19" x14ac:dyDescent="0.25">
      <c r="A49" t="s">
        <v>2885</v>
      </c>
      <c r="O49">
        <v>19.760000000000002</v>
      </c>
      <c r="P49">
        <v>19.690000000000001</v>
      </c>
      <c r="Q49">
        <v>19.940000000000001</v>
      </c>
      <c r="R49">
        <v>11.5</v>
      </c>
      <c r="S49">
        <v>10.6</v>
      </c>
    </row>
    <row r="50" spans="1:19" x14ac:dyDescent="0.25">
      <c r="A50" t="s">
        <v>2886</v>
      </c>
    </row>
    <row r="51" spans="1:19" x14ac:dyDescent="0.25">
      <c r="A51" t="s">
        <v>944</v>
      </c>
      <c r="F51">
        <v>437</v>
      </c>
      <c r="G51">
        <v>553.84</v>
      </c>
      <c r="H51">
        <v>633.66</v>
      </c>
      <c r="I51">
        <v>742.19</v>
      </c>
      <c r="J51">
        <v>919.36</v>
      </c>
      <c r="K51" s="2">
        <v>1106</v>
      </c>
      <c r="L51" s="2">
        <v>1127.56</v>
      </c>
      <c r="O51" s="2">
        <v>1331.56</v>
      </c>
      <c r="P51" s="2">
        <v>1462.65</v>
      </c>
      <c r="Q51" s="2">
        <v>1765.02</v>
      </c>
    </row>
    <row r="52" spans="1:19" x14ac:dyDescent="0.25">
      <c r="A52" t="s">
        <v>2884</v>
      </c>
      <c r="D52">
        <v>83.08</v>
      </c>
      <c r="E52">
        <v>110.04</v>
      </c>
      <c r="F52">
        <v>141.41</v>
      </c>
      <c r="G52">
        <v>166.85</v>
      </c>
      <c r="H52">
        <v>194.4</v>
      </c>
      <c r="I52">
        <v>248.91</v>
      </c>
      <c r="J52">
        <v>321.3</v>
      </c>
      <c r="K52">
        <v>411.48</v>
      </c>
      <c r="L52">
        <v>395.35</v>
      </c>
    </row>
    <row r="53" spans="1:19" x14ac:dyDescent="0.25">
      <c r="A53" t="s">
        <v>2887</v>
      </c>
      <c r="O53">
        <v>23.2</v>
      </c>
      <c r="P53">
        <v>23.2</v>
      </c>
      <c r="Q53">
        <v>23.7</v>
      </c>
      <c r="R53">
        <v>23</v>
      </c>
      <c r="S53">
        <v>22.4</v>
      </c>
    </row>
    <row r="54" spans="1:19" x14ac:dyDescent="0.25">
      <c r="A54" t="s">
        <v>2888</v>
      </c>
    </row>
    <row r="55" spans="1:19" x14ac:dyDescent="0.25">
      <c r="A55" t="s">
        <v>944</v>
      </c>
      <c r="F55">
        <v>485</v>
      </c>
      <c r="G55">
        <v>530.24</v>
      </c>
      <c r="H55">
        <v>526.52</v>
      </c>
      <c r="I55">
        <v>609.53</v>
      </c>
      <c r="J55">
        <v>711.29</v>
      </c>
      <c r="K55">
        <v>773.59</v>
      </c>
      <c r="O55">
        <v>822.13</v>
      </c>
      <c r="P55">
        <v>916.86</v>
      </c>
      <c r="Q55">
        <v>940.14</v>
      </c>
    </row>
    <row r="56" spans="1:19" x14ac:dyDescent="0.25">
      <c r="A56" t="s">
        <v>2885</v>
      </c>
    </row>
    <row r="57" spans="1:19" x14ac:dyDescent="0.25">
      <c r="A57" t="s">
        <v>2889</v>
      </c>
    </row>
    <row r="58" spans="1:19" x14ac:dyDescent="0.25">
      <c r="A58" t="s">
        <v>944</v>
      </c>
      <c r="K58">
        <v>606.61</v>
      </c>
      <c r="O58" s="2">
        <v>1061.3900000000001</v>
      </c>
      <c r="P58" s="2">
        <v>1233.3699999999999</v>
      </c>
      <c r="Q58" s="2">
        <v>1508.15</v>
      </c>
      <c r="R58" s="2">
        <v>1376.16</v>
      </c>
      <c r="S58" s="2">
        <v>1564.44</v>
      </c>
    </row>
    <row r="59" spans="1:19" x14ac:dyDescent="0.25">
      <c r="A59" t="s">
        <v>2887</v>
      </c>
      <c r="O59">
        <v>25.6</v>
      </c>
      <c r="P59">
        <v>26.28</v>
      </c>
      <c r="Q59">
        <v>24.16</v>
      </c>
    </row>
    <row r="60" spans="1:19" x14ac:dyDescent="0.25">
      <c r="A60" t="s">
        <v>17</v>
      </c>
    </row>
    <row r="61" spans="1:19" x14ac:dyDescent="0.25">
      <c r="A61" t="s">
        <v>72</v>
      </c>
    </row>
    <row r="62" spans="1:19" x14ac:dyDescent="0.25">
      <c r="A62" t="s">
        <v>16</v>
      </c>
    </row>
    <row r="63" spans="1:19" x14ac:dyDescent="0.25">
      <c r="A63" t="s">
        <v>583</v>
      </c>
      <c r="B63">
        <v>201.1</v>
      </c>
      <c r="C63">
        <v>240.52</v>
      </c>
      <c r="D63">
        <v>248.66</v>
      </c>
      <c r="E63">
        <v>258.56</v>
      </c>
      <c r="F63">
        <v>286.33999999999997</v>
      </c>
      <c r="G63">
        <v>347.03</v>
      </c>
      <c r="H63">
        <v>380.86</v>
      </c>
      <c r="I63">
        <v>466.51</v>
      </c>
      <c r="J63">
        <v>525.79999999999995</v>
      </c>
      <c r="K63">
        <v>795.66</v>
      </c>
      <c r="L63">
        <v>891.25</v>
      </c>
      <c r="M63">
        <v>671.66</v>
      </c>
      <c r="N63">
        <v>561.5</v>
      </c>
    </row>
    <row r="64" spans="1:19" x14ac:dyDescent="0.25">
      <c r="A64" t="s">
        <v>2890</v>
      </c>
      <c r="L64">
        <v>540.35</v>
      </c>
      <c r="M64">
        <v>316.01</v>
      </c>
      <c r="N64">
        <v>270.3</v>
      </c>
    </row>
    <row r="65" spans="1:14" x14ac:dyDescent="0.25">
      <c r="A65" t="s">
        <v>2891</v>
      </c>
      <c r="M65">
        <v>364.72</v>
      </c>
      <c r="N65">
        <v>300.39999999999998</v>
      </c>
    </row>
    <row r="66" spans="1:14" x14ac:dyDescent="0.25">
      <c r="A66" t="s">
        <v>736</v>
      </c>
      <c r="B66">
        <v>128.19</v>
      </c>
      <c r="C66">
        <v>230.82</v>
      </c>
      <c r="D66">
        <v>248.84</v>
      </c>
      <c r="E66">
        <v>291.31</v>
      </c>
      <c r="F66">
        <v>289.70999999999998</v>
      </c>
      <c r="G66">
        <v>289.86</v>
      </c>
      <c r="H66">
        <v>309.83</v>
      </c>
      <c r="I66">
        <v>372.21</v>
      </c>
      <c r="J66">
        <v>454.11</v>
      </c>
      <c r="K66">
        <v>660.13</v>
      </c>
      <c r="L66">
        <v>590.63</v>
      </c>
      <c r="M66">
        <v>662.7</v>
      </c>
      <c r="N66">
        <v>735.9</v>
      </c>
    </row>
    <row r="67" spans="1:14" x14ac:dyDescent="0.25">
      <c r="A67" t="s">
        <v>2890</v>
      </c>
      <c r="L67">
        <v>231.98</v>
      </c>
      <c r="M67">
        <v>238.84</v>
      </c>
      <c r="N67">
        <v>279.10000000000002</v>
      </c>
    </row>
    <row r="68" spans="1:14" x14ac:dyDescent="0.25">
      <c r="A68" t="s">
        <v>2891</v>
      </c>
      <c r="M68">
        <v>423.87</v>
      </c>
      <c r="N68">
        <v>456.8</v>
      </c>
    </row>
    <row r="69" spans="1:14" x14ac:dyDescent="0.25">
      <c r="A69" t="s">
        <v>585</v>
      </c>
      <c r="B69">
        <v>36.299999999999997</v>
      </c>
      <c r="C69">
        <v>66.19</v>
      </c>
      <c r="D69">
        <v>97.15</v>
      </c>
      <c r="E69">
        <v>118.44</v>
      </c>
      <c r="F69">
        <v>148.88999999999999</v>
      </c>
      <c r="G69">
        <v>204.39</v>
      </c>
      <c r="H69">
        <v>214.74</v>
      </c>
      <c r="I69">
        <v>247.86</v>
      </c>
      <c r="J69">
        <v>364.42</v>
      </c>
      <c r="K69">
        <v>501.96</v>
      </c>
      <c r="L69">
        <v>566.9</v>
      </c>
      <c r="M69">
        <v>671.22</v>
      </c>
      <c r="N69">
        <v>657.7</v>
      </c>
    </row>
    <row r="70" spans="1:14" x14ac:dyDescent="0.25">
      <c r="A70" t="s">
        <v>2890</v>
      </c>
      <c r="L70">
        <v>196.97</v>
      </c>
      <c r="M70">
        <v>256.97000000000003</v>
      </c>
      <c r="N70">
        <v>268.10000000000002</v>
      </c>
    </row>
    <row r="71" spans="1:14" x14ac:dyDescent="0.25">
      <c r="A71" t="s">
        <v>2891</v>
      </c>
      <c r="M71">
        <v>414.25</v>
      </c>
      <c r="N71">
        <v>389.6</v>
      </c>
    </row>
    <row r="72" spans="1:14" x14ac:dyDescent="0.25">
      <c r="A72" t="s">
        <v>1114</v>
      </c>
      <c r="B72">
        <v>76.349999999999994</v>
      </c>
      <c r="C72">
        <v>122.33</v>
      </c>
      <c r="D72">
        <v>148.02000000000001</v>
      </c>
      <c r="E72">
        <v>145.66</v>
      </c>
      <c r="F72">
        <v>216.87</v>
      </c>
      <c r="G72">
        <v>242.4</v>
      </c>
      <c r="H72">
        <v>244.37</v>
      </c>
      <c r="I72">
        <v>273.2</v>
      </c>
      <c r="J72">
        <v>317.27</v>
      </c>
      <c r="K72">
        <v>414.08</v>
      </c>
      <c r="L72">
        <v>443.19</v>
      </c>
      <c r="M72">
        <v>418.75</v>
      </c>
      <c r="N72">
        <v>428.5</v>
      </c>
    </row>
    <row r="73" spans="1:14" x14ac:dyDescent="0.25">
      <c r="A73" t="s">
        <v>2890</v>
      </c>
      <c r="L73">
        <v>218.19</v>
      </c>
      <c r="M73">
        <v>202.56</v>
      </c>
      <c r="N73">
        <v>205.1</v>
      </c>
    </row>
    <row r="74" spans="1:14" x14ac:dyDescent="0.25">
      <c r="A74" t="s">
        <v>2891</v>
      </c>
      <c r="M74">
        <v>216.2</v>
      </c>
      <c r="N74">
        <v>223.4</v>
      </c>
    </row>
    <row r="75" spans="1:14" x14ac:dyDescent="0.25">
      <c r="A75" t="s">
        <v>586</v>
      </c>
      <c r="D75">
        <v>131.34</v>
      </c>
      <c r="E75">
        <v>156.02000000000001</v>
      </c>
      <c r="F75">
        <v>169.48</v>
      </c>
      <c r="G75">
        <v>210.76</v>
      </c>
      <c r="H75">
        <v>205.49</v>
      </c>
      <c r="I75">
        <v>242.9</v>
      </c>
      <c r="J75">
        <v>302.60000000000002</v>
      </c>
      <c r="K75">
        <v>350</v>
      </c>
      <c r="L75">
        <v>367.31</v>
      </c>
      <c r="M75">
        <v>309.39</v>
      </c>
      <c r="N75">
        <v>317.60000000000002</v>
      </c>
    </row>
    <row r="76" spans="1:14" x14ac:dyDescent="0.25">
      <c r="A76" t="s">
        <v>2890</v>
      </c>
      <c r="L76">
        <v>104.98</v>
      </c>
      <c r="M76">
        <v>128.54</v>
      </c>
      <c r="N76">
        <v>139.80000000000001</v>
      </c>
    </row>
    <row r="77" spans="1:14" x14ac:dyDescent="0.25">
      <c r="A77" t="s">
        <v>2891</v>
      </c>
      <c r="M77">
        <v>180.86</v>
      </c>
      <c r="N77">
        <v>177.8</v>
      </c>
    </row>
    <row r="78" spans="1:14" x14ac:dyDescent="0.25">
      <c r="A78" t="s">
        <v>584</v>
      </c>
      <c r="B78">
        <v>90.15</v>
      </c>
      <c r="D78">
        <v>106.04</v>
      </c>
      <c r="E78">
        <v>105.78</v>
      </c>
      <c r="F78">
        <v>120.48</v>
      </c>
      <c r="G78">
        <v>138.08000000000001</v>
      </c>
      <c r="H78">
        <v>132.22</v>
      </c>
      <c r="I78">
        <v>154.44</v>
      </c>
      <c r="J78">
        <v>209.27</v>
      </c>
      <c r="K78">
        <v>325.02</v>
      </c>
      <c r="L78">
        <v>402.35</v>
      </c>
      <c r="M78">
        <v>275.49</v>
      </c>
      <c r="N78">
        <v>239.4</v>
      </c>
    </row>
    <row r="79" spans="1:14" x14ac:dyDescent="0.25">
      <c r="A79" t="s">
        <v>2890</v>
      </c>
      <c r="L79">
        <v>229.37</v>
      </c>
      <c r="M79">
        <v>115.76</v>
      </c>
      <c r="N79">
        <v>100.7</v>
      </c>
    </row>
    <row r="80" spans="1:14" x14ac:dyDescent="0.25">
      <c r="A80" t="s">
        <v>2891</v>
      </c>
      <c r="M80">
        <v>159.72999999999999</v>
      </c>
      <c r="N80">
        <v>138.69999999999999</v>
      </c>
    </row>
    <row r="81" spans="1:19" x14ac:dyDescent="0.25">
      <c r="A81" t="s">
        <v>1272</v>
      </c>
      <c r="F81">
        <v>110.76</v>
      </c>
      <c r="G81">
        <v>117.99</v>
      </c>
      <c r="H81">
        <v>103.55</v>
      </c>
      <c r="I81">
        <v>102.2</v>
      </c>
      <c r="J81">
        <v>125.43</v>
      </c>
      <c r="K81">
        <v>235.2</v>
      </c>
      <c r="L81">
        <v>262.29000000000002</v>
      </c>
      <c r="M81">
        <v>232</v>
      </c>
      <c r="N81">
        <v>256</v>
      </c>
    </row>
    <row r="82" spans="1:19" x14ac:dyDescent="0.25">
      <c r="A82" t="s">
        <v>2890</v>
      </c>
      <c r="L82">
        <v>167.63</v>
      </c>
      <c r="M82">
        <v>141.41999999999999</v>
      </c>
      <c r="N82">
        <v>143.6</v>
      </c>
    </row>
    <row r="83" spans="1:19" x14ac:dyDescent="0.25">
      <c r="A83" t="s">
        <v>2891</v>
      </c>
      <c r="M83">
        <v>90.57</v>
      </c>
      <c r="N83">
        <v>112.4</v>
      </c>
    </row>
    <row r="84" spans="1:19" x14ac:dyDescent="0.25">
      <c r="A84" t="s">
        <v>17</v>
      </c>
    </row>
    <row r="85" spans="1:19" x14ac:dyDescent="0.25">
      <c r="A85" t="s">
        <v>274</v>
      </c>
    </row>
    <row r="86" spans="1:19" x14ac:dyDescent="0.25">
      <c r="A86" t="s">
        <v>80</v>
      </c>
      <c r="B86">
        <v>693.46</v>
      </c>
      <c r="C86">
        <v>962.07</v>
      </c>
      <c r="D86" s="2">
        <v>1081.1199999999999</v>
      </c>
      <c r="E86" s="2">
        <v>1175.27</v>
      </c>
      <c r="F86" s="2">
        <v>1342.53</v>
      </c>
      <c r="G86" s="2">
        <v>1550.5</v>
      </c>
      <c r="H86" s="2">
        <v>1591.07</v>
      </c>
      <c r="I86" s="2">
        <v>1859.31</v>
      </c>
      <c r="J86" s="2">
        <v>2298.89</v>
      </c>
      <c r="K86" s="2">
        <v>3282.03</v>
      </c>
      <c r="L86" s="2">
        <v>3523.93</v>
      </c>
      <c r="M86" s="2">
        <v>3241.21</v>
      </c>
      <c r="N86" s="2">
        <v>3196.6</v>
      </c>
      <c r="O86" s="2">
        <v>3570.5</v>
      </c>
      <c r="P86" s="2">
        <v>4029.27</v>
      </c>
      <c r="Q86" s="2">
        <v>4446.29</v>
      </c>
      <c r="R86" s="2">
        <v>4563</v>
      </c>
      <c r="S86" s="2">
        <v>4969.5</v>
      </c>
    </row>
    <row r="87" spans="1:19" x14ac:dyDescent="0.25">
      <c r="A87" t="s">
        <v>17</v>
      </c>
    </row>
    <row r="88" spans="1:19" x14ac:dyDescent="0.25">
      <c r="A88" t="s">
        <v>82</v>
      </c>
      <c r="B88">
        <v>399.25</v>
      </c>
      <c r="C88">
        <v>585.39</v>
      </c>
      <c r="D88">
        <v>610.89</v>
      </c>
      <c r="E88">
        <v>666.58</v>
      </c>
      <c r="F88">
        <v>733.55</v>
      </c>
      <c r="G88">
        <v>830.67</v>
      </c>
      <c r="H88">
        <v>879.41</v>
      </c>
      <c r="I88" s="2">
        <v>1009.59</v>
      </c>
      <c r="J88" s="2">
        <v>1239.23</v>
      </c>
      <c r="K88" s="2">
        <v>1885.62</v>
      </c>
      <c r="L88" s="2">
        <v>2026.32</v>
      </c>
      <c r="M88" s="2">
        <v>1754.49</v>
      </c>
      <c r="N88" s="2">
        <v>1776.7</v>
      </c>
      <c r="O88" s="2">
        <v>1858.12</v>
      </c>
      <c r="P88" s="2">
        <v>2038.72</v>
      </c>
      <c r="Q88" s="2">
        <v>2181.31</v>
      </c>
      <c r="R88" s="2">
        <v>2318.8000000000002</v>
      </c>
      <c r="S88" s="2">
        <v>2495.6</v>
      </c>
    </row>
    <row r="89" spans="1:19" x14ac:dyDescent="0.25">
      <c r="A89" t="s">
        <v>83</v>
      </c>
      <c r="B89">
        <v>57.57</v>
      </c>
      <c r="C89">
        <v>60.85</v>
      </c>
      <c r="D89">
        <v>56.51</v>
      </c>
      <c r="E89">
        <v>56.72</v>
      </c>
      <c r="F89">
        <v>54.64</v>
      </c>
      <c r="G89">
        <v>53.57</v>
      </c>
      <c r="H89">
        <v>55.27</v>
      </c>
      <c r="I89">
        <v>54.3</v>
      </c>
      <c r="J89">
        <v>53.91</v>
      </c>
      <c r="K89">
        <v>57.45</v>
      </c>
      <c r="L89">
        <v>57.5</v>
      </c>
      <c r="M89">
        <v>54.13</v>
      </c>
      <c r="N89">
        <v>55.58</v>
      </c>
      <c r="O89">
        <v>52.41</v>
      </c>
      <c r="P89">
        <v>50.94</v>
      </c>
      <c r="Q89">
        <v>50.4</v>
      </c>
      <c r="R89">
        <v>50.5</v>
      </c>
      <c r="S89">
        <v>49.8</v>
      </c>
    </row>
    <row r="90" spans="1:19" x14ac:dyDescent="0.25">
      <c r="A90" t="s">
        <v>84</v>
      </c>
      <c r="C90">
        <v>425.82</v>
      </c>
      <c r="D90">
        <v>470.23</v>
      </c>
      <c r="E90">
        <v>508.69</v>
      </c>
      <c r="F90">
        <v>615.05999999999995</v>
      </c>
      <c r="G90">
        <v>727.16</v>
      </c>
      <c r="H90">
        <v>720.53</v>
      </c>
      <c r="I90">
        <v>849.22</v>
      </c>
      <c r="J90" s="2">
        <v>1060.0899999999999</v>
      </c>
      <c r="K90" s="2">
        <v>1458.35</v>
      </c>
      <c r="L90" s="2">
        <v>1505.8</v>
      </c>
      <c r="M90" s="2">
        <v>1487.15</v>
      </c>
      <c r="N90" s="2">
        <v>1424.2</v>
      </c>
      <c r="O90" s="2">
        <v>1705.81</v>
      </c>
      <c r="P90" s="2">
        <v>1963.19</v>
      </c>
      <c r="Q90" s="2">
        <v>2182.9899999999998</v>
      </c>
      <c r="R90" s="2">
        <v>2244.3000000000002</v>
      </c>
      <c r="S90" s="2">
        <v>2474.4</v>
      </c>
    </row>
    <row r="91" spans="1:19" x14ac:dyDescent="0.25">
      <c r="A91" t="s">
        <v>85</v>
      </c>
      <c r="B91">
        <v>42.79</v>
      </c>
      <c r="C91">
        <v>44.26</v>
      </c>
      <c r="D91">
        <v>43.49</v>
      </c>
      <c r="E91">
        <v>43.82</v>
      </c>
      <c r="F91">
        <v>45.36</v>
      </c>
      <c r="G91">
        <v>46.9</v>
      </c>
      <c r="H91">
        <v>45.3</v>
      </c>
      <c r="I91">
        <v>45.7</v>
      </c>
      <c r="J91">
        <v>46.1</v>
      </c>
      <c r="K91">
        <v>42.52</v>
      </c>
      <c r="L91">
        <v>42.7</v>
      </c>
      <c r="M91">
        <v>45.9</v>
      </c>
      <c r="N91">
        <v>44.6</v>
      </c>
      <c r="O91">
        <v>47.73</v>
      </c>
      <c r="P91">
        <v>49.25</v>
      </c>
      <c r="Q91">
        <v>50.63</v>
      </c>
      <c r="R91">
        <v>49.5</v>
      </c>
      <c r="S91">
        <v>50.2</v>
      </c>
    </row>
    <row r="92" spans="1:19" x14ac:dyDescent="0.25">
      <c r="A92" t="s">
        <v>17</v>
      </c>
    </row>
    <row r="93" spans="1:19" x14ac:dyDescent="0.25">
      <c r="A93" t="s">
        <v>1274</v>
      </c>
      <c r="B93">
        <v>137.12</v>
      </c>
      <c r="C93">
        <v>231.83</v>
      </c>
      <c r="D93">
        <v>198.91</v>
      </c>
      <c r="E93">
        <v>201.9</v>
      </c>
      <c r="F93">
        <v>216.19</v>
      </c>
      <c r="G93">
        <v>246.53</v>
      </c>
      <c r="H93">
        <v>284.81</v>
      </c>
      <c r="I93">
        <v>265.13</v>
      </c>
      <c r="J93">
        <v>292.41000000000003</v>
      </c>
      <c r="K93">
        <v>543.49</v>
      </c>
      <c r="L93">
        <v>576.19000000000005</v>
      </c>
      <c r="M93">
        <v>446.57</v>
      </c>
      <c r="N93">
        <v>450.6</v>
      </c>
      <c r="O93">
        <v>494.24</v>
      </c>
      <c r="P93">
        <v>535.69000000000005</v>
      </c>
      <c r="Q93">
        <v>582.62</v>
      </c>
      <c r="R93">
        <v>648.65</v>
      </c>
      <c r="S93">
        <v>696.15</v>
      </c>
    </row>
    <row r="94" spans="1:19" x14ac:dyDescent="0.25">
      <c r="A94" t="s">
        <v>1299</v>
      </c>
      <c r="B94">
        <v>55.32</v>
      </c>
      <c r="C94">
        <v>87.71</v>
      </c>
      <c r="D94">
        <v>105.9</v>
      </c>
      <c r="E94">
        <v>106.99</v>
      </c>
      <c r="F94">
        <v>106.95</v>
      </c>
      <c r="G94">
        <v>118.46</v>
      </c>
      <c r="H94">
        <v>121.14</v>
      </c>
      <c r="I94">
        <v>136.06</v>
      </c>
      <c r="J94">
        <v>167.63</v>
      </c>
      <c r="K94">
        <v>228.99</v>
      </c>
      <c r="L94">
        <v>277.31</v>
      </c>
      <c r="M94">
        <v>316.11</v>
      </c>
      <c r="N94">
        <v>329</v>
      </c>
      <c r="O94">
        <v>340.44</v>
      </c>
      <c r="P94">
        <v>381.54</v>
      </c>
      <c r="Q94">
        <v>412.59</v>
      </c>
      <c r="R94">
        <v>420.1</v>
      </c>
      <c r="S94">
        <v>445.15</v>
      </c>
    </row>
    <row r="95" spans="1:19" x14ac:dyDescent="0.25">
      <c r="A95" t="s">
        <v>83</v>
      </c>
      <c r="B95">
        <v>7.98</v>
      </c>
      <c r="C95">
        <v>9.1199999999999992</v>
      </c>
      <c r="D95">
        <v>9.8000000000000007</v>
      </c>
      <c r="E95">
        <v>9.1</v>
      </c>
      <c r="F95">
        <v>7.97</v>
      </c>
      <c r="G95">
        <v>7.64</v>
      </c>
      <c r="H95">
        <v>7.61</v>
      </c>
      <c r="I95">
        <v>7.32</v>
      </c>
      <c r="J95">
        <v>7.29</v>
      </c>
      <c r="K95">
        <v>6.98</v>
      </c>
      <c r="L95">
        <v>7.87</v>
      </c>
      <c r="M95">
        <v>9.75</v>
      </c>
      <c r="N95">
        <v>10.29</v>
      </c>
      <c r="O95">
        <v>9.5399999999999991</v>
      </c>
      <c r="P95">
        <v>9.66</v>
      </c>
      <c r="Q95">
        <v>9.9</v>
      </c>
      <c r="R95">
        <v>9.6</v>
      </c>
      <c r="S95">
        <v>9.4</v>
      </c>
    </row>
    <row r="96" spans="1:19" x14ac:dyDescent="0.25">
      <c r="A96" t="s">
        <v>17</v>
      </c>
    </row>
    <row r="97" spans="1:19" x14ac:dyDescent="0.25">
      <c r="A97" t="s">
        <v>91</v>
      </c>
      <c r="B97">
        <v>104.28</v>
      </c>
      <c r="C97">
        <v>161.28</v>
      </c>
      <c r="D97">
        <v>178.08</v>
      </c>
      <c r="E97">
        <v>208.03</v>
      </c>
      <c r="F97">
        <v>298.94</v>
      </c>
      <c r="G97">
        <v>370.99</v>
      </c>
      <c r="H97">
        <v>361.84</v>
      </c>
      <c r="I97">
        <v>459.03</v>
      </c>
      <c r="J97">
        <v>609.11</v>
      </c>
      <c r="K97">
        <v>837.85</v>
      </c>
      <c r="L97">
        <v>769.67</v>
      </c>
      <c r="M97">
        <v>742.95</v>
      </c>
      <c r="N97">
        <v>680.9</v>
      </c>
      <c r="O97">
        <v>893.7</v>
      </c>
      <c r="P97" s="2">
        <v>1062.4000000000001</v>
      </c>
      <c r="Q97" s="2">
        <v>1230.43</v>
      </c>
      <c r="R97" s="2">
        <v>1193</v>
      </c>
      <c r="S97" s="2">
        <v>1367</v>
      </c>
    </row>
    <row r="98" spans="1:19" x14ac:dyDescent="0.25">
      <c r="A98" t="s">
        <v>92</v>
      </c>
      <c r="B98">
        <v>14.68</v>
      </c>
      <c r="C98">
        <v>16.760000000000002</v>
      </c>
      <c r="D98">
        <v>16.47</v>
      </c>
      <c r="E98">
        <v>17.7</v>
      </c>
      <c r="F98">
        <v>22.27</v>
      </c>
      <c r="G98">
        <v>23.93</v>
      </c>
      <c r="H98">
        <v>22.74</v>
      </c>
      <c r="I98">
        <v>24.69</v>
      </c>
      <c r="J98">
        <v>26.5</v>
      </c>
      <c r="K98">
        <v>25.53</v>
      </c>
      <c r="L98">
        <v>21.84</v>
      </c>
      <c r="M98">
        <v>22.92</v>
      </c>
      <c r="N98">
        <v>21.3</v>
      </c>
      <c r="O98">
        <v>25.39</v>
      </c>
      <c r="P98">
        <v>26.7</v>
      </c>
      <c r="Q98">
        <v>28.11</v>
      </c>
      <c r="R98">
        <v>26.5</v>
      </c>
      <c r="S98">
        <v>27.8</v>
      </c>
    </row>
    <row r="99" spans="1:19" x14ac:dyDescent="0.25">
      <c r="A99" t="s">
        <v>17</v>
      </c>
    </row>
    <row r="100" spans="1:19" x14ac:dyDescent="0.25">
      <c r="A100" t="s">
        <v>93</v>
      </c>
      <c r="B100">
        <v>29.47</v>
      </c>
      <c r="C100">
        <v>46.64</v>
      </c>
      <c r="D100">
        <v>54.31</v>
      </c>
      <c r="E100">
        <v>55.62</v>
      </c>
      <c r="F100">
        <v>58.21</v>
      </c>
      <c r="G100">
        <v>65.12</v>
      </c>
      <c r="H100">
        <v>74.98</v>
      </c>
      <c r="I100">
        <v>83.43</v>
      </c>
      <c r="J100">
        <v>90.31</v>
      </c>
      <c r="K100">
        <v>135.37</v>
      </c>
      <c r="L100">
        <v>172.68</v>
      </c>
      <c r="M100">
        <v>188.12</v>
      </c>
      <c r="N100">
        <v>205.3</v>
      </c>
      <c r="O100">
        <v>144.54</v>
      </c>
      <c r="P100">
        <v>158.88999999999999</v>
      </c>
      <c r="Q100">
        <v>178.73</v>
      </c>
      <c r="R100">
        <v>218.55</v>
      </c>
      <c r="S100">
        <v>230.6</v>
      </c>
    </row>
    <row r="101" spans="1:19" x14ac:dyDescent="0.25">
      <c r="A101" t="s">
        <v>884</v>
      </c>
      <c r="B101">
        <v>29.47</v>
      </c>
      <c r="C101">
        <v>46.64</v>
      </c>
      <c r="D101">
        <v>54.31</v>
      </c>
      <c r="E101">
        <v>55.62</v>
      </c>
      <c r="F101">
        <v>58.21</v>
      </c>
      <c r="G101">
        <v>65.12</v>
      </c>
      <c r="H101">
        <v>74.98</v>
      </c>
      <c r="I101">
        <v>83.43</v>
      </c>
      <c r="J101">
        <v>90.31</v>
      </c>
      <c r="K101">
        <v>135.37</v>
      </c>
      <c r="L101">
        <v>172.68</v>
      </c>
      <c r="M101">
        <v>188.12</v>
      </c>
      <c r="N101">
        <v>205.3</v>
      </c>
      <c r="O101">
        <v>144.54</v>
      </c>
      <c r="P101">
        <v>158.88999999999999</v>
      </c>
      <c r="Q101">
        <v>178.73</v>
      </c>
      <c r="R101">
        <v>218.55</v>
      </c>
      <c r="S101">
        <v>230.6</v>
      </c>
    </row>
    <row r="102" spans="1:19" x14ac:dyDescent="0.25">
      <c r="A102" t="s">
        <v>127</v>
      </c>
      <c r="B102">
        <v>9.35</v>
      </c>
      <c r="C102">
        <v>37.07</v>
      </c>
      <c r="D102">
        <v>47.35</v>
      </c>
      <c r="E102">
        <v>44.26</v>
      </c>
      <c r="F102">
        <v>44.02</v>
      </c>
      <c r="G102">
        <v>62.15</v>
      </c>
      <c r="H102">
        <v>66.430000000000007</v>
      </c>
      <c r="I102">
        <v>53.09</v>
      </c>
      <c r="J102">
        <v>47.86</v>
      </c>
      <c r="K102">
        <v>143.94999999999999</v>
      </c>
      <c r="L102">
        <v>214.48</v>
      </c>
      <c r="M102">
        <v>190.12</v>
      </c>
      <c r="N102">
        <v>184.4</v>
      </c>
      <c r="O102">
        <v>184.03</v>
      </c>
      <c r="P102">
        <v>185.73</v>
      </c>
      <c r="Q102">
        <v>185.35</v>
      </c>
      <c r="R102">
        <v>162</v>
      </c>
      <c r="S102">
        <v>163</v>
      </c>
    </row>
    <row r="103" spans="1:19" x14ac:dyDescent="0.25">
      <c r="A103" t="s">
        <v>277</v>
      </c>
      <c r="B103">
        <v>133.75</v>
      </c>
      <c r="C103">
        <v>207.92</v>
      </c>
      <c r="D103">
        <v>232.39</v>
      </c>
      <c r="E103">
        <v>263.64999999999998</v>
      </c>
      <c r="F103">
        <v>357.15</v>
      </c>
      <c r="G103">
        <v>436.11</v>
      </c>
      <c r="H103">
        <v>436.82</v>
      </c>
      <c r="I103">
        <v>542.46</v>
      </c>
      <c r="J103">
        <v>699.42</v>
      </c>
      <c r="K103">
        <v>973.22</v>
      </c>
      <c r="L103">
        <v>942.36</v>
      </c>
      <c r="M103">
        <v>931.07</v>
      </c>
      <c r="N103">
        <v>886.2</v>
      </c>
      <c r="O103" s="2">
        <v>1023.8</v>
      </c>
      <c r="P103" s="2">
        <v>1224.7</v>
      </c>
      <c r="Q103" s="2">
        <v>1426.43</v>
      </c>
      <c r="R103" s="2">
        <v>1397</v>
      </c>
      <c r="S103" s="2">
        <v>1566</v>
      </c>
    </row>
    <row r="104" spans="1:19" x14ac:dyDescent="0.25">
      <c r="A104" t="s">
        <v>481</v>
      </c>
      <c r="B104">
        <v>19.3</v>
      </c>
      <c r="C104">
        <v>21.6</v>
      </c>
      <c r="D104">
        <v>21.5</v>
      </c>
      <c r="E104">
        <v>22.4</v>
      </c>
      <c r="F104">
        <v>26.6</v>
      </c>
      <c r="G104">
        <v>28.1</v>
      </c>
      <c r="H104">
        <v>27.5</v>
      </c>
      <c r="I104">
        <v>29.2</v>
      </c>
      <c r="J104">
        <v>30.4</v>
      </c>
      <c r="K104">
        <v>29.7</v>
      </c>
      <c r="L104">
        <v>26.7</v>
      </c>
      <c r="M104">
        <v>28.7</v>
      </c>
      <c r="N104">
        <v>27.7</v>
      </c>
      <c r="O104">
        <v>28.72</v>
      </c>
      <c r="P104">
        <v>30.33</v>
      </c>
      <c r="Q104">
        <v>31.55</v>
      </c>
      <c r="R104">
        <v>30.65</v>
      </c>
      <c r="S104">
        <v>31.5</v>
      </c>
    </row>
    <row r="105" spans="1:19" x14ac:dyDescent="0.25">
      <c r="A105" t="s">
        <v>17</v>
      </c>
    </row>
    <row r="106" spans="1:19" x14ac:dyDescent="0.25">
      <c r="A106" t="s">
        <v>483</v>
      </c>
      <c r="C106">
        <v>32.020000000000003</v>
      </c>
      <c r="D106">
        <v>38.24</v>
      </c>
      <c r="E106">
        <v>36.53</v>
      </c>
      <c r="F106">
        <v>31.63</v>
      </c>
      <c r="G106">
        <v>30.26</v>
      </c>
      <c r="H106">
        <v>42.31</v>
      </c>
      <c r="I106">
        <v>47.81</v>
      </c>
      <c r="J106">
        <v>41</v>
      </c>
      <c r="K106">
        <v>208.98</v>
      </c>
      <c r="L106">
        <v>301.12</v>
      </c>
      <c r="M106">
        <v>207.85</v>
      </c>
      <c r="N106">
        <v>191.9</v>
      </c>
      <c r="O106">
        <v>182.54</v>
      </c>
      <c r="P106">
        <v>167.45</v>
      </c>
      <c r="Q106">
        <v>155.28</v>
      </c>
      <c r="R106">
        <v>146</v>
      </c>
      <c r="S106">
        <v>134</v>
      </c>
    </row>
    <row r="107" spans="1:19" x14ac:dyDescent="0.25">
      <c r="A107" t="s">
        <v>98</v>
      </c>
      <c r="B107">
        <v>-1.96</v>
      </c>
      <c r="C107">
        <v>2.73</v>
      </c>
      <c r="D107">
        <v>-3.26</v>
      </c>
      <c r="E107">
        <v>-0.39</v>
      </c>
      <c r="F107">
        <v>25.46</v>
      </c>
      <c r="G107">
        <v>8</v>
      </c>
      <c r="H107">
        <v>-121.08</v>
      </c>
      <c r="I107">
        <v>-6.66</v>
      </c>
      <c r="J107">
        <v>31.7</v>
      </c>
      <c r="K107">
        <v>23.93</v>
      </c>
      <c r="L107">
        <v>25.37</v>
      </c>
      <c r="M107">
        <v>4.0199999999999996</v>
      </c>
      <c r="N107">
        <v>9.4</v>
      </c>
    </row>
    <row r="108" spans="1:19" x14ac:dyDescent="0.25">
      <c r="A108" t="s">
        <v>100</v>
      </c>
      <c r="B108">
        <v>106.24</v>
      </c>
      <c r="C108">
        <v>132.26</v>
      </c>
      <c r="D108">
        <v>149.35</v>
      </c>
      <c r="E108">
        <v>149.49</v>
      </c>
      <c r="F108">
        <v>184.73</v>
      </c>
      <c r="G108">
        <v>254.43</v>
      </c>
      <c r="H108">
        <v>398.95</v>
      </c>
      <c r="I108">
        <v>414.12</v>
      </c>
      <c r="J108">
        <v>479.08</v>
      </c>
      <c r="K108">
        <v>604.95000000000005</v>
      </c>
      <c r="L108">
        <v>172.67</v>
      </c>
      <c r="M108">
        <v>467.8</v>
      </c>
      <c r="N108">
        <v>481.8</v>
      </c>
      <c r="O108">
        <v>700.22</v>
      </c>
      <c r="P108">
        <v>929.33</v>
      </c>
      <c r="Q108" s="2">
        <v>1141.83</v>
      </c>
      <c r="R108" s="2">
        <v>1086</v>
      </c>
      <c r="S108" s="2">
        <v>1322</v>
      </c>
    </row>
    <row r="109" spans="1:19" x14ac:dyDescent="0.25">
      <c r="A109" t="s">
        <v>17</v>
      </c>
    </row>
    <row r="110" spans="1:19" x14ac:dyDescent="0.25">
      <c r="A110" t="s">
        <v>101</v>
      </c>
      <c r="D110">
        <v>28.45</v>
      </c>
      <c r="E110">
        <v>22.85</v>
      </c>
      <c r="F110">
        <v>99.67</v>
      </c>
      <c r="G110">
        <v>13.68</v>
      </c>
      <c r="H110">
        <v>63.19</v>
      </c>
      <c r="I110">
        <v>59.32</v>
      </c>
      <c r="J110">
        <v>69.95</v>
      </c>
      <c r="K110">
        <v>38.159999999999997</v>
      </c>
      <c r="L110">
        <v>-8.41</v>
      </c>
      <c r="M110">
        <v>28.33</v>
      </c>
      <c r="N110">
        <v>18</v>
      </c>
      <c r="O110">
        <v>99.12</v>
      </c>
      <c r="P110">
        <v>135.61000000000001</v>
      </c>
      <c r="Q110">
        <v>162.87</v>
      </c>
      <c r="R110">
        <v>162.9</v>
      </c>
      <c r="S110">
        <v>198.3</v>
      </c>
    </row>
    <row r="111" spans="1:19" x14ac:dyDescent="0.25">
      <c r="A111" t="s">
        <v>102</v>
      </c>
      <c r="F111">
        <v>54</v>
      </c>
      <c r="G111">
        <v>5.4</v>
      </c>
      <c r="H111">
        <v>19.899999999999999</v>
      </c>
      <c r="I111">
        <v>16.7</v>
      </c>
      <c r="J111">
        <v>14.6</v>
      </c>
      <c r="K111">
        <v>15.4</v>
      </c>
      <c r="L111">
        <v>-4.9000000000000004</v>
      </c>
      <c r="M111">
        <v>13</v>
      </c>
      <c r="N111">
        <v>7.1</v>
      </c>
      <c r="O111">
        <v>14.01</v>
      </c>
      <c r="P111">
        <v>14.96</v>
      </c>
      <c r="Q111">
        <v>14.99</v>
      </c>
      <c r="R111">
        <v>15</v>
      </c>
      <c r="S111">
        <v>15</v>
      </c>
    </row>
    <row r="112" spans="1:19" x14ac:dyDescent="0.25">
      <c r="A112" t="s">
        <v>17</v>
      </c>
    </row>
    <row r="113" spans="1:19" x14ac:dyDescent="0.25">
      <c r="A113" t="s">
        <v>106</v>
      </c>
      <c r="B113">
        <v>82.64</v>
      </c>
      <c r="C113">
        <v>96.72</v>
      </c>
      <c r="D113">
        <v>120.62</v>
      </c>
      <c r="E113">
        <v>132.85</v>
      </c>
      <c r="F113">
        <v>206.34</v>
      </c>
      <c r="G113">
        <v>269.77</v>
      </c>
      <c r="H113">
        <v>264.08999999999997</v>
      </c>
      <c r="I113">
        <v>345.74</v>
      </c>
      <c r="J113">
        <v>469.39</v>
      </c>
      <c r="K113">
        <v>534.16999999999996</v>
      </c>
      <c r="L113">
        <v>398.92</v>
      </c>
      <c r="M113">
        <v>455.99</v>
      </c>
      <c r="N113">
        <v>418.5</v>
      </c>
      <c r="O113">
        <v>580.78</v>
      </c>
      <c r="P113">
        <v>757.44</v>
      </c>
      <c r="Q113">
        <v>921.83</v>
      </c>
      <c r="R113">
        <v>922</v>
      </c>
      <c r="S113" s="2">
        <v>1087</v>
      </c>
    </row>
    <row r="114" spans="1:19" x14ac:dyDescent="0.25">
      <c r="A114" t="s">
        <v>280</v>
      </c>
      <c r="B114">
        <v>11.56</v>
      </c>
      <c r="C114">
        <v>10.050000000000001</v>
      </c>
      <c r="D114">
        <v>11.16</v>
      </c>
      <c r="E114">
        <v>11.3</v>
      </c>
      <c r="F114">
        <v>15.37</v>
      </c>
      <c r="G114">
        <v>17.399999999999999</v>
      </c>
      <c r="H114">
        <v>16.600000000000001</v>
      </c>
      <c r="I114">
        <v>18.59</v>
      </c>
      <c r="J114">
        <v>20.420000000000002</v>
      </c>
      <c r="K114">
        <v>16.28</v>
      </c>
      <c r="L114">
        <v>11.32</v>
      </c>
      <c r="M114">
        <v>14.07</v>
      </c>
      <c r="N114">
        <v>13.09</v>
      </c>
      <c r="O114">
        <v>16.46</v>
      </c>
      <c r="P114">
        <v>18.11</v>
      </c>
      <c r="Q114">
        <v>19.170000000000002</v>
      </c>
      <c r="R114">
        <v>20.25</v>
      </c>
      <c r="S114">
        <v>21.85</v>
      </c>
    </row>
    <row r="115" spans="1:19" x14ac:dyDescent="0.25">
      <c r="A115" t="s">
        <v>17</v>
      </c>
    </row>
    <row r="116" spans="1:19" x14ac:dyDescent="0.25">
      <c r="A116" t="s">
        <v>108</v>
      </c>
      <c r="B116">
        <v>138.94999999999999</v>
      </c>
      <c r="C116">
        <v>139.31</v>
      </c>
      <c r="D116">
        <v>140.35</v>
      </c>
      <c r="E116">
        <v>141.09</v>
      </c>
      <c r="F116">
        <v>141.55000000000001</v>
      </c>
      <c r="G116">
        <v>141.03</v>
      </c>
      <c r="H116">
        <v>135.13999999999999</v>
      </c>
      <c r="I116">
        <v>134.84</v>
      </c>
      <c r="J116">
        <v>135.41</v>
      </c>
      <c r="K116">
        <v>142.29</v>
      </c>
      <c r="L116">
        <v>149.9</v>
      </c>
      <c r="M116">
        <v>150.94999999999999</v>
      </c>
      <c r="N116">
        <v>151.69999999999999</v>
      </c>
      <c r="O116">
        <v>153.24</v>
      </c>
      <c r="P116">
        <v>154.19</v>
      </c>
      <c r="Q116">
        <v>123.93</v>
      </c>
      <c r="R116">
        <v>79.849999999999994</v>
      </c>
      <c r="S116">
        <v>80.650000000000006</v>
      </c>
    </row>
    <row r="117" spans="1:19" x14ac:dyDescent="0.25">
      <c r="A117" t="s">
        <v>888</v>
      </c>
      <c r="B117">
        <v>0.54</v>
      </c>
      <c r="C117">
        <v>0.06</v>
      </c>
      <c r="D117">
        <v>0.56999999999999995</v>
      </c>
      <c r="E117">
        <v>0.69</v>
      </c>
      <c r="F117">
        <v>0.6</v>
      </c>
      <c r="G117">
        <v>1.71</v>
      </c>
      <c r="H117">
        <v>1.89</v>
      </c>
      <c r="I117">
        <v>2.19</v>
      </c>
      <c r="J117">
        <v>3.02</v>
      </c>
      <c r="K117">
        <v>1.47</v>
      </c>
      <c r="L117">
        <v>1.21</v>
      </c>
      <c r="M117">
        <v>1.94</v>
      </c>
      <c r="N117">
        <v>1.55</v>
      </c>
      <c r="O117">
        <v>2.75</v>
      </c>
      <c r="P117">
        <v>3.65</v>
      </c>
      <c r="Q117">
        <v>4.82</v>
      </c>
      <c r="R117">
        <v>4.74</v>
      </c>
      <c r="S117">
        <v>5.58</v>
      </c>
    </row>
    <row r="118" spans="1:19" x14ac:dyDescent="0.25">
      <c r="A118" t="s">
        <v>17</v>
      </c>
    </row>
    <row r="119" spans="1:19" x14ac:dyDescent="0.25">
      <c r="A119" t="s">
        <v>109</v>
      </c>
      <c r="B119">
        <v>139.62</v>
      </c>
      <c r="C119">
        <v>140.06</v>
      </c>
      <c r="D119">
        <v>141.12</v>
      </c>
      <c r="E119">
        <v>142.05000000000001</v>
      </c>
      <c r="F119">
        <v>143.52000000000001</v>
      </c>
      <c r="G119">
        <v>142.61000000000001</v>
      </c>
      <c r="H119">
        <v>136.57</v>
      </c>
      <c r="I119">
        <v>136.27000000000001</v>
      </c>
      <c r="J119">
        <v>136.57</v>
      </c>
      <c r="K119">
        <v>143.15</v>
      </c>
      <c r="L119">
        <v>150.94999999999999</v>
      </c>
      <c r="M119">
        <v>151.84</v>
      </c>
      <c r="N119">
        <v>152.19999999999999</v>
      </c>
      <c r="O119">
        <v>153.49</v>
      </c>
      <c r="P119">
        <v>154.25</v>
      </c>
      <c r="Q119">
        <v>128.91</v>
      </c>
      <c r="R119">
        <v>104.24</v>
      </c>
      <c r="S119">
        <v>104.77</v>
      </c>
    </row>
    <row r="120" spans="1:19" x14ac:dyDescent="0.25">
      <c r="A120" t="s">
        <v>110</v>
      </c>
      <c r="B120">
        <v>0.59</v>
      </c>
      <c r="C120">
        <v>0.69</v>
      </c>
      <c r="D120">
        <v>0.85</v>
      </c>
      <c r="E120">
        <v>0.94</v>
      </c>
      <c r="F120">
        <v>1.44</v>
      </c>
      <c r="G120">
        <v>1.89</v>
      </c>
      <c r="H120">
        <v>1.93</v>
      </c>
      <c r="I120">
        <v>2.54</v>
      </c>
      <c r="J120">
        <v>3.44</v>
      </c>
      <c r="K120">
        <v>3.73</v>
      </c>
      <c r="L120">
        <v>2.64</v>
      </c>
      <c r="M120">
        <v>3</v>
      </c>
      <c r="N120">
        <v>2.75</v>
      </c>
      <c r="O120">
        <v>3.92</v>
      </c>
      <c r="P120">
        <v>5.07</v>
      </c>
      <c r="Q120">
        <v>6.16</v>
      </c>
      <c r="R120">
        <v>5.93</v>
      </c>
      <c r="S120">
        <v>6.95</v>
      </c>
    </row>
    <row r="121" spans="1:19" x14ac:dyDescent="0.25">
      <c r="A121" t="s">
        <v>17</v>
      </c>
    </row>
    <row r="122" spans="1:19" x14ac:dyDescent="0.25">
      <c r="A122" t="s">
        <v>487</v>
      </c>
      <c r="B122">
        <v>0</v>
      </c>
      <c r="C122">
        <v>0</v>
      </c>
      <c r="D122">
        <v>0</v>
      </c>
      <c r="E122">
        <v>0</v>
      </c>
      <c r="F122">
        <v>7.0000000000000007E-2</v>
      </c>
      <c r="G122">
        <v>0.28000000000000003</v>
      </c>
      <c r="H122">
        <v>0.3</v>
      </c>
      <c r="I122">
        <v>0.32</v>
      </c>
      <c r="J122">
        <v>0.32</v>
      </c>
      <c r="K122">
        <v>0.4</v>
      </c>
      <c r="L122">
        <v>0.4</v>
      </c>
      <c r="M122">
        <v>0.4</v>
      </c>
      <c r="N122">
        <v>0.4</v>
      </c>
      <c r="O122">
        <v>0.4</v>
      </c>
      <c r="P122">
        <v>0.43</v>
      </c>
      <c r="Q122">
        <v>0.46</v>
      </c>
      <c r="R122">
        <v>0.4</v>
      </c>
      <c r="S122">
        <v>0.4</v>
      </c>
    </row>
    <row r="123" spans="1:19" x14ac:dyDescent="0.25">
      <c r="A123" t="s">
        <v>17</v>
      </c>
    </row>
    <row r="124" spans="1:19" x14ac:dyDescent="0.25">
      <c r="A124" t="s">
        <v>282</v>
      </c>
    </row>
    <row r="125" spans="1:19" x14ac:dyDescent="0.25">
      <c r="A125" t="s">
        <v>116</v>
      </c>
      <c r="B125">
        <v>94.24</v>
      </c>
      <c r="C125">
        <v>21.35</v>
      </c>
      <c r="D125">
        <v>118.07</v>
      </c>
      <c r="E125">
        <v>155.54</v>
      </c>
      <c r="F125">
        <v>241.82</v>
      </c>
      <c r="G125">
        <v>292.69</v>
      </c>
      <c r="H125">
        <v>239.28</v>
      </c>
      <c r="I125">
        <v>395.45</v>
      </c>
      <c r="J125">
        <v>551.77</v>
      </c>
      <c r="K125">
        <v>479.98</v>
      </c>
      <c r="L125">
        <v>499.16</v>
      </c>
      <c r="M125">
        <v>533.91999999999996</v>
      </c>
      <c r="N125">
        <v>455.9</v>
      </c>
      <c r="O125">
        <v>660.7</v>
      </c>
      <c r="P125">
        <v>820.5</v>
      </c>
      <c r="Q125">
        <v>786</v>
      </c>
      <c r="R125">
        <v>923</v>
      </c>
      <c r="S125" s="2">
        <v>1072.0999999999999</v>
      </c>
    </row>
    <row r="126" spans="1:19" x14ac:dyDescent="0.25">
      <c r="A126" t="s">
        <v>269</v>
      </c>
      <c r="B126">
        <v>13.59</v>
      </c>
      <c r="C126">
        <v>2.2200000000000002</v>
      </c>
      <c r="D126">
        <v>10.92</v>
      </c>
      <c r="E126">
        <v>13.23</v>
      </c>
      <c r="F126">
        <v>18.010000000000002</v>
      </c>
      <c r="G126">
        <v>18.88</v>
      </c>
      <c r="H126">
        <v>15.04</v>
      </c>
      <c r="I126">
        <v>21.27</v>
      </c>
      <c r="J126">
        <v>24</v>
      </c>
      <c r="K126">
        <v>14.62</v>
      </c>
      <c r="L126">
        <v>14.16</v>
      </c>
      <c r="M126">
        <v>16.47</v>
      </c>
      <c r="N126">
        <v>14.26</v>
      </c>
      <c r="O126">
        <v>18.5</v>
      </c>
      <c r="P126">
        <v>20.100000000000001</v>
      </c>
      <c r="Q126">
        <v>19.3</v>
      </c>
      <c r="R126">
        <v>20.5</v>
      </c>
      <c r="S126">
        <v>21.8</v>
      </c>
    </row>
    <row r="127" spans="1:19" x14ac:dyDescent="0.25">
      <c r="A127" t="s">
        <v>119</v>
      </c>
      <c r="B127">
        <v>96.2</v>
      </c>
      <c r="C127">
        <v>-13.39</v>
      </c>
      <c r="D127">
        <v>92.19</v>
      </c>
      <c r="E127">
        <v>120</v>
      </c>
      <c r="F127">
        <v>184.73</v>
      </c>
      <c r="G127">
        <v>254.43</v>
      </c>
      <c r="H127">
        <v>318.05</v>
      </c>
      <c r="I127">
        <v>354.29</v>
      </c>
      <c r="J127">
        <v>479.08</v>
      </c>
      <c r="K127">
        <v>247.08</v>
      </c>
      <c r="L127">
        <v>172.67</v>
      </c>
      <c r="M127">
        <v>322.05</v>
      </c>
      <c r="N127">
        <v>254.6</v>
      </c>
    </row>
    <row r="128" spans="1:19" x14ac:dyDescent="0.25">
      <c r="A128" t="s">
        <v>120</v>
      </c>
      <c r="L128">
        <v>114.19</v>
      </c>
      <c r="M128">
        <v>58.31</v>
      </c>
      <c r="N128">
        <v>62.7</v>
      </c>
      <c r="O128">
        <v>40.54</v>
      </c>
      <c r="P128">
        <v>75.849999999999994</v>
      </c>
      <c r="Q128">
        <v>73.150000000000006</v>
      </c>
      <c r="R128">
        <v>97</v>
      </c>
      <c r="S128">
        <v>107.2</v>
      </c>
    </row>
    <row r="129" spans="1:19" x14ac:dyDescent="0.25">
      <c r="A129" t="s">
        <v>489</v>
      </c>
      <c r="B129">
        <v>22.53</v>
      </c>
      <c r="C129">
        <v>161.1</v>
      </c>
      <c r="D129">
        <v>11.07</v>
      </c>
      <c r="E129">
        <v>19.04</v>
      </c>
      <c r="F129">
        <v>53.95</v>
      </c>
      <c r="G129">
        <v>5.38</v>
      </c>
      <c r="H129">
        <v>19.87</v>
      </c>
      <c r="I129">
        <v>16.739999999999998</v>
      </c>
      <c r="J129">
        <v>14.6</v>
      </c>
      <c r="K129">
        <v>15.44</v>
      </c>
      <c r="M129">
        <v>8.8000000000000007</v>
      </c>
      <c r="N129">
        <v>7.07</v>
      </c>
    </row>
    <row r="130" spans="1:19" x14ac:dyDescent="0.25">
      <c r="A130" t="s">
        <v>121</v>
      </c>
      <c r="B130">
        <v>77.040000000000006</v>
      </c>
      <c r="C130">
        <v>7.89</v>
      </c>
      <c r="D130">
        <v>80.3</v>
      </c>
      <c r="E130">
        <v>97.15</v>
      </c>
      <c r="F130">
        <v>85.07</v>
      </c>
      <c r="G130">
        <v>240.76</v>
      </c>
      <c r="H130">
        <v>254.86</v>
      </c>
      <c r="I130">
        <v>294.97000000000003</v>
      </c>
      <c r="J130">
        <v>409.13</v>
      </c>
      <c r="K130">
        <v>208.92</v>
      </c>
      <c r="L130">
        <v>180.67</v>
      </c>
      <c r="M130">
        <v>292.79000000000002</v>
      </c>
      <c r="N130">
        <v>235.6</v>
      </c>
      <c r="O130">
        <v>432.17</v>
      </c>
      <c r="P130">
        <v>626</v>
      </c>
      <c r="Q130">
        <v>838.4</v>
      </c>
      <c r="R130">
        <v>722</v>
      </c>
      <c r="S130">
        <v>851</v>
      </c>
    </row>
    <row r="131" spans="1:19" x14ac:dyDescent="0.25">
      <c r="A131" t="s">
        <v>124</v>
      </c>
      <c r="B131">
        <v>0.55000000000000004</v>
      </c>
      <c r="C131">
        <v>0.06</v>
      </c>
      <c r="D131">
        <v>0.56999999999999995</v>
      </c>
      <c r="E131">
        <v>0.68</v>
      </c>
      <c r="F131">
        <v>0.59</v>
      </c>
      <c r="G131">
        <v>1.69</v>
      </c>
      <c r="H131">
        <v>1.87</v>
      </c>
      <c r="I131">
        <v>2.16</v>
      </c>
      <c r="J131">
        <v>3</v>
      </c>
      <c r="K131">
        <v>1.47</v>
      </c>
      <c r="L131">
        <v>1.21</v>
      </c>
      <c r="M131">
        <v>1.93</v>
      </c>
      <c r="N131">
        <v>1.55</v>
      </c>
      <c r="O131">
        <v>2.76</v>
      </c>
      <c r="P131">
        <v>3.92</v>
      </c>
      <c r="Q131">
        <v>5.1100000000000003</v>
      </c>
      <c r="R131">
        <v>4.74</v>
      </c>
      <c r="S131">
        <v>5.75</v>
      </c>
    </row>
    <row r="132" spans="1:19" x14ac:dyDescent="0.25">
      <c r="A132" t="s">
        <v>17</v>
      </c>
    </row>
    <row r="133" spans="1:19" x14ac:dyDescent="0.25">
      <c r="A133" t="s">
        <v>134</v>
      </c>
    </row>
    <row r="134" spans="1:19" x14ac:dyDescent="0.25">
      <c r="A134" t="s">
        <v>135</v>
      </c>
    </row>
    <row r="135" spans="1:19" x14ac:dyDescent="0.25">
      <c r="A135" t="s">
        <v>136</v>
      </c>
      <c r="B135">
        <v>612.30999999999995</v>
      </c>
      <c r="C135">
        <v>765.66</v>
      </c>
      <c r="D135">
        <v>708.79</v>
      </c>
      <c r="E135">
        <v>800.13</v>
      </c>
      <c r="F135" s="2">
        <v>1057.6099999999999</v>
      </c>
      <c r="G135" s="2">
        <v>1029.3399999999999</v>
      </c>
      <c r="H135">
        <v>932.4</v>
      </c>
      <c r="I135" s="2">
        <v>1234.26</v>
      </c>
      <c r="J135" s="2">
        <v>1313.37</v>
      </c>
      <c r="K135" s="2">
        <v>2335.19</v>
      </c>
      <c r="L135" s="2">
        <v>1977.33</v>
      </c>
      <c r="M135" s="2">
        <v>1616.3</v>
      </c>
      <c r="N135" s="2">
        <v>1638.2</v>
      </c>
      <c r="O135" s="2">
        <v>1915.95</v>
      </c>
      <c r="P135" s="2">
        <v>2374.5700000000002</v>
      </c>
      <c r="Q135" s="2">
        <v>3032.78</v>
      </c>
    </row>
    <row r="136" spans="1:19" x14ac:dyDescent="0.25">
      <c r="A136" t="s">
        <v>536</v>
      </c>
      <c r="B136">
        <v>384.43</v>
      </c>
      <c r="C136">
        <v>389.7</v>
      </c>
      <c r="D136">
        <v>349.83</v>
      </c>
      <c r="E136">
        <v>406.39</v>
      </c>
      <c r="F136">
        <v>625.41</v>
      </c>
      <c r="G136">
        <v>482.06</v>
      </c>
      <c r="H136">
        <v>351.91</v>
      </c>
      <c r="I136">
        <v>580.89</v>
      </c>
      <c r="J136">
        <v>402.57</v>
      </c>
      <c r="K136">
        <v>561.55999999999995</v>
      </c>
      <c r="L136">
        <v>456.93</v>
      </c>
      <c r="M136">
        <v>329.21</v>
      </c>
      <c r="N136">
        <v>360.4</v>
      </c>
      <c r="O136">
        <v>501.01</v>
      </c>
      <c r="P136">
        <v>832.26</v>
      </c>
      <c r="Q136" s="2">
        <v>1343.75</v>
      </c>
    </row>
    <row r="137" spans="1:19" x14ac:dyDescent="0.25">
      <c r="A137" t="s">
        <v>141</v>
      </c>
      <c r="B137">
        <v>101.87</v>
      </c>
      <c r="C137">
        <v>153.96</v>
      </c>
      <c r="D137">
        <v>137.16</v>
      </c>
      <c r="E137">
        <v>161.29</v>
      </c>
      <c r="F137">
        <v>178.33</v>
      </c>
      <c r="G137">
        <v>217.21</v>
      </c>
      <c r="H137">
        <v>232.13</v>
      </c>
      <c r="I137">
        <v>262.39</v>
      </c>
      <c r="J137">
        <v>344.76</v>
      </c>
      <c r="K137">
        <v>530.80999999999995</v>
      </c>
      <c r="L137">
        <v>451.15</v>
      </c>
      <c r="M137">
        <v>494.15</v>
      </c>
      <c r="N137">
        <v>457.7</v>
      </c>
      <c r="O137">
        <v>565.4</v>
      </c>
      <c r="P137">
        <v>619.51</v>
      </c>
      <c r="Q137">
        <v>690.12</v>
      </c>
    </row>
    <row r="138" spans="1:19" x14ac:dyDescent="0.25">
      <c r="A138" t="s">
        <v>340</v>
      </c>
      <c r="B138">
        <v>94.07</v>
      </c>
      <c r="C138">
        <v>163.13</v>
      </c>
      <c r="D138">
        <v>173.18</v>
      </c>
      <c r="E138">
        <v>183.53</v>
      </c>
      <c r="F138">
        <v>198.09</v>
      </c>
      <c r="G138">
        <v>268.14</v>
      </c>
      <c r="H138">
        <v>287.10000000000002</v>
      </c>
      <c r="I138">
        <v>323.94</v>
      </c>
      <c r="J138">
        <v>475.21</v>
      </c>
      <c r="K138">
        <v>812.82</v>
      </c>
      <c r="L138">
        <v>607.04999999999995</v>
      </c>
      <c r="M138">
        <v>638.08000000000004</v>
      </c>
      <c r="N138">
        <v>643.20000000000005</v>
      </c>
      <c r="O138">
        <v>686.26</v>
      </c>
      <c r="P138">
        <v>736.07</v>
      </c>
      <c r="Q138">
        <v>783.12</v>
      </c>
      <c r="R138">
        <v>777</v>
      </c>
      <c r="S138">
        <v>836</v>
      </c>
    </row>
    <row r="139" spans="1:19" x14ac:dyDescent="0.25">
      <c r="A139" t="s">
        <v>311</v>
      </c>
      <c r="B139">
        <v>20.84</v>
      </c>
      <c r="C139">
        <v>30.56</v>
      </c>
      <c r="D139">
        <v>18.940000000000001</v>
      </c>
      <c r="E139">
        <v>20.14</v>
      </c>
      <c r="F139">
        <v>18.010000000000002</v>
      </c>
      <c r="G139">
        <v>17.39</v>
      </c>
      <c r="H139">
        <v>24.55</v>
      </c>
      <c r="I139">
        <v>21.14</v>
      </c>
      <c r="J139">
        <v>35.31</v>
      </c>
      <c r="K139">
        <v>47.62</v>
      </c>
      <c r="L139">
        <v>63.88</v>
      </c>
      <c r="M139">
        <v>39.61</v>
      </c>
      <c r="N139">
        <v>35.1</v>
      </c>
      <c r="O139">
        <v>34.58</v>
      </c>
      <c r="P139">
        <v>35.33</v>
      </c>
      <c r="Q139">
        <v>30.1</v>
      </c>
    </row>
    <row r="140" spans="1:19" x14ac:dyDescent="0.25">
      <c r="A140" t="s">
        <v>145</v>
      </c>
      <c r="B140">
        <v>31.93</v>
      </c>
      <c r="C140">
        <v>54.27</v>
      </c>
      <c r="D140">
        <v>42.2</v>
      </c>
      <c r="E140">
        <v>44.54</v>
      </c>
      <c r="F140">
        <v>50.68</v>
      </c>
      <c r="G140">
        <v>57.08</v>
      </c>
      <c r="H140">
        <v>58.98</v>
      </c>
      <c r="I140">
        <v>65.03</v>
      </c>
      <c r="J140">
        <v>88.18</v>
      </c>
      <c r="K140">
        <v>425.33</v>
      </c>
      <c r="L140">
        <v>456.3</v>
      </c>
      <c r="M140">
        <v>153.69999999999999</v>
      </c>
      <c r="N140">
        <v>175.9</v>
      </c>
      <c r="O140">
        <v>194.58</v>
      </c>
      <c r="P140">
        <v>214.2</v>
      </c>
      <c r="Q140">
        <v>241.68</v>
      </c>
    </row>
    <row r="141" spans="1:19" x14ac:dyDescent="0.25">
      <c r="A141" t="s">
        <v>78</v>
      </c>
      <c r="B141">
        <v>11.09</v>
      </c>
      <c r="C141">
        <v>23.71</v>
      </c>
      <c r="D141">
        <v>23.25</v>
      </c>
      <c r="E141">
        <v>24.4</v>
      </c>
      <c r="F141">
        <v>32.67</v>
      </c>
      <c r="G141">
        <v>39.69</v>
      </c>
      <c r="H141">
        <v>34.43</v>
      </c>
      <c r="I141">
        <v>43.89</v>
      </c>
      <c r="J141">
        <v>52.87</v>
      </c>
      <c r="K141">
        <v>129.30000000000001</v>
      </c>
      <c r="L141">
        <v>113.66</v>
      </c>
      <c r="M141">
        <v>108.57</v>
      </c>
      <c r="N141">
        <v>140.80000000000001</v>
      </c>
      <c r="O141">
        <v>140.68</v>
      </c>
      <c r="P141">
        <v>142.54</v>
      </c>
      <c r="Q141">
        <v>139.13</v>
      </c>
      <c r="R141">
        <v>141</v>
      </c>
      <c r="S141">
        <v>141</v>
      </c>
    </row>
    <row r="142" spans="1:19" x14ac:dyDescent="0.25">
      <c r="A142" t="s">
        <v>146</v>
      </c>
      <c r="B142">
        <v>262.99</v>
      </c>
      <c r="C142">
        <v>996.44</v>
      </c>
      <c r="D142">
        <v>937.91</v>
      </c>
      <c r="E142">
        <v>899.4</v>
      </c>
      <c r="F142">
        <v>918.56</v>
      </c>
      <c r="G142" s="2">
        <v>1288.3</v>
      </c>
      <c r="H142" s="2">
        <v>1583.69</v>
      </c>
      <c r="I142" s="2">
        <v>1683.44</v>
      </c>
      <c r="J142" s="2">
        <v>1878.53</v>
      </c>
      <c r="K142" s="2">
        <v>7803.67</v>
      </c>
      <c r="L142" s="2">
        <v>6835.26</v>
      </c>
      <c r="M142" s="2">
        <v>6778.32</v>
      </c>
      <c r="N142" s="2">
        <v>6712.3</v>
      </c>
    </row>
    <row r="143" spans="1:19" x14ac:dyDescent="0.25">
      <c r="A143" t="s">
        <v>409</v>
      </c>
      <c r="B143">
        <v>186.44</v>
      </c>
      <c r="C143">
        <v>313.57</v>
      </c>
      <c r="D143">
        <v>321.3</v>
      </c>
      <c r="E143">
        <v>321.56</v>
      </c>
      <c r="F143">
        <v>359.52</v>
      </c>
      <c r="G143">
        <v>419.53</v>
      </c>
      <c r="H143">
        <v>479.54</v>
      </c>
      <c r="I143">
        <v>525.37</v>
      </c>
      <c r="J143">
        <v>654.1</v>
      </c>
      <c r="K143" s="2">
        <v>1393.34</v>
      </c>
      <c r="L143" s="2">
        <v>1468.04</v>
      </c>
      <c r="M143" s="2">
        <v>1622.93</v>
      </c>
      <c r="N143" s="2">
        <v>1636.1</v>
      </c>
      <c r="O143" s="2">
        <v>1654.25</v>
      </c>
      <c r="P143" s="2">
        <v>1675.01</v>
      </c>
      <c r="Q143" s="2">
        <v>1782.21</v>
      </c>
      <c r="R143" s="2">
        <v>2162.1</v>
      </c>
      <c r="S143" s="2">
        <v>2333.6999999999998</v>
      </c>
    </row>
    <row r="144" spans="1:19" x14ac:dyDescent="0.25">
      <c r="A144" t="s">
        <v>310</v>
      </c>
      <c r="H144">
        <v>50.16</v>
      </c>
      <c r="I144">
        <v>45.92</v>
      </c>
      <c r="J144">
        <v>66.56</v>
      </c>
      <c r="K144">
        <v>94.94</v>
      </c>
      <c r="L144">
        <v>57.99</v>
      </c>
      <c r="M144">
        <v>62.55</v>
      </c>
      <c r="N144">
        <v>90.2</v>
      </c>
    </row>
    <row r="145" spans="1:19" x14ac:dyDescent="0.25">
      <c r="A145" t="s">
        <v>311</v>
      </c>
      <c r="B145">
        <v>12.04</v>
      </c>
      <c r="C145">
        <v>5.07</v>
      </c>
      <c r="D145">
        <v>7.77</v>
      </c>
      <c r="E145">
        <v>8.02</v>
      </c>
      <c r="F145">
        <v>9.1</v>
      </c>
      <c r="G145">
        <v>10.16</v>
      </c>
      <c r="H145">
        <v>11.25</v>
      </c>
      <c r="I145">
        <v>14.52</v>
      </c>
      <c r="J145">
        <v>17.670000000000002</v>
      </c>
      <c r="K145">
        <v>28.87</v>
      </c>
      <c r="L145">
        <v>31.43</v>
      </c>
      <c r="M145">
        <v>12.46</v>
      </c>
      <c r="N145">
        <v>91.6</v>
      </c>
      <c r="O145">
        <v>115.9</v>
      </c>
      <c r="P145">
        <v>115.9</v>
      </c>
      <c r="Q145">
        <v>115.9</v>
      </c>
    </row>
    <row r="146" spans="1:19" x14ac:dyDescent="0.25">
      <c r="A146" t="s">
        <v>496</v>
      </c>
      <c r="B146">
        <v>0</v>
      </c>
      <c r="C146">
        <v>340.74</v>
      </c>
      <c r="D146">
        <v>342.11</v>
      </c>
      <c r="E146">
        <v>345.27</v>
      </c>
      <c r="F146">
        <v>359.69</v>
      </c>
      <c r="G146">
        <v>550.20000000000005</v>
      </c>
      <c r="H146">
        <v>695.04</v>
      </c>
      <c r="I146">
        <v>748.04</v>
      </c>
      <c r="J146">
        <v>793.7</v>
      </c>
      <c r="K146" s="2">
        <v>4408.33</v>
      </c>
      <c r="L146" s="2">
        <v>3945.86</v>
      </c>
      <c r="M146" s="2">
        <v>3943.57</v>
      </c>
      <c r="N146" s="2">
        <v>3946.7</v>
      </c>
      <c r="O146" s="2">
        <v>3948.43</v>
      </c>
      <c r="P146" s="2">
        <v>3948.43</v>
      </c>
      <c r="Q146" s="2">
        <v>3947.95</v>
      </c>
      <c r="R146" s="2">
        <v>3947</v>
      </c>
      <c r="S146" s="2">
        <v>3947</v>
      </c>
    </row>
    <row r="147" spans="1:19" x14ac:dyDescent="0.25">
      <c r="A147" t="s">
        <v>497</v>
      </c>
      <c r="B147">
        <v>43.51</v>
      </c>
      <c r="C147">
        <v>308.55</v>
      </c>
      <c r="D147">
        <v>258.94</v>
      </c>
      <c r="E147">
        <v>217.55</v>
      </c>
      <c r="F147">
        <v>182.43</v>
      </c>
      <c r="G147">
        <v>295.69</v>
      </c>
      <c r="H147">
        <v>333.95</v>
      </c>
      <c r="I147">
        <v>337.63</v>
      </c>
      <c r="J147">
        <v>335.11</v>
      </c>
      <c r="K147" s="2">
        <v>1841.96</v>
      </c>
      <c r="L147" s="2">
        <v>1281.97</v>
      </c>
      <c r="M147" s="2">
        <v>1091.75</v>
      </c>
      <c r="N147">
        <v>906.9</v>
      </c>
      <c r="O147">
        <v>794.96</v>
      </c>
      <c r="P147">
        <v>718.16</v>
      </c>
      <c r="Q147">
        <v>678.8</v>
      </c>
      <c r="R147">
        <v>907</v>
      </c>
      <c r="S147">
        <v>907</v>
      </c>
    </row>
    <row r="148" spans="1:19" x14ac:dyDescent="0.25">
      <c r="A148" t="s">
        <v>78</v>
      </c>
      <c r="B148">
        <v>21</v>
      </c>
      <c r="C148">
        <v>28.5</v>
      </c>
      <c r="D148">
        <v>7.79</v>
      </c>
      <c r="E148">
        <v>7</v>
      </c>
      <c r="F148">
        <v>7.82</v>
      </c>
      <c r="G148">
        <v>12.72</v>
      </c>
      <c r="H148">
        <v>13.74</v>
      </c>
      <c r="I148">
        <v>11.96</v>
      </c>
      <c r="J148">
        <v>11.38</v>
      </c>
      <c r="K148">
        <v>36.24</v>
      </c>
      <c r="L148">
        <v>27.56</v>
      </c>
      <c r="M148">
        <v>24.14</v>
      </c>
      <c r="N148">
        <v>22.3</v>
      </c>
      <c r="O148">
        <v>15.3</v>
      </c>
      <c r="P148">
        <v>15.3</v>
      </c>
      <c r="Q148">
        <v>15.3</v>
      </c>
    </row>
    <row r="149" spans="1:19" x14ac:dyDescent="0.25">
      <c r="A149" t="s">
        <v>155</v>
      </c>
      <c r="B149">
        <v>875.29</v>
      </c>
      <c r="C149" s="2">
        <v>1762.09</v>
      </c>
      <c r="D149" s="2">
        <v>1646.7</v>
      </c>
      <c r="E149" s="2">
        <v>1699.53</v>
      </c>
      <c r="F149" s="2">
        <v>1976.17</v>
      </c>
      <c r="G149" s="2">
        <v>2317.64</v>
      </c>
      <c r="H149" s="2">
        <v>2516.09</v>
      </c>
      <c r="I149" s="2">
        <v>2917.7</v>
      </c>
      <c r="J149" s="2">
        <v>3191.9</v>
      </c>
      <c r="K149" s="2">
        <v>10138.86</v>
      </c>
      <c r="L149" s="2">
        <v>8812.59</v>
      </c>
      <c r="M149" s="2">
        <v>8394.6200000000008</v>
      </c>
      <c r="N149" s="2">
        <v>8350.5</v>
      </c>
      <c r="O149" s="2">
        <v>8536.23</v>
      </c>
      <c r="P149" s="2">
        <v>8887.5499999999993</v>
      </c>
      <c r="Q149" s="2">
        <v>9244.2199999999993</v>
      </c>
      <c r="R149" s="2">
        <v>9283.07</v>
      </c>
      <c r="S149" s="2">
        <v>9667.8700000000008</v>
      </c>
    </row>
    <row r="150" spans="1:19" x14ac:dyDescent="0.25">
      <c r="A150" t="s">
        <v>17</v>
      </c>
    </row>
    <row r="151" spans="1:19" x14ac:dyDescent="0.25">
      <c r="A151" t="s">
        <v>2605</v>
      </c>
    </row>
    <row r="152" spans="1:19" x14ac:dyDescent="0.25">
      <c r="A152" t="s">
        <v>157</v>
      </c>
      <c r="B152">
        <v>97.59</v>
      </c>
      <c r="C152">
        <v>262.52</v>
      </c>
      <c r="D152">
        <v>175.55</v>
      </c>
      <c r="E152">
        <v>261.57</v>
      </c>
      <c r="F152">
        <v>290.97000000000003</v>
      </c>
      <c r="G152">
        <v>269.67</v>
      </c>
      <c r="H152">
        <v>264.43</v>
      </c>
      <c r="I152">
        <v>302.63</v>
      </c>
      <c r="J152">
        <v>379</v>
      </c>
      <c r="K152">
        <v>761.93</v>
      </c>
      <c r="L152">
        <v>514</v>
      </c>
      <c r="M152">
        <v>525.17999999999995</v>
      </c>
      <c r="N152">
        <v>488.6</v>
      </c>
      <c r="O152">
        <v>547.04999999999995</v>
      </c>
      <c r="P152">
        <v>576.08000000000004</v>
      </c>
      <c r="Q152">
        <v>602.49</v>
      </c>
    </row>
    <row r="153" spans="1:19" x14ac:dyDescent="0.25">
      <c r="A153" t="s">
        <v>158</v>
      </c>
      <c r="B153">
        <v>38.4</v>
      </c>
      <c r="C153">
        <v>57.42</v>
      </c>
      <c r="D153">
        <v>36.92</v>
      </c>
      <c r="E153">
        <v>61.62</v>
      </c>
      <c r="F153">
        <v>68.760000000000005</v>
      </c>
      <c r="G153">
        <v>93.06</v>
      </c>
      <c r="H153">
        <v>84.21</v>
      </c>
      <c r="I153">
        <v>81.62</v>
      </c>
      <c r="J153">
        <v>130.72999999999999</v>
      </c>
      <c r="K153">
        <v>172.49</v>
      </c>
      <c r="L153">
        <v>134.21</v>
      </c>
      <c r="M153">
        <v>193.26</v>
      </c>
      <c r="N153">
        <v>171.5</v>
      </c>
      <c r="O153">
        <v>197.72</v>
      </c>
      <c r="P153">
        <v>214.01</v>
      </c>
      <c r="Q153">
        <v>218.64</v>
      </c>
    </row>
    <row r="154" spans="1:19" x14ac:dyDescent="0.25">
      <c r="A154" t="s">
        <v>608</v>
      </c>
      <c r="B154">
        <v>10.37</v>
      </c>
      <c r="C154">
        <v>13.55</v>
      </c>
      <c r="D154">
        <v>12.78</v>
      </c>
      <c r="E154">
        <v>16.420000000000002</v>
      </c>
      <c r="F154">
        <v>22.84</v>
      </c>
      <c r="G154">
        <v>31.59</v>
      </c>
      <c r="H154">
        <v>26.11</v>
      </c>
      <c r="I154">
        <v>44</v>
      </c>
      <c r="J154">
        <v>49.14</v>
      </c>
      <c r="K154">
        <v>98.06</v>
      </c>
      <c r="L154">
        <v>77.400000000000006</v>
      </c>
      <c r="M154">
        <v>80.53</v>
      </c>
      <c r="N154">
        <v>82.4</v>
      </c>
      <c r="O154">
        <v>67.3</v>
      </c>
      <c r="P154">
        <v>67.3</v>
      </c>
      <c r="Q154">
        <v>67.3</v>
      </c>
    </row>
    <row r="155" spans="1:19" x14ac:dyDescent="0.25">
      <c r="A155" t="s">
        <v>694</v>
      </c>
      <c r="C155">
        <v>100</v>
      </c>
      <c r="D155">
        <v>50</v>
      </c>
      <c r="E155">
        <v>100</v>
      </c>
      <c r="F155">
        <v>100</v>
      </c>
      <c r="G155">
        <v>4</v>
      </c>
      <c r="H155">
        <v>4</v>
      </c>
      <c r="I155">
        <v>0</v>
      </c>
      <c r="J155">
        <v>0</v>
      </c>
      <c r="K155">
        <v>151.97</v>
      </c>
      <c r="L155">
        <v>0</v>
      </c>
      <c r="O155">
        <v>0</v>
      </c>
      <c r="P155">
        <v>0</v>
      </c>
    </row>
    <row r="156" spans="1:19" x14ac:dyDescent="0.25">
      <c r="A156" t="s">
        <v>608</v>
      </c>
      <c r="B156">
        <v>0</v>
      </c>
      <c r="C156">
        <v>0</v>
      </c>
      <c r="D156">
        <v>12.78</v>
      </c>
      <c r="E156">
        <v>16.420000000000002</v>
      </c>
      <c r="F156">
        <v>22.84</v>
      </c>
      <c r="G156">
        <v>31.59</v>
      </c>
      <c r="H156">
        <v>26.11</v>
      </c>
      <c r="I156">
        <v>44</v>
      </c>
      <c r="J156">
        <v>49.14</v>
      </c>
      <c r="K156">
        <v>98.06</v>
      </c>
      <c r="L156">
        <v>77.400000000000006</v>
      </c>
      <c r="M156">
        <v>80.53</v>
      </c>
      <c r="N156">
        <v>82.4</v>
      </c>
      <c r="O156">
        <v>57.65</v>
      </c>
      <c r="P156">
        <v>59.15</v>
      </c>
    </row>
    <row r="157" spans="1:19" x14ac:dyDescent="0.25">
      <c r="A157" t="s">
        <v>201</v>
      </c>
      <c r="B157">
        <v>18.7</v>
      </c>
      <c r="C157">
        <v>40.39</v>
      </c>
      <c r="D157">
        <v>33.97</v>
      </c>
      <c r="E157">
        <v>29.21</v>
      </c>
      <c r="F157">
        <v>99.37</v>
      </c>
      <c r="G157">
        <v>141.02000000000001</v>
      </c>
      <c r="H157">
        <v>150.12</v>
      </c>
      <c r="I157">
        <v>177.01</v>
      </c>
      <c r="J157">
        <v>199.13</v>
      </c>
      <c r="K157">
        <v>328.78</v>
      </c>
      <c r="L157">
        <v>283.16000000000003</v>
      </c>
      <c r="M157">
        <v>250.17</v>
      </c>
      <c r="N157">
        <v>234.7</v>
      </c>
      <c r="O157">
        <v>286.91000000000003</v>
      </c>
      <c r="P157">
        <v>300</v>
      </c>
      <c r="Q157">
        <v>325.02</v>
      </c>
    </row>
    <row r="158" spans="1:19" x14ac:dyDescent="0.25">
      <c r="A158" t="s">
        <v>164</v>
      </c>
      <c r="B158">
        <v>20.87</v>
      </c>
      <c r="C158">
        <v>751.13</v>
      </c>
      <c r="D158">
        <v>668.26</v>
      </c>
      <c r="E158">
        <v>538.74</v>
      </c>
      <c r="F158">
        <v>692.18</v>
      </c>
      <c r="G158" s="2">
        <v>1035.95</v>
      </c>
      <c r="H158" s="2">
        <v>1085.76</v>
      </c>
      <c r="I158" s="2">
        <v>1235.58</v>
      </c>
      <c r="J158" s="2">
        <v>1099.1099999999999</v>
      </c>
      <c r="K158" s="2">
        <v>6158.93</v>
      </c>
      <c r="L158" s="2">
        <v>4890</v>
      </c>
      <c r="M158" s="2">
        <v>4177.9399999999996</v>
      </c>
      <c r="N158" s="2">
        <v>3908.5</v>
      </c>
      <c r="O158">
        <v>191.06</v>
      </c>
      <c r="P158">
        <v>204.9</v>
      </c>
      <c r="Q158">
        <v>115.27</v>
      </c>
      <c r="R158">
        <v>112</v>
      </c>
      <c r="S158">
        <v>112</v>
      </c>
    </row>
    <row r="159" spans="1:19" x14ac:dyDescent="0.25">
      <c r="A159" t="s">
        <v>315</v>
      </c>
      <c r="B159">
        <v>0</v>
      </c>
      <c r="C159">
        <v>666.8</v>
      </c>
      <c r="D159">
        <v>606.04</v>
      </c>
      <c r="E159">
        <v>484.68</v>
      </c>
      <c r="F159">
        <v>574.38</v>
      </c>
      <c r="G159">
        <v>934.86</v>
      </c>
      <c r="H159">
        <v>932.48</v>
      </c>
      <c r="I159" s="2">
        <v>1085.78</v>
      </c>
      <c r="J159">
        <v>937.03</v>
      </c>
      <c r="K159" s="2">
        <v>5632.93</v>
      </c>
      <c r="L159" s="2">
        <v>4577.1400000000003</v>
      </c>
      <c r="M159" s="2">
        <v>3981.11</v>
      </c>
      <c r="N159" s="2">
        <v>3697.6</v>
      </c>
      <c r="O159" s="2">
        <v>3366</v>
      </c>
      <c r="P159" s="2">
        <v>3130</v>
      </c>
      <c r="Q159" s="2">
        <v>2939.33</v>
      </c>
      <c r="R159" s="2">
        <v>3456</v>
      </c>
      <c r="S159" s="2">
        <v>3456</v>
      </c>
    </row>
    <row r="160" spans="1:19" x14ac:dyDescent="0.25">
      <c r="A160" t="s">
        <v>544</v>
      </c>
      <c r="H160">
        <v>43.83</v>
      </c>
      <c r="I160">
        <v>39.729999999999997</v>
      </c>
      <c r="J160">
        <v>60.1</v>
      </c>
      <c r="K160">
        <v>80.72</v>
      </c>
      <c r="L160">
        <v>68.989999999999995</v>
      </c>
      <c r="M160">
        <v>72.16</v>
      </c>
      <c r="N160">
        <v>98.6</v>
      </c>
      <c r="O160">
        <v>104</v>
      </c>
      <c r="P160">
        <v>104</v>
      </c>
      <c r="Q160">
        <v>104</v>
      </c>
    </row>
    <row r="161" spans="1:19" x14ac:dyDescent="0.25">
      <c r="A161" t="s">
        <v>414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9" x14ac:dyDescent="0.25">
      <c r="A162" t="s">
        <v>78</v>
      </c>
      <c r="B162">
        <v>20.87</v>
      </c>
      <c r="C162">
        <v>84.33</v>
      </c>
      <c r="D162">
        <v>62.22</v>
      </c>
      <c r="E162">
        <v>54.07</v>
      </c>
      <c r="F162">
        <v>117.8</v>
      </c>
      <c r="G162">
        <v>101.09</v>
      </c>
      <c r="H162">
        <v>109.45</v>
      </c>
      <c r="I162">
        <v>110.06</v>
      </c>
      <c r="J162">
        <v>101.99</v>
      </c>
      <c r="K162">
        <v>445.28</v>
      </c>
      <c r="L162">
        <v>243.88</v>
      </c>
      <c r="M162">
        <v>124.67</v>
      </c>
      <c r="N162">
        <v>112.3</v>
      </c>
      <c r="O162">
        <v>191.06</v>
      </c>
      <c r="P162">
        <v>204.9</v>
      </c>
      <c r="Q162">
        <v>115.27</v>
      </c>
      <c r="R162">
        <v>112</v>
      </c>
      <c r="S162">
        <v>112</v>
      </c>
    </row>
    <row r="163" spans="1:19" x14ac:dyDescent="0.25">
      <c r="A163" t="s">
        <v>167</v>
      </c>
      <c r="B163">
        <v>118.45</v>
      </c>
      <c r="C163" s="2">
        <v>1013.65</v>
      </c>
      <c r="D163">
        <v>843.81</v>
      </c>
      <c r="E163">
        <v>800.31</v>
      </c>
      <c r="F163">
        <v>983.15</v>
      </c>
      <c r="G163" s="2">
        <v>1305.6199999999999</v>
      </c>
      <c r="H163" s="2">
        <v>1350.2</v>
      </c>
      <c r="I163" s="2">
        <v>1538.2</v>
      </c>
      <c r="J163" s="2">
        <v>1478.12</v>
      </c>
      <c r="K163" s="2">
        <v>6920.86</v>
      </c>
      <c r="L163" s="2">
        <v>5404</v>
      </c>
      <c r="M163" s="2">
        <v>4703.12</v>
      </c>
      <c r="N163" s="2">
        <v>4397.1000000000004</v>
      </c>
      <c r="O163" s="2">
        <v>4148.57</v>
      </c>
      <c r="P163" s="2">
        <v>3906.18</v>
      </c>
      <c r="Q163" s="2">
        <v>3565.3</v>
      </c>
      <c r="R163" s="2">
        <v>3686</v>
      </c>
      <c r="S163" s="2">
        <v>3494</v>
      </c>
    </row>
    <row r="164" spans="1:19" x14ac:dyDescent="0.25">
      <c r="A164" t="s">
        <v>170</v>
      </c>
      <c r="B164">
        <v>756.84</v>
      </c>
      <c r="C164">
        <v>748.44</v>
      </c>
      <c r="D164">
        <v>802.88</v>
      </c>
      <c r="E164">
        <v>899.22</v>
      </c>
      <c r="F164">
        <v>993.02</v>
      </c>
      <c r="G164" s="2">
        <v>1012.03</v>
      </c>
      <c r="H164" s="2">
        <v>1165.8900000000001</v>
      </c>
      <c r="I164" s="2">
        <v>1379.49</v>
      </c>
      <c r="J164" s="2">
        <v>1713.78</v>
      </c>
      <c r="K164" s="2">
        <v>3218</v>
      </c>
      <c r="L164" s="2">
        <v>3408.59</v>
      </c>
      <c r="M164" s="2">
        <v>3691.5</v>
      </c>
      <c r="N164" s="2">
        <v>3953.4</v>
      </c>
      <c r="O164" s="2">
        <v>4421.75</v>
      </c>
      <c r="P164" s="2">
        <v>5029.38</v>
      </c>
      <c r="Q164" s="2">
        <v>5706.17</v>
      </c>
      <c r="R164" s="2">
        <v>6315.5</v>
      </c>
      <c r="S164" s="2">
        <v>7240</v>
      </c>
    </row>
    <row r="165" spans="1:19" x14ac:dyDescent="0.25">
      <c r="A165" t="s">
        <v>326</v>
      </c>
      <c r="B165">
        <v>875.29</v>
      </c>
      <c r="C165" s="2">
        <v>1762.09</v>
      </c>
      <c r="D165" s="2">
        <v>1646.7</v>
      </c>
      <c r="E165" s="2">
        <v>1699.53</v>
      </c>
      <c r="F165" s="2">
        <v>1976.17</v>
      </c>
      <c r="G165" s="2">
        <v>2317.64</v>
      </c>
      <c r="H165" s="2">
        <v>2516.09</v>
      </c>
      <c r="I165" s="2">
        <v>2917.7</v>
      </c>
      <c r="J165" s="2">
        <v>3191.9</v>
      </c>
      <c r="K165" s="2">
        <v>10138.86</v>
      </c>
      <c r="L165" s="2">
        <v>8812.59</v>
      </c>
      <c r="M165" s="2">
        <v>8394.6200000000008</v>
      </c>
      <c r="N165" s="2">
        <v>8350.5</v>
      </c>
      <c r="O165" s="2">
        <v>8536.23</v>
      </c>
      <c r="P165" s="2">
        <v>8887.5499999999993</v>
      </c>
      <c r="Q165" s="2">
        <v>9244.2199999999993</v>
      </c>
      <c r="R165" s="2">
        <v>9283.07</v>
      </c>
      <c r="S165" s="2">
        <v>9667.8700000000008</v>
      </c>
    </row>
    <row r="166" spans="1:19" x14ac:dyDescent="0.25">
      <c r="A166" t="s">
        <v>17</v>
      </c>
    </row>
    <row r="167" spans="1:19" x14ac:dyDescent="0.25">
      <c r="A167" t="s">
        <v>176</v>
      </c>
    </row>
    <row r="168" spans="1:19" x14ac:dyDescent="0.25">
      <c r="A168" t="s">
        <v>609</v>
      </c>
      <c r="D168">
        <v>667.29</v>
      </c>
      <c r="E168">
        <v>584.67999999999995</v>
      </c>
      <c r="F168">
        <v>574.38</v>
      </c>
      <c r="G168">
        <v>934.86</v>
      </c>
      <c r="H168">
        <v>932.48</v>
      </c>
      <c r="I168" s="2">
        <v>1085.78</v>
      </c>
      <c r="J168">
        <v>945</v>
      </c>
      <c r="K168" s="2">
        <v>5925</v>
      </c>
      <c r="L168" s="2">
        <v>4668.7700000000004</v>
      </c>
      <c r="M168" s="2">
        <v>4045</v>
      </c>
      <c r="N168" s="2">
        <v>3745</v>
      </c>
      <c r="O168" s="2">
        <v>3256</v>
      </c>
      <c r="P168" s="2">
        <v>2906</v>
      </c>
      <c r="Q168" s="2">
        <v>2556</v>
      </c>
    </row>
    <row r="169" spans="1:19" x14ac:dyDescent="0.25">
      <c r="A169" t="s">
        <v>505</v>
      </c>
      <c r="B169">
        <v>-384.43</v>
      </c>
      <c r="C169">
        <v>372.5</v>
      </c>
      <c r="D169">
        <v>304.04000000000002</v>
      </c>
      <c r="E169">
        <v>178.29</v>
      </c>
      <c r="F169">
        <v>48.97</v>
      </c>
      <c r="G169">
        <v>456.8</v>
      </c>
      <c r="H169">
        <v>638.42999999999995</v>
      </c>
      <c r="I169">
        <v>554.58000000000004</v>
      </c>
      <c r="J169">
        <v>605.20000000000005</v>
      </c>
      <c r="K169" s="2">
        <v>5323.08</v>
      </c>
      <c r="L169" s="2">
        <v>4203.67</v>
      </c>
      <c r="M169" s="2">
        <v>3737.84</v>
      </c>
      <c r="N169" s="2">
        <v>3449.6</v>
      </c>
      <c r="O169" s="2">
        <v>2847.42</v>
      </c>
      <c r="P169" s="2">
        <v>2233.6999999999998</v>
      </c>
      <c r="Q169" s="2">
        <v>1439.12</v>
      </c>
      <c r="R169">
        <v>566.70000000000005</v>
      </c>
      <c r="S169">
        <v>-511.1</v>
      </c>
    </row>
    <row r="170" spans="1:19" x14ac:dyDescent="0.25">
      <c r="A170" t="s">
        <v>178</v>
      </c>
    </row>
    <row r="171" spans="1:19" x14ac:dyDescent="0.25">
      <c r="A171" t="s">
        <v>179</v>
      </c>
      <c r="B171">
        <v>9.15</v>
      </c>
      <c r="C171">
        <v>5.49</v>
      </c>
      <c r="D171">
        <v>7.32</v>
      </c>
      <c r="E171">
        <v>7.82</v>
      </c>
      <c r="F171">
        <v>10.44</v>
      </c>
      <c r="G171">
        <v>11.64</v>
      </c>
      <c r="H171">
        <v>10.5</v>
      </c>
      <c r="I171">
        <v>11.85</v>
      </c>
      <c r="J171">
        <v>14.71</v>
      </c>
      <c r="K171">
        <v>5.27</v>
      </c>
      <c r="L171">
        <v>4.53</v>
      </c>
      <c r="M171">
        <v>5.43</v>
      </c>
      <c r="N171">
        <v>5.01</v>
      </c>
      <c r="O171">
        <v>7.27</v>
      </c>
      <c r="P171">
        <v>8.98</v>
      </c>
      <c r="Q171">
        <v>12.01</v>
      </c>
    </row>
    <row r="172" spans="1:19" x14ac:dyDescent="0.25">
      <c r="A172" t="s">
        <v>180</v>
      </c>
      <c r="B172">
        <v>10.27</v>
      </c>
      <c r="C172">
        <v>1.05</v>
      </c>
      <c r="D172">
        <v>10.35</v>
      </c>
      <c r="E172">
        <v>11.41</v>
      </c>
      <c r="F172">
        <v>8.99</v>
      </c>
      <c r="G172">
        <v>24.01</v>
      </c>
      <c r="H172">
        <v>23.4</v>
      </c>
      <c r="I172">
        <v>23.18</v>
      </c>
      <c r="J172">
        <v>26.45</v>
      </c>
      <c r="K172">
        <v>8.4700000000000006</v>
      </c>
      <c r="L172">
        <v>5.45</v>
      </c>
      <c r="M172">
        <v>8.25</v>
      </c>
      <c r="N172">
        <v>6.16</v>
      </c>
      <c r="O172">
        <v>14.45</v>
      </c>
      <c r="P172">
        <v>16.11</v>
      </c>
      <c r="Q172">
        <v>16.84</v>
      </c>
      <c r="R172">
        <v>14.7</v>
      </c>
      <c r="S172">
        <v>15.5</v>
      </c>
    </row>
    <row r="173" spans="1:19" x14ac:dyDescent="0.25">
      <c r="A173" t="s">
        <v>611</v>
      </c>
      <c r="B173">
        <v>51.55</v>
      </c>
      <c r="C173">
        <v>48.53</v>
      </c>
      <c r="D173">
        <v>49.86</v>
      </c>
      <c r="E173">
        <v>47.82</v>
      </c>
      <c r="F173">
        <v>47.46</v>
      </c>
      <c r="G173">
        <v>47.73</v>
      </c>
      <c r="H173">
        <v>52.36</v>
      </c>
      <c r="I173">
        <v>49.09</v>
      </c>
      <c r="J173">
        <v>48.57</v>
      </c>
      <c r="K173">
        <v>49.09</v>
      </c>
      <c r="L173">
        <v>51.4</v>
      </c>
      <c r="M173">
        <v>53.77</v>
      </c>
      <c r="N173">
        <v>54.47</v>
      </c>
      <c r="O173">
        <v>52.84</v>
      </c>
      <c r="P173">
        <v>55.45</v>
      </c>
      <c r="Q173">
        <v>54.77</v>
      </c>
    </row>
    <row r="174" spans="1:19" x14ac:dyDescent="0.25">
      <c r="A174" t="s">
        <v>506</v>
      </c>
      <c r="B174">
        <v>86</v>
      </c>
      <c r="C174">
        <v>101.71</v>
      </c>
      <c r="D174">
        <v>103.47</v>
      </c>
      <c r="E174">
        <v>100.77</v>
      </c>
      <c r="F174">
        <v>98.57</v>
      </c>
      <c r="G174">
        <v>117.82</v>
      </c>
      <c r="H174">
        <v>119.16</v>
      </c>
      <c r="I174">
        <v>117.44</v>
      </c>
      <c r="J174">
        <v>139.97</v>
      </c>
      <c r="K174">
        <v>157.34</v>
      </c>
      <c r="L174">
        <v>109.35</v>
      </c>
      <c r="M174">
        <v>133.11000000000001</v>
      </c>
      <c r="N174">
        <v>132.13999999999999</v>
      </c>
      <c r="O174">
        <v>137.47</v>
      </c>
      <c r="P174">
        <v>134.19</v>
      </c>
      <c r="Q174">
        <v>131.4</v>
      </c>
      <c r="R174">
        <v>122.31</v>
      </c>
      <c r="S174">
        <v>122.27</v>
      </c>
    </row>
    <row r="175" spans="1:19" x14ac:dyDescent="0.25">
      <c r="A175" t="s">
        <v>621</v>
      </c>
      <c r="B175">
        <v>4.13</v>
      </c>
      <c r="C175">
        <v>4.55</v>
      </c>
      <c r="D175">
        <v>3.63</v>
      </c>
      <c r="E175">
        <v>3.74</v>
      </c>
      <c r="F175">
        <v>3.84</v>
      </c>
      <c r="G175">
        <v>3.56</v>
      </c>
      <c r="H175">
        <v>3.17</v>
      </c>
      <c r="I175">
        <v>3.3</v>
      </c>
      <c r="J175">
        <v>3.1</v>
      </c>
      <c r="K175">
        <v>2.93</v>
      </c>
      <c r="L175">
        <v>2.85</v>
      </c>
      <c r="M175">
        <v>2.82</v>
      </c>
      <c r="N175">
        <v>2.77</v>
      </c>
      <c r="O175">
        <v>3.04</v>
      </c>
      <c r="P175">
        <v>3.3</v>
      </c>
      <c r="Q175">
        <v>3.06</v>
      </c>
      <c r="R175">
        <v>2.97</v>
      </c>
      <c r="S175">
        <v>3.09</v>
      </c>
    </row>
    <row r="176" spans="1:19" x14ac:dyDescent="0.25">
      <c r="A176" t="s">
        <v>424</v>
      </c>
      <c r="B176">
        <v>5.42</v>
      </c>
      <c r="C176">
        <v>5.34</v>
      </c>
      <c r="D176">
        <v>5.69</v>
      </c>
      <c r="E176">
        <v>6.33</v>
      </c>
      <c r="F176">
        <v>6.92</v>
      </c>
      <c r="G176">
        <v>7.1</v>
      </c>
      <c r="H176">
        <v>8.5399999999999991</v>
      </c>
      <c r="I176">
        <v>10.119999999999999</v>
      </c>
      <c r="J176">
        <v>12.55</v>
      </c>
      <c r="K176">
        <v>22.48</v>
      </c>
      <c r="L176">
        <v>22.58</v>
      </c>
      <c r="M176">
        <v>24.31</v>
      </c>
      <c r="N176">
        <v>25.98</v>
      </c>
      <c r="O176">
        <v>28.89</v>
      </c>
      <c r="P176">
        <v>33.22</v>
      </c>
      <c r="Q176">
        <v>37.909999999999997</v>
      </c>
    </row>
    <row r="177" spans="1:19" x14ac:dyDescent="0.25">
      <c r="A177" t="s">
        <v>186</v>
      </c>
      <c r="B177">
        <v>6.27</v>
      </c>
      <c r="C177">
        <v>2.92</v>
      </c>
      <c r="D177">
        <v>4.04</v>
      </c>
      <c r="E177">
        <v>3.06</v>
      </c>
      <c r="F177">
        <v>3.63</v>
      </c>
      <c r="G177">
        <v>3.82</v>
      </c>
      <c r="H177">
        <v>3.53</v>
      </c>
      <c r="I177">
        <v>4.08</v>
      </c>
      <c r="J177">
        <v>3.47</v>
      </c>
      <c r="K177">
        <v>3.06</v>
      </c>
      <c r="L177">
        <v>3.85</v>
      </c>
      <c r="M177">
        <v>3.08</v>
      </c>
      <c r="N177">
        <v>3.35</v>
      </c>
      <c r="O177">
        <v>3.37</v>
      </c>
      <c r="P177">
        <v>3.97</v>
      </c>
      <c r="Q177">
        <v>4.84</v>
      </c>
    </row>
    <row r="178" spans="1:19" x14ac:dyDescent="0.25">
      <c r="A178" t="s">
        <v>757</v>
      </c>
      <c r="B178">
        <v>4.9800000000000004</v>
      </c>
      <c r="C178">
        <v>2.09</v>
      </c>
      <c r="D178">
        <v>2.81</v>
      </c>
      <c r="E178">
        <v>2.19</v>
      </c>
      <c r="F178">
        <v>2.78</v>
      </c>
      <c r="G178">
        <v>2.61</v>
      </c>
      <c r="H178">
        <v>2.2200000000000002</v>
      </c>
      <c r="I178">
        <v>2.79</v>
      </c>
      <c r="J178">
        <v>1.98</v>
      </c>
      <c r="K178">
        <v>1.44</v>
      </c>
      <c r="L178">
        <v>1.78</v>
      </c>
      <c r="M178">
        <v>1.57</v>
      </c>
      <c r="N178">
        <v>1.68</v>
      </c>
      <c r="O178">
        <v>1.82</v>
      </c>
      <c r="P178">
        <v>2.41</v>
      </c>
      <c r="Q178">
        <v>3.36</v>
      </c>
    </row>
    <row r="179" spans="1:19" x14ac:dyDescent="0.25">
      <c r="A179" t="s">
        <v>333</v>
      </c>
      <c r="B179">
        <v>514.72</v>
      </c>
      <c r="C179">
        <v>503.14</v>
      </c>
      <c r="D179">
        <v>533.24</v>
      </c>
      <c r="E179">
        <v>538.55999999999995</v>
      </c>
      <c r="F179">
        <v>766.64</v>
      </c>
      <c r="G179">
        <v>759.67</v>
      </c>
      <c r="H179">
        <v>667.96</v>
      </c>
      <c r="I179">
        <v>931.63</v>
      </c>
      <c r="J179">
        <v>934.37</v>
      </c>
      <c r="K179" s="2">
        <v>1573.25</v>
      </c>
      <c r="L179" s="2">
        <v>1463.33</v>
      </c>
      <c r="M179" s="2">
        <v>1091.1300000000001</v>
      </c>
      <c r="N179" s="2">
        <v>1149.5999999999999</v>
      </c>
      <c r="O179" s="2">
        <v>1222.51</v>
      </c>
      <c r="P179" s="2">
        <v>1435.49</v>
      </c>
      <c r="Q179" s="2">
        <v>2430.29</v>
      </c>
    </row>
    <row r="180" spans="1:19" x14ac:dyDescent="0.25">
      <c r="A180" t="s">
        <v>17</v>
      </c>
    </row>
    <row r="181" spans="1:19" x14ac:dyDescent="0.25">
      <c r="A181" t="s">
        <v>188</v>
      </c>
    </row>
    <row r="182" spans="1:19" x14ac:dyDescent="0.25">
      <c r="A182" t="s">
        <v>189</v>
      </c>
    </row>
    <row r="183" spans="1:19" x14ac:dyDescent="0.25">
      <c r="A183" t="s">
        <v>121</v>
      </c>
      <c r="B183">
        <v>77.040000000000006</v>
      </c>
      <c r="C183">
        <v>7.89</v>
      </c>
      <c r="D183">
        <v>80.3</v>
      </c>
      <c r="E183">
        <v>97.15</v>
      </c>
      <c r="F183">
        <v>85.07</v>
      </c>
      <c r="G183">
        <v>240.76</v>
      </c>
      <c r="H183">
        <v>254.86</v>
      </c>
      <c r="I183">
        <v>294.97000000000003</v>
      </c>
      <c r="J183">
        <v>409.13</v>
      </c>
      <c r="K183">
        <v>208.92</v>
      </c>
      <c r="L183">
        <v>180.67</v>
      </c>
      <c r="M183">
        <v>292.79000000000002</v>
      </c>
      <c r="N183">
        <v>235.6</v>
      </c>
      <c r="O183">
        <v>432.17</v>
      </c>
      <c r="P183">
        <v>626</v>
      </c>
      <c r="Q183">
        <v>838.4</v>
      </c>
      <c r="R183">
        <v>722</v>
      </c>
      <c r="S183">
        <v>851</v>
      </c>
    </row>
    <row r="184" spans="1:19" x14ac:dyDescent="0.25">
      <c r="A184" t="s">
        <v>190</v>
      </c>
      <c r="B184">
        <v>38.82</v>
      </c>
      <c r="C184">
        <v>83.7</v>
      </c>
      <c r="D184">
        <v>101.65</v>
      </c>
      <c r="E184">
        <v>99.89</v>
      </c>
      <c r="F184">
        <v>102.23</v>
      </c>
      <c r="G184">
        <v>127.27</v>
      </c>
      <c r="H184">
        <v>141.4</v>
      </c>
      <c r="I184">
        <v>136.52000000000001</v>
      </c>
      <c r="J184">
        <v>138.16999999999999</v>
      </c>
      <c r="K184">
        <v>279.32</v>
      </c>
      <c r="L184">
        <v>387.16</v>
      </c>
      <c r="M184">
        <v>378.24</v>
      </c>
      <c r="N184">
        <v>389.7</v>
      </c>
      <c r="O184">
        <v>232.48</v>
      </c>
      <c r="P184">
        <v>326</v>
      </c>
      <c r="Q184">
        <v>364.08</v>
      </c>
      <c r="R184">
        <v>380.55</v>
      </c>
      <c r="S184">
        <v>393.6</v>
      </c>
    </row>
    <row r="185" spans="1:19" x14ac:dyDescent="0.25">
      <c r="A185" t="s">
        <v>191</v>
      </c>
      <c r="B185">
        <v>29.47</v>
      </c>
      <c r="C185">
        <v>46.64</v>
      </c>
      <c r="D185">
        <v>54.31</v>
      </c>
      <c r="E185">
        <v>55.62</v>
      </c>
      <c r="F185">
        <v>58.21</v>
      </c>
      <c r="G185">
        <v>65.12</v>
      </c>
      <c r="H185">
        <v>74.98</v>
      </c>
      <c r="I185">
        <v>83.43</v>
      </c>
      <c r="J185">
        <v>90.31</v>
      </c>
      <c r="K185">
        <v>135.37</v>
      </c>
      <c r="L185">
        <v>172.68</v>
      </c>
      <c r="M185">
        <v>188.12</v>
      </c>
      <c r="N185">
        <v>205.3</v>
      </c>
      <c r="O185">
        <v>144.54</v>
      </c>
      <c r="P185">
        <v>158.88999999999999</v>
      </c>
      <c r="Q185">
        <v>178.73</v>
      </c>
      <c r="R185">
        <v>218.55</v>
      </c>
      <c r="S185">
        <v>230.6</v>
      </c>
    </row>
    <row r="186" spans="1:19" x14ac:dyDescent="0.25">
      <c r="A186" t="s">
        <v>192</v>
      </c>
      <c r="B186">
        <v>9.35</v>
      </c>
      <c r="C186">
        <v>37.07</v>
      </c>
      <c r="D186">
        <v>47.35</v>
      </c>
      <c r="E186">
        <v>44.26</v>
      </c>
      <c r="F186">
        <v>44.02</v>
      </c>
      <c r="G186">
        <v>62.15</v>
      </c>
      <c r="H186">
        <v>66.430000000000007</v>
      </c>
      <c r="I186">
        <v>53.09</v>
      </c>
      <c r="J186">
        <v>47.86</v>
      </c>
      <c r="K186">
        <v>143.94999999999999</v>
      </c>
      <c r="L186">
        <v>214.48</v>
      </c>
      <c r="M186">
        <v>190.12</v>
      </c>
      <c r="N186">
        <v>184.4</v>
      </c>
      <c r="O186">
        <v>184.03</v>
      </c>
      <c r="P186">
        <v>185.73</v>
      </c>
      <c r="Q186">
        <v>185.35</v>
      </c>
      <c r="R186">
        <v>162</v>
      </c>
      <c r="S186">
        <v>163</v>
      </c>
    </row>
    <row r="187" spans="1:19" x14ac:dyDescent="0.25">
      <c r="A187" t="s">
        <v>67</v>
      </c>
      <c r="B187">
        <v>4.01</v>
      </c>
      <c r="C187">
        <v>8.0500000000000007</v>
      </c>
      <c r="D187">
        <v>5.58</v>
      </c>
      <c r="E187">
        <v>13.44</v>
      </c>
      <c r="F187">
        <v>15.31</v>
      </c>
      <c r="G187">
        <v>17.11</v>
      </c>
      <c r="H187">
        <v>19.63</v>
      </c>
      <c r="I187">
        <v>22.92</v>
      </c>
      <c r="J187">
        <v>29.88</v>
      </c>
      <c r="K187">
        <v>66.58</v>
      </c>
      <c r="L187">
        <v>61.37</v>
      </c>
      <c r="M187">
        <v>65.86</v>
      </c>
      <c r="N187">
        <v>69.3</v>
      </c>
      <c r="O187">
        <v>70.760000000000005</v>
      </c>
      <c r="P187">
        <v>73.98</v>
      </c>
      <c r="Q187">
        <v>74.599999999999994</v>
      </c>
      <c r="R187">
        <v>100.4</v>
      </c>
      <c r="S187">
        <v>109.6</v>
      </c>
    </row>
    <row r="188" spans="1:19" x14ac:dyDescent="0.25">
      <c r="A188" t="s">
        <v>338</v>
      </c>
      <c r="B188">
        <v>-19.38</v>
      </c>
      <c r="C188">
        <v>10.35</v>
      </c>
      <c r="D188">
        <v>-44.54</v>
      </c>
      <c r="E188">
        <v>-10.28</v>
      </c>
      <c r="F188">
        <v>41.55</v>
      </c>
      <c r="G188">
        <v>-79.680000000000007</v>
      </c>
      <c r="H188">
        <v>-42.88</v>
      </c>
      <c r="I188">
        <v>-21.53</v>
      </c>
      <c r="J188">
        <v>-201.98</v>
      </c>
      <c r="K188">
        <v>-250.35</v>
      </c>
      <c r="L188">
        <v>51.72</v>
      </c>
      <c r="M188">
        <v>-114.42</v>
      </c>
      <c r="N188">
        <v>-8.6999999999999993</v>
      </c>
      <c r="O188">
        <v>-104.2</v>
      </c>
      <c r="P188">
        <v>-65.150000000000006</v>
      </c>
      <c r="Q188">
        <v>-108.39</v>
      </c>
    </row>
    <row r="189" spans="1:19" x14ac:dyDescent="0.25">
      <c r="A189" t="s">
        <v>141</v>
      </c>
      <c r="B189">
        <v>-13.36</v>
      </c>
      <c r="C189">
        <v>-4.8499999999999996</v>
      </c>
      <c r="D189">
        <v>5.21</v>
      </c>
      <c r="E189">
        <v>-25.3</v>
      </c>
      <c r="F189">
        <v>-15.4</v>
      </c>
      <c r="G189">
        <v>-17.47</v>
      </c>
      <c r="H189">
        <v>-3.16</v>
      </c>
      <c r="I189">
        <v>-27.46</v>
      </c>
      <c r="J189">
        <v>-86.77</v>
      </c>
      <c r="K189">
        <v>-59.64</v>
      </c>
      <c r="L189">
        <v>0.61</v>
      </c>
      <c r="M189">
        <v>-49.03</v>
      </c>
      <c r="N189">
        <v>40.299999999999997</v>
      </c>
      <c r="O189">
        <v>-98.91</v>
      </c>
      <c r="P189">
        <v>-54.99</v>
      </c>
      <c r="Q189">
        <v>-52.92</v>
      </c>
    </row>
    <row r="190" spans="1:19" x14ac:dyDescent="0.25">
      <c r="A190" t="s">
        <v>340</v>
      </c>
      <c r="B190">
        <v>-0.44</v>
      </c>
      <c r="C190">
        <v>-11.61</v>
      </c>
      <c r="D190">
        <v>-26.67</v>
      </c>
      <c r="E190">
        <v>-19.87</v>
      </c>
      <c r="F190">
        <v>-20.21</v>
      </c>
      <c r="G190">
        <v>-38.1</v>
      </c>
      <c r="H190">
        <v>-21.35</v>
      </c>
      <c r="I190">
        <v>-50.77</v>
      </c>
      <c r="J190">
        <v>-168.37</v>
      </c>
      <c r="K190">
        <v>-203.34</v>
      </c>
      <c r="L190">
        <v>102.75</v>
      </c>
      <c r="M190">
        <v>-76.709999999999994</v>
      </c>
      <c r="N190">
        <v>-43.1</v>
      </c>
      <c r="O190">
        <v>-80.69</v>
      </c>
      <c r="P190">
        <v>-71.66</v>
      </c>
      <c r="Q190">
        <v>-51.7</v>
      </c>
    </row>
    <row r="191" spans="1:19" x14ac:dyDescent="0.25">
      <c r="A191" t="s">
        <v>1228</v>
      </c>
      <c r="B191">
        <v>-4.41</v>
      </c>
      <c r="C191">
        <v>14.35</v>
      </c>
      <c r="D191">
        <v>-28.69</v>
      </c>
      <c r="E191">
        <v>31.29</v>
      </c>
      <c r="F191">
        <v>15.98</v>
      </c>
      <c r="G191">
        <v>19.95</v>
      </c>
      <c r="H191">
        <v>-22.65</v>
      </c>
      <c r="I191">
        <v>40.159999999999997</v>
      </c>
      <c r="J191">
        <v>53.58</v>
      </c>
      <c r="K191">
        <v>4.5199999999999996</v>
      </c>
      <c r="L191">
        <v>-29.55</v>
      </c>
      <c r="M191">
        <v>8.8699999999999992</v>
      </c>
      <c r="N191">
        <v>12</v>
      </c>
      <c r="O191">
        <v>48.2</v>
      </c>
      <c r="P191">
        <v>19.8</v>
      </c>
      <c r="Q191">
        <v>22.87</v>
      </c>
    </row>
    <row r="192" spans="1:19" x14ac:dyDescent="0.25">
      <c r="A192" t="s">
        <v>499</v>
      </c>
      <c r="B192">
        <v>2.73</v>
      </c>
      <c r="C192">
        <v>10.98</v>
      </c>
      <c r="D192">
        <v>4.96</v>
      </c>
      <c r="E192">
        <v>3.41</v>
      </c>
      <c r="F192">
        <v>64.52</v>
      </c>
      <c r="G192">
        <v>-30.38</v>
      </c>
      <c r="H192">
        <v>-3.49</v>
      </c>
      <c r="I192">
        <v>28.49</v>
      </c>
      <c r="J192">
        <v>-3.29</v>
      </c>
      <c r="K192">
        <v>21.75</v>
      </c>
      <c r="L192">
        <v>-10.18</v>
      </c>
      <c r="M192">
        <v>7.89</v>
      </c>
      <c r="N192">
        <v>-7.6</v>
      </c>
      <c r="O192">
        <v>-8.3000000000000007</v>
      </c>
    </row>
    <row r="193" spans="1:19" x14ac:dyDescent="0.25">
      <c r="A193" t="s">
        <v>204</v>
      </c>
      <c r="B193">
        <v>109.4</v>
      </c>
      <c r="C193">
        <v>126.42</v>
      </c>
      <c r="D193">
        <v>120.92</v>
      </c>
      <c r="E193">
        <v>207.56</v>
      </c>
      <c r="F193">
        <v>293.37</v>
      </c>
      <c r="G193">
        <v>312.58</v>
      </c>
      <c r="H193">
        <v>382.3</v>
      </c>
      <c r="I193">
        <v>446.67</v>
      </c>
      <c r="J193">
        <v>400.45</v>
      </c>
      <c r="K193">
        <v>352.28</v>
      </c>
      <c r="L193">
        <v>629.55999999999995</v>
      </c>
      <c r="M193">
        <v>631.72</v>
      </c>
      <c r="N193">
        <v>695.4</v>
      </c>
      <c r="O193">
        <v>768.97</v>
      </c>
      <c r="P193">
        <v>959.22</v>
      </c>
      <c r="Q193" s="2">
        <v>1164.1300000000001</v>
      </c>
      <c r="R193" s="2">
        <v>1261.3</v>
      </c>
      <c r="S193" s="2">
        <v>1510.8</v>
      </c>
    </row>
    <row r="194" spans="1:19" x14ac:dyDescent="0.25">
      <c r="A194" t="s">
        <v>17</v>
      </c>
    </row>
    <row r="195" spans="1:19" x14ac:dyDescent="0.25">
      <c r="A195" t="s">
        <v>205</v>
      </c>
    </row>
    <row r="196" spans="1:19" x14ac:dyDescent="0.25">
      <c r="A196" t="s">
        <v>206</v>
      </c>
      <c r="B196">
        <v>-60.36</v>
      </c>
      <c r="C196">
        <v>-57.73</v>
      </c>
      <c r="D196">
        <v>-71.98</v>
      </c>
      <c r="E196">
        <v>-65.260000000000005</v>
      </c>
      <c r="F196">
        <v>-93.6</v>
      </c>
      <c r="G196">
        <v>-110.15</v>
      </c>
      <c r="H196">
        <v>-112.36</v>
      </c>
      <c r="I196">
        <v>-131.75</v>
      </c>
      <c r="J196">
        <v>-210.63</v>
      </c>
      <c r="K196">
        <v>-466.19</v>
      </c>
      <c r="L196">
        <v>-456.85</v>
      </c>
      <c r="M196">
        <v>-315.61</v>
      </c>
      <c r="N196">
        <v>-299.2</v>
      </c>
      <c r="O196">
        <v>-232.83</v>
      </c>
      <c r="P196">
        <v>-255.63</v>
      </c>
      <c r="Q196">
        <v>-258.83</v>
      </c>
      <c r="R196">
        <v>-261.5</v>
      </c>
      <c r="S196">
        <v>-285</v>
      </c>
    </row>
    <row r="197" spans="1:19" x14ac:dyDescent="0.25">
      <c r="A197" t="s">
        <v>69</v>
      </c>
      <c r="B197">
        <v>8.6999999999999993</v>
      </c>
      <c r="C197">
        <v>6</v>
      </c>
      <c r="D197">
        <v>6.66</v>
      </c>
      <c r="E197">
        <v>5.55</v>
      </c>
      <c r="F197">
        <v>6.97</v>
      </c>
      <c r="G197">
        <v>7.1</v>
      </c>
      <c r="H197">
        <v>7.06</v>
      </c>
      <c r="I197">
        <v>7.09</v>
      </c>
      <c r="J197">
        <v>9.16</v>
      </c>
      <c r="K197">
        <v>14.2</v>
      </c>
      <c r="L197">
        <v>12.96</v>
      </c>
      <c r="M197">
        <v>9.74</v>
      </c>
      <c r="N197">
        <v>9.36</v>
      </c>
      <c r="O197">
        <v>6.26</v>
      </c>
      <c r="P197">
        <v>6.39</v>
      </c>
      <c r="Q197">
        <v>6.21</v>
      </c>
      <c r="R197">
        <v>7.5</v>
      </c>
      <c r="S197">
        <v>7.5</v>
      </c>
    </row>
    <row r="198" spans="1:19" x14ac:dyDescent="0.25">
      <c r="A198" t="s">
        <v>1151</v>
      </c>
      <c r="B198">
        <v>-13.36</v>
      </c>
      <c r="C198">
        <v>-809.39</v>
      </c>
      <c r="D198">
        <v>0</v>
      </c>
      <c r="E198">
        <v>0</v>
      </c>
      <c r="F198">
        <v>-20</v>
      </c>
      <c r="G198">
        <v>-380.69</v>
      </c>
      <c r="H198">
        <v>-277.37</v>
      </c>
      <c r="I198">
        <v>-111.91</v>
      </c>
      <c r="J198">
        <v>-91.94</v>
      </c>
      <c r="K198" s="2">
        <v>-4474.93</v>
      </c>
      <c r="L198">
        <v>814.96</v>
      </c>
      <c r="M198">
        <v>250.79</v>
      </c>
      <c r="N198">
        <v>-6.7</v>
      </c>
      <c r="O198">
        <v>3.4</v>
      </c>
    </row>
    <row r="199" spans="1:19" x14ac:dyDescent="0.25">
      <c r="A199" t="s">
        <v>212</v>
      </c>
      <c r="B199">
        <v>0.19</v>
      </c>
      <c r="C199">
        <v>-6.95</v>
      </c>
      <c r="D199">
        <v>0.65</v>
      </c>
      <c r="E199">
        <v>-3.15</v>
      </c>
      <c r="F199">
        <v>1.1399999999999999</v>
      </c>
      <c r="G199">
        <v>4.9000000000000004</v>
      </c>
      <c r="H199">
        <v>3.88</v>
      </c>
      <c r="I199">
        <v>0.34</v>
      </c>
      <c r="J199">
        <v>4.45</v>
      </c>
      <c r="K199">
        <v>-4.59</v>
      </c>
      <c r="L199">
        <v>194.96</v>
      </c>
      <c r="M199">
        <v>-2.2599999999999998</v>
      </c>
      <c r="N199">
        <v>5.0999999999999996</v>
      </c>
      <c r="O199">
        <v>6.2</v>
      </c>
    </row>
    <row r="200" spans="1:19" x14ac:dyDescent="0.25">
      <c r="A200" t="s">
        <v>213</v>
      </c>
      <c r="B200">
        <v>-47.03</v>
      </c>
      <c r="C200">
        <v>-860.3</v>
      </c>
      <c r="D200">
        <v>-63.64</v>
      </c>
      <c r="E200">
        <v>-66.69</v>
      </c>
      <c r="F200">
        <v>-112.46</v>
      </c>
      <c r="G200">
        <v>-485.94</v>
      </c>
      <c r="H200">
        <v>-385.84</v>
      </c>
      <c r="I200">
        <v>-243.33</v>
      </c>
      <c r="J200">
        <v>-298.12</v>
      </c>
      <c r="K200" s="2">
        <v>-4945.71</v>
      </c>
      <c r="L200">
        <v>553.07000000000005</v>
      </c>
      <c r="M200">
        <v>-67.08</v>
      </c>
      <c r="N200">
        <v>-300.8</v>
      </c>
      <c r="O200">
        <v>-210.53</v>
      </c>
      <c r="P200">
        <v>-244.94</v>
      </c>
      <c r="Q200">
        <v>-259.44</v>
      </c>
    </row>
    <row r="201" spans="1:19" x14ac:dyDescent="0.25">
      <c r="A201" t="s">
        <v>17</v>
      </c>
    </row>
    <row r="202" spans="1:19" x14ac:dyDescent="0.25">
      <c r="A202" t="s">
        <v>214</v>
      </c>
    </row>
    <row r="203" spans="1:19" x14ac:dyDescent="0.25">
      <c r="A203" t="s">
        <v>347</v>
      </c>
      <c r="B203">
        <v>0</v>
      </c>
      <c r="C203">
        <v>0</v>
      </c>
      <c r="D203">
        <v>0</v>
      </c>
      <c r="E203">
        <v>0</v>
      </c>
      <c r="F203">
        <v>-9.9</v>
      </c>
      <c r="G203">
        <v>-39.590000000000003</v>
      </c>
      <c r="H203">
        <v>-40.57</v>
      </c>
      <c r="I203">
        <v>-43.25</v>
      </c>
      <c r="J203">
        <v>-43.55</v>
      </c>
      <c r="K203">
        <v>-57.31</v>
      </c>
      <c r="L203">
        <v>-60.22</v>
      </c>
      <c r="M203">
        <v>-60.58</v>
      </c>
      <c r="N203">
        <v>-60.8</v>
      </c>
      <c r="O203">
        <v>-62.18</v>
      </c>
      <c r="P203">
        <v>-67.819999999999993</v>
      </c>
      <c r="Q203">
        <v>-74.08</v>
      </c>
      <c r="R203">
        <v>-63.48</v>
      </c>
      <c r="S203">
        <v>-64.12</v>
      </c>
    </row>
    <row r="204" spans="1:19" x14ac:dyDescent="0.25">
      <c r="A204" t="s">
        <v>2892</v>
      </c>
      <c r="B204">
        <v>0</v>
      </c>
      <c r="C204">
        <v>855.2</v>
      </c>
      <c r="D204">
        <v>0</v>
      </c>
      <c r="E204">
        <v>0</v>
      </c>
      <c r="F204">
        <v>550</v>
      </c>
      <c r="G204">
        <v>402</v>
      </c>
      <c r="H204">
        <v>0</v>
      </c>
      <c r="I204">
        <v>400</v>
      </c>
      <c r="J204">
        <v>400</v>
      </c>
      <c r="K204" s="2">
        <v>4940.75</v>
      </c>
      <c r="L204">
        <v>217.45</v>
      </c>
      <c r="M204">
        <v>224.54</v>
      </c>
      <c r="N204">
        <v>0</v>
      </c>
      <c r="O204">
        <v>65</v>
      </c>
    </row>
    <row r="205" spans="1:19" x14ac:dyDescent="0.25">
      <c r="A205" t="s">
        <v>2893</v>
      </c>
      <c r="C205">
        <v>-20.75</v>
      </c>
      <c r="D205">
        <v>0</v>
      </c>
      <c r="E205">
        <v>0</v>
      </c>
      <c r="F205">
        <v>-7.33</v>
      </c>
      <c r="G205">
        <v>-7.4</v>
      </c>
      <c r="H205">
        <v>0</v>
      </c>
      <c r="I205">
        <v>-3.96</v>
      </c>
      <c r="J205">
        <v>-5.07</v>
      </c>
      <c r="K205">
        <v>-99.49</v>
      </c>
      <c r="L205">
        <v>-3.48</v>
      </c>
      <c r="M205">
        <v>0</v>
      </c>
      <c r="N205">
        <v>0</v>
      </c>
    </row>
    <row r="206" spans="1:19" x14ac:dyDescent="0.25">
      <c r="A206" t="s">
        <v>763</v>
      </c>
      <c r="B206">
        <v>0</v>
      </c>
      <c r="C206">
        <v>766.55</v>
      </c>
      <c r="D206">
        <v>-100</v>
      </c>
      <c r="E206">
        <v>-75</v>
      </c>
      <c r="F206">
        <v>90</v>
      </c>
      <c r="G206">
        <v>266.14999999999998</v>
      </c>
      <c r="H206">
        <v>-4</v>
      </c>
      <c r="I206">
        <v>149</v>
      </c>
      <c r="J206">
        <v>-150</v>
      </c>
      <c r="K206" s="2">
        <v>4930.75</v>
      </c>
      <c r="L206" s="2">
        <v>-1256.23</v>
      </c>
      <c r="M206">
        <v>-623.77</v>
      </c>
      <c r="N206">
        <v>-300</v>
      </c>
      <c r="O206">
        <v>-302</v>
      </c>
      <c r="P206">
        <v>-100</v>
      </c>
    </row>
    <row r="207" spans="1:19" x14ac:dyDescent="0.25">
      <c r="A207" t="s">
        <v>765</v>
      </c>
      <c r="B207">
        <v>-15.49</v>
      </c>
      <c r="C207">
        <v>0</v>
      </c>
      <c r="D207">
        <v>0</v>
      </c>
      <c r="E207">
        <v>-7.57</v>
      </c>
      <c r="F207">
        <v>-28</v>
      </c>
      <c r="G207">
        <v>-173.78</v>
      </c>
      <c r="H207">
        <v>-80.319999999999993</v>
      </c>
      <c r="I207">
        <v>-44.56</v>
      </c>
      <c r="J207">
        <v>-67.11</v>
      </c>
      <c r="K207">
        <v>0</v>
      </c>
      <c r="L207">
        <v>0</v>
      </c>
      <c r="M207">
        <v>0</v>
      </c>
      <c r="N207">
        <v>0</v>
      </c>
      <c r="P207">
        <v>4.0999999999999996</v>
      </c>
    </row>
    <row r="208" spans="1:19" x14ac:dyDescent="0.25">
      <c r="A208" t="s">
        <v>215</v>
      </c>
      <c r="B208">
        <v>7.69</v>
      </c>
      <c r="C208">
        <v>3.56</v>
      </c>
      <c r="D208">
        <v>4.26</v>
      </c>
      <c r="E208">
        <v>4.84</v>
      </c>
      <c r="F208">
        <v>5.57</v>
      </c>
      <c r="G208">
        <v>5.58</v>
      </c>
      <c r="H208">
        <v>7.29</v>
      </c>
      <c r="I208">
        <v>8.74</v>
      </c>
      <c r="J208">
        <v>24.74</v>
      </c>
      <c r="K208">
        <v>16.170000000000002</v>
      </c>
      <c r="L208">
        <v>50.79</v>
      </c>
      <c r="M208">
        <v>14.05</v>
      </c>
      <c r="N208">
        <v>6.7</v>
      </c>
      <c r="O208">
        <v>50.5</v>
      </c>
      <c r="P208">
        <v>108</v>
      </c>
    </row>
    <row r="209" spans="1:19" x14ac:dyDescent="0.25">
      <c r="A209" t="s">
        <v>218</v>
      </c>
      <c r="B209">
        <v>-3.9</v>
      </c>
      <c r="C209">
        <v>747.65</v>
      </c>
      <c r="D209">
        <v>-92.79</v>
      </c>
      <c r="E209">
        <v>-81.75</v>
      </c>
      <c r="F209">
        <v>27.25</v>
      </c>
      <c r="G209">
        <v>34.409999999999997</v>
      </c>
      <c r="H209">
        <v>-126.82</v>
      </c>
      <c r="I209">
        <v>22.15</v>
      </c>
      <c r="J209">
        <v>-276.5</v>
      </c>
      <c r="K209" s="2">
        <v>4766.2</v>
      </c>
      <c r="L209" s="2">
        <v>-1282.6300000000001</v>
      </c>
      <c r="M209">
        <v>-688.99</v>
      </c>
      <c r="N209">
        <v>-366.9</v>
      </c>
      <c r="O209">
        <v>-387.7</v>
      </c>
      <c r="P209">
        <v>-329.35</v>
      </c>
      <c r="Q209">
        <v>-427.82</v>
      </c>
    </row>
    <row r="210" spans="1:19" x14ac:dyDescent="0.25">
      <c r="A210" t="s">
        <v>17</v>
      </c>
    </row>
    <row r="211" spans="1:19" x14ac:dyDescent="0.25">
      <c r="A211" t="s">
        <v>176</v>
      </c>
    </row>
    <row r="212" spans="1:19" x14ac:dyDescent="0.25">
      <c r="A212" t="s">
        <v>219</v>
      </c>
      <c r="B212">
        <v>-4.47</v>
      </c>
      <c r="C212">
        <v>-8.5</v>
      </c>
      <c r="D212">
        <v>-4.37</v>
      </c>
      <c r="E212">
        <v>-2.56</v>
      </c>
      <c r="F212">
        <v>10.85</v>
      </c>
      <c r="G212">
        <v>-4.3899999999999997</v>
      </c>
      <c r="H212">
        <v>0.21</v>
      </c>
      <c r="I212">
        <v>3.49</v>
      </c>
      <c r="J212">
        <v>-4.17</v>
      </c>
      <c r="K212">
        <v>-11.9</v>
      </c>
      <c r="L212">
        <v>-6.51</v>
      </c>
      <c r="M212">
        <v>-3.37</v>
      </c>
      <c r="N212">
        <v>3.5</v>
      </c>
      <c r="O212">
        <v>-1.3</v>
      </c>
    </row>
    <row r="213" spans="1:19" x14ac:dyDescent="0.25">
      <c r="A213" t="s">
        <v>220</v>
      </c>
      <c r="B213">
        <v>54.01</v>
      </c>
      <c r="C213">
        <v>5.27</v>
      </c>
      <c r="D213">
        <v>-39.869999999999997</v>
      </c>
      <c r="E213">
        <v>56.56</v>
      </c>
      <c r="F213">
        <v>219.02</v>
      </c>
      <c r="G213">
        <v>-143.35</v>
      </c>
      <c r="H213">
        <v>-130.15</v>
      </c>
      <c r="I213">
        <v>228.98</v>
      </c>
      <c r="J213">
        <v>-178.33</v>
      </c>
      <c r="K213">
        <v>160.87</v>
      </c>
      <c r="L213">
        <v>-106.51</v>
      </c>
      <c r="M213">
        <v>-127.72</v>
      </c>
      <c r="N213">
        <v>31.2</v>
      </c>
      <c r="O213">
        <v>142.46</v>
      </c>
      <c r="P213">
        <v>396.24</v>
      </c>
      <c r="Q213">
        <v>511.48</v>
      </c>
    </row>
    <row r="214" spans="1:19" x14ac:dyDescent="0.25">
      <c r="A214" t="s">
        <v>221</v>
      </c>
      <c r="B214">
        <v>330.42</v>
      </c>
      <c r="C214">
        <v>384.43</v>
      </c>
      <c r="D214">
        <v>389.7</v>
      </c>
      <c r="E214">
        <v>349.83</v>
      </c>
      <c r="F214">
        <v>406.39</v>
      </c>
      <c r="G214">
        <v>625.41</v>
      </c>
      <c r="H214">
        <v>482.06</v>
      </c>
      <c r="I214">
        <v>351.91</v>
      </c>
      <c r="J214">
        <v>580.89</v>
      </c>
      <c r="K214">
        <v>402.57</v>
      </c>
      <c r="L214">
        <v>563.44000000000005</v>
      </c>
      <c r="M214">
        <v>456.93</v>
      </c>
      <c r="N214">
        <v>329.2</v>
      </c>
      <c r="O214">
        <v>361</v>
      </c>
      <c r="P214">
        <v>503.46</v>
      </c>
      <c r="Q214">
        <v>832.26</v>
      </c>
    </row>
    <row r="215" spans="1:19" x14ac:dyDescent="0.25">
      <c r="A215" t="s">
        <v>222</v>
      </c>
      <c r="B215">
        <v>384.43</v>
      </c>
      <c r="C215">
        <v>389.7</v>
      </c>
      <c r="D215">
        <v>349.83</v>
      </c>
      <c r="E215">
        <v>406.39</v>
      </c>
      <c r="F215">
        <v>625.41</v>
      </c>
      <c r="G215">
        <v>482.06</v>
      </c>
      <c r="H215">
        <v>351.91</v>
      </c>
      <c r="I215">
        <v>580.89</v>
      </c>
      <c r="J215">
        <v>402.57</v>
      </c>
      <c r="K215">
        <v>563.44000000000005</v>
      </c>
      <c r="L215">
        <v>456.93</v>
      </c>
      <c r="M215">
        <v>329.21</v>
      </c>
      <c r="N215">
        <v>360.4</v>
      </c>
      <c r="O215">
        <v>495.26</v>
      </c>
      <c r="P215">
        <v>855.97</v>
      </c>
      <c r="Q215" s="2">
        <v>1376.67</v>
      </c>
      <c r="R215" s="2">
        <v>2066.65</v>
      </c>
      <c r="S215" s="2">
        <v>2876.05</v>
      </c>
    </row>
    <row r="216" spans="1:19" x14ac:dyDescent="0.25">
      <c r="A216" t="s">
        <v>178</v>
      </c>
    </row>
    <row r="217" spans="1:19" x14ac:dyDescent="0.25">
      <c r="A217" t="s">
        <v>224</v>
      </c>
      <c r="B217">
        <v>0.78</v>
      </c>
      <c r="C217">
        <v>0.9</v>
      </c>
      <c r="D217">
        <v>0.86</v>
      </c>
      <c r="E217">
        <v>1.46</v>
      </c>
      <c r="F217">
        <v>2.04</v>
      </c>
      <c r="G217">
        <v>2.19</v>
      </c>
      <c r="H217">
        <v>2.8</v>
      </c>
      <c r="I217">
        <v>3.28</v>
      </c>
      <c r="J217">
        <v>2.93</v>
      </c>
      <c r="K217">
        <v>2.46</v>
      </c>
      <c r="L217">
        <v>4.17</v>
      </c>
      <c r="M217">
        <v>4.16</v>
      </c>
      <c r="N217">
        <v>4.57</v>
      </c>
      <c r="O217">
        <v>4.75</v>
      </c>
      <c r="P217">
        <v>6.09</v>
      </c>
      <c r="Q217">
        <v>7.98</v>
      </c>
    </row>
    <row r="218" spans="1:19" x14ac:dyDescent="0.25">
      <c r="A218" t="s">
        <v>225</v>
      </c>
      <c r="B218">
        <v>49.04</v>
      </c>
      <c r="C218">
        <v>68.69</v>
      </c>
      <c r="D218">
        <v>48.94</v>
      </c>
      <c r="E218">
        <v>142.30000000000001</v>
      </c>
      <c r="F218">
        <v>199.78</v>
      </c>
      <c r="G218">
        <v>202.42</v>
      </c>
      <c r="H218">
        <v>269.94</v>
      </c>
      <c r="I218">
        <v>314.92</v>
      </c>
      <c r="J218">
        <v>189.83</v>
      </c>
      <c r="K218">
        <v>-113.91</v>
      </c>
      <c r="L218">
        <v>172.72</v>
      </c>
      <c r="M218">
        <v>316.12</v>
      </c>
      <c r="N218">
        <v>396.2</v>
      </c>
      <c r="O218">
        <v>541.12</v>
      </c>
      <c r="P218">
        <v>702.5</v>
      </c>
      <c r="Q218">
        <v>893.18</v>
      </c>
      <c r="R218">
        <v>923.6</v>
      </c>
      <c r="S218" s="2">
        <v>1142</v>
      </c>
    </row>
    <row r="219" spans="1:19" x14ac:dyDescent="0.25">
      <c r="A219" t="s">
        <v>615</v>
      </c>
      <c r="B219">
        <v>0.35</v>
      </c>
      <c r="C219">
        <v>0.49</v>
      </c>
      <c r="D219">
        <v>0.35</v>
      </c>
      <c r="E219">
        <v>1</v>
      </c>
      <c r="F219">
        <v>1.39</v>
      </c>
      <c r="G219">
        <v>1.42</v>
      </c>
      <c r="H219">
        <v>1.98</v>
      </c>
      <c r="I219">
        <v>2.31</v>
      </c>
      <c r="J219">
        <v>1.39</v>
      </c>
      <c r="K219">
        <v>-0.8</v>
      </c>
      <c r="L219">
        <v>1.1399999999999999</v>
      </c>
      <c r="M219">
        <v>2.08</v>
      </c>
      <c r="N219">
        <v>2.6</v>
      </c>
      <c r="O219">
        <v>3.53</v>
      </c>
      <c r="P219">
        <v>4.42</v>
      </c>
      <c r="Q219">
        <v>6.96</v>
      </c>
      <c r="R219">
        <v>8.86</v>
      </c>
      <c r="S219">
        <v>10.9</v>
      </c>
    </row>
    <row r="220" spans="1:19" x14ac:dyDescent="0.25">
      <c r="A220" t="s">
        <v>17</v>
      </c>
    </row>
    <row r="221" spans="1:19" x14ac:dyDescent="0.25">
      <c r="A221" t="s">
        <v>231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E090-4E91-4F80-A650-990115612134}">
  <dimension ref="A1:U333"/>
  <sheetViews>
    <sheetView workbookViewId="0">
      <selection sqref="A1:U333"/>
    </sheetView>
  </sheetViews>
  <sheetFormatPr defaultRowHeight="15" x14ac:dyDescent="0.25"/>
  <sheetData>
    <row r="1" spans="1:21" x14ac:dyDescent="0.25">
      <c r="A1" t="s">
        <v>2894</v>
      </c>
    </row>
    <row r="2" spans="1:21" x14ac:dyDescent="0.25">
      <c r="A2" t="s">
        <v>2895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F6">
        <v>4.97</v>
      </c>
      <c r="G6">
        <v>6.35</v>
      </c>
      <c r="H6">
        <v>7.34</v>
      </c>
      <c r="I6">
        <v>8.23</v>
      </c>
      <c r="J6">
        <v>10.69</v>
      </c>
      <c r="K6">
        <v>12.29</v>
      </c>
      <c r="L6">
        <v>14.2</v>
      </c>
      <c r="M6">
        <v>15.51</v>
      </c>
      <c r="N6">
        <v>16.46</v>
      </c>
      <c r="O6">
        <v>17.88</v>
      </c>
      <c r="P6">
        <v>19.579999999999998</v>
      </c>
      <c r="Q6">
        <v>21.38</v>
      </c>
      <c r="R6">
        <v>23.6</v>
      </c>
      <c r="S6">
        <v>24.24</v>
      </c>
    </row>
    <row r="7" spans="1:21" x14ac:dyDescent="0.25">
      <c r="A7" t="s">
        <v>16</v>
      </c>
      <c r="F7" s="2">
        <v>28204</v>
      </c>
      <c r="G7" s="2">
        <v>14900</v>
      </c>
      <c r="H7" s="2">
        <v>28163</v>
      </c>
      <c r="I7" s="2">
        <v>27243</v>
      </c>
      <c r="J7" s="2">
        <v>30793</v>
      </c>
      <c r="K7" s="2">
        <v>33400</v>
      </c>
      <c r="L7" s="2">
        <v>32854</v>
      </c>
      <c r="M7" s="2">
        <v>33005</v>
      </c>
      <c r="N7" s="2">
        <v>34000</v>
      </c>
      <c r="O7" s="2">
        <v>36251.699999999997</v>
      </c>
      <c r="P7" s="2">
        <v>37993.300000000003</v>
      </c>
      <c r="Q7" s="2">
        <v>39975.800000000003</v>
      </c>
      <c r="R7" s="2">
        <v>42311.75</v>
      </c>
      <c r="S7" s="2">
        <v>43981.83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472</v>
      </c>
      <c r="G10" s="2">
        <v>8017</v>
      </c>
      <c r="H10" s="2">
        <v>10993</v>
      </c>
      <c r="I10" s="2">
        <v>10459</v>
      </c>
      <c r="J10" s="2">
        <v>12103</v>
      </c>
      <c r="K10" s="2">
        <v>13874</v>
      </c>
      <c r="L10" s="2">
        <v>14304</v>
      </c>
      <c r="M10" s="2">
        <v>14442</v>
      </c>
      <c r="N10" s="2">
        <v>15208</v>
      </c>
      <c r="O10" s="2">
        <v>16233.3</v>
      </c>
      <c r="P10" s="2">
        <v>17091.61</v>
      </c>
      <c r="Q10" s="2">
        <v>18123.04</v>
      </c>
      <c r="R10" s="2">
        <v>18731.5</v>
      </c>
      <c r="S10" s="2">
        <v>18301.939999999999</v>
      </c>
    </row>
    <row r="11" spans="1:21" x14ac:dyDescent="0.25">
      <c r="A11" t="s">
        <v>644</v>
      </c>
      <c r="G11" s="2">
        <v>2644</v>
      </c>
      <c r="H11" s="2">
        <v>6643</v>
      </c>
      <c r="I11" s="2">
        <v>6449</v>
      </c>
      <c r="J11" s="2">
        <v>7643</v>
      </c>
      <c r="K11" s="2">
        <v>8443</v>
      </c>
      <c r="L11" s="2">
        <v>8542</v>
      </c>
      <c r="M11" s="2">
        <v>8352</v>
      </c>
      <c r="N11" s="2">
        <v>8549</v>
      </c>
      <c r="O11" s="2">
        <v>9007.52</v>
      </c>
      <c r="P11" s="2">
        <v>9313.49</v>
      </c>
      <c r="Q11" s="2">
        <v>9657.14</v>
      </c>
      <c r="R11" s="2">
        <v>9987.58</v>
      </c>
      <c r="S11" s="2">
        <v>9936.6200000000008</v>
      </c>
    </row>
    <row r="12" spans="1:21" x14ac:dyDescent="0.25">
      <c r="A12" t="s">
        <v>1729</v>
      </c>
      <c r="G12" s="2">
        <v>2446</v>
      </c>
      <c r="H12" s="2">
        <v>5839</v>
      </c>
      <c r="I12" s="2">
        <v>5687</v>
      </c>
      <c r="J12" s="2">
        <v>6133</v>
      </c>
      <c r="K12" s="2">
        <v>6480</v>
      </c>
      <c r="L12" s="2">
        <v>6559</v>
      </c>
      <c r="M12" s="2">
        <v>6632</v>
      </c>
      <c r="N12" s="2">
        <v>6661</v>
      </c>
      <c r="O12" s="2">
        <v>7309.88</v>
      </c>
      <c r="P12" s="2">
        <v>7736.82</v>
      </c>
      <c r="Q12" s="2">
        <v>8098.24</v>
      </c>
      <c r="R12" s="2">
        <v>8525.36</v>
      </c>
      <c r="S12" s="2">
        <v>8704.18</v>
      </c>
    </row>
    <row r="13" spans="1:21" x14ac:dyDescent="0.25">
      <c r="A13" t="s">
        <v>2896</v>
      </c>
      <c r="G13">
        <v>459</v>
      </c>
      <c r="H13" s="2">
        <v>2799</v>
      </c>
      <c r="I13" s="2">
        <v>2851</v>
      </c>
      <c r="J13" s="2">
        <v>2867</v>
      </c>
      <c r="K13" s="2">
        <v>2762</v>
      </c>
      <c r="L13" s="2">
        <v>2160</v>
      </c>
      <c r="M13" s="2">
        <v>2322</v>
      </c>
      <c r="N13" s="2">
        <v>2250</v>
      </c>
      <c r="O13" s="2">
        <v>2329.4899999999998</v>
      </c>
      <c r="P13" s="2">
        <v>2419.0700000000002</v>
      </c>
      <c r="Q13" s="2">
        <v>2531.48</v>
      </c>
      <c r="R13" s="2">
        <v>2507.59</v>
      </c>
      <c r="S13" s="2">
        <v>2512.3000000000002</v>
      </c>
    </row>
    <row r="14" spans="1:21" x14ac:dyDescent="0.25">
      <c r="A14" t="s">
        <v>2897</v>
      </c>
      <c r="G14" s="2">
        <v>1270</v>
      </c>
      <c r="H14" s="2">
        <v>1954</v>
      </c>
      <c r="I14" s="2">
        <v>1797</v>
      </c>
      <c r="J14" s="2">
        <v>2047</v>
      </c>
      <c r="K14" s="2">
        <v>1805</v>
      </c>
      <c r="L14" s="2">
        <v>1289</v>
      </c>
      <c r="M14" s="2">
        <v>1257</v>
      </c>
      <c r="N14" s="2">
        <v>1318</v>
      </c>
      <c r="O14" s="2">
        <v>1469.61</v>
      </c>
      <c r="P14" s="2">
        <v>1525.37</v>
      </c>
      <c r="Q14" s="2">
        <v>1560.43</v>
      </c>
      <c r="R14" s="2">
        <v>1576.34</v>
      </c>
      <c r="S14" s="2">
        <v>1539.4</v>
      </c>
    </row>
    <row r="15" spans="1:21" x14ac:dyDescent="0.25">
      <c r="A15" t="s">
        <v>17</v>
      </c>
    </row>
    <row r="16" spans="1:21" x14ac:dyDescent="0.25">
      <c r="A16" t="s">
        <v>91</v>
      </c>
      <c r="F16" s="2">
        <v>2444</v>
      </c>
      <c r="G16" s="2">
        <v>2561</v>
      </c>
      <c r="H16" s="2">
        <v>2933</v>
      </c>
      <c r="I16" s="2">
        <v>3322</v>
      </c>
      <c r="J16" s="2">
        <v>4984</v>
      </c>
      <c r="K16" s="2">
        <v>5369</v>
      </c>
      <c r="L16" s="2">
        <v>8024</v>
      </c>
      <c r="M16" s="2">
        <v>8635</v>
      </c>
      <c r="N16" s="2">
        <v>8923</v>
      </c>
      <c r="O16" s="2">
        <v>10122.07</v>
      </c>
      <c r="P16" s="2">
        <v>11021.25</v>
      </c>
      <c r="Q16" s="2">
        <v>12006.92</v>
      </c>
      <c r="R16" s="2">
        <v>13666.3</v>
      </c>
      <c r="S16" s="2">
        <v>14579.88</v>
      </c>
    </row>
    <row r="17" spans="1:19" x14ac:dyDescent="0.25">
      <c r="A17" t="s">
        <v>92</v>
      </c>
      <c r="G17">
        <v>9.1</v>
      </c>
      <c r="H17">
        <v>10.4</v>
      </c>
      <c r="I17">
        <v>12.2</v>
      </c>
      <c r="J17">
        <v>16.2</v>
      </c>
      <c r="K17">
        <v>16.100000000000001</v>
      </c>
      <c r="L17">
        <v>24.4</v>
      </c>
      <c r="M17">
        <v>26.2</v>
      </c>
      <c r="N17">
        <v>26.3</v>
      </c>
      <c r="O17">
        <v>27.96</v>
      </c>
      <c r="P17">
        <v>29.12</v>
      </c>
      <c r="Q17">
        <v>30.09</v>
      </c>
      <c r="R17">
        <v>33.19</v>
      </c>
      <c r="S17">
        <v>33.46</v>
      </c>
    </row>
    <row r="18" spans="1:19" x14ac:dyDescent="0.25">
      <c r="A18" t="s">
        <v>17</v>
      </c>
    </row>
    <row r="19" spans="1:19" x14ac:dyDescent="0.25">
      <c r="A19" t="s">
        <v>29</v>
      </c>
      <c r="F19" s="2">
        <v>2549</v>
      </c>
      <c r="G19" s="2">
        <v>2976</v>
      </c>
      <c r="H19" s="2">
        <v>5272</v>
      </c>
      <c r="I19" s="2">
        <v>5797</v>
      </c>
      <c r="J19" s="2">
        <v>7176</v>
      </c>
      <c r="K19" s="2">
        <v>7900</v>
      </c>
      <c r="L19" s="2">
        <v>9070</v>
      </c>
      <c r="M19" s="2">
        <v>9720</v>
      </c>
      <c r="N19" s="2">
        <v>10100</v>
      </c>
      <c r="O19" s="2">
        <v>10753.85</v>
      </c>
      <c r="P19" s="2">
        <v>11618.19</v>
      </c>
      <c r="Q19" s="2">
        <v>12551.7</v>
      </c>
      <c r="R19" s="2">
        <v>13770.43</v>
      </c>
      <c r="S19" s="2">
        <v>14508.8</v>
      </c>
    </row>
    <row r="20" spans="1:19" x14ac:dyDescent="0.25">
      <c r="A20" t="s">
        <v>92</v>
      </c>
      <c r="G20">
        <v>17.100000000000001</v>
      </c>
      <c r="H20">
        <v>18.7</v>
      </c>
      <c r="I20">
        <v>21.3</v>
      </c>
      <c r="J20">
        <v>23.3</v>
      </c>
      <c r="K20">
        <v>23.7</v>
      </c>
      <c r="L20">
        <v>27.6</v>
      </c>
      <c r="M20">
        <v>29.5</v>
      </c>
      <c r="N20">
        <v>29.8</v>
      </c>
      <c r="O20">
        <v>29.92</v>
      </c>
      <c r="P20">
        <v>30.52</v>
      </c>
      <c r="Q20">
        <v>31.18</v>
      </c>
      <c r="R20">
        <v>32.33</v>
      </c>
      <c r="S20">
        <v>32.369999999999997</v>
      </c>
    </row>
    <row r="21" spans="1:19" x14ac:dyDescent="0.25">
      <c r="A21" t="s">
        <v>17</v>
      </c>
    </row>
    <row r="22" spans="1:19" x14ac:dyDescent="0.25">
      <c r="A22" t="s">
        <v>680</v>
      </c>
      <c r="F22" s="2">
        <v>3733</v>
      </c>
      <c r="G22" s="2">
        <v>4516</v>
      </c>
      <c r="H22" s="2">
        <v>8178</v>
      </c>
      <c r="I22" s="2">
        <v>8645</v>
      </c>
      <c r="J22" s="2">
        <v>10179</v>
      </c>
      <c r="K22" s="2">
        <v>10873</v>
      </c>
      <c r="L22" s="2">
        <v>12133</v>
      </c>
      <c r="M22" s="2">
        <v>12819</v>
      </c>
      <c r="N22" s="2">
        <v>13351</v>
      </c>
      <c r="O22" s="2">
        <v>14176.89</v>
      </c>
      <c r="P22" s="2">
        <v>15183.82</v>
      </c>
      <c r="Q22" s="2">
        <v>16126.67</v>
      </c>
      <c r="R22" s="2">
        <v>17746.25</v>
      </c>
      <c r="S22" s="2">
        <v>18545.8</v>
      </c>
    </row>
    <row r="23" spans="1:19" x14ac:dyDescent="0.25">
      <c r="A23" t="s">
        <v>17</v>
      </c>
    </row>
    <row r="24" spans="1:19" x14ac:dyDescent="0.25">
      <c r="A24" t="s">
        <v>37</v>
      </c>
    </row>
    <row r="25" spans="1:19" x14ac:dyDescent="0.25">
      <c r="A25" t="s">
        <v>17</v>
      </c>
    </row>
    <row r="26" spans="1:19" x14ac:dyDescent="0.25">
      <c r="A26" t="s">
        <v>2898</v>
      </c>
    </row>
    <row r="27" spans="1:19" x14ac:dyDescent="0.25">
      <c r="A27" t="s">
        <v>2899</v>
      </c>
    </row>
    <row r="28" spans="1:19" x14ac:dyDescent="0.25">
      <c r="A28" t="s">
        <v>2900</v>
      </c>
      <c r="H28">
        <v>2</v>
      </c>
      <c r="I28">
        <v>-2</v>
      </c>
      <c r="J28">
        <v>8</v>
      </c>
      <c r="K28">
        <v>1</v>
      </c>
      <c r="L28">
        <v>-1</v>
      </c>
      <c r="M28">
        <v>0</v>
      </c>
      <c r="N28">
        <v>0</v>
      </c>
      <c r="O28">
        <v>1.84</v>
      </c>
      <c r="P28">
        <v>2.77</v>
      </c>
      <c r="Q28">
        <v>3.35</v>
      </c>
      <c r="R28">
        <v>2.95</v>
      </c>
      <c r="S28">
        <v>2</v>
      </c>
    </row>
    <row r="29" spans="1:19" x14ac:dyDescent="0.25">
      <c r="A29" t="s">
        <v>2901</v>
      </c>
      <c r="H29">
        <v>2</v>
      </c>
      <c r="I29">
        <v>2</v>
      </c>
      <c r="J29">
        <v>3</v>
      </c>
      <c r="K29">
        <v>7</v>
      </c>
      <c r="L29">
        <v>6</v>
      </c>
      <c r="M29">
        <v>2</v>
      </c>
      <c r="N29">
        <v>2</v>
      </c>
      <c r="O29">
        <v>2.82</v>
      </c>
      <c r="P29">
        <v>2.4700000000000002</v>
      </c>
      <c r="Q29">
        <v>2.23</v>
      </c>
      <c r="R29">
        <v>2.08</v>
      </c>
      <c r="S29">
        <v>2</v>
      </c>
    </row>
    <row r="30" spans="1:19" x14ac:dyDescent="0.25">
      <c r="A30" t="s">
        <v>2902</v>
      </c>
      <c r="H30">
        <v>-1</v>
      </c>
      <c r="I30">
        <v>-1</v>
      </c>
      <c r="J30">
        <v>3</v>
      </c>
      <c r="K30">
        <v>6</v>
      </c>
      <c r="L30">
        <v>-3</v>
      </c>
      <c r="M30">
        <v>-1</v>
      </c>
      <c r="N30">
        <v>0</v>
      </c>
    </row>
    <row r="31" spans="1:19" x14ac:dyDescent="0.25">
      <c r="A31" t="s">
        <v>2903</v>
      </c>
      <c r="H31">
        <v>-4</v>
      </c>
      <c r="I31">
        <v>-1</v>
      </c>
      <c r="J31">
        <v>2</v>
      </c>
      <c r="K31">
        <v>-5</v>
      </c>
      <c r="L31">
        <v>-1</v>
      </c>
      <c r="M31">
        <v>-1</v>
      </c>
      <c r="N31">
        <v>0</v>
      </c>
      <c r="O31">
        <v>1.97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2904</v>
      </c>
      <c r="H32">
        <v>1</v>
      </c>
      <c r="I32">
        <v>-1</v>
      </c>
      <c r="J32">
        <v>-3</v>
      </c>
      <c r="K32">
        <v>-1</v>
      </c>
      <c r="L32">
        <v>-1</v>
      </c>
      <c r="M32">
        <v>0</v>
      </c>
      <c r="N32">
        <v>1</v>
      </c>
      <c r="O32">
        <v>0.63</v>
      </c>
      <c r="P32">
        <v>0.83</v>
      </c>
      <c r="Q32">
        <v>1</v>
      </c>
    </row>
    <row r="33" spans="1:17" x14ac:dyDescent="0.25">
      <c r="A33" t="s">
        <v>2896</v>
      </c>
      <c r="H33">
        <v>2</v>
      </c>
      <c r="I33">
        <v>0</v>
      </c>
      <c r="J33">
        <v>0</v>
      </c>
      <c r="K33">
        <v>0</v>
      </c>
      <c r="L33">
        <v>-2</v>
      </c>
      <c r="M33">
        <v>0</v>
      </c>
      <c r="N33">
        <v>2</v>
      </c>
      <c r="O33">
        <v>-0.06</v>
      </c>
      <c r="P33">
        <v>7.0000000000000007E-2</v>
      </c>
      <c r="Q33">
        <v>0.04</v>
      </c>
    </row>
    <row r="34" spans="1:17" x14ac:dyDescent="0.25">
      <c r="A34" t="s">
        <v>17</v>
      </c>
    </row>
    <row r="35" spans="1:17" x14ac:dyDescent="0.25">
      <c r="A35" t="s">
        <v>2905</v>
      </c>
    </row>
    <row r="36" spans="1:17" x14ac:dyDescent="0.25">
      <c r="A36" t="s">
        <v>2906</v>
      </c>
    </row>
    <row r="37" spans="1:17" x14ac:dyDescent="0.25">
      <c r="A37" t="s">
        <v>2907</v>
      </c>
    </row>
    <row r="38" spans="1:17" x14ac:dyDescent="0.25">
      <c r="A38" t="s">
        <v>2908</v>
      </c>
    </row>
    <row r="39" spans="1:17" x14ac:dyDescent="0.25">
      <c r="A39" t="s">
        <v>2909</v>
      </c>
    </row>
    <row r="40" spans="1:17" x14ac:dyDescent="0.25">
      <c r="A40" t="s">
        <v>2910</v>
      </c>
    </row>
    <row r="41" spans="1:17" x14ac:dyDescent="0.25">
      <c r="A41" t="s">
        <v>2911</v>
      </c>
    </row>
    <row r="42" spans="1:17" x14ac:dyDescent="0.25">
      <c r="A42" t="s">
        <v>2912</v>
      </c>
    </row>
    <row r="43" spans="1:17" x14ac:dyDescent="0.25">
      <c r="A43" t="s">
        <v>2913</v>
      </c>
    </row>
    <row r="44" spans="1:17" x14ac:dyDescent="0.25">
      <c r="A44" t="s">
        <v>2914</v>
      </c>
    </row>
    <row r="45" spans="1:17" x14ac:dyDescent="0.25">
      <c r="A45" t="s">
        <v>17</v>
      </c>
    </row>
    <row r="46" spans="1:17" x14ac:dyDescent="0.25">
      <c r="A46" t="s">
        <v>2915</v>
      </c>
    </row>
    <row r="47" spans="1:17" x14ac:dyDescent="0.25">
      <c r="A47" t="s">
        <v>2907</v>
      </c>
    </row>
    <row r="48" spans="1:17" x14ac:dyDescent="0.25">
      <c r="A48" t="s">
        <v>2908</v>
      </c>
    </row>
    <row r="49" spans="1:19" x14ac:dyDescent="0.25">
      <c r="A49" t="s">
        <v>2909</v>
      </c>
    </row>
    <row r="50" spans="1:19" x14ac:dyDescent="0.25">
      <c r="A50" t="s">
        <v>2910</v>
      </c>
    </row>
    <row r="51" spans="1:19" x14ac:dyDescent="0.25">
      <c r="A51" t="s">
        <v>2916</v>
      </c>
    </row>
    <row r="52" spans="1:19" x14ac:dyDescent="0.25">
      <c r="A52" t="s">
        <v>2917</v>
      </c>
    </row>
    <row r="53" spans="1:19" x14ac:dyDescent="0.25">
      <c r="A53" t="s">
        <v>2918</v>
      </c>
    </row>
    <row r="54" spans="1:19" x14ac:dyDescent="0.25">
      <c r="A54" t="s">
        <v>2919</v>
      </c>
      <c r="O54">
        <v>14</v>
      </c>
    </row>
    <row r="55" spans="1:19" x14ac:dyDescent="0.25">
      <c r="A55" t="s">
        <v>17</v>
      </c>
    </row>
    <row r="56" spans="1:19" x14ac:dyDescent="0.25">
      <c r="A56" t="s">
        <v>72</v>
      </c>
    </row>
    <row r="57" spans="1:19" x14ac:dyDescent="0.25">
      <c r="A57" t="s">
        <v>2920</v>
      </c>
    </row>
    <row r="58" spans="1:19" x14ac:dyDescent="0.25">
      <c r="A58" t="s">
        <v>60</v>
      </c>
      <c r="G58" s="2">
        <v>8017</v>
      </c>
      <c r="H58" s="2">
        <v>10993</v>
      </c>
      <c r="I58" s="2">
        <v>10459</v>
      </c>
      <c r="J58" s="2">
        <v>12103</v>
      </c>
      <c r="K58" s="2">
        <v>13874</v>
      </c>
      <c r="L58" s="2">
        <v>14304</v>
      </c>
      <c r="M58" s="2">
        <v>14442</v>
      </c>
      <c r="N58" s="2">
        <v>15208</v>
      </c>
      <c r="O58" s="2">
        <v>16233.3</v>
      </c>
      <c r="P58" s="2">
        <v>17091.61</v>
      </c>
      <c r="Q58" s="2">
        <v>18123.04</v>
      </c>
      <c r="R58" s="2">
        <v>18731.5</v>
      </c>
      <c r="S58" s="2">
        <v>18301.939999999999</v>
      </c>
    </row>
    <row r="59" spans="1:19" x14ac:dyDescent="0.25">
      <c r="A59" t="s">
        <v>2921</v>
      </c>
      <c r="G59" s="2">
        <v>2775</v>
      </c>
      <c r="H59" s="2">
        <v>2946</v>
      </c>
      <c r="I59" s="2">
        <v>2839</v>
      </c>
      <c r="J59" s="2">
        <v>3279</v>
      </c>
      <c r="K59" s="2">
        <v>3786</v>
      </c>
      <c r="L59" s="2">
        <v>4370</v>
      </c>
      <c r="M59" s="2">
        <v>4572</v>
      </c>
      <c r="N59" s="2">
        <v>4892</v>
      </c>
      <c r="O59" s="2">
        <v>4904.29</v>
      </c>
      <c r="P59" s="2">
        <v>5258.92</v>
      </c>
      <c r="Q59" s="2">
        <v>5615.21</v>
      </c>
      <c r="R59" s="2">
        <v>6099.65</v>
      </c>
    </row>
    <row r="60" spans="1:19" x14ac:dyDescent="0.25">
      <c r="A60" t="s">
        <v>2922</v>
      </c>
      <c r="G60" s="2">
        <v>2405</v>
      </c>
      <c r="H60" s="2">
        <v>2758</v>
      </c>
      <c r="I60" s="2">
        <v>2513</v>
      </c>
      <c r="J60" s="2">
        <v>3225</v>
      </c>
      <c r="K60" s="2">
        <v>4048</v>
      </c>
      <c r="L60" s="2">
        <v>3246</v>
      </c>
      <c r="M60" s="2">
        <v>3239</v>
      </c>
      <c r="N60" s="2">
        <v>3609</v>
      </c>
      <c r="O60" s="2">
        <v>3703.97</v>
      </c>
      <c r="P60" s="2">
        <v>3880.43</v>
      </c>
      <c r="Q60" s="2">
        <v>4081.33</v>
      </c>
      <c r="R60" s="2">
        <v>4339.41</v>
      </c>
    </row>
    <row r="61" spans="1:19" x14ac:dyDescent="0.25">
      <c r="A61" t="s">
        <v>2923</v>
      </c>
      <c r="G61" s="2">
        <v>2800</v>
      </c>
      <c r="H61" s="2">
        <v>5185</v>
      </c>
      <c r="I61" s="2">
        <v>5034</v>
      </c>
      <c r="J61" s="2">
        <v>5456</v>
      </c>
      <c r="K61" s="2">
        <v>5831</v>
      </c>
      <c r="L61" s="2">
        <v>6457</v>
      </c>
      <c r="M61" s="2">
        <v>6414</v>
      </c>
      <c r="N61" s="2">
        <v>6460</v>
      </c>
      <c r="O61" s="2">
        <v>6835.9</v>
      </c>
      <c r="P61" s="2">
        <v>7269.12</v>
      </c>
      <c r="Q61" s="2">
        <v>7815.24</v>
      </c>
      <c r="R61" s="2">
        <v>8369.91</v>
      </c>
    </row>
    <row r="62" spans="1:19" x14ac:dyDescent="0.25">
      <c r="A62" t="s">
        <v>78</v>
      </c>
      <c r="G62">
        <v>37</v>
      </c>
      <c r="H62">
        <v>104</v>
      </c>
      <c r="I62">
        <v>73</v>
      </c>
      <c r="J62">
        <v>143</v>
      </c>
      <c r="K62">
        <v>209</v>
      </c>
      <c r="L62">
        <v>231</v>
      </c>
      <c r="M62">
        <v>217</v>
      </c>
      <c r="N62">
        <v>247</v>
      </c>
      <c r="O62">
        <v>215.58</v>
      </c>
      <c r="P62">
        <v>188.3</v>
      </c>
      <c r="Q62">
        <v>-40.79</v>
      </c>
      <c r="R62">
        <v>319.98</v>
      </c>
    </row>
    <row r="63" spans="1:19" x14ac:dyDescent="0.25">
      <c r="A63" t="s">
        <v>2924</v>
      </c>
      <c r="G63">
        <v>11</v>
      </c>
      <c r="H63">
        <v>37</v>
      </c>
      <c r="I63">
        <v>-5</v>
      </c>
      <c r="J63">
        <v>16</v>
      </c>
      <c r="K63">
        <v>15</v>
      </c>
      <c r="L63">
        <v>3</v>
      </c>
      <c r="M63">
        <v>1</v>
      </c>
      <c r="N63">
        <v>5</v>
      </c>
    </row>
    <row r="64" spans="1:19" x14ac:dyDescent="0.25">
      <c r="A64" t="s">
        <v>2925</v>
      </c>
      <c r="O64">
        <v>5.1100000000000003</v>
      </c>
      <c r="P64">
        <v>6.85</v>
      </c>
      <c r="Q64">
        <v>7.17</v>
      </c>
      <c r="R64">
        <v>7.37</v>
      </c>
      <c r="S64">
        <v>7.63</v>
      </c>
    </row>
    <row r="65" spans="1:19" x14ac:dyDescent="0.25">
      <c r="A65" t="s">
        <v>2926</v>
      </c>
      <c r="G65">
        <v>3</v>
      </c>
      <c r="H65">
        <v>0</v>
      </c>
      <c r="I65">
        <v>-2</v>
      </c>
      <c r="J65">
        <v>9</v>
      </c>
      <c r="K65">
        <v>4</v>
      </c>
      <c r="L65">
        <v>0</v>
      </c>
      <c r="M65">
        <v>0</v>
      </c>
      <c r="N65">
        <v>1</v>
      </c>
      <c r="O65">
        <v>2.27</v>
      </c>
      <c r="P65">
        <v>3.42</v>
      </c>
      <c r="Q65">
        <v>4.21</v>
      </c>
      <c r="R65">
        <v>4.5</v>
      </c>
      <c r="S65">
        <v>2</v>
      </c>
    </row>
    <row r="66" spans="1:19" x14ac:dyDescent="0.25">
      <c r="A66" t="s">
        <v>2927</v>
      </c>
      <c r="G66">
        <v>2</v>
      </c>
      <c r="H66">
        <v>3</v>
      </c>
      <c r="I66">
        <v>2</v>
      </c>
      <c r="J66">
        <v>3</v>
      </c>
      <c r="K66">
        <v>6</v>
      </c>
      <c r="L66">
        <v>6</v>
      </c>
      <c r="M66">
        <v>3</v>
      </c>
      <c r="N66">
        <v>3</v>
      </c>
      <c r="O66">
        <v>2.06</v>
      </c>
      <c r="P66">
        <v>1.97</v>
      </c>
      <c r="Q66">
        <v>1.81</v>
      </c>
      <c r="R66">
        <v>1.78</v>
      </c>
      <c r="S66">
        <v>1.48</v>
      </c>
    </row>
    <row r="67" spans="1:19" x14ac:dyDescent="0.25">
      <c r="A67" t="s">
        <v>2928</v>
      </c>
      <c r="G67">
        <v>1</v>
      </c>
      <c r="H67">
        <v>-1</v>
      </c>
      <c r="I67">
        <v>-1</v>
      </c>
      <c r="J67">
        <v>3</v>
      </c>
      <c r="K67">
        <v>5</v>
      </c>
      <c r="L67">
        <v>-6</v>
      </c>
      <c r="M67">
        <v>-1</v>
      </c>
      <c r="O67">
        <v>0.78</v>
      </c>
      <c r="P67">
        <v>0.93</v>
      </c>
      <c r="Q67">
        <v>1.26</v>
      </c>
      <c r="R67">
        <v>0</v>
      </c>
      <c r="S67">
        <v>0</v>
      </c>
    </row>
    <row r="68" spans="1:19" x14ac:dyDescent="0.25">
      <c r="A68" t="s">
        <v>2929</v>
      </c>
      <c r="G68">
        <v>-2</v>
      </c>
      <c r="H68">
        <v>-2</v>
      </c>
      <c r="I68">
        <v>-3</v>
      </c>
      <c r="J68">
        <v>1</v>
      </c>
      <c r="K68">
        <v>0</v>
      </c>
      <c r="L68">
        <v>0</v>
      </c>
      <c r="M68">
        <v>-2</v>
      </c>
      <c r="N68">
        <v>-1</v>
      </c>
      <c r="O68">
        <v>1.23</v>
      </c>
      <c r="P68">
        <v>0.08</v>
      </c>
    </row>
    <row r="69" spans="1:19" x14ac:dyDescent="0.25">
      <c r="A69" t="s">
        <v>2930</v>
      </c>
      <c r="G69">
        <v>7</v>
      </c>
      <c r="H69">
        <v>37</v>
      </c>
      <c r="I69">
        <v>-1</v>
      </c>
      <c r="J69">
        <v>0</v>
      </c>
      <c r="K69">
        <v>0</v>
      </c>
      <c r="L69">
        <v>3</v>
      </c>
      <c r="M69">
        <v>1</v>
      </c>
      <c r="N69">
        <v>1</v>
      </c>
      <c r="O69">
        <v>0.47</v>
      </c>
      <c r="P69">
        <v>0.33</v>
      </c>
      <c r="Q69">
        <v>0.63</v>
      </c>
      <c r="R69">
        <v>0.25</v>
      </c>
      <c r="S69">
        <v>0.25</v>
      </c>
    </row>
    <row r="70" spans="1:19" x14ac:dyDescent="0.25">
      <c r="A70" t="s">
        <v>116</v>
      </c>
      <c r="G70" s="2">
        <v>2053</v>
      </c>
      <c r="H70" s="2">
        <v>2578</v>
      </c>
      <c r="I70" s="2">
        <v>2773</v>
      </c>
      <c r="J70" s="2">
        <v>3368</v>
      </c>
      <c r="K70" s="2">
        <v>3732</v>
      </c>
      <c r="L70" s="2">
        <v>4244</v>
      </c>
      <c r="M70" s="2">
        <v>4550</v>
      </c>
      <c r="N70" s="2">
        <v>4747</v>
      </c>
      <c r="O70" s="2">
        <v>5088.25</v>
      </c>
      <c r="P70" s="2">
        <v>5513.24</v>
      </c>
      <c r="Q70" s="2">
        <v>6017.75</v>
      </c>
      <c r="R70" s="2">
        <v>6683.3</v>
      </c>
      <c r="S70" s="2">
        <v>6523.13</v>
      </c>
    </row>
    <row r="71" spans="1:19" x14ac:dyDescent="0.25">
      <c r="A71" t="s">
        <v>269</v>
      </c>
      <c r="G71">
        <v>25.6</v>
      </c>
      <c r="H71">
        <v>23.5</v>
      </c>
      <c r="I71">
        <v>26.5</v>
      </c>
      <c r="J71">
        <v>27.8</v>
      </c>
      <c r="K71">
        <v>26.9</v>
      </c>
      <c r="L71">
        <v>29.7</v>
      </c>
      <c r="M71">
        <v>31.5</v>
      </c>
      <c r="N71">
        <v>31.2</v>
      </c>
      <c r="O71">
        <v>31.43</v>
      </c>
      <c r="P71">
        <v>32.26</v>
      </c>
      <c r="Q71">
        <v>33.07</v>
      </c>
      <c r="R71">
        <v>35.01</v>
      </c>
      <c r="S71">
        <v>35.229999999999997</v>
      </c>
    </row>
    <row r="72" spans="1:19" x14ac:dyDescent="0.25">
      <c r="A72" t="s">
        <v>17</v>
      </c>
    </row>
    <row r="73" spans="1:19" x14ac:dyDescent="0.25">
      <c r="A73" t="s">
        <v>1896</v>
      </c>
    </row>
    <row r="74" spans="1:19" x14ac:dyDescent="0.25">
      <c r="A74" t="s">
        <v>60</v>
      </c>
      <c r="G74" s="2">
        <v>2644</v>
      </c>
      <c r="H74" s="2">
        <v>6643</v>
      </c>
      <c r="I74" s="2">
        <v>6449</v>
      </c>
      <c r="J74" s="2">
        <v>7643</v>
      </c>
      <c r="K74" s="2">
        <v>8443</v>
      </c>
      <c r="L74" s="2">
        <v>8542</v>
      </c>
      <c r="M74" s="2">
        <v>8352</v>
      </c>
      <c r="N74" s="2">
        <v>8549</v>
      </c>
      <c r="O74" s="2">
        <v>9007.52</v>
      </c>
      <c r="P74" s="2">
        <v>9313.49</v>
      </c>
      <c r="Q74" s="2">
        <v>9657.14</v>
      </c>
      <c r="R74" s="2">
        <v>9987.58</v>
      </c>
      <c r="S74" s="2">
        <v>9936.6200000000008</v>
      </c>
    </row>
    <row r="75" spans="1:19" x14ac:dyDescent="0.25">
      <c r="A75" t="s">
        <v>2921</v>
      </c>
      <c r="G75">
        <v>832</v>
      </c>
      <c r="H75" s="2">
        <v>1856</v>
      </c>
      <c r="I75" s="2">
        <v>1870</v>
      </c>
      <c r="J75" s="2">
        <v>2227</v>
      </c>
      <c r="K75" s="2">
        <v>2509</v>
      </c>
      <c r="L75" s="2">
        <v>2773</v>
      </c>
      <c r="M75" s="2">
        <v>2765</v>
      </c>
      <c r="N75" s="2">
        <v>2860</v>
      </c>
      <c r="O75" s="2">
        <v>2854.81</v>
      </c>
      <c r="P75" s="2">
        <v>6060.73</v>
      </c>
      <c r="Q75" s="2">
        <v>9529.18</v>
      </c>
      <c r="R75" s="2">
        <v>3349.74</v>
      </c>
    </row>
    <row r="76" spans="1:19" x14ac:dyDescent="0.25">
      <c r="A76" t="s">
        <v>2922</v>
      </c>
      <c r="G76">
        <v>536</v>
      </c>
      <c r="H76" s="2">
        <v>1434</v>
      </c>
      <c r="I76" s="2">
        <v>1354</v>
      </c>
      <c r="J76" s="2">
        <v>1824</v>
      </c>
      <c r="K76" s="2">
        <v>2415</v>
      </c>
      <c r="L76" s="2">
        <v>1980</v>
      </c>
      <c r="M76" s="2">
        <v>1722</v>
      </c>
      <c r="N76" s="2">
        <v>1685</v>
      </c>
      <c r="O76" s="2">
        <v>1783.16</v>
      </c>
      <c r="P76" s="2">
        <v>1854.69</v>
      </c>
      <c r="Q76" s="2">
        <v>1929.27</v>
      </c>
      <c r="R76" s="2">
        <v>2087.58</v>
      </c>
    </row>
    <row r="77" spans="1:19" x14ac:dyDescent="0.25">
      <c r="A77" t="s">
        <v>2923</v>
      </c>
      <c r="G77" s="2">
        <v>1271</v>
      </c>
      <c r="H77" s="2">
        <v>3347</v>
      </c>
      <c r="I77" s="2">
        <v>3175</v>
      </c>
      <c r="J77" s="2">
        <v>3539</v>
      </c>
      <c r="K77" s="2">
        <v>3466</v>
      </c>
      <c r="L77" s="2">
        <v>3735</v>
      </c>
      <c r="M77" s="2">
        <v>3805</v>
      </c>
      <c r="N77" s="2">
        <v>3970</v>
      </c>
      <c r="O77" s="2">
        <v>3924.95</v>
      </c>
      <c r="P77" s="2">
        <v>7174</v>
      </c>
      <c r="Q77" s="2">
        <v>10682.66</v>
      </c>
      <c r="R77" s="2">
        <v>4640.75</v>
      </c>
    </row>
    <row r="78" spans="1:19" x14ac:dyDescent="0.25">
      <c r="A78" t="s">
        <v>78</v>
      </c>
      <c r="G78">
        <v>5</v>
      </c>
      <c r="H78">
        <v>6</v>
      </c>
      <c r="I78">
        <v>50</v>
      </c>
      <c r="J78">
        <v>53</v>
      </c>
      <c r="K78">
        <v>53</v>
      </c>
      <c r="L78">
        <v>54</v>
      </c>
      <c r="M78">
        <v>60</v>
      </c>
      <c r="N78">
        <v>34</v>
      </c>
      <c r="O78">
        <v>-19.88</v>
      </c>
      <c r="P78">
        <v>-116.27</v>
      </c>
      <c r="Q78">
        <v>-175.23</v>
      </c>
      <c r="R78">
        <v>70.180000000000007</v>
      </c>
    </row>
    <row r="79" spans="1:19" x14ac:dyDescent="0.25">
      <c r="A79" t="s">
        <v>2924</v>
      </c>
      <c r="G79">
        <v>74</v>
      </c>
      <c r="H79">
        <v>151</v>
      </c>
      <c r="I79">
        <v>-3</v>
      </c>
      <c r="J79">
        <v>19</v>
      </c>
      <c r="K79">
        <v>10</v>
      </c>
      <c r="L79">
        <v>1</v>
      </c>
      <c r="M79">
        <v>-2</v>
      </c>
      <c r="N79">
        <v>2</v>
      </c>
    </row>
    <row r="80" spans="1:19" x14ac:dyDescent="0.25">
      <c r="A80" t="s">
        <v>2925</v>
      </c>
      <c r="O80">
        <v>2.17</v>
      </c>
      <c r="P80">
        <v>4.09</v>
      </c>
      <c r="Q80">
        <v>4.3</v>
      </c>
      <c r="R80">
        <v>4.17</v>
      </c>
      <c r="S80">
        <v>3</v>
      </c>
    </row>
    <row r="81" spans="1:19" x14ac:dyDescent="0.25">
      <c r="A81" t="s">
        <v>2926</v>
      </c>
      <c r="G81">
        <v>1</v>
      </c>
      <c r="H81">
        <v>-1</v>
      </c>
      <c r="I81">
        <v>-3</v>
      </c>
      <c r="J81">
        <v>5</v>
      </c>
      <c r="K81">
        <v>-3</v>
      </c>
      <c r="L81">
        <v>-4</v>
      </c>
      <c r="M81">
        <v>-1</v>
      </c>
      <c r="N81">
        <v>-3</v>
      </c>
      <c r="O81">
        <v>-0.91</v>
      </c>
      <c r="P81">
        <v>1.79</v>
      </c>
      <c r="Q81">
        <v>1.95</v>
      </c>
      <c r="R81">
        <v>2.17</v>
      </c>
      <c r="S81">
        <v>0.5</v>
      </c>
    </row>
    <row r="82" spans="1:19" x14ac:dyDescent="0.25">
      <c r="A82" t="s">
        <v>2927</v>
      </c>
      <c r="G82">
        <v>2</v>
      </c>
      <c r="H82">
        <v>1</v>
      </c>
      <c r="I82">
        <v>2</v>
      </c>
      <c r="J82">
        <v>4</v>
      </c>
      <c r="K82">
        <v>13</v>
      </c>
      <c r="L82">
        <v>9</v>
      </c>
      <c r="M82">
        <v>3</v>
      </c>
      <c r="N82">
        <v>2</v>
      </c>
      <c r="O82">
        <v>1.98</v>
      </c>
      <c r="P82">
        <v>1.88</v>
      </c>
      <c r="Q82">
        <v>1.95</v>
      </c>
      <c r="R82">
        <v>1.82</v>
      </c>
      <c r="S82">
        <v>1.83</v>
      </c>
    </row>
    <row r="83" spans="1:19" x14ac:dyDescent="0.25">
      <c r="A83" t="s">
        <v>2928</v>
      </c>
      <c r="G83">
        <v>2</v>
      </c>
      <c r="H83">
        <v>-1</v>
      </c>
      <c r="I83">
        <v>-1</v>
      </c>
      <c r="J83">
        <v>6</v>
      </c>
      <c r="K83">
        <v>13</v>
      </c>
      <c r="L83">
        <v>-3</v>
      </c>
      <c r="M83">
        <v>-4</v>
      </c>
      <c r="O83">
        <v>1.71</v>
      </c>
      <c r="P83">
        <v>0.91</v>
      </c>
      <c r="Q83">
        <v>3</v>
      </c>
      <c r="R83">
        <v>0</v>
      </c>
      <c r="S83">
        <v>0</v>
      </c>
    </row>
    <row r="84" spans="1:19" x14ac:dyDescent="0.25">
      <c r="A84" t="s">
        <v>2929</v>
      </c>
      <c r="G84">
        <v>4</v>
      </c>
      <c r="H84">
        <v>-1</v>
      </c>
      <c r="I84">
        <v>0</v>
      </c>
      <c r="J84">
        <v>5</v>
      </c>
      <c r="K84">
        <v>-11</v>
      </c>
      <c r="L84">
        <v>1</v>
      </c>
      <c r="M84">
        <v>0</v>
      </c>
      <c r="N84">
        <v>3</v>
      </c>
      <c r="O84">
        <v>3.27</v>
      </c>
      <c r="P84">
        <v>-1.45</v>
      </c>
      <c r="Q84">
        <v>-3.5</v>
      </c>
      <c r="R84">
        <v>0</v>
      </c>
      <c r="S84">
        <v>0</v>
      </c>
    </row>
    <row r="85" spans="1:19" x14ac:dyDescent="0.25">
      <c r="A85" t="s">
        <v>2930</v>
      </c>
      <c r="G85">
        <v>65</v>
      </c>
      <c r="H85">
        <v>153</v>
      </c>
      <c r="I85">
        <v>-1</v>
      </c>
      <c r="J85">
        <v>-1</v>
      </c>
      <c r="K85">
        <v>-2</v>
      </c>
      <c r="L85">
        <v>-2</v>
      </c>
      <c r="M85">
        <v>0</v>
      </c>
      <c r="N85">
        <v>0</v>
      </c>
      <c r="O85">
        <v>0.57999999999999996</v>
      </c>
      <c r="P85">
        <v>0.57999999999999996</v>
      </c>
      <c r="Q85">
        <v>0.5</v>
      </c>
      <c r="R85">
        <v>0</v>
      </c>
      <c r="S85">
        <v>0</v>
      </c>
    </row>
    <row r="86" spans="1:19" x14ac:dyDescent="0.25">
      <c r="A86" t="s">
        <v>116</v>
      </c>
      <c r="G86">
        <v>481</v>
      </c>
      <c r="H86" s="2">
        <v>1367</v>
      </c>
      <c r="I86" s="2">
        <v>1465</v>
      </c>
      <c r="J86" s="2">
        <v>1889</v>
      </c>
      <c r="K86" s="2">
        <v>2013</v>
      </c>
      <c r="L86" s="2">
        <v>2486</v>
      </c>
      <c r="M86" s="2">
        <v>2780</v>
      </c>
      <c r="N86" s="2">
        <v>3055</v>
      </c>
      <c r="O86" s="2">
        <v>3192.69</v>
      </c>
      <c r="P86" s="2">
        <v>3310.94</v>
      </c>
      <c r="Q86" s="2">
        <v>3459.82</v>
      </c>
      <c r="R86" s="2">
        <v>3743.09</v>
      </c>
      <c r="S86" s="2">
        <v>3676.18</v>
      </c>
    </row>
    <row r="87" spans="1:19" x14ac:dyDescent="0.25">
      <c r="A87" t="s">
        <v>269</v>
      </c>
      <c r="G87">
        <v>18.2</v>
      </c>
      <c r="H87">
        <v>20.6</v>
      </c>
      <c r="I87">
        <v>22.7</v>
      </c>
      <c r="J87">
        <v>24.7</v>
      </c>
      <c r="K87">
        <v>23.8</v>
      </c>
      <c r="L87">
        <v>29.1</v>
      </c>
      <c r="M87">
        <v>33.299999999999997</v>
      </c>
      <c r="N87">
        <v>35.700000000000003</v>
      </c>
      <c r="O87">
        <v>35.4</v>
      </c>
      <c r="P87">
        <v>35.090000000000003</v>
      </c>
      <c r="Q87">
        <v>35.130000000000003</v>
      </c>
      <c r="R87">
        <v>37.479999999999997</v>
      </c>
      <c r="S87">
        <v>37.659999999999997</v>
      </c>
    </row>
    <row r="88" spans="1:19" x14ac:dyDescent="0.25">
      <c r="A88" t="s">
        <v>17</v>
      </c>
    </row>
    <row r="89" spans="1:19" x14ac:dyDescent="0.25">
      <c r="A89" t="s">
        <v>1898</v>
      </c>
    </row>
    <row r="90" spans="1:19" x14ac:dyDescent="0.25">
      <c r="A90" t="s">
        <v>60</v>
      </c>
      <c r="G90" s="2">
        <v>2446</v>
      </c>
      <c r="H90" s="2">
        <v>5839</v>
      </c>
      <c r="I90" s="2">
        <v>5687</v>
      </c>
      <c r="J90" s="2">
        <v>6133</v>
      </c>
      <c r="K90" s="2">
        <v>6480</v>
      </c>
      <c r="L90" s="2">
        <v>6559</v>
      </c>
      <c r="M90" s="2">
        <v>6632</v>
      </c>
      <c r="N90" s="2">
        <v>6661</v>
      </c>
      <c r="O90" s="2">
        <v>7309.88</v>
      </c>
      <c r="P90" s="2">
        <v>7736.82</v>
      </c>
      <c r="Q90" s="2">
        <v>8098.24</v>
      </c>
      <c r="R90" s="2">
        <v>8525.36</v>
      </c>
      <c r="S90" s="2">
        <v>8704.18</v>
      </c>
    </row>
    <row r="91" spans="1:19" x14ac:dyDescent="0.25">
      <c r="A91" t="s">
        <v>2921</v>
      </c>
      <c r="G91">
        <v>826</v>
      </c>
      <c r="H91" s="2">
        <v>2080</v>
      </c>
      <c r="I91" s="2">
        <v>2005</v>
      </c>
      <c r="J91" s="2">
        <v>2181</v>
      </c>
      <c r="K91" s="2">
        <v>2220</v>
      </c>
      <c r="L91" s="2">
        <v>2242</v>
      </c>
      <c r="M91" s="2">
        <v>2233</v>
      </c>
      <c r="N91" s="2">
        <v>2213</v>
      </c>
      <c r="O91" s="2">
        <v>2422.12</v>
      </c>
      <c r="P91" s="2">
        <v>2559.65</v>
      </c>
      <c r="Q91" s="2">
        <v>2704.08</v>
      </c>
      <c r="R91" s="2">
        <v>2919.79</v>
      </c>
    </row>
    <row r="92" spans="1:19" x14ac:dyDescent="0.25">
      <c r="A92" t="s">
        <v>2922</v>
      </c>
      <c r="G92" s="2">
        <v>1156</v>
      </c>
      <c r="H92" s="2">
        <v>2060</v>
      </c>
      <c r="I92" s="2">
        <v>2049</v>
      </c>
      <c r="J92" s="2">
        <v>2296</v>
      </c>
      <c r="K92" s="2">
        <v>2471</v>
      </c>
      <c r="L92" s="2">
        <v>2599</v>
      </c>
      <c r="M92" s="2">
        <v>2695</v>
      </c>
      <c r="N92" s="2">
        <v>2789</v>
      </c>
      <c r="O92" s="2">
        <v>2933</v>
      </c>
      <c r="P92" s="2">
        <v>3075.29</v>
      </c>
      <c r="Q92" s="2">
        <v>3303.64</v>
      </c>
      <c r="R92" s="2">
        <v>3547.9</v>
      </c>
    </row>
    <row r="93" spans="1:19" x14ac:dyDescent="0.25">
      <c r="A93" t="s">
        <v>2923</v>
      </c>
      <c r="G93">
        <v>443</v>
      </c>
      <c r="H93" s="2">
        <v>1562</v>
      </c>
      <c r="I93" s="2">
        <v>1559</v>
      </c>
      <c r="J93" s="2">
        <v>1532</v>
      </c>
      <c r="K93" s="2">
        <v>1523</v>
      </c>
      <c r="L93" s="2">
        <v>1416</v>
      </c>
      <c r="M93" s="2">
        <v>1376</v>
      </c>
      <c r="N93" s="2">
        <v>1398</v>
      </c>
      <c r="O93" s="2">
        <v>1522.99</v>
      </c>
      <c r="P93" s="2">
        <v>1621.95</v>
      </c>
      <c r="Q93" s="2">
        <v>1717.6</v>
      </c>
      <c r="R93" s="2">
        <v>1857.33</v>
      </c>
    </row>
    <row r="94" spans="1:19" x14ac:dyDescent="0.25">
      <c r="A94" t="s">
        <v>1440</v>
      </c>
      <c r="G94">
        <v>21</v>
      </c>
      <c r="H94">
        <v>137</v>
      </c>
      <c r="I94">
        <v>74</v>
      </c>
      <c r="J94">
        <v>124</v>
      </c>
      <c r="K94">
        <v>266</v>
      </c>
      <c r="L94">
        <v>302</v>
      </c>
      <c r="M94">
        <v>328</v>
      </c>
      <c r="N94">
        <v>261</v>
      </c>
      <c r="O94">
        <v>495.58</v>
      </c>
      <c r="P94">
        <v>562.64</v>
      </c>
      <c r="Q94">
        <v>528.6</v>
      </c>
      <c r="R94">
        <v>504.81</v>
      </c>
    </row>
    <row r="95" spans="1:19" x14ac:dyDescent="0.25">
      <c r="A95" t="s">
        <v>2924</v>
      </c>
      <c r="G95">
        <v>56</v>
      </c>
      <c r="H95">
        <v>139</v>
      </c>
      <c r="I95">
        <v>-2</v>
      </c>
      <c r="J95">
        <v>8</v>
      </c>
      <c r="K95">
        <v>6</v>
      </c>
      <c r="L95">
        <v>1</v>
      </c>
      <c r="M95">
        <v>1</v>
      </c>
      <c r="N95">
        <v>0</v>
      </c>
    </row>
    <row r="96" spans="1:19" x14ac:dyDescent="0.25">
      <c r="A96" t="s">
        <v>2925</v>
      </c>
      <c r="O96">
        <v>6.75</v>
      </c>
      <c r="P96">
        <v>6.5</v>
      </c>
      <c r="Q96">
        <v>6.55</v>
      </c>
      <c r="R96">
        <v>6.25</v>
      </c>
      <c r="S96">
        <v>6.25</v>
      </c>
    </row>
    <row r="97" spans="1:19" x14ac:dyDescent="0.25">
      <c r="A97" t="s">
        <v>2926</v>
      </c>
      <c r="G97">
        <v>9</v>
      </c>
      <c r="H97">
        <v>4</v>
      </c>
      <c r="I97">
        <v>-2</v>
      </c>
      <c r="J97">
        <v>11</v>
      </c>
      <c r="K97">
        <v>5</v>
      </c>
      <c r="L97">
        <v>2</v>
      </c>
      <c r="M97">
        <v>2</v>
      </c>
      <c r="N97">
        <v>0</v>
      </c>
      <c r="O97">
        <v>5.4</v>
      </c>
      <c r="P97">
        <v>4.2</v>
      </c>
      <c r="Q97">
        <v>4.28</v>
      </c>
      <c r="R97">
        <v>4.25</v>
      </c>
    </row>
    <row r="98" spans="1:19" x14ac:dyDescent="0.25">
      <c r="A98" t="s">
        <v>2927</v>
      </c>
      <c r="G98">
        <v>2</v>
      </c>
      <c r="H98">
        <v>2</v>
      </c>
      <c r="I98">
        <v>1</v>
      </c>
      <c r="J98">
        <v>2</v>
      </c>
      <c r="K98">
        <v>5</v>
      </c>
      <c r="L98">
        <v>4</v>
      </c>
      <c r="M98">
        <v>0</v>
      </c>
      <c r="N98">
        <v>0</v>
      </c>
      <c r="O98">
        <v>1.7</v>
      </c>
      <c r="P98">
        <v>1.94</v>
      </c>
      <c r="Q98">
        <v>2.14</v>
      </c>
      <c r="R98">
        <v>2</v>
      </c>
      <c r="S98">
        <v>1.8</v>
      </c>
    </row>
    <row r="99" spans="1:19" x14ac:dyDescent="0.25">
      <c r="A99" t="s">
        <v>2928</v>
      </c>
      <c r="G99">
        <v>1</v>
      </c>
      <c r="H99">
        <v>0</v>
      </c>
      <c r="I99">
        <v>-1</v>
      </c>
      <c r="J99">
        <v>2</v>
      </c>
      <c r="K99">
        <v>2</v>
      </c>
      <c r="L99">
        <v>-1</v>
      </c>
      <c r="M99">
        <v>1</v>
      </c>
      <c r="O99">
        <v>0.69</v>
      </c>
      <c r="P99">
        <v>0.09</v>
      </c>
      <c r="Q99">
        <v>0.5</v>
      </c>
      <c r="R99">
        <v>0</v>
      </c>
      <c r="S99">
        <v>0</v>
      </c>
    </row>
    <row r="100" spans="1:19" x14ac:dyDescent="0.25">
      <c r="A100" t="s">
        <v>2929</v>
      </c>
      <c r="G100">
        <v>1</v>
      </c>
      <c r="H100">
        <v>-3</v>
      </c>
      <c r="I100">
        <v>0</v>
      </c>
      <c r="J100">
        <v>5</v>
      </c>
      <c r="K100">
        <v>-6</v>
      </c>
      <c r="L100">
        <v>-4</v>
      </c>
      <c r="M100">
        <v>-2</v>
      </c>
      <c r="N100">
        <v>-1</v>
      </c>
      <c r="O100">
        <v>1.89</v>
      </c>
      <c r="P100">
        <v>-0.27</v>
      </c>
      <c r="Q100">
        <v>-1.67</v>
      </c>
      <c r="R100">
        <v>0</v>
      </c>
      <c r="S100">
        <v>0</v>
      </c>
    </row>
    <row r="101" spans="1:19" x14ac:dyDescent="0.25">
      <c r="A101" t="s">
        <v>2930</v>
      </c>
      <c r="G101">
        <v>43</v>
      </c>
      <c r="H101">
        <v>136</v>
      </c>
      <c r="I101">
        <v>0</v>
      </c>
      <c r="J101">
        <v>-12</v>
      </c>
      <c r="K101">
        <v>0</v>
      </c>
      <c r="L101">
        <v>0</v>
      </c>
      <c r="M101">
        <v>0</v>
      </c>
      <c r="N101">
        <v>2</v>
      </c>
      <c r="O101">
        <v>0.67</v>
      </c>
      <c r="P101">
        <v>0.63</v>
      </c>
      <c r="Q101">
        <v>0.63</v>
      </c>
      <c r="R101">
        <v>0.25</v>
      </c>
      <c r="S101">
        <v>0.25</v>
      </c>
    </row>
    <row r="102" spans="1:19" x14ac:dyDescent="0.25">
      <c r="A102" t="s">
        <v>116</v>
      </c>
      <c r="G102">
        <v>465</v>
      </c>
      <c r="H102" s="2">
        <v>1198</v>
      </c>
      <c r="I102" s="2">
        <v>1277</v>
      </c>
      <c r="J102" s="2">
        <v>1502</v>
      </c>
      <c r="K102" s="2">
        <v>1670</v>
      </c>
      <c r="L102" s="2">
        <v>1806</v>
      </c>
      <c r="M102" s="2">
        <v>1918</v>
      </c>
      <c r="N102" s="2">
        <v>1933</v>
      </c>
      <c r="O102" s="2">
        <v>2111.12</v>
      </c>
      <c r="P102" s="2">
        <v>2302.14</v>
      </c>
      <c r="Q102" s="2">
        <v>2465.12</v>
      </c>
      <c r="R102" s="2">
        <v>2674.15</v>
      </c>
      <c r="S102" s="2">
        <v>2733.89</v>
      </c>
    </row>
    <row r="103" spans="1:19" x14ac:dyDescent="0.25">
      <c r="A103" t="s">
        <v>269</v>
      </c>
      <c r="G103">
        <v>19</v>
      </c>
      <c r="H103">
        <v>20.5</v>
      </c>
      <c r="I103">
        <v>22.5</v>
      </c>
      <c r="J103">
        <v>24.5</v>
      </c>
      <c r="K103">
        <v>25.8</v>
      </c>
      <c r="L103">
        <v>27.5</v>
      </c>
      <c r="M103">
        <v>28.9</v>
      </c>
      <c r="N103">
        <v>29</v>
      </c>
      <c r="O103">
        <v>28.72</v>
      </c>
      <c r="P103">
        <v>30.13</v>
      </c>
      <c r="Q103">
        <v>30.94</v>
      </c>
      <c r="R103">
        <v>32.659999999999997</v>
      </c>
      <c r="S103">
        <v>33.74</v>
      </c>
    </row>
    <row r="104" spans="1:19" x14ac:dyDescent="0.25">
      <c r="A104" t="s">
        <v>17</v>
      </c>
    </row>
    <row r="105" spans="1:19" x14ac:dyDescent="0.25">
      <c r="A105" t="s">
        <v>2931</v>
      </c>
    </row>
    <row r="106" spans="1:19" x14ac:dyDescent="0.25">
      <c r="A106" t="s">
        <v>60</v>
      </c>
      <c r="G106">
        <v>459</v>
      </c>
      <c r="H106" s="2">
        <v>2799</v>
      </c>
      <c r="I106" s="2">
        <v>2851</v>
      </c>
      <c r="J106" s="2">
        <v>2867</v>
      </c>
      <c r="K106" s="2">
        <v>2762</v>
      </c>
      <c r="L106" s="2">
        <v>2160</v>
      </c>
      <c r="M106" s="2">
        <v>2322</v>
      </c>
      <c r="N106" s="2">
        <v>2250</v>
      </c>
      <c r="O106" s="2">
        <v>2329.4899999999998</v>
      </c>
      <c r="P106" s="2">
        <v>2419.0700000000002</v>
      </c>
      <c r="Q106" s="2">
        <v>2531.48</v>
      </c>
      <c r="R106" s="2">
        <v>2507.59</v>
      </c>
      <c r="S106" s="2">
        <v>2512.3000000000002</v>
      </c>
    </row>
    <row r="107" spans="1:19" x14ac:dyDescent="0.25">
      <c r="A107" t="s">
        <v>2924</v>
      </c>
      <c r="I107">
        <v>2</v>
      </c>
      <c r="J107">
        <v>1</v>
      </c>
      <c r="K107">
        <v>-4</v>
      </c>
      <c r="L107">
        <v>-22</v>
      </c>
      <c r="M107">
        <v>8</v>
      </c>
      <c r="N107">
        <v>-3</v>
      </c>
    </row>
    <row r="108" spans="1:19" x14ac:dyDescent="0.25">
      <c r="A108" t="s">
        <v>2926</v>
      </c>
      <c r="G108">
        <v>0</v>
      </c>
      <c r="H108">
        <v>8</v>
      </c>
      <c r="I108">
        <v>0</v>
      </c>
      <c r="J108">
        <v>-3</v>
      </c>
      <c r="K108">
        <v>5</v>
      </c>
      <c r="L108">
        <v>1</v>
      </c>
      <c r="M108">
        <v>0</v>
      </c>
      <c r="N108">
        <v>0</v>
      </c>
    </row>
    <row r="109" spans="1:19" x14ac:dyDescent="0.25">
      <c r="A109" t="s">
        <v>2927</v>
      </c>
    </row>
    <row r="110" spans="1:19" x14ac:dyDescent="0.25">
      <c r="A110" t="s">
        <v>2928</v>
      </c>
      <c r="L110">
        <v>-23</v>
      </c>
      <c r="M110">
        <v>8</v>
      </c>
      <c r="N110">
        <v>-6</v>
      </c>
    </row>
    <row r="111" spans="1:19" x14ac:dyDescent="0.25">
      <c r="A111" t="s">
        <v>2929</v>
      </c>
      <c r="G111">
        <v>0</v>
      </c>
      <c r="H111">
        <v>-2</v>
      </c>
      <c r="I111">
        <v>2</v>
      </c>
      <c r="J111">
        <v>4</v>
      </c>
      <c r="K111">
        <v>-9</v>
      </c>
      <c r="L111">
        <v>1</v>
      </c>
      <c r="M111">
        <v>0</v>
      </c>
      <c r="N111">
        <v>3</v>
      </c>
    </row>
    <row r="112" spans="1:19" x14ac:dyDescent="0.25">
      <c r="A112" t="s">
        <v>2930</v>
      </c>
      <c r="G112">
        <v>100</v>
      </c>
      <c r="H112">
        <v>504</v>
      </c>
    </row>
    <row r="113" spans="1:19" x14ac:dyDescent="0.25">
      <c r="A113" t="s">
        <v>116</v>
      </c>
      <c r="G113">
        <v>14</v>
      </c>
      <c r="H113">
        <v>390</v>
      </c>
      <c r="I113">
        <v>435</v>
      </c>
      <c r="J113">
        <v>473</v>
      </c>
      <c r="K113">
        <v>555</v>
      </c>
      <c r="L113">
        <v>491</v>
      </c>
      <c r="M113">
        <v>410</v>
      </c>
      <c r="N113">
        <v>408</v>
      </c>
      <c r="O113">
        <v>448.64</v>
      </c>
      <c r="P113">
        <v>476.47</v>
      </c>
      <c r="Q113">
        <v>532.33000000000004</v>
      </c>
      <c r="R113">
        <v>524.08000000000004</v>
      </c>
      <c r="S113">
        <v>549.99</v>
      </c>
    </row>
    <row r="114" spans="1:19" x14ac:dyDescent="0.25">
      <c r="A114" t="s">
        <v>269</v>
      </c>
      <c r="G114">
        <v>3.1</v>
      </c>
      <c r="H114">
        <v>13.9</v>
      </c>
      <c r="I114">
        <v>15.3</v>
      </c>
      <c r="J114">
        <v>16.5</v>
      </c>
      <c r="K114">
        <v>20.100000000000001</v>
      </c>
      <c r="L114">
        <v>22.7</v>
      </c>
      <c r="M114">
        <v>17.7</v>
      </c>
      <c r="N114">
        <v>18.100000000000001</v>
      </c>
      <c r="O114">
        <v>18.03</v>
      </c>
      <c r="P114">
        <v>18.98</v>
      </c>
      <c r="Q114">
        <v>19.75</v>
      </c>
      <c r="R114">
        <v>20.49</v>
      </c>
      <c r="S114">
        <v>21.16</v>
      </c>
    </row>
    <row r="115" spans="1:19" x14ac:dyDescent="0.25">
      <c r="A115" t="s">
        <v>17</v>
      </c>
    </row>
    <row r="116" spans="1:19" x14ac:dyDescent="0.25">
      <c r="A116" t="s">
        <v>260</v>
      </c>
    </row>
    <row r="117" spans="1:19" x14ac:dyDescent="0.25">
      <c r="A117" t="s">
        <v>60</v>
      </c>
      <c r="G117" s="2">
        <v>1270</v>
      </c>
      <c r="H117" s="2">
        <v>1954</v>
      </c>
      <c r="I117" s="2">
        <v>1797</v>
      </c>
      <c r="J117" s="2">
        <v>2047</v>
      </c>
      <c r="K117" s="2">
        <v>1805</v>
      </c>
      <c r="L117" s="2">
        <v>1289</v>
      </c>
      <c r="M117" s="2">
        <v>1257</v>
      </c>
      <c r="N117" s="2">
        <v>1318</v>
      </c>
      <c r="O117" s="2">
        <v>1469.61</v>
      </c>
      <c r="P117" s="2">
        <v>1525.37</v>
      </c>
      <c r="Q117" s="2">
        <v>1560.43</v>
      </c>
      <c r="R117" s="2">
        <v>1576.34</v>
      </c>
      <c r="S117" s="2">
        <v>1539.4</v>
      </c>
    </row>
    <row r="118" spans="1:19" x14ac:dyDescent="0.25">
      <c r="A118" t="s">
        <v>2921</v>
      </c>
      <c r="G118">
        <v>119</v>
      </c>
      <c r="H118">
        <v>184</v>
      </c>
      <c r="I118">
        <v>145</v>
      </c>
      <c r="J118">
        <v>173</v>
      </c>
      <c r="K118">
        <v>176</v>
      </c>
      <c r="L118">
        <v>218</v>
      </c>
      <c r="M118">
        <v>208</v>
      </c>
      <c r="N118">
        <v>194</v>
      </c>
      <c r="O118">
        <v>215.98</v>
      </c>
      <c r="P118">
        <v>222.46</v>
      </c>
      <c r="Q118">
        <v>229.13</v>
      </c>
      <c r="R118">
        <v>236</v>
      </c>
    </row>
    <row r="119" spans="1:19" x14ac:dyDescent="0.25">
      <c r="A119" t="s">
        <v>2932</v>
      </c>
      <c r="G119">
        <v>3</v>
      </c>
      <c r="H119">
        <v>19</v>
      </c>
      <c r="I119">
        <v>22</v>
      </c>
      <c r="J119">
        <v>24</v>
      </c>
      <c r="K119">
        <v>51</v>
      </c>
      <c r="L119">
        <v>46</v>
      </c>
      <c r="M119">
        <v>28</v>
      </c>
      <c r="N119">
        <v>25</v>
      </c>
      <c r="O119">
        <v>44.09</v>
      </c>
      <c r="P119">
        <v>45.42</v>
      </c>
      <c r="Q119">
        <v>46.78</v>
      </c>
      <c r="R119">
        <v>48.18</v>
      </c>
    </row>
    <row r="120" spans="1:19" x14ac:dyDescent="0.25">
      <c r="A120" t="s">
        <v>78</v>
      </c>
      <c r="G120" s="2">
        <v>1148</v>
      </c>
      <c r="H120" s="2">
        <v>1751</v>
      </c>
      <c r="I120" s="2">
        <v>1630</v>
      </c>
      <c r="J120" s="2">
        <v>1850</v>
      </c>
      <c r="K120" s="2">
        <v>1578</v>
      </c>
      <c r="L120" s="2">
        <v>1025</v>
      </c>
      <c r="M120" s="2">
        <v>1021</v>
      </c>
      <c r="N120" s="2">
        <v>1099</v>
      </c>
      <c r="O120" s="2">
        <v>1229.68</v>
      </c>
      <c r="P120" s="2">
        <v>1266.57</v>
      </c>
      <c r="Q120" s="2">
        <v>1304.57</v>
      </c>
      <c r="R120" s="2">
        <v>1343.7</v>
      </c>
    </row>
    <row r="121" spans="1:19" x14ac:dyDescent="0.25">
      <c r="A121" t="s">
        <v>2924</v>
      </c>
      <c r="G121">
        <v>19</v>
      </c>
      <c r="H121">
        <v>54</v>
      </c>
      <c r="I121">
        <v>-8</v>
      </c>
      <c r="J121">
        <v>14</v>
      </c>
      <c r="K121">
        <v>-12</v>
      </c>
      <c r="L121">
        <v>-29</v>
      </c>
      <c r="M121">
        <v>-2</v>
      </c>
      <c r="N121">
        <v>5</v>
      </c>
    </row>
    <row r="122" spans="1:19" x14ac:dyDescent="0.25">
      <c r="A122" t="s">
        <v>2926</v>
      </c>
      <c r="G122">
        <v>8</v>
      </c>
      <c r="H122">
        <v>9</v>
      </c>
      <c r="I122">
        <v>-9</v>
      </c>
      <c r="J122">
        <v>11</v>
      </c>
      <c r="K122">
        <v>3</v>
      </c>
      <c r="L122">
        <v>2</v>
      </c>
      <c r="M122">
        <v>-2</v>
      </c>
      <c r="N122">
        <v>4</v>
      </c>
    </row>
    <row r="123" spans="1:19" x14ac:dyDescent="0.25">
      <c r="A123" t="s">
        <v>2927</v>
      </c>
    </row>
    <row r="124" spans="1:19" x14ac:dyDescent="0.25">
      <c r="A124" t="s">
        <v>2928</v>
      </c>
      <c r="I124">
        <v>1</v>
      </c>
      <c r="J124">
        <v>0</v>
      </c>
      <c r="K124">
        <v>1</v>
      </c>
    </row>
    <row r="125" spans="1:19" x14ac:dyDescent="0.25">
      <c r="A125" t="s">
        <v>2929</v>
      </c>
      <c r="G125">
        <v>2</v>
      </c>
      <c r="H125">
        <v>-2</v>
      </c>
      <c r="I125">
        <v>0</v>
      </c>
      <c r="J125">
        <v>3</v>
      </c>
      <c r="K125">
        <v>-4</v>
      </c>
      <c r="L125">
        <v>0</v>
      </c>
      <c r="M125">
        <v>0</v>
      </c>
      <c r="N125">
        <v>1</v>
      </c>
    </row>
    <row r="126" spans="1:19" x14ac:dyDescent="0.25">
      <c r="A126" t="s">
        <v>2930</v>
      </c>
      <c r="G126">
        <v>9</v>
      </c>
      <c r="H126">
        <v>47</v>
      </c>
      <c r="I126">
        <v>0</v>
      </c>
      <c r="J126">
        <v>0</v>
      </c>
      <c r="K126">
        <v>-12</v>
      </c>
      <c r="L126">
        <v>-31</v>
      </c>
      <c r="M126">
        <v>0</v>
      </c>
      <c r="N126">
        <v>0</v>
      </c>
    </row>
    <row r="127" spans="1:19" x14ac:dyDescent="0.25">
      <c r="A127" t="s">
        <v>116</v>
      </c>
      <c r="G127">
        <v>-37</v>
      </c>
      <c r="H127">
        <v>-245</v>
      </c>
      <c r="I127">
        <v>-153</v>
      </c>
      <c r="J127">
        <v>-56</v>
      </c>
      <c r="K127">
        <v>-66</v>
      </c>
      <c r="L127">
        <v>43</v>
      </c>
      <c r="M127">
        <v>62</v>
      </c>
      <c r="N127">
        <v>-6</v>
      </c>
      <c r="O127">
        <v>10.83</v>
      </c>
      <c r="P127">
        <v>18.25</v>
      </c>
      <c r="Q127">
        <v>19.760000000000002</v>
      </c>
      <c r="R127">
        <v>33</v>
      </c>
      <c r="S127">
        <v>35.99</v>
      </c>
    </row>
    <row r="128" spans="1:19" x14ac:dyDescent="0.25">
      <c r="A128" t="s">
        <v>269</v>
      </c>
      <c r="G128">
        <v>-2.9</v>
      </c>
      <c r="H128">
        <v>-12.5</v>
      </c>
      <c r="I128">
        <v>-8.5</v>
      </c>
      <c r="J128">
        <v>-2.7</v>
      </c>
      <c r="K128">
        <v>-3.7</v>
      </c>
      <c r="L128">
        <v>3.3</v>
      </c>
      <c r="M128">
        <v>4.9000000000000004</v>
      </c>
      <c r="N128">
        <v>-0.5</v>
      </c>
      <c r="O128">
        <v>0.48</v>
      </c>
      <c r="P128">
        <v>1.03</v>
      </c>
      <c r="Q128">
        <v>0.85</v>
      </c>
      <c r="R128">
        <v>0.59</v>
      </c>
      <c r="S128">
        <v>0.28000000000000003</v>
      </c>
    </row>
    <row r="129" spans="1:19" x14ac:dyDescent="0.25">
      <c r="A129" t="s">
        <v>17</v>
      </c>
    </row>
    <row r="130" spans="1:19" x14ac:dyDescent="0.25">
      <c r="A130" t="s">
        <v>2933</v>
      </c>
    </row>
    <row r="131" spans="1:19" x14ac:dyDescent="0.25">
      <c r="A131" t="s">
        <v>73</v>
      </c>
      <c r="F131" s="2">
        <v>4973</v>
      </c>
      <c r="G131" s="2">
        <v>5942</v>
      </c>
      <c r="H131" s="2">
        <v>8604</v>
      </c>
      <c r="I131" s="2">
        <v>8475</v>
      </c>
      <c r="J131" s="2">
        <v>9123</v>
      </c>
      <c r="K131" s="2">
        <v>10553</v>
      </c>
      <c r="L131" s="2">
        <v>10566</v>
      </c>
      <c r="M131" s="2">
        <v>11497</v>
      </c>
      <c r="N131" s="2">
        <v>12182</v>
      </c>
      <c r="O131" s="2">
        <v>12709.4</v>
      </c>
      <c r="P131" s="2">
        <v>13119.3</v>
      </c>
      <c r="Q131" s="2">
        <v>13515.82</v>
      </c>
      <c r="R131" s="2">
        <v>13896.91</v>
      </c>
      <c r="S131" s="2">
        <v>14260.57</v>
      </c>
    </row>
    <row r="132" spans="1:19" x14ac:dyDescent="0.25">
      <c r="A132" t="s">
        <v>2934</v>
      </c>
      <c r="F132">
        <v>401</v>
      </c>
      <c r="G132">
        <v>868</v>
      </c>
      <c r="H132" s="2">
        <v>3630</v>
      </c>
      <c r="I132" s="2">
        <v>3740</v>
      </c>
      <c r="J132" s="2">
        <v>3601</v>
      </c>
      <c r="K132" s="2">
        <v>3662</v>
      </c>
      <c r="L132" s="2">
        <v>2827</v>
      </c>
      <c r="M132" s="2">
        <v>2509</v>
      </c>
      <c r="N132" s="2">
        <v>2432</v>
      </c>
    </row>
    <row r="133" spans="1:19" x14ac:dyDescent="0.25">
      <c r="A133" t="s">
        <v>585</v>
      </c>
      <c r="F133">
        <v>735</v>
      </c>
      <c r="G133" s="2">
        <v>1032</v>
      </c>
      <c r="H133" s="2">
        <v>2005</v>
      </c>
      <c r="I133" s="2">
        <v>2061</v>
      </c>
      <c r="J133" s="2">
        <v>2562</v>
      </c>
      <c r="K133" s="2">
        <v>2643</v>
      </c>
      <c r="L133" s="2">
        <v>2585</v>
      </c>
      <c r="M133" s="2">
        <v>2649</v>
      </c>
      <c r="N133" s="2">
        <v>2600</v>
      </c>
    </row>
    <row r="134" spans="1:19" x14ac:dyDescent="0.25">
      <c r="A134" t="s">
        <v>2935</v>
      </c>
      <c r="F134">
        <v>131</v>
      </c>
      <c r="G134">
        <v>398</v>
      </c>
      <c r="H134" s="2">
        <v>1653</v>
      </c>
      <c r="I134" s="2">
        <v>1595</v>
      </c>
      <c r="J134" s="2">
        <v>2060</v>
      </c>
      <c r="K134" s="2">
        <v>1954</v>
      </c>
      <c r="L134" s="2">
        <v>1507</v>
      </c>
      <c r="M134" s="2">
        <v>1540</v>
      </c>
      <c r="N134" s="2">
        <v>1510</v>
      </c>
    </row>
    <row r="135" spans="1:19" x14ac:dyDescent="0.25">
      <c r="A135" t="s">
        <v>2936</v>
      </c>
      <c r="G135">
        <v>183</v>
      </c>
      <c r="H135" s="2">
        <v>1127</v>
      </c>
      <c r="I135" s="2">
        <v>1071</v>
      </c>
      <c r="J135" s="2">
        <v>1307</v>
      </c>
      <c r="K135" s="2">
        <v>1372</v>
      </c>
      <c r="L135" s="2">
        <v>1303</v>
      </c>
      <c r="M135" s="2">
        <v>1354</v>
      </c>
      <c r="N135" s="2">
        <v>1287</v>
      </c>
    </row>
    <row r="136" spans="1:19" x14ac:dyDescent="0.25">
      <c r="A136" t="s">
        <v>2937</v>
      </c>
      <c r="F136" s="2">
        <v>1100</v>
      </c>
      <c r="G136" s="2">
        <v>1003</v>
      </c>
      <c r="H136">
        <v>994</v>
      </c>
      <c r="I136">
        <v>822</v>
      </c>
      <c r="J136" s="2">
        <v>1065</v>
      </c>
      <c r="K136" s="2">
        <v>1158</v>
      </c>
      <c r="L136" s="2">
        <v>1302</v>
      </c>
      <c r="M136" s="2">
        <v>1263</v>
      </c>
      <c r="N136" s="2">
        <v>1325</v>
      </c>
    </row>
    <row r="137" spans="1:19" x14ac:dyDescent="0.25">
      <c r="A137" t="s">
        <v>2938</v>
      </c>
      <c r="F137" s="2">
        <v>4018</v>
      </c>
      <c r="G137" s="2">
        <v>5410</v>
      </c>
      <c r="H137" s="2">
        <v>10215</v>
      </c>
      <c r="I137" s="2">
        <v>9479</v>
      </c>
      <c r="J137" s="2">
        <v>11075</v>
      </c>
      <c r="K137" s="2">
        <v>12022</v>
      </c>
      <c r="L137" s="2">
        <v>12764</v>
      </c>
      <c r="M137" s="2">
        <v>12193</v>
      </c>
      <c r="N137" s="2">
        <v>11259</v>
      </c>
    </row>
    <row r="138" spans="1:19" x14ac:dyDescent="0.25">
      <c r="A138" t="s">
        <v>17</v>
      </c>
    </row>
    <row r="139" spans="1:19" x14ac:dyDescent="0.25">
      <c r="A139" t="s">
        <v>2939</v>
      </c>
    </row>
    <row r="140" spans="1:19" x14ac:dyDescent="0.25">
      <c r="A140" t="s">
        <v>73</v>
      </c>
      <c r="F140" s="2">
        <v>4979</v>
      </c>
      <c r="G140" s="2">
        <v>7189</v>
      </c>
      <c r="H140" s="2">
        <v>7498</v>
      </c>
      <c r="I140" s="2">
        <v>7777</v>
      </c>
      <c r="J140" s="2">
        <v>7659</v>
      </c>
      <c r="K140" s="2">
        <v>7663</v>
      </c>
      <c r="L140" s="2">
        <v>8490</v>
      </c>
      <c r="M140" s="2">
        <v>9663</v>
      </c>
      <c r="N140" s="2">
        <v>11229</v>
      </c>
    </row>
    <row r="141" spans="1:19" x14ac:dyDescent="0.25">
      <c r="A141" t="s">
        <v>2934</v>
      </c>
      <c r="F141">
        <v>413</v>
      </c>
      <c r="G141" s="2">
        <v>2411</v>
      </c>
      <c r="H141" s="2">
        <v>2429</v>
      </c>
      <c r="I141" s="2">
        <v>2394</v>
      </c>
      <c r="J141" s="2">
        <v>2003</v>
      </c>
      <c r="K141" s="2">
        <v>1678</v>
      </c>
      <c r="L141" s="2">
        <v>1584</v>
      </c>
      <c r="M141" s="2">
        <v>1386</v>
      </c>
      <c r="N141" s="2">
        <v>1550</v>
      </c>
    </row>
    <row r="142" spans="1:19" x14ac:dyDescent="0.25">
      <c r="A142" t="s">
        <v>585</v>
      </c>
      <c r="F142" s="2">
        <v>1060</v>
      </c>
      <c r="G142" s="2">
        <v>2237</v>
      </c>
      <c r="H142" s="2">
        <v>2254</v>
      </c>
      <c r="I142" s="2">
        <v>2413</v>
      </c>
      <c r="J142" s="2">
        <v>2385</v>
      </c>
      <c r="K142" s="2">
        <v>2176</v>
      </c>
      <c r="L142" s="2">
        <v>2063</v>
      </c>
      <c r="M142" s="2">
        <v>2022</v>
      </c>
      <c r="N142" s="2">
        <v>2129</v>
      </c>
    </row>
    <row r="143" spans="1:19" x14ac:dyDescent="0.25">
      <c r="A143" t="s">
        <v>2935</v>
      </c>
      <c r="F143">
        <v>55</v>
      </c>
      <c r="G143" s="2">
        <v>1582</v>
      </c>
      <c r="H143" s="2">
        <v>1479</v>
      </c>
      <c r="I143" s="2">
        <v>1313</v>
      </c>
      <c r="J143" s="2">
        <v>1078</v>
      </c>
      <c r="K143">
        <v>704</v>
      </c>
      <c r="L143">
        <v>684</v>
      </c>
      <c r="M143">
        <v>668</v>
      </c>
      <c r="N143">
        <v>718</v>
      </c>
    </row>
    <row r="144" spans="1:19" x14ac:dyDescent="0.25">
      <c r="A144" t="s">
        <v>2936</v>
      </c>
      <c r="G144" s="2">
        <v>1476</v>
      </c>
      <c r="H144" s="2">
        <v>1214</v>
      </c>
      <c r="I144" s="2">
        <v>1105</v>
      </c>
      <c r="J144">
        <v>872</v>
      </c>
      <c r="K144">
        <v>688</v>
      </c>
      <c r="L144">
        <v>654</v>
      </c>
      <c r="M144">
        <v>573</v>
      </c>
      <c r="N144">
        <v>621</v>
      </c>
    </row>
    <row r="145" spans="1:19" x14ac:dyDescent="0.25">
      <c r="A145" t="s">
        <v>2937</v>
      </c>
      <c r="F145" s="2">
        <v>1204</v>
      </c>
      <c r="G145" s="2">
        <v>1012</v>
      </c>
      <c r="H145">
        <v>956</v>
      </c>
      <c r="I145">
        <v>733</v>
      </c>
      <c r="J145">
        <v>705</v>
      </c>
      <c r="K145">
        <v>720</v>
      </c>
      <c r="L145">
        <v>836</v>
      </c>
      <c r="M145">
        <v>738</v>
      </c>
      <c r="N145">
        <v>896</v>
      </c>
    </row>
    <row r="146" spans="1:19" x14ac:dyDescent="0.25">
      <c r="A146" t="s">
        <v>2938</v>
      </c>
      <c r="F146" s="2">
        <v>4114</v>
      </c>
      <c r="G146" s="2">
        <v>13810</v>
      </c>
      <c r="H146" s="2">
        <v>13234</v>
      </c>
      <c r="I146" s="2">
        <v>12976</v>
      </c>
      <c r="J146" s="2">
        <v>11301</v>
      </c>
      <c r="K146" s="2">
        <v>9919</v>
      </c>
      <c r="L146" s="2">
        <v>10241</v>
      </c>
      <c r="M146" s="2">
        <v>9725</v>
      </c>
    </row>
    <row r="147" spans="1:19" x14ac:dyDescent="0.25">
      <c r="A147" t="s">
        <v>17</v>
      </c>
    </row>
    <row r="148" spans="1:19" x14ac:dyDescent="0.25">
      <c r="A148" t="s">
        <v>79</v>
      </c>
    </row>
    <row r="149" spans="1:19" x14ac:dyDescent="0.25">
      <c r="A149" t="s">
        <v>80</v>
      </c>
      <c r="F149" s="2">
        <v>28204</v>
      </c>
      <c r="G149" s="2">
        <v>14900</v>
      </c>
      <c r="H149" s="2">
        <v>28163</v>
      </c>
      <c r="I149" s="2">
        <v>27243</v>
      </c>
      <c r="J149" s="2">
        <v>30793</v>
      </c>
      <c r="K149" s="2">
        <v>33400</v>
      </c>
      <c r="L149" s="2">
        <v>32854</v>
      </c>
      <c r="M149" s="2">
        <v>33005</v>
      </c>
      <c r="N149" s="2">
        <v>34000</v>
      </c>
      <c r="O149" s="2">
        <v>36251.699999999997</v>
      </c>
      <c r="P149" s="2">
        <v>37993.300000000003</v>
      </c>
      <c r="Q149" s="2">
        <v>39975.800000000003</v>
      </c>
      <c r="R149" s="2">
        <v>42311.75</v>
      </c>
      <c r="S149" s="2">
        <v>43981.83</v>
      </c>
    </row>
    <row r="150" spans="1:19" x14ac:dyDescent="0.25">
      <c r="A150" t="s">
        <v>2940</v>
      </c>
      <c r="H150">
        <v>-4</v>
      </c>
      <c r="I150">
        <v>-1</v>
      </c>
      <c r="J150">
        <v>2</v>
      </c>
      <c r="K150">
        <v>-5</v>
      </c>
      <c r="L150">
        <v>-1</v>
      </c>
      <c r="M150">
        <v>-1</v>
      </c>
      <c r="N150">
        <v>0</v>
      </c>
      <c r="O150">
        <v>1.97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17</v>
      </c>
    </row>
    <row r="152" spans="1:19" x14ac:dyDescent="0.25">
      <c r="A152" t="s">
        <v>82</v>
      </c>
      <c r="F152" s="2">
        <v>6382</v>
      </c>
      <c r="G152" s="2">
        <v>16929</v>
      </c>
      <c r="H152" s="2">
        <v>16644</v>
      </c>
      <c r="I152" s="2">
        <v>15383</v>
      </c>
      <c r="J152" s="2">
        <v>17543</v>
      </c>
      <c r="K152" s="2">
        <v>19450</v>
      </c>
      <c r="L152" s="2">
        <v>17492</v>
      </c>
      <c r="M152" s="2">
        <v>17143</v>
      </c>
      <c r="N152" s="2">
        <v>17389</v>
      </c>
      <c r="O152" s="2">
        <v>18670.72</v>
      </c>
      <c r="P152" s="2">
        <v>19200.099999999999</v>
      </c>
      <c r="Q152" s="2">
        <v>20073.580000000002</v>
      </c>
      <c r="R152" s="2">
        <v>20178.28</v>
      </c>
      <c r="S152" s="2">
        <v>20322.87</v>
      </c>
    </row>
    <row r="153" spans="1:19" x14ac:dyDescent="0.25">
      <c r="A153" t="s">
        <v>2941</v>
      </c>
      <c r="F153">
        <v>56.19</v>
      </c>
      <c r="G153">
        <v>60.28</v>
      </c>
      <c r="H153">
        <v>58.96</v>
      </c>
      <c r="I153">
        <v>56.47</v>
      </c>
      <c r="J153">
        <v>56.97</v>
      </c>
      <c r="K153">
        <v>58.3</v>
      </c>
      <c r="L153">
        <v>53.24</v>
      </c>
      <c r="M153">
        <v>51.94</v>
      </c>
      <c r="N153">
        <v>51.17</v>
      </c>
      <c r="O153">
        <v>51.66</v>
      </c>
      <c r="P153">
        <v>51.09</v>
      </c>
      <c r="Q153">
        <v>50.86</v>
      </c>
      <c r="R153">
        <v>49.29</v>
      </c>
      <c r="S153">
        <v>50</v>
      </c>
    </row>
    <row r="154" spans="1:19" x14ac:dyDescent="0.25">
      <c r="A154" t="s">
        <v>17</v>
      </c>
    </row>
    <row r="155" spans="1:19" x14ac:dyDescent="0.25">
      <c r="A155" t="s">
        <v>84</v>
      </c>
      <c r="F155" s="2">
        <v>4976</v>
      </c>
      <c r="G155" s="2">
        <v>11155</v>
      </c>
      <c r="H155" s="2">
        <v>11584</v>
      </c>
      <c r="I155" s="2">
        <v>11860</v>
      </c>
      <c r="J155" s="2">
        <v>13250</v>
      </c>
      <c r="K155" s="2">
        <v>13914</v>
      </c>
      <c r="L155" s="2">
        <v>15362</v>
      </c>
      <c r="M155" s="2">
        <v>15862</v>
      </c>
      <c r="N155" s="2">
        <v>16597</v>
      </c>
      <c r="O155" s="2">
        <v>17644.98</v>
      </c>
      <c r="P155" s="2">
        <v>18858.11</v>
      </c>
      <c r="Q155" s="2">
        <v>19952.29</v>
      </c>
      <c r="R155" s="2">
        <v>21537.21</v>
      </c>
      <c r="S155" s="2">
        <v>22649.54</v>
      </c>
    </row>
    <row r="156" spans="1:19" x14ac:dyDescent="0.25">
      <c r="A156" t="s">
        <v>85</v>
      </c>
      <c r="G156">
        <v>39.03</v>
      </c>
      <c r="H156">
        <v>41.11</v>
      </c>
      <c r="I156">
        <v>43.53</v>
      </c>
      <c r="J156">
        <v>43.03</v>
      </c>
      <c r="K156">
        <v>41.66</v>
      </c>
      <c r="L156">
        <v>46.75</v>
      </c>
      <c r="M156">
        <v>48.06</v>
      </c>
      <c r="N156">
        <v>48.81</v>
      </c>
      <c r="O156">
        <v>48.57</v>
      </c>
      <c r="P156">
        <v>49.22</v>
      </c>
      <c r="Q156">
        <v>49.33</v>
      </c>
      <c r="R156">
        <v>50.26</v>
      </c>
      <c r="S156">
        <v>50.64</v>
      </c>
    </row>
    <row r="157" spans="1:19" x14ac:dyDescent="0.25">
      <c r="A157" t="s">
        <v>17</v>
      </c>
    </row>
    <row r="158" spans="1:19" x14ac:dyDescent="0.25">
      <c r="A158" t="s">
        <v>275</v>
      </c>
      <c r="F158" s="2">
        <v>2536</v>
      </c>
      <c r="G158" s="2">
        <v>8816</v>
      </c>
      <c r="H158" s="2">
        <v>8651</v>
      </c>
      <c r="I158" s="2">
        <v>8538</v>
      </c>
      <c r="J158" s="2">
        <v>8497</v>
      </c>
      <c r="K158" s="2">
        <v>8792</v>
      </c>
      <c r="L158" s="2">
        <v>7577</v>
      </c>
      <c r="M158" s="2">
        <v>7469</v>
      </c>
      <c r="N158" s="2">
        <v>7902</v>
      </c>
      <c r="O158" s="2">
        <v>7565.83</v>
      </c>
      <c r="P158" s="2">
        <v>7823.32</v>
      </c>
      <c r="Q158" s="2">
        <v>8011.79</v>
      </c>
      <c r="R158" s="2">
        <v>8184.59</v>
      </c>
    </row>
    <row r="159" spans="1:19" x14ac:dyDescent="0.25">
      <c r="A159" t="s">
        <v>276</v>
      </c>
      <c r="F159" s="2">
        <v>1207</v>
      </c>
      <c r="G159" s="2">
        <v>3635</v>
      </c>
      <c r="H159" s="2">
        <v>3457</v>
      </c>
      <c r="I159" s="2">
        <v>3193</v>
      </c>
      <c r="J159" s="2">
        <v>3189</v>
      </c>
      <c r="K159" s="2">
        <v>3107</v>
      </c>
      <c r="L159" s="2">
        <v>3295</v>
      </c>
      <c r="M159" s="2">
        <v>3337</v>
      </c>
      <c r="N159" s="2">
        <v>3433</v>
      </c>
      <c r="O159" s="2">
        <v>3598.44</v>
      </c>
      <c r="P159" s="2">
        <v>3727.88</v>
      </c>
      <c r="Q159" s="2">
        <v>3917.79</v>
      </c>
      <c r="R159" s="2">
        <v>4156.32</v>
      </c>
      <c r="S159" s="2">
        <v>4167.6400000000003</v>
      </c>
    </row>
    <row r="160" spans="1:19" x14ac:dyDescent="0.25">
      <c r="A160" t="s">
        <v>61</v>
      </c>
      <c r="F160">
        <v>10.63</v>
      </c>
      <c r="G160">
        <v>12.94</v>
      </c>
      <c r="H160">
        <v>12.25</v>
      </c>
      <c r="I160">
        <v>11.72</v>
      </c>
      <c r="J160">
        <v>10.36</v>
      </c>
      <c r="K160">
        <v>9.31</v>
      </c>
      <c r="L160">
        <v>10.029999999999999</v>
      </c>
      <c r="M160">
        <v>10.11</v>
      </c>
      <c r="N160">
        <v>10.1</v>
      </c>
      <c r="O160">
        <v>9.93</v>
      </c>
      <c r="P160">
        <v>9.7899999999999991</v>
      </c>
      <c r="Q160">
        <v>9.76</v>
      </c>
      <c r="R160">
        <v>9.99</v>
      </c>
      <c r="S160">
        <v>9.9700000000000006</v>
      </c>
    </row>
    <row r="161" spans="1:19" x14ac:dyDescent="0.25">
      <c r="A161" t="s">
        <v>190</v>
      </c>
      <c r="F161" s="2">
        <v>1184</v>
      </c>
      <c r="G161" s="2">
        <v>1830</v>
      </c>
      <c r="H161" s="2">
        <v>4675</v>
      </c>
      <c r="I161" s="2">
        <v>4626</v>
      </c>
      <c r="J161" s="2">
        <v>4635</v>
      </c>
      <c r="K161" s="2">
        <v>4204</v>
      </c>
      <c r="L161" s="2">
        <v>3816</v>
      </c>
      <c r="M161" s="2">
        <v>3780</v>
      </c>
      <c r="N161" s="2">
        <v>3763</v>
      </c>
      <c r="O161" s="2">
        <v>3853.73</v>
      </c>
      <c r="P161" s="2">
        <v>4002.04</v>
      </c>
      <c r="Q161" s="2">
        <v>4071.92</v>
      </c>
      <c r="R161" s="2">
        <v>4417.66</v>
      </c>
      <c r="S161" s="2">
        <v>4328.5200000000004</v>
      </c>
    </row>
    <row r="162" spans="1:19" x14ac:dyDescent="0.25">
      <c r="A162" t="s">
        <v>61</v>
      </c>
      <c r="F162">
        <v>10.42</v>
      </c>
      <c r="G162">
        <v>6.52</v>
      </c>
      <c r="H162">
        <v>16.559999999999999</v>
      </c>
      <c r="I162">
        <v>16.98</v>
      </c>
      <c r="J162">
        <v>15.05</v>
      </c>
      <c r="K162">
        <v>12.6</v>
      </c>
      <c r="L162">
        <v>11.62</v>
      </c>
      <c r="M162">
        <v>11.45</v>
      </c>
      <c r="N162">
        <v>11.07</v>
      </c>
      <c r="O162">
        <v>10.49</v>
      </c>
      <c r="P162">
        <v>10.57</v>
      </c>
      <c r="Q162">
        <v>10.45</v>
      </c>
      <c r="R162">
        <v>10.82</v>
      </c>
      <c r="S162">
        <v>10.35</v>
      </c>
    </row>
    <row r="163" spans="1:19" x14ac:dyDescent="0.25">
      <c r="A163" t="s">
        <v>192</v>
      </c>
      <c r="M163">
        <v>554</v>
      </c>
      <c r="N163">
        <v>517</v>
      </c>
      <c r="O163">
        <v>518.79999999999995</v>
      </c>
      <c r="P163">
        <v>514.32000000000005</v>
      </c>
      <c r="Q163">
        <v>509.75</v>
      </c>
    </row>
    <row r="164" spans="1:19" x14ac:dyDescent="0.25">
      <c r="A164" t="s">
        <v>89</v>
      </c>
      <c r="F164">
        <v>93</v>
      </c>
      <c r="G164">
        <v>201</v>
      </c>
      <c r="H164">
        <v>184</v>
      </c>
      <c r="I164">
        <v>152</v>
      </c>
      <c r="J164">
        <v>143</v>
      </c>
      <c r="K164">
        <v>143</v>
      </c>
      <c r="L164">
        <v>146</v>
      </c>
      <c r="M164">
        <v>150</v>
      </c>
      <c r="N164">
        <v>147</v>
      </c>
      <c r="O164">
        <v>161.63</v>
      </c>
      <c r="P164">
        <v>183.3</v>
      </c>
      <c r="Q164">
        <v>198.31</v>
      </c>
      <c r="R164">
        <v>211</v>
      </c>
      <c r="S164">
        <v>224.29</v>
      </c>
    </row>
    <row r="165" spans="1:19" x14ac:dyDescent="0.25">
      <c r="A165" t="s">
        <v>61</v>
      </c>
      <c r="F165">
        <v>0.82</v>
      </c>
      <c r="G165">
        <v>0.72</v>
      </c>
      <c r="H165">
        <v>0.65</v>
      </c>
      <c r="I165">
        <v>0.56000000000000005</v>
      </c>
      <c r="J165">
        <v>0.46</v>
      </c>
      <c r="K165">
        <v>0.43</v>
      </c>
      <c r="L165">
        <v>0.44</v>
      </c>
      <c r="M165">
        <v>0.45</v>
      </c>
      <c r="N165">
        <v>0.43</v>
      </c>
      <c r="O165">
        <v>0.45</v>
      </c>
      <c r="P165">
        <v>0.46</v>
      </c>
      <c r="Q165">
        <v>0.46</v>
      </c>
      <c r="R165">
        <v>0.45</v>
      </c>
      <c r="S165">
        <v>0.43</v>
      </c>
    </row>
    <row r="166" spans="1:19" x14ac:dyDescent="0.25">
      <c r="A166" t="s">
        <v>2942</v>
      </c>
      <c r="F166">
        <v>400</v>
      </c>
      <c r="G166">
        <v>18</v>
      </c>
      <c r="H166">
        <v>68</v>
      </c>
      <c r="I166">
        <v>-61</v>
      </c>
      <c r="J166">
        <v>-26</v>
      </c>
      <c r="K166">
        <v>-62</v>
      </c>
      <c r="L166">
        <v>-41</v>
      </c>
      <c r="M166">
        <v>185</v>
      </c>
      <c r="N166">
        <v>-58</v>
      </c>
      <c r="O166">
        <v>87.84</v>
      </c>
      <c r="P166">
        <v>299.19</v>
      </c>
      <c r="Q166">
        <v>473.09</v>
      </c>
      <c r="R166">
        <v>672.76</v>
      </c>
      <c r="S166">
        <v>-50</v>
      </c>
    </row>
    <row r="167" spans="1:19" x14ac:dyDescent="0.25">
      <c r="A167" t="s">
        <v>17</v>
      </c>
    </row>
    <row r="168" spans="1:19" x14ac:dyDescent="0.25">
      <c r="A168" t="s">
        <v>91</v>
      </c>
      <c r="F168" s="2">
        <v>2444</v>
      </c>
      <c r="G168" s="2">
        <v>2561</v>
      </c>
      <c r="H168" s="2">
        <v>2933</v>
      </c>
      <c r="I168" s="2">
        <v>3322</v>
      </c>
      <c r="J168" s="2">
        <v>4984</v>
      </c>
      <c r="K168" s="2">
        <v>5369</v>
      </c>
      <c r="L168" s="2">
        <v>8024</v>
      </c>
      <c r="M168" s="2">
        <v>8635</v>
      </c>
      <c r="N168" s="2">
        <v>8923</v>
      </c>
      <c r="O168" s="2">
        <v>10122.07</v>
      </c>
      <c r="P168" s="2">
        <v>11021.25</v>
      </c>
      <c r="Q168" s="2">
        <v>12006.92</v>
      </c>
      <c r="R168" s="2">
        <v>13666.3</v>
      </c>
      <c r="S168" s="2">
        <v>14579.88</v>
      </c>
    </row>
    <row r="169" spans="1:19" x14ac:dyDescent="0.25">
      <c r="A169" t="s">
        <v>92</v>
      </c>
      <c r="G169">
        <v>9.1</v>
      </c>
      <c r="H169">
        <v>10.4</v>
      </c>
      <c r="I169">
        <v>12.2</v>
      </c>
      <c r="J169">
        <v>16.2</v>
      </c>
      <c r="K169">
        <v>16.100000000000001</v>
      </c>
      <c r="L169">
        <v>24.4</v>
      </c>
      <c r="M169">
        <v>26.2</v>
      </c>
      <c r="N169">
        <v>26.3</v>
      </c>
      <c r="O169">
        <v>27.96</v>
      </c>
      <c r="P169">
        <v>29.12</v>
      </c>
      <c r="Q169">
        <v>30.09</v>
      </c>
      <c r="R169">
        <v>33.19</v>
      </c>
      <c r="S169">
        <v>33.46</v>
      </c>
    </row>
    <row r="170" spans="1:19" x14ac:dyDescent="0.25">
      <c r="A170" t="s">
        <v>17</v>
      </c>
    </row>
    <row r="171" spans="1:19" x14ac:dyDescent="0.25">
      <c r="A171" t="s">
        <v>277</v>
      </c>
      <c r="G171" s="2">
        <v>7537</v>
      </c>
      <c r="H171" s="2">
        <v>7722</v>
      </c>
      <c r="I171" s="2">
        <v>8645</v>
      </c>
      <c r="J171" s="2">
        <v>9738</v>
      </c>
      <c r="K171" s="2">
        <v>9745</v>
      </c>
      <c r="L171" s="2">
        <v>12007</v>
      </c>
      <c r="M171" s="2">
        <v>12585</v>
      </c>
      <c r="N171" s="2">
        <v>12836</v>
      </c>
    </row>
    <row r="172" spans="1:19" x14ac:dyDescent="0.25">
      <c r="A172" t="s">
        <v>17</v>
      </c>
    </row>
    <row r="173" spans="1:19" x14ac:dyDescent="0.25">
      <c r="A173" t="s">
        <v>2943</v>
      </c>
      <c r="F173">
        <v>161</v>
      </c>
      <c r="G173">
        <v>379</v>
      </c>
      <c r="H173">
        <v>38</v>
      </c>
      <c r="I173">
        <v>115</v>
      </c>
      <c r="J173">
        <v>77</v>
      </c>
      <c r="K173">
        <v>63</v>
      </c>
      <c r="L173">
        <v>480</v>
      </c>
      <c r="M173">
        <v>487</v>
      </c>
      <c r="N173">
        <v>464</v>
      </c>
      <c r="O173">
        <v>256.20999999999998</v>
      </c>
      <c r="P173">
        <v>261.92</v>
      </c>
      <c r="Q173">
        <v>249.2</v>
      </c>
      <c r="R173">
        <v>291.92</v>
      </c>
      <c r="S173">
        <v>247.5</v>
      </c>
    </row>
    <row r="174" spans="1:19" x14ac:dyDescent="0.25">
      <c r="A174" t="s">
        <v>98</v>
      </c>
      <c r="F174">
        <v>-4</v>
      </c>
      <c r="G174">
        <v>-49</v>
      </c>
      <c r="H174">
        <v>-32</v>
      </c>
      <c r="I174">
        <v>-177</v>
      </c>
      <c r="J174">
        <v>-192</v>
      </c>
      <c r="K174">
        <v>-237</v>
      </c>
      <c r="L174">
        <v>-164</v>
      </c>
      <c r="M174">
        <v>-190</v>
      </c>
      <c r="N174">
        <v>-229</v>
      </c>
      <c r="O174">
        <v>-188.72</v>
      </c>
      <c r="P174">
        <v>-187.53</v>
      </c>
      <c r="Q174">
        <v>-190.18</v>
      </c>
      <c r="R174">
        <v>-190.26</v>
      </c>
      <c r="S174">
        <v>-204.29</v>
      </c>
    </row>
    <row r="175" spans="1:19" x14ac:dyDescent="0.25">
      <c r="A175" t="s">
        <v>17</v>
      </c>
    </row>
    <row r="176" spans="1:19" x14ac:dyDescent="0.25">
      <c r="A176" t="s">
        <v>2944</v>
      </c>
      <c r="F176">
        <v>-6</v>
      </c>
      <c r="G176">
        <v>-179</v>
      </c>
      <c r="H176">
        <v>-374</v>
      </c>
      <c r="I176">
        <v>-189</v>
      </c>
      <c r="J176">
        <v>-216</v>
      </c>
      <c r="K176">
        <v>-243</v>
      </c>
      <c r="L176">
        <v>-180</v>
      </c>
      <c r="M176">
        <v>-200</v>
      </c>
      <c r="N176">
        <v>-231</v>
      </c>
      <c r="O176">
        <v>-214.29</v>
      </c>
      <c r="P176">
        <v>-204.74</v>
      </c>
      <c r="Q176">
        <v>-207.74</v>
      </c>
      <c r="R176">
        <v>-198.26</v>
      </c>
      <c r="S176">
        <v>-222.65</v>
      </c>
    </row>
    <row r="177" spans="1:19" x14ac:dyDescent="0.25">
      <c r="A177" t="s">
        <v>600</v>
      </c>
      <c r="F177">
        <v>52</v>
      </c>
      <c r="G177">
        <v>56</v>
      </c>
      <c r="H177">
        <v>403</v>
      </c>
      <c r="I177">
        <v>506</v>
      </c>
      <c r="J177">
        <v>273</v>
      </c>
      <c r="K177" s="2">
        <v>1029</v>
      </c>
      <c r="L177">
        <v>40</v>
      </c>
      <c r="M177">
        <v>145</v>
      </c>
      <c r="N177">
        <v>273</v>
      </c>
      <c r="O177">
        <v>130.31</v>
      </c>
      <c r="P177">
        <v>137.54</v>
      </c>
      <c r="Q177">
        <v>140.49</v>
      </c>
      <c r="R177">
        <v>127.06</v>
      </c>
      <c r="S177">
        <v>226.99</v>
      </c>
    </row>
    <row r="178" spans="1:19" x14ac:dyDescent="0.25">
      <c r="A178" t="s">
        <v>17</v>
      </c>
    </row>
    <row r="179" spans="1:19" x14ac:dyDescent="0.25">
      <c r="A179" t="s">
        <v>100</v>
      </c>
      <c r="F179" s="2">
        <v>2287</v>
      </c>
      <c r="G179" s="2">
        <v>2347</v>
      </c>
      <c r="H179" s="2">
        <v>2927</v>
      </c>
      <c r="I179" s="2">
        <v>3384</v>
      </c>
      <c r="J179" s="2">
        <v>5099</v>
      </c>
      <c r="K179" s="2">
        <v>5543</v>
      </c>
      <c r="L179" s="2">
        <v>7988</v>
      </c>
      <c r="M179" s="2">
        <v>8569</v>
      </c>
      <c r="N179" s="2">
        <v>8897</v>
      </c>
      <c r="O179" s="2">
        <v>10031.129999999999</v>
      </c>
      <c r="P179" s="2">
        <v>10888.16</v>
      </c>
      <c r="Q179" s="2">
        <v>11819.37</v>
      </c>
      <c r="R179" s="2">
        <v>13593.9</v>
      </c>
      <c r="S179" s="2">
        <v>14773.21</v>
      </c>
    </row>
    <row r="180" spans="1:19" x14ac:dyDescent="0.25">
      <c r="A180" t="s">
        <v>83</v>
      </c>
      <c r="F180">
        <v>20.14</v>
      </c>
      <c r="G180">
        <v>8.36</v>
      </c>
      <c r="H180">
        <v>10.37</v>
      </c>
      <c r="I180">
        <v>12.42</v>
      </c>
      <c r="J180">
        <v>16.559999999999999</v>
      </c>
      <c r="K180">
        <v>16.61</v>
      </c>
      <c r="L180">
        <v>24.31</v>
      </c>
      <c r="M180">
        <v>25.96</v>
      </c>
      <c r="N180">
        <v>26.18</v>
      </c>
      <c r="O180">
        <v>27.87</v>
      </c>
      <c r="P180">
        <v>28.53</v>
      </c>
      <c r="Q180">
        <v>29.21</v>
      </c>
      <c r="R180">
        <v>32.17</v>
      </c>
      <c r="S180">
        <v>32.89</v>
      </c>
    </row>
    <row r="181" spans="1:19" x14ac:dyDescent="0.25">
      <c r="A181" t="s">
        <v>17</v>
      </c>
    </row>
    <row r="182" spans="1:19" x14ac:dyDescent="0.25">
      <c r="A182" t="s">
        <v>101</v>
      </c>
      <c r="F182" s="2">
        <v>1026</v>
      </c>
      <c r="G182">
        <v>670</v>
      </c>
      <c r="H182">
        <v>769</v>
      </c>
      <c r="I182">
        <v>847</v>
      </c>
      <c r="J182" s="2">
        <v>1262</v>
      </c>
      <c r="K182" s="2">
        <v>1434</v>
      </c>
      <c r="L182" s="2">
        <v>1814</v>
      </c>
      <c r="M182" s="2">
        <v>2002</v>
      </c>
      <c r="N182" s="2">
        <v>1989</v>
      </c>
      <c r="O182" s="2">
        <v>2310.06</v>
      </c>
      <c r="P182" s="2">
        <v>2521</v>
      </c>
      <c r="Q182" s="2">
        <v>2739.92</v>
      </c>
      <c r="R182" s="2">
        <v>3206.66</v>
      </c>
      <c r="S182" s="2">
        <v>3450.13</v>
      </c>
    </row>
    <row r="183" spans="1:19" x14ac:dyDescent="0.25">
      <c r="A183" t="s">
        <v>278</v>
      </c>
      <c r="F183">
        <v>44.86</v>
      </c>
      <c r="G183">
        <v>28.55</v>
      </c>
      <c r="H183">
        <v>26.27</v>
      </c>
      <c r="I183">
        <v>25.03</v>
      </c>
      <c r="J183">
        <v>24.75</v>
      </c>
      <c r="K183">
        <v>25.87</v>
      </c>
      <c r="L183">
        <v>22.71</v>
      </c>
      <c r="M183">
        <v>23.36</v>
      </c>
      <c r="N183">
        <v>22.36</v>
      </c>
      <c r="O183">
        <v>23.41</v>
      </c>
      <c r="P183">
        <v>23.39</v>
      </c>
      <c r="Q183">
        <v>23.29</v>
      </c>
      <c r="R183">
        <v>23.45</v>
      </c>
      <c r="S183">
        <v>23.5</v>
      </c>
    </row>
    <row r="184" spans="1:19" x14ac:dyDescent="0.25">
      <c r="A184" t="s">
        <v>17</v>
      </c>
    </row>
    <row r="185" spans="1:19" x14ac:dyDescent="0.25">
      <c r="A185" t="s">
        <v>106</v>
      </c>
      <c r="F185" s="2">
        <v>1308</v>
      </c>
      <c r="G185" s="2">
        <v>1729</v>
      </c>
      <c r="H185" s="2">
        <v>2272</v>
      </c>
      <c r="I185" s="2">
        <v>2622</v>
      </c>
      <c r="J185" s="2">
        <v>3956</v>
      </c>
      <c r="K185" s="2">
        <v>4281</v>
      </c>
      <c r="L185" s="2">
        <v>6341</v>
      </c>
      <c r="M185" s="2">
        <v>6737</v>
      </c>
      <c r="N185" s="2">
        <v>7058</v>
      </c>
      <c r="O185" s="2">
        <v>7823.52</v>
      </c>
      <c r="P185" s="2">
        <v>8547.85</v>
      </c>
      <c r="Q185" s="2">
        <v>9194.32</v>
      </c>
      <c r="R185" s="2">
        <v>9952.86</v>
      </c>
      <c r="S185" s="2">
        <v>10128.620000000001</v>
      </c>
    </row>
    <row r="186" spans="1:19" x14ac:dyDescent="0.25">
      <c r="A186" t="s">
        <v>107</v>
      </c>
      <c r="F186">
        <v>10.98</v>
      </c>
      <c r="G186">
        <v>6.16</v>
      </c>
      <c r="H186">
        <v>8.09</v>
      </c>
      <c r="I186">
        <v>9.18</v>
      </c>
      <c r="J186">
        <v>12.41</v>
      </c>
      <c r="K186">
        <v>12.43</v>
      </c>
      <c r="L186">
        <v>18.87</v>
      </c>
      <c r="M186">
        <v>19.89</v>
      </c>
      <c r="N186">
        <v>20.3</v>
      </c>
      <c r="O186">
        <v>21.78</v>
      </c>
      <c r="P186">
        <v>22.47</v>
      </c>
      <c r="Q186">
        <v>22.86</v>
      </c>
      <c r="R186">
        <v>23.51</v>
      </c>
      <c r="S186">
        <v>23.88</v>
      </c>
    </row>
    <row r="187" spans="1:19" x14ac:dyDescent="0.25">
      <c r="A187" t="s">
        <v>2945</v>
      </c>
      <c r="F187" s="2">
        <v>1062</v>
      </c>
      <c r="G187" s="2">
        <v>4232</v>
      </c>
      <c r="H187" s="2">
        <v>2183</v>
      </c>
      <c r="I187" s="2">
        <v>2497</v>
      </c>
      <c r="J187" s="2">
        <v>3821</v>
      </c>
      <c r="K187" s="2">
        <v>4147</v>
      </c>
      <c r="L187" s="2">
        <v>6199</v>
      </c>
      <c r="M187" s="2">
        <v>6565</v>
      </c>
      <c r="N187" s="2">
        <v>6898</v>
      </c>
      <c r="O187" s="2">
        <v>7732.13</v>
      </c>
      <c r="P187" s="2">
        <v>8443.06</v>
      </c>
      <c r="Q187" s="2">
        <v>9187.7099999999991</v>
      </c>
      <c r="R187" s="2">
        <v>10167.5</v>
      </c>
      <c r="S187" s="2">
        <v>10713.75</v>
      </c>
    </row>
    <row r="188" spans="1:19" x14ac:dyDescent="0.25">
      <c r="A188" t="s">
        <v>2946</v>
      </c>
      <c r="F188" s="2">
        <v>1247</v>
      </c>
      <c r="G188" s="2">
        <v>1729</v>
      </c>
      <c r="H188" s="2">
        <v>2285</v>
      </c>
      <c r="I188" s="2">
        <v>2501</v>
      </c>
      <c r="J188" s="2">
        <v>3821</v>
      </c>
      <c r="K188" s="2">
        <v>4147</v>
      </c>
      <c r="L188" s="2">
        <v>6199</v>
      </c>
      <c r="M188" s="2">
        <v>6565</v>
      </c>
      <c r="N188" s="2">
        <v>6898</v>
      </c>
      <c r="O188" s="2">
        <v>7749.16</v>
      </c>
      <c r="P188" s="2">
        <v>8420.43</v>
      </c>
      <c r="Q188" s="2">
        <v>9148.6</v>
      </c>
      <c r="R188" s="2">
        <v>10346.870000000001</v>
      </c>
      <c r="S188" s="2">
        <v>11196.15</v>
      </c>
    </row>
    <row r="189" spans="1:19" x14ac:dyDescent="0.25">
      <c r="A189" t="s">
        <v>2947</v>
      </c>
      <c r="F189" s="2">
        <v>1308</v>
      </c>
      <c r="G189" s="2">
        <v>1729</v>
      </c>
      <c r="H189" s="2">
        <v>2381</v>
      </c>
      <c r="I189" s="2">
        <v>2626</v>
      </c>
      <c r="J189" s="2">
        <v>3961</v>
      </c>
      <c r="K189" s="2">
        <v>4281</v>
      </c>
      <c r="L189" s="2">
        <v>6341</v>
      </c>
      <c r="M189" s="2">
        <v>6737</v>
      </c>
      <c r="N189" s="2">
        <v>7058</v>
      </c>
      <c r="O189" s="2">
        <v>7867.83</v>
      </c>
      <c r="P189" s="2">
        <v>8598.91</v>
      </c>
      <c r="Q189" s="2">
        <v>9296.9599999999991</v>
      </c>
      <c r="R189" s="2">
        <v>10249.32</v>
      </c>
      <c r="S189" s="2">
        <v>10539.12</v>
      </c>
    </row>
    <row r="190" spans="1:19" x14ac:dyDescent="0.25">
      <c r="A190" t="s">
        <v>17</v>
      </c>
    </row>
    <row r="191" spans="1:19" x14ac:dyDescent="0.25">
      <c r="A191" t="s">
        <v>105</v>
      </c>
      <c r="G191">
        <v>168</v>
      </c>
      <c r="H191">
        <v>178</v>
      </c>
      <c r="I191">
        <v>186</v>
      </c>
      <c r="J191">
        <v>150</v>
      </c>
      <c r="K191">
        <v>156</v>
      </c>
      <c r="L191">
        <v>154</v>
      </c>
      <c r="M191">
        <v>168</v>
      </c>
      <c r="N191">
        <v>171</v>
      </c>
      <c r="O191">
        <v>183.72</v>
      </c>
      <c r="P191">
        <v>189.26</v>
      </c>
      <c r="Q191">
        <v>195.38</v>
      </c>
      <c r="R191">
        <v>204.57</v>
      </c>
      <c r="S191">
        <v>200.98</v>
      </c>
    </row>
    <row r="192" spans="1:19" x14ac:dyDescent="0.25">
      <c r="A192" t="s">
        <v>2948</v>
      </c>
      <c r="G192">
        <v>16</v>
      </c>
      <c r="H192">
        <v>113</v>
      </c>
      <c r="I192">
        <v>13</v>
      </c>
      <c r="J192">
        <v>13</v>
      </c>
      <c r="K192">
        <v>13</v>
      </c>
      <c r="L192">
        <v>13</v>
      </c>
      <c r="M192">
        <v>13</v>
      </c>
      <c r="N192">
        <v>13</v>
      </c>
      <c r="O192">
        <v>13</v>
      </c>
      <c r="P192">
        <v>13</v>
      </c>
      <c r="Q192">
        <v>13</v>
      </c>
      <c r="R192">
        <v>13</v>
      </c>
      <c r="S192">
        <v>13</v>
      </c>
    </row>
    <row r="193" spans="1:19" x14ac:dyDescent="0.25">
      <c r="A193" t="s">
        <v>2949</v>
      </c>
      <c r="F193">
        <v>61</v>
      </c>
      <c r="G193">
        <v>0</v>
      </c>
      <c r="H193">
        <v>89</v>
      </c>
      <c r="I193">
        <v>125</v>
      </c>
      <c r="J193">
        <v>135</v>
      </c>
      <c r="K193">
        <v>134</v>
      </c>
      <c r="L193">
        <v>142</v>
      </c>
      <c r="M193">
        <v>172</v>
      </c>
      <c r="N193">
        <v>160</v>
      </c>
      <c r="O193">
        <v>152.4</v>
      </c>
      <c r="P193">
        <v>171.59</v>
      </c>
      <c r="Q193">
        <v>176.98</v>
      </c>
      <c r="R193">
        <v>193.32</v>
      </c>
      <c r="S193">
        <v>177.5</v>
      </c>
    </row>
    <row r="194" spans="1:19" x14ac:dyDescent="0.25">
      <c r="A194" t="s">
        <v>17</v>
      </c>
    </row>
    <row r="195" spans="1:19" x14ac:dyDescent="0.25">
      <c r="A195" t="s">
        <v>2950</v>
      </c>
      <c r="F195">
        <v>54</v>
      </c>
      <c r="G195">
        <v>116</v>
      </c>
      <c r="H195">
        <v>0</v>
      </c>
      <c r="I195">
        <v>0</v>
      </c>
      <c r="J195">
        <v>231</v>
      </c>
      <c r="K195">
        <v>247</v>
      </c>
      <c r="L195">
        <v>239</v>
      </c>
      <c r="M195">
        <v>242</v>
      </c>
      <c r="N195">
        <v>228</v>
      </c>
      <c r="O195">
        <v>234.7</v>
      </c>
      <c r="P195">
        <v>244.18</v>
      </c>
      <c r="Q195">
        <v>255.17</v>
      </c>
      <c r="R195">
        <v>275.73</v>
      </c>
      <c r="S195">
        <v>289.58</v>
      </c>
    </row>
    <row r="196" spans="1:19" x14ac:dyDescent="0.25">
      <c r="A196" t="s">
        <v>2951</v>
      </c>
      <c r="F196">
        <v>-47</v>
      </c>
      <c r="G196">
        <v>-52</v>
      </c>
      <c r="H196">
        <v>-114</v>
      </c>
      <c r="I196">
        <v>-85</v>
      </c>
      <c r="J196">
        <v>-119</v>
      </c>
      <c r="K196">
        <v>-172</v>
      </c>
      <c r="L196">
        <v>-167</v>
      </c>
      <c r="M196">
        <v>-170</v>
      </c>
      <c r="N196">
        <v>-150</v>
      </c>
      <c r="O196">
        <v>-159.75</v>
      </c>
      <c r="P196">
        <v>-181.25</v>
      </c>
      <c r="Q196">
        <v>-187.91</v>
      </c>
      <c r="R196">
        <v>-210.91</v>
      </c>
      <c r="S196">
        <v>-220.38</v>
      </c>
    </row>
    <row r="197" spans="1:19" x14ac:dyDescent="0.25">
      <c r="A197" t="s">
        <v>17</v>
      </c>
    </row>
    <row r="198" spans="1:19" x14ac:dyDescent="0.25">
      <c r="A198" t="s">
        <v>108</v>
      </c>
      <c r="F198">
        <v>286.26</v>
      </c>
      <c r="G198">
        <v>555.15</v>
      </c>
      <c r="H198">
        <v>541.09</v>
      </c>
      <c r="I198">
        <v>526.74</v>
      </c>
      <c r="J198">
        <v>516.9</v>
      </c>
      <c r="K198">
        <v>499.74</v>
      </c>
      <c r="L198">
        <v>488.19</v>
      </c>
      <c r="M198">
        <v>478.77</v>
      </c>
      <c r="N198">
        <v>469.49</v>
      </c>
      <c r="O198">
        <v>464.01</v>
      </c>
      <c r="P198">
        <v>456.31</v>
      </c>
      <c r="Q198">
        <v>449.74</v>
      </c>
      <c r="R198">
        <v>435.48</v>
      </c>
      <c r="S198">
        <v>427.26</v>
      </c>
    </row>
    <row r="199" spans="1:19" x14ac:dyDescent="0.25">
      <c r="A199" t="s">
        <v>888</v>
      </c>
      <c r="F199">
        <v>4.3600000000000003</v>
      </c>
      <c r="G199">
        <v>3.11</v>
      </c>
      <c r="H199">
        <v>4.22</v>
      </c>
      <c r="I199">
        <v>4.75</v>
      </c>
      <c r="J199">
        <v>7.4</v>
      </c>
      <c r="K199">
        <v>8.3000000000000007</v>
      </c>
      <c r="L199">
        <v>12.7</v>
      </c>
      <c r="M199">
        <v>13.71</v>
      </c>
      <c r="N199">
        <v>14.69</v>
      </c>
      <c r="O199">
        <v>16.82</v>
      </c>
      <c r="P199">
        <v>18.62</v>
      </c>
      <c r="Q199">
        <v>20.22</v>
      </c>
      <c r="R199">
        <v>22.97</v>
      </c>
      <c r="S199">
        <v>23.52</v>
      </c>
    </row>
    <row r="200" spans="1:19" x14ac:dyDescent="0.25">
      <c r="A200" t="s">
        <v>17</v>
      </c>
    </row>
    <row r="201" spans="1:19" x14ac:dyDescent="0.25">
      <c r="A201" t="s">
        <v>109</v>
      </c>
      <c r="F201">
        <v>289.11</v>
      </c>
      <c r="G201">
        <v>555.15</v>
      </c>
      <c r="H201">
        <v>545.16999999999996</v>
      </c>
      <c r="I201">
        <v>531.16</v>
      </c>
      <c r="J201">
        <v>521.88</v>
      </c>
      <c r="K201">
        <v>504.04</v>
      </c>
      <c r="L201">
        <v>492.29</v>
      </c>
      <c r="M201">
        <v>482.09</v>
      </c>
      <c r="N201">
        <v>472.2</v>
      </c>
      <c r="O201">
        <v>464.9</v>
      </c>
      <c r="P201">
        <v>457.91</v>
      </c>
      <c r="Q201">
        <v>451.46</v>
      </c>
      <c r="R201">
        <v>442.62</v>
      </c>
      <c r="S201">
        <v>449.75</v>
      </c>
    </row>
    <row r="202" spans="1:19" x14ac:dyDescent="0.25">
      <c r="A202" t="s">
        <v>110</v>
      </c>
      <c r="F202">
        <v>1.92</v>
      </c>
      <c r="G202">
        <v>12.79</v>
      </c>
      <c r="H202">
        <v>4</v>
      </c>
      <c r="I202">
        <v>4.7</v>
      </c>
      <c r="J202">
        <v>7.32</v>
      </c>
      <c r="K202">
        <v>8.23</v>
      </c>
      <c r="L202">
        <v>12.59</v>
      </c>
      <c r="M202">
        <v>13.62</v>
      </c>
      <c r="N202">
        <v>14.61</v>
      </c>
      <c r="O202">
        <v>16.899999999999999</v>
      </c>
      <c r="P202">
        <v>18.670000000000002</v>
      </c>
      <c r="Q202">
        <v>20.45</v>
      </c>
      <c r="R202">
        <v>22.72</v>
      </c>
      <c r="S202">
        <v>23.8</v>
      </c>
    </row>
    <row r="203" spans="1:19" x14ac:dyDescent="0.25">
      <c r="A203" t="s">
        <v>17</v>
      </c>
    </row>
    <row r="204" spans="1:19" x14ac:dyDescent="0.25">
      <c r="A204" t="s">
        <v>487</v>
      </c>
      <c r="F204">
        <v>3.15</v>
      </c>
      <c r="G204">
        <v>3.3</v>
      </c>
      <c r="H204">
        <v>3.5</v>
      </c>
      <c r="I204">
        <v>3.85</v>
      </c>
      <c r="J204">
        <v>4.24</v>
      </c>
      <c r="K204">
        <v>4.68</v>
      </c>
      <c r="L204">
        <v>5.0999999999999996</v>
      </c>
      <c r="M204">
        <v>5.56</v>
      </c>
      <c r="N204">
        <v>6</v>
      </c>
      <c r="O204">
        <v>6.41</v>
      </c>
      <c r="P204">
        <v>6.82</v>
      </c>
      <c r="Q204">
        <v>7.33</v>
      </c>
      <c r="R204">
        <v>7.35</v>
      </c>
      <c r="S204">
        <v>6.87</v>
      </c>
    </row>
    <row r="205" spans="1:19" x14ac:dyDescent="0.25">
      <c r="A205" t="s">
        <v>1123</v>
      </c>
      <c r="F205">
        <v>72.31</v>
      </c>
      <c r="G205">
        <v>105.96</v>
      </c>
      <c r="H205">
        <v>87.03</v>
      </c>
      <c r="I205">
        <v>81.209999999999994</v>
      </c>
      <c r="J205">
        <v>57.36</v>
      </c>
      <c r="K205">
        <v>56.4</v>
      </c>
      <c r="L205">
        <v>40.159999999999997</v>
      </c>
      <c r="M205">
        <v>40.549999999999997</v>
      </c>
      <c r="N205">
        <v>40.840000000000003</v>
      </c>
      <c r="O205">
        <v>38</v>
      </c>
      <c r="P205">
        <v>36.659999999999997</v>
      </c>
      <c r="Q205">
        <v>35.82</v>
      </c>
      <c r="R205">
        <v>33.11</v>
      </c>
      <c r="S205">
        <v>33.1</v>
      </c>
    </row>
    <row r="206" spans="1:19" x14ac:dyDescent="0.25">
      <c r="A206" t="s">
        <v>17</v>
      </c>
    </row>
    <row r="207" spans="1:19" x14ac:dyDescent="0.25">
      <c r="A207" t="s">
        <v>111</v>
      </c>
    </row>
    <row r="208" spans="1:19" x14ac:dyDescent="0.25">
      <c r="A208" t="s">
        <v>63</v>
      </c>
      <c r="F208" s="2">
        <v>4976</v>
      </c>
      <c r="G208" s="2">
        <v>11155</v>
      </c>
      <c r="H208" s="2">
        <v>11584</v>
      </c>
      <c r="I208" s="2">
        <v>11860</v>
      </c>
      <c r="J208" s="2">
        <v>13250</v>
      </c>
      <c r="K208" s="2">
        <v>13914</v>
      </c>
      <c r="L208" s="2">
        <v>15362</v>
      </c>
      <c r="M208" s="2">
        <v>15862</v>
      </c>
      <c r="N208" s="2">
        <v>16597</v>
      </c>
    </row>
    <row r="209" spans="1:19" x14ac:dyDescent="0.25">
      <c r="A209" t="s">
        <v>190</v>
      </c>
      <c r="F209" s="2">
        <v>1184</v>
      </c>
      <c r="G209">
        <v>0</v>
      </c>
      <c r="H209">
        <v>0</v>
      </c>
      <c r="I209" s="2">
        <v>2706</v>
      </c>
      <c r="J209" s="2">
        <v>2772</v>
      </c>
      <c r="K209" s="2">
        <v>2723</v>
      </c>
      <c r="L209" s="2">
        <v>2825</v>
      </c>
      <c r="M209" s="2">
        <v>2857</v>
      </c>
      <c r="N209" s="2">
        <v>2986</v>
      </c>
      <c r="O209" s="2">
        <v>3203.07</v>
      </c>
      <c r="P209" s="2">
        <v>3356.09</v>
      </c>
      <c r="Q209" s="2">
        <v>3452.5</v>
      </c>
      <c r="R209" s="2">
        <v>4028.15</v>
      </c>
      <c r="S209" s="2">
        <v>4179.1899999999996</v>
      </c>
    </row>
    <row r="210" spans="1:19" x14ac:dyDescent="0.25">
      <c r="A210" t="s">
        <v>117</v>
      </c>
      <c r="F210" s="2">
        <v>3733</v>
      </c>
      <c r="G210" s="2">
        <v>4516</v>
      </c>
      <c r="H210" s="2">
        <v>8178</v>
      </c>
      <c r="I210" s="2">
        <v>8645</v>
      </c>
      <c r="J210" s="2">
        <v>10179</v>
      </c>
      <c r="K210" s="2">
        <v>10873</v>
      </c>
      <c r="L210" s="2">
        <v>12133</v>
      </c>
      <c r="M210" s="2">
        <v>12819</v>
      </c>
      <c r="N210" s="2">
        <v>13351</v>
      </c>
      <c r="O210" s="2">
        <v>14176.89</v>
      </c>
      <c r="P210" s="2">
        <v>15183.82</v>
      </c>
      <c r="Q210" s="2">
        <v>16126.67</v>
      </c>
      <c r="R210" s="2">
        <v>17746.25</v>
      </c>
      <c r="S210" s="2">
        <v>18545.8</v>
      </c>
    </row>
    <row r="211" spans="1:19" x14ac:dyDescent="0.25">
      <c r="A211" t="s">
        <v>286</v>
      </c>
      <c r="G211">
        <v>27.1</v>
      </c>
      <c r="H211">
        <v>29</v>
      </c>
      <c r="I211">
        <v>31.7</v>
      </c>
      <c r="J211">
        <v>33.1</v>
      </c>
      <c r="K211">
        <v>32.6</v>
      </c>
      <c r="L211">
        <v>36.9</v>
      </c>
      <c r="M211">
        <v>38.799999999999997</v>
      </c>
      <c r="N211">
        <v>39.299999999999997</v>
      </c>
      <c r="O211">
        <v>39.200000000000003</v>
      </c>
      <c r="P211">
        <v>39.840000000000003</v>
      </c>
      <c r="Q211">
        <v>40.29</v>
      </c>
      <c r="R211">
        <v>42.76</v>
      </c>
      <c r="S211">
        <v>44.46</v>
      </c>
    </row>
    <row r="212" spans="1:19" x14ac:dyDescent="0.25">
      <c r="A212" t="s">
        <v>1277</v>
      </c>
      <c r="G212">
        <v>-179</v>
      </c>
      <c r="H212">
        <v>-139</v>
      </c>
      <c r="I212">
        <v>-183</v>
      </c>
      <c r="J212">
        <v>-196</v>
      </c>
      <c r="K212">
        <v>-243</v>
      </c>
      <c r="L212">
        <v>-180</v>
      </c>
      <c r="M212">
        <v>-200</v>
      </c>
      <c r="N212">
        <v>-231</v>
      </c>
      <c r="O212">
        <v>-204.35</v>
      </c>
      <c r="P212">
        <v>-189.36</v>
      </c>
      <c r="Q212">
        <v>-175.53</v>
      </c>
      <c r="R212">
        <v>-187.64</v>
      </c>
      <c r="S212">
        <v>-196.59</v>
      </c>
    </row>
    <row r="213" spans="1:19" x14ac:dyDescent="0.25">
      <c r="A213" t="s">
        <v>2952</v>
      </c>
      <c r="G213">
        <v>279</v>
      </c>
      <c r="H213">
        <v>134</v>
      </c>
      <c r="I213">
        <v>184</v>
      </c>
      <c r="J213">
        <v>130</v>
      </c>
      <c r="K213">
        <v>98</v>
      </c>
      <c r="L213">
        <v>216</v>
      </c>
      <c r="M213">
        <v>259</v>
      </c>
      <c r="N213">
        <v>255</v>
      </c>
      <c r="O213">
        <v>260.18</v>
      </c>
      <c r="P213">
        <v>270.10000000000002</v>
      </c>
      <c r="Q213">
        <v>265.04000000000002</v>
      </c>
      <c r="R213">
        <v>208.78</v>
      </c>
      <c r="S213">
        <v>23.78</v>
      </c>
    </row>
    <row r="214" spans="1:19" x14ac:dyDescent="0.25">
      <c r="A214" t="s">
        <v>116</v>
      </c>
      <c r="F214" s="2">
        <v>2549</v>
      </c>
      <c r="G214" s="2">
        <v>2976</v>
      </c>
      <c r="H214" s="2">
        <v>5272</v>
      </c>
      <c r="I214" s="2">
        <v>5797</v>
      </c>
      <c r="J214" s="2">
        <v>7176</v>
      </c>
      <c r="K214" s="2">
        <v>7900</v>
      </c>
      <c r="L214" s="2">
        <v>9070</v>
      </c>
      <c r="M214" s="2">
        <v>9720</v>
      </c>
      <c r="N214" s="2">
        <v>10100</v>
      </c>
      <c r="O214" s="2">
        <v>10753.85</v>
      </c>
      <c r="P214" s="2">
        <v>11618.19</v>
      </c>
      <c r="Q214" s="2">
        <v>12551.7</v>
      </c>
      <c r="R214" s="2">
        <v>13770.43</v>
      </c>
      <c r="S214" s="2">
        <v>14508.8</v>
      </c>
    </row>
    <row r="215" spans="1:19" x14ac:dyDescent="0.25">
      <c r="A215" t="s">
        <v>269</v>
      </c>
      <c r="G215">
        <v>17.100000000000001</v>
      </c>
      <c r="H215">
        <v>18.7</v>
      </c>
      <c r="I215">
        <v>21.3</v>
      </c>
      <c r="J215">
        <v>23.3</v>
      </c>
      <c r="K215">
        <v>23.7</v>
      </c>
      <c r="L215">
        <v>27.6</v>
      </c>
      <c r="M215">
        <v>29.5</v>
      </c>
      <c r="N215">
        <v>29.8</v>
      </c>
      <c r="O215">
        <v>29.92</v>
      </c>
      <c r="P215">
        <v>30.52</v>
      </c>
      <c r="Q215">
        <v>31.18</v>
      </c>
      <c r="R215">
        <v>32.33</v>
      </c>
      <c r="S215">
        <v>32.369999999999997</v>
      </c>
    </row>
    <row r="216" spans="1:19" x14ac:dyDescent="0.25">
      <c r="A216" t="s">
        <v>119</v>
      </c>
      <c r="F216" s="2">
        <v>3532.12</v>
      </c>
      <c r="G216" s="2">
        <v>2797</v>
      </c>
      <c r="H216" s="2">
        <v>5277</v>
      </c>
      <c r="I216" s="2">
        <v>5796</v>
      </c>
      <c r="J216" s="2">
        <v>7242</v>
      </c>
      <c r="K216" s="2">
        <v>8049</v>
      </c>
      <c r="L216" s="2">
        <v>9034</v>
      </c>
      <c r="M216" s="2">
        <v>9661</v>
      </c>
      <c r="N216" s="2">
        <v>10113</v>
      </c>
      <c r="O216" s="2">
        <v>10815.38</v>
      </c>
      <c r="P216" s="2">
        <v>11574.26</v>
      </c>
      <c r="Q216" s="2">
        <v>12459.5</v>
      </c>
      <c r="R216" s="2">
        <v>13392</v>
      </c>
      <c r="S216" s="2">
        <v>13672.5</v>
      </c>
    </row>
    <row r="217" spans="1:19" x14ac:dyDescent="0.25">
      <c r="A217" t="s">
        <v>120</v>
      </c>
      <c r="G217" s="2">
        <v>1211</v>
      </c>
      <c r="H217" s="2">
        <v>1267</v>
      </c>
      <c r="I217" s="2">
        <v>1381</v>
      </c>
      <c r="J217" s="2">
        <v>1744</v>
      </c>
      <c r="K217" s="2">
        <v>1945</v>
      </c>
      <c r="L217" s="2">
        <v>2130</v>
      </c>
      <c r="M217" s="2">
        <v>2260</v>
      </c>
      <c r="N217" s="2">
        <v>2398</v>
      </c>
      <c r="O217" s="2">
        <v>2550.15</v>
      </c>
      <c r="P217" s="2">
        <v>2733.41</v>
      </c>
      <c r="Q217" s="2">
        <v>2943.17</v>
      </c>
      <c r="R217" s="2">
        <v>3254.61</v>
      </c>
      <c r="S217" s="2">
        <v>3272.07</v>
      </c>
    </row>
    <row r="218" spans="1:19" x14ac:dyDescent="0.25">
      <c r="A218" t="s">
        <v>293</v>
      </c>
      <c r="G218">
        <v>25.8</v>
      </c>
      <c r="H218">
        <v>24.6</v>
      </c>
      <c r="I218">
        <v>23.8</v>
      </c>
      <c r="J218">
        <v>24.1</v>
      </c>
      <c r="K218">
        <v>24.2</v>
      </c>
      <c r="L218">
        <v>23.6</v>
      </c>
      <c r="M218">
        <v>23.4</v>
      </c>
      <c r="N218">
        <v>23.7</v>
      </c>
      <c r="O218">
        <v>23.19</v>
      </c>
      <c r="P218">
        <v>23.27</v>
      </c>
      <c r="Q218">
        <v>23.43</v>
      </c>
      <c r="R218">
        <v>24.34</v>
      </c>
      <c r="S218">
        <v>25.82</v>
      </c>
    </row>
    <row r="219" spans="1:19" x14ac:dyDescent="0.25">
      <c r="A219" t="s">
        <v>121</v>
      </c>
      <c r="F219" s="2">
        <v>2750.12</v>
      </c>
      <c r="G219" s="2">
        <v>2121</v>
      </c>
      <c r="H219" s="2">
        <v>4003</v>
      </c>
      <c r="I219" s="2">
        <v>4371</v>
      </c>
      <c r="J219" s="2">
        <v>5579</v>
      </c>
      <c r="K219" s="2">
        <v>6195</v>
      </c>
      <c r="L219" s="2">
        <v>6989</v>
      </c>
      <c r="M219" s="2">
        <v>7475</v>
      </c>
      <c r="N219" s="2">
        <v>7772</v>
      </c>
      <c r="O219" s="2">
        <v>8290.08</v>
      </c>
      <c r="P219" s="2">
        <v>8894.89</v>
      </c>
      <c r="Q219" s="2">
        <v>9623.26</v>
      </c>
      <c r="R219" s="2">
        <v>10367</v>
      </c>
      <c r="S219" s="2">
        <v>10988</v>
      </c>
    </row>
    <row r="220" spans="1:19" x14ac:dyDescent="0.25">
      <c r="A220" t="s">
        <v>124</v>
      </c>
      <c r="F220">
        <v>4.97</v>
      </c>
      <c r="G220">
        <v>6.35</v>
      </c>
      <c r="H220">
        <v>7.34</v>
      </c>
      <c r="I220">
        <v>8.23</v>
      </c>
      <c r="J220">
        <v>10.69</v>
      </c>
      <c r="K220">
        <v>12.29</v>
      </c>
      <c r="L220">
        <v>14.2</v>
      </c>
      <c r="M220">
        <v>15.51</v>
      </c>
      <c r="N220">
        <v>16.46</v>
      </c>
      <c r="O220">
        <v>17.88</v>
      </c>
      <c r="P220">
        <v>19.579999999999998</v>
      </c>
      <c r="Q220">
        <v>21.38</v>
      </c>
      <c r="R220">
        <v>23.6</v>
      </c>
      <c r="S220">
        <v>24.24</v>
      </c>
    </row>
    <row r="221" spans="1:19" x14ac:dyDescent="0.25">
      <c r="A221" t="s">
        <v>1123</v>
      </c>
      <c r="F221">
        <v>36.659999999999997</v>
      </c>
      <c r="G221">
        <v>53.36</v>
      </c>
      <c r="H221">
        <v>47.31</v>
      </c>
      <c r="I221">
        <v>46.4</v>
      </c>
      <c r="J221">
        <v>39.28</v>
      </c>
      <c r="K221">
        <v>37.75</v>
      </c>
      <c r="L221">
        <v>35.619999999999997</v>
      </c>
      <c r="M221">
        <v>35.65</v>
      </c>
      <c r="N221">
        <v>36.25</v>
      </c>
      <c r="O221">
        <v>35.840000000000003</v>
      </c>
      <c r="P221">
        <v>34.590000000000003</v>
      </c>
      <c r="Q221">
        <v>33.78</v>
      </c>
      <c r="R221">
        <v>29.28</v>
      </c>
      <c r="S221">
        <v>27.67</v>
      </c>
    </row>
    <row r="222" spans="1:19" x14ac:dyDescent="0.25">
      <c r="A222" t="s">
        <v>17</v>
      </c>
    </row>
    <row r="223" spans="1:19" x14ac:dyDescent="0.25">
      <c r="A223" t="s">
        <v>651</v>
      </c>
    </row>
    <row r="224" spans="1:19" x14ac:dyDescent="0.25">
      <c r="A224" t="s">
        <v>67</v>
      </c>
      <c r="F224">
        <v>59</v>
      </c>
      <c r="G224">
        <v>62</v>
      </c>
      <c r="H224">
        <v>95</v>
      </c>
      <c r="I224">
        <v>133</v>
      </c>
      <c r="J224">
        <v>128</v>
      </c>
      <c r="K224">
        <v>107</v>
      </c>
      <c r="L224">
        <v>141</v>
      </c>
      <c r="M224">
        <v>160</v>
      </c>
      <c r="N224">
        <v>164</v>
      </c>
      <c r="O224">
        <v>140</v>
      </c>
      <c r="P224">
        <v>145</v>
      </c>
      <c r="Q224">
        <v>150</v>
      </c>
      <c r="R224">
        <v>130</v>
      </c>
      <c r="S224">
        <v>130</v>
      </c>
    </row>
    <row r="225" spans="1:19" x14ac:dyDescent="0.25">
      <c r="A225" t="s">
        <v>131</v>
      </c>
      <c r="F225" s="2">
        <v>1237.54</v>
      </c>
      <c r="G225" s="2">
        <v>2480.5700000000002</v>
      </c>
      <c r="H225" s="2">
        <v>2339</v>
      </c>
      <c r="I225" s="2">
        <v>2496.52</v>
      </c>
      <c r="J225" s="2">
        <v>2192</v>
      </c>
      <c r="K225" s="2">
        <v>2535</v>
      </c>
      <c r="L225" s="2">
        <v>1062</v>
      </c>
      <c r="M225" s="2">
        <v>1065</v>
      </c>
      <c r="N225" s="2">
        <v>1207</v>
      </c>
      <c r="O225">
        <v>827.52</v>
      </c>
      <c r="P225">
        <v>810.8</v>
      </c>
      <c r="Q225">
        <v>836.63</v>
      </c>
      <c r="R225">
        <v>831.05</v>
      </c>
      <c r="S225" s="2">
        <v>1112.9000000000001</v>
      </c>
    </row>
    <row r="226" spans="1:19" x14ac:dyDescent="0.25">
      <c r="A226" t="s">
        <v>2953</v>
      </c>
      <c r="F226" s="2">
        <v>1212.5999999999999</v>
      </c>
      <c r="G226" s="2">
        <v>1704</v>
      </c>
      <c r="H226" s="2">
        <v>1827</v>
      </c>
      <c r="I226" s="2">
        <v>1874</v>
      </c>
      <c r="J226" s="2">
        <v>1758</v>
      </c>
      <c r="K226" s="2">
        <v>2048</v>
      </c>
      <c r="L226">
        <v>790</v>
      </c>
      <c r="M226">
        <v>902</v>
      </c>
      <c r="N226">
        <v>872</v>
      </c>
      <c r="O226">
        <v>584.36</v>
      </c>
      <c r="P226">
        <v>757.32</v>
      </c>
      <c r="Q226">
        <v>758.2</v>
      </c>
      <c r="R226">
        <v>759.85</v>
      </c>
    </row>
    <row r="227" spans="1:19" x14ac:dyDescent="0.25">
      <c r="A227" t="s">
        <v>2954</v>
      </c>
      <c r="G227" s="2">
        <v>2233</v>
      </c>
      <c r="H227" s="2">
        <v>1940</v>
      </c>
      <c r="I227" s="2">
        <v>1969</v>
      </c>
      <c r="J227" s="2">
        <v>1919</v>
      </c>
      <c r="K227" s="2">
        <v>1506</v>
      </c>
      <c r="L227" s="2">
        <v>1006</v>
      </c>
      <c r="M227">
        <v>897</v>
      </c>
      <c r="N227">
        <v>906</v>
      </c>
      <c r="O227">
        <v>727.31</v>
      </c>
      <c r="P227">
        <v>716.61</v>
      </c>
      <c r="Q227">
        <v>870.2</v>
      </c>
      <c r="R227">
        <v>746.35</v>
      </c>
      <c r="S227">
        <v>885.91</v>
      </c>
    </row>
    <row r="228" spans="1:19" x14ac:dyDescent="0.25">
      <c r="A228" t="s">
        <v>2955</v>
      </c>
      <c r="F228">
        <v>2.66</v>
      </c>
      <c r="G228">
        <v>2.73</v>
      </c>
      <c r="H228">
        <v>2.57</v>
      </c>
      <c r="I228">
        <v>2.8</v>
      </c>
      <c r="J228">
        <v>2.83</v>
      </c>
      <c r="K228">
        <v>2.2799999999999998</v>
      </c>
      <c r="L228">
        <v>1.66</v>
      </c>
      <c r="M228">
        <v>1.61</v>
      </c>
      <c r="N228">
        <v>1.43</v>
      </c>
      <c r="O228">
        <v>1.47</v>
      </c>
      <c r="P228">
        <v>1.58</v>
      </c>
      <c r="Q228">
        <v>1.8</v>
      </c>
      <c r="R228">
        <v>1.84</v>
      </c>
    </row>
    <row r="229" spans="1:19" x14ac:dyDescent="0.25">
      <c r="A229" t="s">
        <v>17</v>
      </c>
    </row>
    <row r="230" spans="1:19" x14ac:dyDescent="0.25">
      <c r="A230" t="s">
        <v>134</v>
      </c>
    </row>
    <row r="231" spans="1:19" x14ac:dyDescent="0.25">
      <c r="A231" t="s">
        <v>135</v>
      </c>
    </row>
    <row r="232" spans="1:19" x14ac:dyDescent="0.25">
      <c r="A232" t="s">
        <v>136</v>
      </c>
      <c r="F232" s="2">
        <v>19348</v>
      </c>
      <c r="G232" s="2">
        <v>17272</v>
      </c>
      <c r="H232" s="2">
        <v>10352</v>
      </c>
      <c r="I232" s="2">
        <v>10924</v>
      </c>
      <c r="J232" s="2">
        <v>10159</v>
      </c>
      <c r="K232" s="2">
        <v>13047</v>
      </c>
      <c r="L232" s="2">
        <v>12620</v>
      </c>
      <c r="M232" s="2">
        <v>12945</v>
      </c>
      <c r="N232" s="2">
        <v>13325</v>
      </c>
      <c r="O232" s="2">
        <v>14072.63</v>
      </c>
      <c r="P232" s="2">
        <v>14462.61</v>
      </c>
      <c r="Q232" s="2">
        <v>15376.92</v>
      </c>
      <c r="R232" s="2">
        <v>19636.669999999998</v>
      </c>
      <c r="S232" s="2">
        <v>25872.240000000002</v>
      </c>
    </row>
    <row r="233" spans="1:19" x14ac:dyDescent="0.25">
      <c r="A233" t="s">
        <v>536</v>
      </c>
      <c r="F233" s="2">
        <v>10301</v>
      </c>
      <c r="G233" s="2">
        <v>4466</v>
      </c>
      <c r="H233" s="2">
        <v>2700</v>
      </c>
      <c r="I233" s="2">
        <v>3754</v>
      </c>
      <c r="J233" s="2">
        <v>2823</v>
      </c>
      <c r="K233" s="2">
        <v>5436</v>
      </c>
      <c r="L233" s="2">
        <v>4664</v>
      </c>
      <c r="M233" s="2">
        <v>4850</v>
      </c>
      <c r="N233" s="2">
        <v>5056</v>
      </c>
      <c r="O233" s="2">
        <v>5206.1000000000004</v>
      </c>
      <c r="P233" s="2">
        <v>5393.15</v>
      </c>
      <c r="Q233" s="2">
        <v>6079.38</v>
      </c>
      <c r="R233" s="2">
        <v>10021.59</v>
      </c>
      <c r="S233" s="2">
        <v>17049.04</v>
      </c>
    </row>
    <row r="234" spans="1:19" x14ac:dyDescent="0.25">
      <c r="A234" t="s">
        <v>141</v>
      </c>
      <c r="F234" s="2">
        <v>4461</v>
      </c>
      <c r="G234" s="2">
        <v>4255</v>
      </c>
      <c r="H234" s="2">
        <v>4322</v>
      </c>
      <c r="I234" s="2">
        <v>4167</v>
      </c>
      <c r="J234" s="2">
        <v>4499</v>
      </c>
      <c r="K234" s="2">
        <v>4559</v>
      </c>
      <c r="L234" s="2">
        <v>4718</v>
      </c>
      <c r="M234" s="2">
        <v>4622</v>
      </c>
      <c r="N234" s="2">
        <v>4966</v>
      </c>
      <c r="O234" s="2">
        <v>5172.38</v>
      </c>
      <c r="P234" s="2">
        <v>5367.24</v>
      </c>
      <c r="Q234" s="2">
        <v>5587.47</v>
      </c>
      <c r="R234" s="2">
        <v>5997.15</v>
      </c>
      <c r="S234" s="2">
        <v>6169.24</v>
      </c>
    </row>
    <row r="235" spans="1:19" x14ac:dyDescent="0.25">
      <c r="A235" t="s">
        <v>688</v>
      </c>
      <c r="G235">
        <v>283</v>
      </c>
      <c r="H235">
        <v>368</v>
      </c>
      <c r="I235">
        <v>162</v>
      </c>
      <c r="J235">
        <v>134</v>
      </c>
      <c r="K235">
        <v>124</v>
      </c>
      <c r="L235">
        <v>196</v>
      </c>
      <c r="M235">
        <v>263</v>
      </c>
      <c r="N235">
        <v>269</v>
      </c>
      <c r="O235">
        <v>355.7</v>
      </c>
      <c r="P235">
        <v>386.26</v>
      </c>
      <c r="Q235">
        <v>414.34</v>
      </c>
      <c r="R235">
        <v>343.68</v>
      </c>
      <c r="S235">
        <v>307.39</v>
      </c>
    </row>
    <row r="236" spans="1:19" x14ac:dyDescent="0.25">
      <c r="A236" t="s">
        <v>340</v>
      </c>
      <c r="F236" s="2">
        <v>2028</v>
      </c>
      <c r="G236" s="2">
        <v>1651</v>
      </c>
      <c r="H236" s="2">
        <v>1697</v>
      </c>
      <c r="I236" s="2">
        <v>1729</v>
      </c>
      <c r="J236" s="2">
        <v>1733</v>
      </c>
      <c r="K236" s="2">
        <v>1978</v>
      </c>
      <c r="L236" s="2">
        <v>2115</v>
      </c>
      <c r="M236" s="2">
        <v>1946</v>
      </c>
      <c r="N236" s="2">
        <v>2055</v>
      </c>
      <c r="O236" s="2">
        <v>2181.7399999999998</v>
      </c>
      <c r="P236" s="2">
        <v>2256.88</v>
      </c>
      <c r="Q236" s="2">
        <v>2427.14</v>
      </c>
      <c r="R236" s="2">
        <v>2719.87</v>
      </c>
      <c r="S236" s="2">
        <v>2907.93</v>
      </c>
    </row>
    <row r="237" spans="1:19" x14ac:dyDescent="0.25">
      <c r="A237" t="s">
        <v>1862</v>
      </c>
      <c r="G237" s="2">
        <v>1077</v>
      </c>
      <c r="H237" s="2">
        <v>1140</v>
      </c>
      <c r="I237" s="2">
        <v>1112</v>
      </c>
      <c r="J237">
        <v>970</v>
      </c>
      <c r="K237">
        <v>950</v>
      </c>
      <c r="L237">
        <v>927</v>
      </c>
      <c r="M237" s="2">
        <v>1264</v>
      </c>
      <c r="N237">
        <v>979</v>
      </c>
      <c r="O237" s="2">
        <v>1043.8900000000001</v>
      </c>
      <c r="P237" s="2">
        <v>1058.26</v>
      </c>
      <c r="Q237" s="2">
        <v>1069.6099999999999</v>
      </c>
      <c r="R237" s="2">
        <v>1090.71</v>
      </c>
      <c r="S237" s="2">
        <v>1118.72</v>
      </c>
    </row>
    <row r="238" spans="1:19" x14ac:dyDescent="0.25">
      <c r="A238" t="s">
        <v>78</v>
      </c>
      <c r="F238" s="2">
        <v>1769</v>
      </c>
      <c r="G238" s="2">
        <v>6900</v>
      </c>
      <c r="H238" s="2">
        <v>1633</v>
      </c>
      <c r="I238" s="2">
        <v>1274</v>
      </c>
      <c r="J238" s="2">
        <v>1104</v>
      </c>
      <c r="K238" s="2">
        <v>1074</v>
      </c>
      <c r="L238" s="2">
        <v>1123</v>
      </c>
      <c r="M238" s="2">
        <v>1527</v>
      </c>
      <c r="N238" s="2">
        <v>1248</v>
      </c>
      <c r="O238" s="2">
        <v>1427.91</v>
      </c>
      <c r="P238" s="2">
        <v>1452.1</v>
      </c>
      <c r="Q238" s="2">
        <v>1433</v>
      </c>
      <c r="R238" s="2">
        <v>1340</v>
      </c>
      <c r="S238" s="2">
        <v>1248</v>
      </c>
    </row>
    <row r="239" spans="1:19" x14ac:dyDescent="0.25">
      <c r="A239" t="s">
        <v>146</v>
      </c>
      <c r="F239" s="2">
        <v>77088</v>
      </c>
      <c r="G239" s="2">
        <v>76114</v>
      </c>
      <c r="H239" s="2">
        <v>76260</v>
      </c>
      <c r="I239" s="2">
        <v>77305</v>
      </c>
      <c r="J239" s="2">
        <v>71446</v>
      </c>
      <c r="K239" s="2">
        <v>66611</v>
      </c>
      <c r="L239" s="2">
        <v>68191</v>
      </c>
      <c r="M239" s="2">
        <v>67202</v>
      </c>
      <c r="N239" s="2">
        <v>73492</v>
      </c>
      <c r="O239" s="2">
        <v>74159.94</v>
      </c>
      <c r="P239" s="2">
        <v>75379.509999999995</v>
      </c>
      <c r="Q239" s="2">
        <v>76633.27</v>
      </c>
      <c r="R239" s="2">
        <v>78097.100000000006</v>
      </c>
      <c r="S239" s="2">
        <v>77740.72</v>
      </c>
    </row>
    <row r="240" spans="1:19" x14ac:dyDescent="0.25">
      <c r="A240" t="s">
        <v>409</v>
      </c>
      <c r="F240" s="2">
        <v>31129</v>
      </c>
      <c r="G240" s="2">
        <v>29717</v>
      </c>
      <c r="H240" s="2">
        <v>29064</v>
      </c>
      <c r="I240" s="2">
        <v>28711</v>
      </c>
      <c r="J240" s="2">
        <v>26003</v>
      </c>
      <c r="K240" s="2">
        <v>23548</v>
      </c>
      <c r="L240" s="2">
        <v>24552</v>
      </c>
      <c r="M240" s="2">
        <v>24775</v>
      </c>
      <c r="N240" s="2">
        <v>28260</v>
      </c>
      <c r="O240" s="2">
        <v>29910.14</v>
      </c>
      <c r="P240" s="2">
        <v>31391.23</v>
      </c>
      <c r="Q240" s="2">
        <v>32692.46</v>
      </c>
      <c r="R240" s="2">
        <v>33463.54</v>
      </c>
      <c r="S240" s="2">
        <v>32338.85</v>
      </c>
    </row>
    <row r="241" spans="1:19" x14ac:dyDescent="0.25">
      <c r="A241" t="s">
        <v>2956</v>
      </c>
      <c r="G241" s="2">
        <v>12220</v>
      </c>
      <c r="H241" s="2">
        <v>15254</v>
      </c>
      <c r="I241" s="2">
        <v>19288</v>
      </c>
      <c r="J241" s="2">
        <v>22453</v>
      </c>
      <c r="K241" s="2">
        <v>27139</v>
      </c>
      <c r="L241" s="2">
        <v>30773</v>
      </c>
      <c r="M241" s="2">
        <v>33944</v>
      </c>
      <c r="N241" s="2">
        <v>39819</v>
      </c>
      <c r="O241" s="2">
        <v>41331.86</v>
      </c>
      <c r="P241" s="2">
        <v>44521.440000000002</v>
      </c>
      <c r="Q241" s="2">
        <v>47842.47</v>
      </c>
      <c r="R241" s="2">
        <v>50994.31</v>
      </c>
      <c r="S241" s="2">
        <v>55932.55</v>
      </c>
    </row>
    <row r="242" spans="1:19" x14ac:dyDescent="0.25">
      <c r="A242" t="s">
        <v>1133</v>
      </c>
      <c r="F242" s="2">
        <v>1078</v>
      </c>
      <c r="G242" s="2">
        <v>1838</v>
      </c>
      <c r="H242" s="2">
        <v>2027</v>
      </c>
      <c r="I242" s="2">
        <v>2061</v>
      </c>
      <c r="J242" s="2">
        <v>2619</v>
      </c>
      <c r="K242" s="2">
        <v>2350</v>
      </c>
      <c r="L242" s="2">
        <v>2190</v>
      </c>
      <c r="M242" s="2">
        <v>2130</v>
      </c>
      <c r="N242" s="2">
        <v>2015</v>
      </c>
      <c r="O242" s="2">
        <v>2211.8000000000002</v>
      </c>
      <c r="P242" s="2">
        <v>2211.8000000000002</v>
      </c>
      <c r="Q242" s="2">
        <v>2211.8000000000002</v>
      </c>
      <c r="R242" s="2">
        <v>2015</v>
      </c>
      <c r="S242" s="2">
        <v>2015</v>
      </c>
    </row>
    <row r="243" spans="1:19" x14ac:dyDescent="0.25">
      <c r="A243" t="s">
        <v>496</v>
      </c>
      <c r="F243" s="2">
        <v>27279</v>
      </c>
      <c r="G243" s="2">
        <v>26874</v>
      </c>
      <c r="H243" s="2">
        <v>27019</v>
      </c>
      <c r="I243" s="2">
        <v>28201</v>
      </c>
      <c r="J243" s="2">
        <v>27038</v>
      </c>
      <c r="K243" s="2">
        <v>25817</v>
      </c>
      <c r="L243" s="2">
        <v>26751</v>
      </c>
      <c r="M243" s="2">
        <v>25937</v>
      </c>
      <c r="N243" s="2">
        <v>27927</v>
      </c>
      <c r="O243" s="2">
        <v>27707.8</v>
      </c>
      <c r="P243" s="2">
        <v>27602.67</v>
      </c>
      <c r="Q243" s="2">
        <v>27431.46</v>
      </c>
      <c r="R243" s="2">
        <v>27422.17</v>
      </c>
      <c r="S243" s="2">
        <v>26975.5</v>
      </c>
    </row>
    <row r="244" spans="1:19" x14ac:dyDescent="0.25">
      <c r="A244" t="s">
        <v>497</v>
      </c>
      <c r="F244" s="2">
        <v>15982</v>
      </c>
      <c r="G244" s="2">
        <v>16223</v>
      </c>
      <c r="H244" s="2">
        <v>16137</v>
      </c>
      <c r="I244" s="2">
        <v>16184</v>
      </c>
      <c r="J244" s="2">
        <v>13802</v>
      </c>
      <c r="K244" s="2">
        <v>12420</v>
      </c>
      <c r="L244" s="2">
        <v>12399</v>
      </c>
      <c r="M244" s="2">
        <v>11330</v>
      </c>
      <c r="N244" s="2">
        <v>11871</v>
      </c>
      <c r="O244" s="2">
        <v>11678.74</v>
      </c>
      <c r="P244" s="2">
        <v>11580.46</v>
      </c>
      <c r="Q244" s="2">
        <v>11469.35</v>
      </c>
      <c r="R244" s="2">
        <v>11088.87</v>
      </c>
      <c r="S244" s="2">
        <v>12287.37</v>
      </c>
    </row>
    <row r="245" spans="1:19" x14ac:dyDescent="0.25">
      <c r="A245" t="s">
        <v>154</v>
      </c>
      <c r="F245">
        <v>14</v>
      </c>
      <c r="G245" s="2">
        <v>1462</v>
      </c>
      <c r="H245" s="2">
        <v>2013</v>
      </c>
      <c r="I245" s="2">
        <v>2148</v>
      </c>
      <c r="J245" s="2">
        <v>1984</v>
      </c>
      <c r="K245" s="2">
        <v>2476</v>
      </c>
      <c r="L245" s="2">
        <v>2299</v>
      </c>
      <c r="M245" s="2">
        <v>3030</v>
      </c>
      <c r="N245" s="2">
        <v>3419</v>
      </c>
      <c r="O245" s="2">
        <v>5330.14</v>
      </c>
      <c r="P245" s="2">
        <v>5407.55</v>
      </c>
      <c r="Q245" s="2">
        <v>6773.1</v>
      </c>
      <c r="R245" s="2">
        <v>4426.5</v>
      </c>
      <c r="S245" s="2">
        <v>5434</v>
      </c>
    </row>
    <row r="246" spans="1:19" x14ac:dyDescent="0.25">
      <c r="A246" t="s">
        <v>155</v>
      </c>
      <c r="F246" s="2">
        <v>96436</v>
      </c>
      <c r="G246" s="2">
        <v>93386</v>
      </c>
      <c r="H246" s="2">
        <v>86612</v>
      </c>
      <c r="I246" s="2">
        <v>88229</v>
      </c>
      <c r="J246" s="2">
        <v>81605</v>
      </c>
      <c r="K246" s="2">
        <v>79658</v>
      </c>
      <c r="L246" s="2">
        <v>80811</v>
      </c>
      <c r="M246" s="2">
        <v>80147</v>
      </c>
      <c r="N246" s="2">
        <v>86817</v>
      </c>
      <c r="O246" s="2">
        <v>88879.2</v>
      </c>
      <c r="P246" s="2">
        <v>91036.2</v>
      </c>
      <c r="Q246" s="2">
        <v>93432.06</v>
      </c>
      <c r="R246" s="2">
        <v>98752.14</v>
      </c>
      <c r="S246" s="2">
        <v>106258.82</v>
      </c>
    </row>
    <row r="247" spans="1:19" x14ac:dyDescent="0.25">
      <c r="A247" t="s">
        <v>17</v>
      </c>
    </row>
    <row r="248" spans="1:19" x14ac:dyDescent="0.25">
      <c r="A248" t="s">
        <v>156</v>
      </c>
    </row>
    <row r="249" spans="1:19" x14ac:dyDescent="0.25">
      <c r="A249" t="s">
        <v>157</v>
      </c>
      <c r="F249" s="2">
        <v>13209</v>
      </c>
      <c r="G249" s="2">
        <v>12956</v>
      </c>
      <c r="H249" s="2">
        <v>12160</v>
      </c>
      <c r="I249" s="2">
        <v>13740</v>
      </c>
      <c r="J249" s="2">
        <v>13643</v>
      </c>
      <c r="K249" s="2">
        <v>16479</v>
      </c>
      <c r="L249" s="2">
        <v>15717</v>
      </c>
      <c r="M249" s="2">
        <v>14544</v>
      </c>
      <c r="N249" s="2">
        <v>15198</v>
      </c>
      <c r="O249" s="2">
        <v>15888.74</v>
      </c>
      <c r="P249" s="2">
        <v>16164.11</v>
      </c>
      <c r="Q249" s="2">
        <v>16447.240000000002</v>
      </c>
      <c r="R249" s="2">
        <v>17146.84</v>
      </c>
      <c r="S249" s="2">
        <v>15825.73</v>
      </c>
    </row>
    <row r="250" spans="1:19" x14ac:dyDescent="0.25">
      <c r="A250" t="s">
        <v>158</v>
      </c>
      <c r="F250" s="2">
        <v>4159</v>
      </c>
      <c r="G250" s="2">
        <v>3219</v>
      </c>
      <c r="H250" s="2">
        <v>3266</v>
      </c>
      <c r="I250" s="2">
        <v>3095</v>
      </c>
      <c r="J250" s="2">
        <v>3503</v>
      </c>
      <c r="K250" s="2">
        <v>2995</v>
      </c>
      <c r="L250" s="2">
        <v>3020</v>
      </c>
      <c r="M250" s="2">
        <v>2507</v>
      </c>
      <c r="N250" s="2">
        <v>2810</v>
      </c>
      <c r="O250" s="2">
        <v>2950.95</v>
      </c>
      <c r="P250" s="2">
        <v>3050.45</v>
      </c>
      <c r="Q250" s="2">
        <v>3254.39</v>
      </c>
      <c r="R250" s="2">
        <v>3442.95</v>
      </c>
      <c r="S250" s="2">
        <v>3398.95</v>
      </c>
    </row>
    <row r="251" spans="1:19" x14ac:dyDescent="0.25">
      <c r="A251" t="s">
        <v>313</v>
      </c>
      <c r="F251" s="2">
        <v>1637</v>
      </c>
      <c r="G251" s="2">
        <v>3008</v>
      </c>
      <c r="H251" s="2">
        <v>3263</v>
      </c>
      <c r="I251" s="2">
        <v>4002</v>
      </c>
      <c r="J251" s="2">
        <v>2872</v>
      </c>
      <c r="K251" s="2">
        <v>5716</v>
      </c>
      <c r="L251" s="2">
        <v>5976</v>
      </c>
      <c r="M251" s="2">
        <v>6280</v>
      </c>
      <c r="N251" s="2">
        <v>4510</v>
      </c>
      <c r="O251" s="2">
        <v>6545</v>
      </c>
      <c r="P251" s="2">
        <v>6794</v>
      </c>
      <c r="Q251" s="2">
        <v>6930.36</v>
      </c>
      <c r="R251" s="2">
        <v>7688.25</v>
      </c>
      <c r="S251" s="2">
        <v>6306</v>
      </c>
    </row>
    <row r="252" spans="1:19" x14ac:dyDescent="0.25">
      <c r="A252" t="s">
        <v>694</v>
      </c>
      <c r="G252" s="2">
        <v>1523</v>
      </c>
      <c r="H252" s="2">
        <v>1531</v>
      </c>
      <c r="I252">
        <v>751</v>
      </c>
      <c r="J252" s="2">
        <v>1709</v>
      </c>
      <c r="K252" s="2">
        <v>1599</v>
      </c>
      <c r="L252" s="2">
        <v>1263</v>
      </c>
      <c r="M252" s="2">
        <v>2057</v>
      </c>
      <c r="N252" s="2">
        <v>1796</v>
      </c>
      <c r="O252" s="2">
        <v>2270.6</v>
      </c>
      <c r="P252" s="2">
        <v>2270.6</v>
      </c>
      <c r="Q252" s="2">
        <v>2219.75</v>
      </c>
      <c r="R252" s="2">
        <v>2135</v>
      </c>
      <c r="S252" s="2">
        <v>1796</v>
      </c>
    </row>
    <row r="253" spans="1:19" x14ac:dyDescent="0.25">
      <c r="A253" t="s">
        <v>314</v>
      </c>
      <c r="F253" s="2">
        <v>4075</v>
      </c>
      <c r="G253" s="2">
        <v>4654</v>
      </c>
      <c r="H253" s="2">
        <v>5371</v>
      </c>
      <c r="I253" s="2">
        <v>6406</v>
      </c>
      <c r="J253" s="2">
        <v>7053</v>
      </c>
      <c r="K253" s="2">
        <v>7587</v>
      </c>
      <c r="L253" s="2">
        <v>6544</v>
      </c>
      <c r="M253" s="2">
        <v>5581</v>
      </c>
      <c r="N253" s="2">
        <v>5883</v>
      </c>
      <c r="O253" s="2">
        <v>6018.5</v>
      </c>
      <c r="P253" s="2">
        <v>6005.8</v>
      </c>
      <c r="Q253" s="2">
        <v>6018.5</v>
      </c>
      <c r="R253" s="2">
        <v>6082</v>
      </c>
      <c r="S253" s="2">
        <v>6082</v>
      </c>
    </row>
    <row r="254" spans="1:19" x14ac:dyDescent="0.25">
      <c r="A254" t="s">
        <v>2957</v>
      </c>
      <c r="G254" s="2">
        <v>1546</v>
      </c>
      <c r="H254" s="2">
        <v>1758</v>
      </c>
      <c r="I254" s="2">
        <v>1769</v>
      </c>
      <c r="J254" s="2">
        <v>2940</v>
      </c>
      <c r="K254" s="2">
        <v>3073</v>
      </c>
      <c r="L254" s="2">
        <v>1901</v>
      </c>
      <c r="M254" s="2">
        <v>1194</v>
      </c>
      <c r="N254" s="2">
        <v>1231</v>
      </c>
      <c r="O254" s="2">
        <v>1176.8699999999999</v>
      </c>
      <c r="P254" s="2">
        <v>1184.83</v>
      </c>
      <c r="Q254" s="2">
        <v>1202.26</v>
      </c>
      <c r="R254" s="2">
        <v>1319.16</v>
      </c>
      <c r="S254" s="2">
        <v>1582.37</v>
      </c>
    </row>
    <row r="255" spans="1:19" x14ac:dyDescent="0.25">
      <c r="A255" t="s">
        <v>807</v>
      </c>
      <c r="F255" s="2">
        <v>3133</v>
      </c>
      <c r="G255" s="2">
        <v>3758</v>
      </c>
      <c r="H255" s="2">
        <v>3501</v>
      </c>
      <c r="I255" s="2">
        <v>4332</v>
      </c>
      <c r="J255" s="2">
        <v>3899</v>
      </c>
      <c r="K255" s="2">
        <v>4082</v>
      </c>
      <c r="L255" s="2">
        <v>4156</v>
      </c>
      <c r="M255" s="2">
        <v>3926</v>
      </c>
      <c r="N255" s="2">
        <v>4171</v>
      </c>
      <c r="O255" s="2">
        <v>4626.1000000000004</v>
      </c>
      <c r="P255" s="2">
        <v>4626.1000000000004</v>
      </c>
      <c r="Q255" s="2">
        <v>4603.78</v>
      </c>
      <c r="R255" s="2">
        <v>4389.67</v>
      </c>
      <c r="S255" s="2">
        <v>4171</v>
      </c>
    </row>
    <row r="256" spans="1:19" x14ac:dyDescent="0.25">
      <c r="A256" t="s">
        <v>2958</v>
      </c>
      <c r="F256" s="2">
        <v>8185</v>
      </c>
      <c r="G256" s="2">
        <v>7611</v>
      </c>
      <c r="H256" s="2">
        <v>7236</v>
      </c>
      <c r="I256" s="2">
        <v>7236</v>
      </c>
      <c r="J256" s="2">
        <v>6998</v>
      </c>
      <c r="K256" s="2">
        <v>6799</v>
      </c>
      <c r="L256" s="2">
        <v>6798</v>
      </c>
      <c r="M256" s="2">
        <v>6757</v>
      </c>
      <c r="N256" s="2">
        <v>6840</v>
      </c>
    </row>
    <row r="257" spans="1:19" x14ac:dyDescent="0.25">
      <c r="A257" t="s">
        <v>164</v>
      </c>
      <c r="F257" s="2">
        <v>27985</v>
      </c>
      <c r="G257" s="2">
        <v>23334</v>
      </c>
      <c r="H257" s="2">
        <v>22817</v>
      </c>
      <c r="I257" s="2">
        <v>24907</v>
      </c>
      <c r="J257" s="2">
        <v>22521</v>
      </c>
      <c r="K257" s="2">
        <v>21792</v>
      </c>
      <c r="L257" s="2">
        <v>23999</v>
      </c>
      <c r="M257" s="2">
        <v>26115</v>
      </c>
      <c r="N257" s="2">
        <v>31878</v>
      </c>
      <c r="O257" s="2">
        <v>31804.79</v>
      </c>
      <c r="P257" s="2">
        <v>31773.599999999999</v>
      </c>
      <c r="Q257" s="2">
        <v>31412.93</v>
      </c>
      <c r="R257" s="2">
        <v>29741.51</v>
      </c>
      <c r="S257" s="2">
        <v>29304.76</v>
      </c>
    </row>
    <row r="258" spans="1:19" x14ac:dyDescent="0.25">
      <c r="A258" t="s">
        <v>315</v>
      </c>
      <c r="F258" s="2">
        <v>15633</v>
      </c>
      <c r="G258" s="2">
        <v>12288</v>
      </c>
      <c r="H258" s="2">
        <v>10576</v>
      </c>
      <c r="I258" s="2">
        <v>12027</v>
      </c>
      <c r="J258" s="2">
        <v>11206</v>
      </c>
      <c r="K258" s="2">
        <v>12084</v>
      </c>
      <c r="L258" s="2">
        <v>13254</v>
      </c>
      <c r="M258" s="2">
        <v>15193</v>
      </c>
      <c r="N258" s="2">
        <v>20531</v>
      </c>
      <c r="O258" s="2">
        <v>20419.82</v>
      </c>
      <c r="P258" s="2">
        <v>20520.12</v>
      </c>
      <c r="Q258" s="2">
        <v>20422</v>
      </c>
      <c r="R258" s="2">
        <v>20085.2</v>
      </c>
      <c r="S258" s="2">
        <v>19439.669999999998</v>
      </c>
    </row>
    <row r="259" spans="1:19" x14ac:dyDescent="0.25">
      <c r="A259" t="s">
        <v>2959</v>
      </c>
      <c r="F259" s="2">
        <v>1787</v>
      </c>
      <c r="G259">
        <v>871</v>
      </c>
      <c r="H259" s="2">
        <v>1008</v>
      </c>
      <c r="I259" s="2">
        <v>1876</v>
      </c>
      <c r="J259" s="2">
        <v>1760</v>
      </c>
      <c r="K259" s="2">
        <v>1542</v>
      </c>
      <c r="L259" s="2">
        <v>2533</v>
      </c>
      <c r="M259" s="2">
        <v>2881</v>
      </c>
      <c r="N259" s="2">
        <v>3213</v>
      </c>
      <c r="O259" s="2">
        <v>10933.03</v>
      </c>
      <c r="P259" s="2">
        <v>10837.36</v>
      </c>
      <c r="Q259" s="2">
        <v>10712.69</v>
      </c>
      <c r="R259" s="2">
        <v>10424.67</v>
      </c>
      <c r="S259" s="2">
        <v>11195</v>
      </c>
    </row>
    <row r="260" spans="1:19" x14ac:dyDescent="0.25">
      <c r="A260" t="s">
        <v>2815</v>
      </c>
      <c r="G260" s="2">
        <v>2004</v>
      </c>
      <c r="H260" s="2">
        <v>2548</v>
      </c>
      <c r="I260" s="2">
        <v>2963</v>
      </c>
      <c r="J260" s="2">
        <v>1802</v>
      </c>
      <c r="K260">
        <v>640</v>
      </c>
      <c r="L260">
        <v>693</v>
      </c>
      <c r="M260">
        <v>519</v>
      </c>
      <c r="N260">
        <v>473</v>
      </c>
      <c r="O260">
        <v>574.5</v>
      </c>
      <c r="P260">
        <v>562</v>
      </c>
      <c r="Q260">
        <v>549.5</v>
      </c>
      <c r="R260">
        <v>434</v>
      </c>
    </row>
    <row r="261" spans="1:19" x14ac:dyDescent="0.25">
      <c r="A261" t="s">
        <v>167</v>
      </c>
      <c r="F261" s="2">
        <v>41194</v>
      </c>
      <c r="G261" s="2">
        <v>36290</v>
      </c>
      <c r="H261" s="2">
        <v>34977</v>
      </c>
      <c r="I261" s="2">
        <v>38647</v>
      </c>
      <c r="J261" s="2">
        <v>36164</v>
      </c>
      <c r="K261" s="2">
        <v>38271</v>
      </c>
      <c r="L261" s="2">
        <v>39716</v>
      </c>
      <c r="M261" s="2">
        <v>40659</v>
      </c>
      <c r="N261" s="2">
        <v>47076</v>
      </c>
      <c r="O261" s="2">
        <v>47694.400000000001</v>
      </c>
      <c r="P261" s="2">
        <v>47896.45</v>
      </c>
      <c r="Q261" s="2">
        <v>48012.29</v>
      </c>
      <c r="R261" s="2">
        <v>46992.47</v>
      </c>
      <c r="S261" s="2">
        <v>45305.57</v>
      </c>
    </row>
    <row r="262" spans="1:19" x14ac:dyDescent="0.25">
      <c r="A262" t="s">
        <v>2948</v>
      </c>
      <c r="G262">
        <v>16</v>
      </c>
      <c r="H262">
        <v>113</v>
      </c>
      <c r="I262">
        <v>13</v>
      </c>
      <c r="J262">
        <v>13</v>
      </c>
      <c r="K262">
        <v>13</v>
      </c>
      <c r="L262">
        <v>13</v>
      </c>
      <c r="M262">
        <v>13</v>
      </c>
      <c r="N262">
        <v>13</v>
      </c>
      <c r="O262">
        <v>13</v>
      </c>
      <c r="P262">
        <v>13</v>
      </c>
      <c r="Q262">
        <v>13</v>
      </c>
      <c r="R262">
        <v>13</v>
      </c>
      <c r="S262">
        <v>13</v>
      </c>
    </row>
    <row r="263" spans="1:19" x14ac:dyDescent="0.25">
      <c r="A263" t="s">
        <v>170</v>
      </c>
      <c r="F263" s="2">
        <v>55242</v>
      </c>
      <c r="G263" s="2">
        <v>57096</v>
      </c>
      <c r="H263" s="2">
        <v>51635</v>
      </c>
      <c r="I263" s="2">
        <v>49582</v>
      </c>
      <c r="J263" s="2">
        <v>45441</v>
      </c>
      <c r="K263" s="2">
        <v>41387</v>
      </c>
      <c r="L263" s="2">
        <v>41095</v>
      </c>
      <c r="M263" s="2">
        <v>39488</v>
      </c>
      <c r="N263" s="2">
        <v>39741</v>
      </c>
      <c r="O263" s="2">
        <v>41529.19</v>
      </c>
      <c r="P263" s="2">
        <v>43601.67</v>
      </c>
      <c r="Q263" s="2">
        <v>45655.65</v>
      </c>
      <c r="R263" s="2">
        <v>52224.7</v>
      </c>
      <c r="S263" s="2">
        <v>58654.83</v>
      </c>
    </row>
    <row r="264" spans="1:19" x14ac:dyDescent="0.25">
      <c r="A264" t="s">
        <v>1232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t="s">
        <v>2684</v>
      </c>
      <c r="G265" s="2">
        <v>40151</v>
      </c>
      <c r="H265" s="2">
        <v>40201</v>
      </c>
      <c r="I265" s="2">
        <v>40202</v>
      </c>
      <c r="J265" s="2">
        <v>40180</v>
      </c>
      <c r="K265" s="2">
        <v>40005</v>
      </c>
      <c r="L265" s="2">
        <v>39812</v>
      </c>
      <c r="M265" s="2">
        <v>39603</v>
      </c>
      <c r="N265" s="2">
        <v>39430</v>
      </c>
      <c r="O265" s="2">
        <v>39313.14</v>
      </c>
      <c r="P265" s="2">
        <v>39313.14</v>
      </c>
      <c r="Q265" s="2">
        <v>39343.83</v>
      </c>
      <c r="R265" s="2">
        <v>39280</v>
      </c>
      <c r="S265" s="2">
        <v>39430</v>
      </c>
    </row>
    <row r="266" spans="1:19" x14ac:dyDescent="0.25">
      <c r="A266" t="s">
        <v>173</v>
      </c>
      <c r="F266" s="2">
        <v>15496</v>
      </c>
      <c r="G266" s="2">
        <v>16529</v>
      </c>
      <c r="H266" s="2">
        <v>16842</v>
      </c>
      <c r="I266" s="2">
        <v>17178</v>
      </c>
      <c r="J266" s="2">
        <v>18710</v>
      </c>
      <c r="K266" s="2">
        <v>20541</v>
      </c>
      <c r="L266" s="2">
        <v>8845</v>
      </c>
      <c r="M266" s="2">
        <v>12634</v>
      </c>
      <c r="N266" s="2">
        <v>16608</v>
      </c>
      <c r="O266" s="2">
        <v>20664.27</v>
      </c>
      <c r="P266" s="2">
        <v>24609.3</v>
      </c>
      <c r="Q266" s="2">
        <v>27998.62</v>
      </c>
      <c r="R266" s="2">
        <v>40967.800000000003</v>
      </c>
      <c r="S266" s="2">
        <v>49710.95</v>
      </c>
    </row>
    <row r="267" spans="1:19" x14ac:dyDescent="0.25">
      <c r="A267" t="s">
        <v>2960</v>
      </c>
      <c r="G267" s="2">
        <v>-4456</v>
      </c>
      <c r="H267" s="2">
        <v>-4814</v>
      </c>
      <c r="I267" s="2">
        <v>-4690</v>
      </c>
      <c r="J267" s="2">
        <v>-5048</v>
      </c>
      <c r="K267" s="2">
        <v>-5782</v>
      </c>
      <c r="L267" s="2">
        <v>-5805</v>
      </c>
      <c r="M267" s="2">
        <v>-6894</v>
      </c>
      <c r="N267" s="2">
        <v>-6233</v>
      </c>
      <c r="O267" s="2">
        <v>-5915.46</v>
      </c>
      <c r="P267" s="2">
        <v>-5528.56</v>
      </c>
      <c r="Q267" s="2">
        <v>-4719.54</v>
      </c>
      <c r="R267" s="2">
        <v>-5926</v>
      </c>
    </row>
    <row r="268" spans="1:19" x14ac:dyDescent="0.25">
      <c r="A268" t="s">
        <v>325</v>
      </c>
      <c r="F268">
        <v>0</v>
      </c>
      <c r="G268">
        <v>629</v>
      </c>
      <c r="H268" s="2">
        <v>3156</v>
      </c>
      <c r="I268" s="2">
        <v>5374</v>
      </c>
      <c r="J268" s="2">
        <v>9808</v>
      </c>
      <c r="K268" s="2">
        <v>14737</v>
      </c>
      <c r="L268" s="2">
        <v>3133</v>
      </c>
      <c r="M268" s="2">
        <v>7252</v>
      </c>
      <c r="N268" s="2">
        <v>11561</v>
      </c>
      <c r="O268" s="2">
        <v>14294.6</v>
      </c>
      <c r="P268" s="2">
        <v>16905.599999999999</v>
      </c>
      <c r="Q268" s="2">
        <v>18663.75</v>
      </c>
      <c r="R268" s="2">
        <v>28293</v>
      </c>
    </row>
    <row r="269" spans="1:19" x14ac:dyDescent="0.25">
      <c r="A269" t="s">
        <v>1664</v>
      </c>
      <c r="F269" s="2">
        <v>49612</v>
      </c>
      <c r="G269" s="2">
        <v>51596</v>
      </c>
      <c r="H269" s="2">
        <v>49074</v>
      </c>
      <c r="I269" s="2">
        <v>47317</v>
      </c>
      <c r="J269" s="2">
        <v>44035</v>
      </c>
      <c r="K269" s="2">
        <v>40028</v>
      </c>
      <c r="L269" s="2">
        <v>39720</v>
      </c>
      <c r="M269" s="2">
        <v>38092</v>
      </c>
      <c r="N269" s="2">
        <v>38245</v>
      </c>
      <c r="O269" s="2">
        <v>40217.14</v>
      </c>
      <c r="P269" s="2">
        <v>42129.43</v>
      </c>
      <c r="Q269" s="2">
        <v>43604.92</v>
      </c>
      <c r="R269" s="2">
        <v>49597</v>
      </c>
      <c r="S269" s="2">
        <v>59111.67</v>
      </c>
    </row>
    <row r="270" spans="1:19" x14ac:dyDescent="0.25">
      <c r="A270" t="s">
        <v>2961</v>
      </c>
      <c r="F270" s="2">
        <v>5630</v>
      </c>
      <c r="G270" s="2">
        <v>5500</v>
      </c>
      <c r="H270" s="2">
        <v>2561</v>
      </c>
      <c r="I270" s="2">
        <v>2265</v>
      </c>
      <c r="J270" s="2">
        <v>1406</v>
      </c>
      <c r="K270" s="2">
        <v>1359</v>
      </c>
      <c r="L270" s="2">
        <v>1375</v>
      </c>
      <c r="M270" s="2">
        <v>1396</v>
      </c>
      <c r="N270" s="2">
        <v>1496</v>
      </c>
      <c r="O270" s="2">
        <v>1580.35</v>
      </c>
      <c r="P270" s="2">
        <v>1658.19</v>
      </c>
      <c r="Q270" s="2">
        <v>1774.97</v>
      </c>
      <c r="R270" s="2">
        <v>1758.88</v>
      </c>
      <c r="S270" s="2">
        <v>1516.33</v>
      </c>
    </row>
    <row r="271" spans="1:19" x14ac:dyDescent="0.25">
      <c r="A271" t="s">
        <v>326</v>
      </c>
      <c r="F271" s="2">
        <v>96436</v>
      </c>
      <c r="G271" s="2">
        <v>93386</v>
      </c>
      <c r="H271" s="2">
        <v>86612</v>
      </c>
      <c r="I271" s="2">
        <v>88229</v>
      </c>
      <c r="J271" s="2">
        <v>81605</v>
      </c>
      <c r="K271" s="2">
        <v>79658</v>
      </c>
      <c r="L271" s="2">
        <v>80811</v>
      </c>
      <c r="M271" s="2">
        <v>80147</v>
      </c>
      <c r="N271" s="2">
        <v>86817</v>
      </c>
      <c r="O271" s="2">
        <v>88879.2</v>
      </c>
      <c r="P271" s="2">
        <v>91036.2</v>
      </c>
      <c r="Q271" s="2">
        <v>93432.06</v>
      </c>
      <c r="R271" s="2">
        <v>98752.14</v>
      </c>
      <c r="S271" s="2">
        <v>106258.82</v>
      </c>
    </row>
    <row r="272" spans="1:19" x14ac:dyDescent="0.25">
      <c r="A272" t="s">
        <v>17</v>
      </c>
    </row>
    <row r="273" spans="1:19" x14ac:dyDescent="0.25">
      <c r="A273" t="s">
        <v>176</v>
      </c>
    </row>
    <row r="274" spans="1:19" x14ac:dyDescent="0.25">
      <c r="A274" t="s">
        <v>505</v>
      </c>
      <c r="H274" s="2">
        <v>11256</v>
      </c>
      <c r="I274" s="2">
        <v>12400</v>
      </c>
      <c r="J274" s="2">
        <v>11384</v>
      </c>
      <c r="K274" s="2">
        <v>12478</v>
      </c>
      <c r="L274" s="2">
        <v>14709</v>
      </c>
      <c r="M274" s="2">
        <v>16773</v>
      </c>
      <c r="N274" s="2">
        <v>21933</v>
      </c>
      <c r="O274" s="2">
        <v>21856.22</v>
      </c>
      <c r="P274" s="2">
        <v>21839.63</v>
      </c>
      <c r="Q274" s="2">
        <v>21155.27</v>
      </c>
      <c r="R274" s="2">
        <v>18667.75</v>
      </c>
      <c r="S274" s="2">
        <v>7105.4</v>
      </c>
    </row>
    <row r="275" spans="1:19" x14ac:dyDescent="0.25">
      <c r="A275" t="s">
        <v>609</v>
      </c>
      <c r="H275" s="2">
        <v>13956</v>
      </c>
      <c r="I275" s="2">
        <v>16154</v>
      </c>
      <c r="J275" s="2">
        <v>14207</v>
      </c>
      <c r="K275" s="2">
        <v>17914</v>
      </c>
      <c r="L275" s="2">
        <v>19373</v>
      </c>
      <c r="M275" s="2">
        <v>21623</v>
      </c>
      <c r="N275" s="2">
        <v>26989</v>
      </c>
      <c r="O275" s="2">
        <v>26682.39</v>
      </c>
      <c r="P275" s="2">
        <v>26826.49</v>
      </c>
      <c r="Q275" s="2">
        <v>26572.26</v>
      </c>
      <c r="R275" s="2">
        <v>27870</v>
      </c>
      <c r="S275" s="2">
        <v>25739</v>
      </c>
    </row>
    <row r="276" spans="1:19" x14ac:dyDescent="0.25">
      <c r="A276" t="s">
        <v>2962</v>
      </c>
      <c r="F276">
        <v>2.63</v>
      </c>
      <c r="G276">
        <v>2.94</v>
      </c>
      <c r="H276">
        <v>1.53</v>
      </c>
      <c r="I276">
        <v>1.61</v>
      </c>
      <c r="J276">
        <v>1.26</v>
      </c>
      <c r="K276">
        <v>1.37</v>
      </c>
      <c r="L276">
        <v>1.3</v>
      </c>
      <c r="M276">
        <v>1.41</v>
      </c>
      <c r="N276">
        <v>1.79</v>
      </c>
      <c r="O276">
        <v>1.56</v>
      </c>
      <c r="P276">
        <v>1.46</v>
      </c>
      <c r="Q276">
        <v>1.34</v>
      </c>
      <c r="R276">
        <v>1.07</v>
      </c>
      <c r="S276">
        <v>0.68</v>
      </c>
    </row>
    <row r="277" spans="1:19" x14ac:dyDescent="0.25">
      <c r="A277" t="s">
        <v>178</v>
      </c>
    </row>
    <row r="278" spans="1:19" x14ac:dyDescent="0.25">
      <c r="A278" t="s">
        <v>702</v>
      </c>
      <c r="F278">
        <v>144.68</v>
      </c>
      <c r="G278">
        <v>55.3</v>
      </c>
      <c r="H278">
        <v>55.89</v>
      </c>
      <c r="I278">
        <v>55.98</v>
      </c>
      <c r="J278">
        <v>53.33</v>
      </c>
      <c r="K278">
        <v>49.88</v>
      </c>
      <c r="L278">
        <v>52.42</v>
      </c>
      <c r="M278">
        <v>51.25</v>
      </c>
      <c r="N278">
        <v>53.33</v>
      </c>
      <c r="O278">
        <v>48.55</v>
      </c>
      <c r="P278">
        <v>48.05</v>
      </c>
      <c r="Q278">
        <v>46.65</v>
      </c>
      <c r="R278">
        <v>52.65</v>
      </c>
      <c r="S278">
        <v>52.75</v>
      </c>
    </row>
    <row r="279" spans="1:19" x14ac:dyDescent="0.25">
      <c r="A279" t="s">
        <v>1389</v>
      </c>
      <c r="G279">
        <v>81.349999999999994</v>
      </c>
      <c r="H279">
        <v>70.91</v>
      </c>
      <c r="I279">
        <v>75.510000000000005</v>
      </c>
      <c r="J279">
        <v>68.62</v>
      </c>
      <c r="K279">
        <v>60.21</v>
      </c>
      <c r="L279">
        <v>62.27</v>
      </c>
      <c r="M279">
        <v>59.59</v>
      </c>
      <c r="N279">
        <v>55.46</v>
      </c>
      <c r="O279">
        <v>50.43</v>
      </c>
      <c r="P279">
        <v>50.74</v>
      </c>
      <c r="Q279">
        <v>50.47</v>
      </c>
      <c r="R279">
        <v>61.03</v>
      </c>
      <c r="S279">
        <v>60.58</v>
      </c>
    </row>
    <row r="280" spans="1:19" x14ac:dyDescent="0.25">
      <c r="A280" t="s">
        <v>622</v>
      </c>
      <c r="F280">
        <v>115.99</v>
      </c>
      <c r="G280">
        <v>35.6</v>
      </c>
      <c r="H280">
        <v>37.21</v>
      </c>
      <c r="I280">
        <v>41.14</v>
      </c>
      <c r="J280">
        <v>36.06</v>
      </c>
      <c r="K280">
        <v>37.119999999999997</v>
      </c>
      <c r="L280">
        <v>44.13</v>
      </c>
      <c r="M280">
        <v>41.55</v>
      </c>
      <c r="N280">
        <v>43.14</v>
      </c>
      <c r="O280">
        <v>38.369999999999997</v>
      </c>
      <c r="P280">
        <v>38.450000000000003</v>
      </c>
      <c r="Q280">
        <v>43.33</v>
      </c>
      <c r="R280">
        <v>43.78</v>
      </c>
      <c r="S280">
        <v>45.91</v>
      </c>
    </row>
    <row r="281" spans="1:19" x14ac:dyDescent="0.25">
      <c r="A281" t="s">
        <v>180</v>
      </c>
      <c r="G281">
        <v>3.42</v>
      </c>
      <c r="H281">
        <v>4.54</v>
      </c>
      <c r="I281">
        <v>5.19</v>
      </c>
      <c r="J281">
        <v>8.3800000000000008</v>
      </c>
      <c r="K281">
        <v>9.8699999999999992</v>
      </c>
      <c r="L281">
        <v>15.55</v>
      </c>
      <c r="M281">
        <v>16.87</v>
      </c>
      <c r="N281">
        <v>18.07</v>
      </c>
      <c r="O281">
        <v>20.67</v>
      </c>
      <c r="P281">
        <v>21.55</v>
      </c>
      <c r="Q281">
        <v>22.39</v>
      </c>
      <c r="R281">
        <v>22.15</v>
      </c>
      <c r="S281">
        <v>18.510000000000002</v>
      </c>
    </row>
    <row r="282" spans="1:19" x14ac:dyDescent="0.25">
      <c r="A282" t="s">
        <v>186</v>
      </c>
      <c r="F282">
        <v>1.46</v>
      </c>
      <c r="G282">
        <v>1.33</v>
      </c>
      <c r="H282">
        <v>0.85</v>
      </c>
      <c r="I282">
        <v>0.8</v>
      </c>
      <c r="J282">
        <v>0.74</v>
      </c>
      <c r="K282">
        <v>0.79</v>
      </c>
      <c r="L282">
        <v>0.8</v>
      </c>
      <c r="M282">
        <v>0.89</v>
      </c>
      <c r="N282">
        <v>0.88</v>
      </c>
      <c r="O282">
        <v>0.9</v>
      </c>
      <c r="P282">
        <v>0.94</v>
      </c>
      <c r="Q282">
        <v>1.04</v>
      </c>
      <c r="R282">
        <v>1.64</v>
      </c>
      <c r="S282">
        <v>1.89</v>
      </c>
    </row>
    <row r="283" spans="1:19" x14ac:dyDescent="0.25">
      <c r="A283" t="s">
        <v>2963</v>
      </c>
      <c r="F283" s="2">
        <v>2371</v>
      </c>
      <c r="G283" s="2">
        <v>2687</v>
      </c>
      <c r="H283" s="2">
        <v>2753</v>
      </c>
      <c r="I283" s="2">
        <v>2801</v>
      </c>
      <c r="J283" s="2">
        <v>2729</v>
      </c>
      <c r="K283" s="2">
        <v>3542</v>
      </c>
      <c r="L283" s="2">
        <v>3813</v>
      </c>
      <c r="M283" s="2">
        <v>4061</v>
      </c>
      <c r="N283" s="2">
        <v>4211</v>
      </c>
      <c r="O283" s="2">
        <v>4182.34</v>
      </c>
      <c r="P283" s="2">
        <v>4292.3</v>
      </c>
      <c r="Q283" s="2">
        <v>4464.59</v>
      </c>
      <c r="R283" s="2">
        <v>4831.4399999999996</v>
      </c>
      <c r="S283" s="2">
        <v>5028.79</v>
      </c>
    </row>
    <row r="284" spans="1:19" x14ac:dyDescent="0.25">
      <c r="A284" t="s">
        <v>2964</v>
      </c>
      <c r="F284" s="2">
        <v>6139</v>
      </c>
      <c r="G284" s="2">
        <v>4316</v>
      </c>
      <c r="H284" s="2">
        <v>-1808</v>
      </c>
      <c r="I284" s="2">
        <v>-2816</v>
      </c>
      <c r="J284" s="2">
        <v>-3484</v>
      </c>
      <c r="K284" s="2">
        <v>-3432</v>
      </c>
      <c r="L284" s="2">
        <v>-3097</v>
      </c>
      <c r="M284" s="2">
        <v>-1599</v>
      </c>
      <c r="N284" s="2">
        <v>-1873</v>
      </c>
      <c r="O284">
        <v>-616.30999999999995</v>
      </c>
      <c r="P284" s="2">
        <v>1208.32</v>
      </c>
      <c r="Q284" s="2">
        <v>5021.58</v>
      </c>
      <c r="R284" s="2">
        <v>12600.26</v>
      </c>
      <c r="S284" s="2">
        <v>17159.310000000001</v>
      </c>
    </row>
    <row r="285" spans="1:19" x14ac:dyDescent="0.25">
      <c r="A285" t="s">
        <v>424</v>
      </c>
      <c r="F285">
        <v>173.31</v>
      </c>
      <c r="G285">
        <v>94.28</v>
      </c>
      <c r="H285">
        <v>91.95</v>
      </c>
      <c r="I285">
        <v>90.42</v>
      </c>
      <c r="J285">
        <v>86.57</v>
      </c>
      <c r="K285">
        <v>81.28</v>
      </c>
      <c r="L285">
        <v>82.33</v>
      </c>
      <c r="M285">
        <v>80.489999999999995</v>
      </c>
      <c r="N285">
        <v>82.48</v>
      </c>
      <c r="O285">
        <v>87.15</v>
      </c>
      <c r="P285">
        <v>91.51</v>
      </c>
      <c r="Q285">
        <v>94.95</v>
      </c>
      <c r="R285">
        <v>103.51</v>
      </c>
      <c r="S285">
        <v>126.64</v>
      </c>
    </row>
    <row r="286" spans="1:19" x14ac:dyDescent="0.25">
      <c r="A286" t="s">
        <v>2965</v>
      </c>
      <c r="L286">
        <v>365.99</v>
      </c>
      <c r="M286">
        <v>443.58</v>
      </c>
      <c r="N286">
        <v>721.04</v>
      </c>
      <c r="O286">
        <v>473.13</v>
      </c>
      <c r="P286">
        <v>489.47</v>
      </c>
      <c r="Q286">
        <v>498.64</v>
      </c>
      <c r="R286">
        <v>463.53</v>
      </c>
      <c r="S286">
        <v>466.65</v>
      </c>
    </row>
    <row r="287" spans="1:19" x14ac:dyDescent="0.25">
      <c r="A287" t="s">
        <v>2966</v>
      </c>
      <c r="G287">
        <v>629</v>
      </c>
      <c r="H287" s="2">
        <v>2300</v>
      </c>
      <c r="I287" s="2">
        <v>4700</v>
      </c>
      <c r="J287" s="2">
        <v>4600</v>
      </c>
      <c r="K287" s="2">
        <v>4600</v>
      </c>
      <c r="L287">
        <v>10.94</v>
      </c>
      <c r="M287">
        <v>10.08</v>
      </c>
      <c r="N287">
        <v>10.26</v>
      </c>
      <c r="O287">
        <v>4.9800000000000004</v>
      </c>
      <c r="P287">
        <v>2.84</v>
      </c>
      <c r="Q287">
        <v>3.78</v>
      </c>
      <c r="R287">
        <v>-8</v>
      </c>
      <c r="S287">
        <v>-8</v>
      </c>
    </row>
    <row r="288" spans="1:19" x14ac:dyDescent="0.25">
      <c r="A288" t="s">
        <v>17</v>
      </c>
    </row>
    <row r="289" spans="1:19" x14ac:dyDescent="0.25">
      <c r="A289" t="s">
        <v>188</v>
      </c>
    </row>
    <row r="290" spans="1:19" x14ac:dyDescent="0.25">
      <c r="A290" t="s">
        <v>189</v>
      </c>
    </row>
    <row r="291" spans="1:19" x14ac:dyDescent="0.25">
      <c r="A291" t="s">
        <v>121</v>
      </c>
      <c r="F291" s="2">
        <v>1062</v>
      </c>
      <c r="G291" s="2">
        <v>4232</v>
      </c>
      <c r="H291" s="2">
        <v>2183</v>
      </c>
      <c r="I291" s="2">
        <v>2497</v>
      </c>
      <c r="J291" s="2">
        <v>3821</v>
      </c>
      <c r="K291" s="2">
        <v>4147</v>
      </c>
      <c r="L291" s="2">
        <v>6199</v>
      </c>
      <c r="M291" s="2">
        <v>6565</v>
      </c>
      <c r="N291" s="2">
        <v>6898</v>
      </c>
      <c r="O291" s="2">
        <v>7732.13</v>
      </c>
      <c r="P291" s="2">
        <v>8443.06</v>
      </c>
      <c r="Q291" s="2">
        <v>9187.7099999999991</v>
      </c>
      <c r="R291" s="2">
        <v>10167.5</v>
      </c>
      <c r="S291" s="2">
        <v>10713.75</v>
      </c>
    </row>
    <row r="292" spans="1:19" x14ac:dyDescent="0.25">
      <c r="A292" t="s">
        <v>2967</v>
      </c>
      <c r="F292">
        <v>61</v>
      </c>
      <c r="G292">
        <v>15</v>
      </c>
      <c r="H292">
        <v>89</v>
      </c>
      <c r="I292">
        <v>125</v>
      </c>
      <c r="J292">
        <v>135</v>
      </c>
      <c r="K292">
        <v>134</v>
      </c>
      <c r="L292">
        <v>142</v>
      </c>
      <c r="M292">
        <v>172</v>
      </c>
      <c r="N292">
        <v>160</v>
      </c>
    </row>
    <row r="293" spans="1:19" x14ac:dyDescent="0.25">
      <c r="A293" t="s">
        <v>2968</v>
      </c>
      <c r="F293" s="2">
        <v>1308</v>
      </c>
      <c r="G293" s="2">
        <v>1729</v>
      </c>
      <c r="H293" s="2">
        <v>2381</v>
      </c>
      <c r="I293" s="2">
        <v>2626</v>
      </c>
      <c r="J293" s="2">
        <v>3961</v>
      </c>
      <c r="K293" s="2">
        <v>4281</v>
      </c>
      <c r="L293" s="2">
        <v>6341</v>
      </c>
      <c r="M293" s="2">
        <v>6737</v>
      </c>
      <c r="N293" s="2">
        <v>7058</v>
      </c>
      <c r="O293" s="2">
        <v>7867.83</v>
      </c>
      <c r="P293" s="2">
        <v>8598.91</v>
      </c>
      <c r="Q293" s="2">
        <v>9296.9599999999991</v>
      </c>
      <c r="R293" s="2">
        <v>10249.32</v>
      </c>
      <c r="S293" s="2">
        <v>10539.12</v>
      </c>
    </row>
    <row r="294" spans="1:19" x14ac:dyDescent="0.25">
      <c r="A294" t="s">
        <v>2969</v>
      </c>
      <c r="G294">
        <v>40</v>
      </c>
      <c r="H294">
        <v>-236</v>
      </c>
      <c r="I294">
        <v>258</v>
      </c>
      <c r="J294">
        <v>98</v>
      </c>
      <c r="K294">
        <v>902</v>
      </c>
      <c r="L294">
        <v>-118</v>
      </c>
      <c r="M294">
        <v>31</v>
      </c>
      <c r="N294">
        <v>139</v>
      </c>
      <c r="O294">
        <v>-101.87</v>
      </c>
      <c r="P294">
        <v>-241.16</v>
      </c>
      <c r="Q294">
        <v>-252.96</v>
      </c>
      <c r="R294">
        <v>-264.12</v>
      </c>
      <c r="S294">
        <v>-276.99</v>
      </c>
    </row>
    <row r="295" spans="1:19" x14ac:dyDescent="0.25">
      <c r="A295" t="s">
        <v>190</v>
      </c>
      <c r="F295" s="2">
        <v>1184</v>
      </c>
      <c r="G295" s="2">
        <v>1830</v>
      </c>
      <c r="H295" s="2">
        <v>4675</v>
      </c>
      <c r="I295" s="2">
        <v>4626</v>
      </c>
      <c r="J295" s="2">
        <v>4635</v>
      </c>
      <c r="K295" s="2">
        <v>4204</v>
      </c>
      <c r="L295" s="2">
        <v>3816</v>
      </c>
      <c r="M295" s="2">
        <v>3780</v>
      </c>
      <c r="N295" s="2">
        <v>3763</v>
      </c>
      <c r="O295" s="2">
        <v>3853.73</v>
      </c>
      <c r="P295" s="2">
        <v>4002.04</v>
      </c>
      <c r="Q295" s="2">
        <v>4071.92</v>
      </c>
      <c r="R295" s="2">
        <v>4417.66</v>
      </c>
      <c r="S295" s="2">
        <v>4328.5200000000004</v>
      </c>
    </row>
    <row r="296" spans="1:19" x14ac:dyDescent="0.25">
      <c r="A296" t="s">
        <v>335</v>
      </c>
      <c r="F296">
        <v>59</v>
      </c>
      <c r="G296">
        <v>62</v>
      </c>
      <c r="H296">
        <v>95</v>
      </c>
      <c r="I296">
        <v>133</v>
      </c>
      <c r="J296">
        <v>128</v>
      </c>
      <c r="K296">
        <v>107</v>
      </c>
      <c r="L296">
        <v>141</v>
      </c>
      <c r="M296">
        <v>160</v>
      </c>
      <c r="N296">
        <v>164</v>
      </c>
    </row>
    <row r="297" spans="1:19" x14ac:dyDescent="0.25">
      <c r="A297" t="s">
        <v>546</v>
      </c>
      <c r="F297">
        <v>136</v>
      </c>
      <c r="G297">
        <v>-187</v>
      </c>
      <c r="H297">
        <v>-303</v>
      </c>
      <c r="I297">
        <v>-369</v>
      </c>
      <c r="J297">
        <v>-254</v>
      </c>
      <c r="K297">
        <v>-383</v>
      </c>
      <c r="L297">
        <v>-84</v>
      </c>
      <c r="M297">
        <v>-142</v>
      </c>
      <c r="N297">
        <v>-465</v>
      </c>
      <c r="O297">
        <v>-34.67</v>
      </c>
      <c r="P297">
        <v>-100</v>
      </c>
      <c r="Q297">
        <v>-100</v>
      </c>
      <c r="R297">
        <v>-100</v>
      </c>
      <c r="S297">
        <v>-100</v>
      </c>
    </row>
    <row r="298" spans="1:19" x14ac:dyDescent="0.25">
      <c r="A298" t="s">
        <v>338</v>
      </c>
      <c r="F298">
        <v>-92</v>
      </c>
      <c r="G298">
        <v>159</v>
      </c>
      <c r="H298">
        <v>-88</v>
      </c>
      <c r="I298">
        <v>236</v>
      </c>
      <c r="J298" s="2">
        <v>1072</v>
      </c>
      <c r="K298">
        <v>-153</v>
      </c>
      <c r="L298">
        <v>-549</v>
      </c>
      <c r="M298">
        <v>-790</v>
      </c>
      <c r="N298">
        <v>-295</v>
      </c>
      <c r="O298">
        <v>-351.03</v>
      </c>
      <c r="P298">
        <v>-173.89</v>
      </c>
      <c r="Q298">
        <v>-221.72</v>
      </c>
      <c r="R298">
        <v>-266.92</v>
      </c>
    </row>
    <row r="299" spans="1:19" x14ac:dyDescent="0.25">
      <c r="A299" t="s">
        <v>1746</v>
      </c>
      <c r="F299">
        <v>-92</v>
      </c>
      <c r="G299">
        <v>-124</v>
      </c>
      <c r="H299">
        <v>80</v>
      </c>
      <c r="I299">
        <v>19</v>
      </c>
      <c r="J299">
        <v>-553</v>
      </c>
      <c r="K299">
        <v>-423</v>
      </c>
      <c r="L299">
        <v>-86</v>
      </c>
      <c r="M299">
        <v>-160</v>
      </c>
      <c r="N299">
        <v>-122</v>
      </c>
      <c r="O299">
        <v>-168.91</v>
      </c>
      <c r="P299">
        <v>-149.32</v>
      </c>
      <c r="Q299">
        <v>-250.65</v>
      </c>
      <c r="R299">
        <v>-256.92</v>
      </c>
      <c r="S299">
        <v>-147.31</v>
      </c>
    </row>
    <row r="300" spans="1:19" x14ac:dyDescent="0.25">
      <c r="A300" t="s">
        <v>2970</v>
      </c>
      <c r="G300">
        <v>0</v>
      </c>
      <c r="H300">
        <v>87</v>
      </c>
      <c r="I300">
        <v>90</v>
      </c>
      <c r="J300" s="2">
        <v>1307</v>
      </c>
      <c r="K300">
        <v>310</v>
      </c>
      <c r="L300">
        <v>-168</v>
      </c>
      <c r="M300">
        <v>-409</v>
      </c>
      <c r="N300">
        <v>-72</v>
      </c>
      <c r="O300">
        <v>-308</v>
      </c>
      <c r="P300">
        <v>-200</v>
      </c>
      <c r="Q300">
        <v>-200</v>
      </c>
    </row>
    <row r="301" spans="1:19" x14ac:dyDescent="0.25">
      <c r="A301" t="s">
        <v>2289</v>
      </c>
      <c r="F301">
        <v>-22</v>
      </c>
      <c r="G301">
        <v>-4</v>
      </c>
      <c r="H301">
        <v>-81</v>
      </c>
      <c r="I301">
        <v>18</v>
      </c>
      <c r="J301">
        <v>-129</v>
      </c>
      <c r="K301">
        <v>-347</v>
      </c>
      <c r="L301">
        <v>-127</v>
      </c>
      <c r="M301">
        <v>56</v>
      </c>
      <c r="N301">
        <v>47</v>
      </c>
      <c r="O301">
        <v>-220.92</v>
      </c>
      <c r="P301">
        <v>-75.959999999999994</v>
      </c>
      <c r="Q301">
        <v>-112.57</v>
      </c>
      <c r="R301">
        <v>-110.15</v>
      </c>
      <c r="S301">
        <v>-83.97</v>
      </c>
    </row>
    <row r="302" spans="1:19" x14ac:dyDescent="0.25">
      <c r="A302" t="s">
        <v>2971</v>
      </c>
      <c r="F302">
        <v>22</v>
      </c>
      <c r="G302">
        <v>287</v>
      </c>
      <c r="H302">
        <v>-174</v>
      </c>
      <c r="I302">
        <v>109</v>
      </c>
      <c r="J302">
        <v>447</v>
      </c>
      <c r="K302">
        <v>307</v>
      </c>
      <c r="L302">
        <v>-168</v>
      </c>
      <c r="M302">
        <v>-277</v>
      </c>
      <c r="N302">
        <v>-148</v>
      </c>
      <c r="O302">
        <v>208.64</v>
      </c>
      <c r="P302">
        <v>73.510000000000005</v>
      </c>
      <c r="Q302">
        <v>138.19999999999999</v>
      </c>
      <c r="R302">
        <v>167.61</v>
      </c>
      <c r="S302">
        <v>56.16</v>
      </c>
    </row>
    <row r="303" spans="1:19" x14ac:dyDescent="0.25">
      <c r="A303" t="s">
        <v>2972</v>
      </c>
      <c r="F303">
        <v>-19</v>
      </c>
      <c r="G303">
        <v>-87</v>
      </c>
      <c r="H303">
        <v>-94</v>
      </c>
      <c r="I303">
        <v>-91</v>
      </c>
      <c r="J303">
        <v>-42</v>
      </c>
      <c r="K303">
        <v>-51</v>
      </c>
      <c r="L303">
        <v>-46</v>
      </c>
      <c r="M303">
        <v>-35</v>
      </c>
      <c r="N303">
        <v>-25</v>
      </c>
      <c r="O303">
        <v>-29.65</v>
      </c>
      <c r="P303">
        <v>-38.89</v>
      </c>
      <c r="Q303">
        <v>-40.83</v>
      </c>
      <c r="R303">
        <v>-38.33</v>
      </c>
      <c r="S303">
        <v>-30</v>
      </c>
    </row>
    <row r="304" spans="1:19" x14ac:dyDescent="0.25">
      <c r="A304" t="s">
        <v>204</v>
      </c>
      <c r="F304" s="2">
        <v>3041</v>
      </c>
      <c r="G304" s="2">
        <v>3702</v>
      </c>
      <c r="H304" s="2">
        <v>6372</v>
      </c>
      <c r="I304" s="2">
        <v>7429</v>
      </c>
      <c r="J304" s="2">
        <v>9725</v>
      </c>
      <c r="K304" s="2">
        <v>8864</v>
      </c>
      <c r="L304" s="2">
        <v>9305</v>
      </c>
      <c r="M304" s="2">
        <v>9423</v>
      </c>
      <c r="N304" s="2">
        <v>10350</v>
      </c>
      <c r="O304" s="2">
        <v>10938.68</v>
      </c>
      <c r="P304" s="2">
        <v>12142.59</v>
      </c>
      <c r="Q304" s="2">
        <v>12824.11</v>
      </c>
      <c r="R304" s="2">
        <v>14227.33</v>
      </c>
      <c r="S304" s="2">
        <v>14681.78</v>
      </c>
    </row>
    <row r="305" spans="1:19" x14ac:dyDescent="0.25">
      <c r="A305" t="s">
        <v>17</v>
      </c>
    </row>
    <row r="306" spans="1:19" x14ac:dyDescent="0.25">
      <c r="A306" t="s">
        <v>205</v>
      </c>
    </row>
    <row r="307" spans="1:19" x14ac:dyDescent="0.25">
      <c r="A307" t="s">
        <v>206</v>
      </c>
      <c r="F307" s="2">
        <v>-1311</v>
      </c>
      <c r="G307" s="2">
        <v>-1883</v>
      </c>
      <c r="H307" s="2">
        <v>-3682</v>
      </c>
      <c r="I307" s="2">
        <v>-3400</v>
      </c>
      <c r="J307" s="2">
        <v>-3086</v>
      </c>
      <c r="K307" s="2">
        <v>-3173</v>
      </c>
      <c r="L307" s="2">
        <v>-3787</v>
      </c>
      <c r="M307" s="2">
        <v>-4497</v>
      </c>
      <c r="N307" s="2">
        <v>-5261</v>
      </c>
      <c r="O307" s="2">
        <v>-5481.14</v>
      </c>
      <c r="P307" s="2">
        <v>-5258.86</v>
      </c>
      <c r="Q307" s="2">
        <v>-5316.11</v>
      </c>
      <c r="R307" s="2">
        <v>-5882.25</v>
      </c>
      <c r="S307" s="2">
        <v>-5876.5</v>
      </c>
    </row>
    <row r="308" spans="1:19" x14ac:dyDescent="0.25">
      <c r="A308" t="s">
        <v>2834</v>
      </c>
      <c r="F308">
        <v>33</v>
      </c>
      <c r="G308">
        <v>25</v>
      </c>
      <c r="H308">
        <v>225</v>
      </c>
      <c r="I308">
        <v>68</v>
      </c>
      <c r="J308">
        <v>88</v>
      </c>
      <c r="K308">
        <v>110</v>
      </c>
      <c r="L308">
        <v>953</v>
      </c>
      <c r="M308">
        <v>317</v>
      </c>
      <c r="N308">
        <v>412</v>
      </c>
      <c r="O308">
        <v>363.27</v>
      </c>
      <c r="P308">
        <v>325</v>
      </c>
      <c r="Q308">
        <v>217</v>
      </c>
    </row>
    <row r="309" spans="1:19" x14ac:dyDescent="0.25">
      <c r="A309" t="s">
        <v>433</v>
      </c>
      <c r="F309">
        <v>-3</v>
      </c>
      <c r="G309" s="2">
        <v>5883</v>
      </c>
      <c r="H309" s="2">
        <v>4871</v>
      </c>
      <c r="I309">
        <v>414</v>
      </c>
      <c r="J309">
        <v>79</v>
      </c>
      <c r="K309">
        <v>85</v>
      </c>
      <c r="L309">
        <v>-883</v>
      </c>
      <c r="M309">
        <v>-147</v>
      </c>
      <c r="N309">
        <v>-370</v>
      </c>
      <c r="O309">
        <v>-131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t="s">
        <v>2973</v>
      </c>
      <c r="F310">
        <v>30</v>
      </c>
      <c r="G310" s="2">
        <v>5908</v>
      </c>
      <c r="H310" s="2">
        <v>5096</v>
      </c>
      <c r="I310">
        <v>482</v>
      </c>
      <c r="J310">
        <v>167</v>
      </c>
      <c r="K310">
        <v>195</v>
      </c>
      <c r="L310">
        <v>70</v>
      </c>
      <c r="M310">
        <v>170</v>
      </c>
      <c r="N310">
        <v>42</v>
      </c>
      <c r="O310">
        <v>120.8</v>
      </c>
      <c r="P310">
        <v>-11</v>
      </c>
      <c r="Q310">
        <v>0.5</v>
      </c>
    </row>
    <row r="311" spans="1:19" x14ac:dyDescent="0.25">
      <c r="A311" t="s">
        <v>213</v>
      </c>
      <c r="F311" s="2">
        <v>-1314</v>
      </c>
      <c r="G311" s="2">
        <v>5340</v>
      </c>
      <c r="H311" s="2">
        <v>1129</v>
      </c>
      <c r="I311" s="2">
        <v>-2986</v>
      </c>
      <c r="J311" s="2">
        <v>-3007</v>
      </c>
      <c r="K311" s="2">
        <v>-3088</v>
      </c>
      <c r="L311" s="2">
        <v>-4670</v>
      </c>
      <c r="M311" s="2">
        <v>-4644</v>
      </c>
      <c r="N311" s="2">
        <v>-5721</v>
      </c>
      <c r="O311" s="2">
        <v>-5712</v>
      </c>
      <c r="P311" s="2">
        <v>-5447.51</v>
      </c>
      <c r="Q311" s="2">
        <v>-5523.32</v>
      </c>
      <c r="R311" s="2">
        <v>-6024</v>
      </c>
      <c r="S311" s="2">
        <v>-6050.53</v>
      </c>
    </row>
    <row r="312" spans="1:19" x14ac:dyDescent="0.25">
      <c r="A312" t="s">
        <v>17</v>
      </c>
    </row>
    <row r="313" spans="1:19" x14ac:dyDescent="0.25">
      <c r="A313" t="s">
        <v>214</v>
      </c>
    </row>
    <row r="314" spans="1:19" x14ac:dyDescent="0.25">
      <c r="A314" t="s">
        <v>2974</v>
      </c>
      <c r="F314">
        <v>-771</v>
      </c>
      <c r="G314" s="2">
        <v>-2908</v>
      </c>
      <c r="H314" s="2">
        <v>-1260</v>
      </c>
      <c r="I314" s="2">
        <v>1313</v>
      </c>
      <c r="J314">
        <v>-514</v>
      </c>
      <c r="K314" s="2">
        <v>4475</v>
      </c>
      <c r="L314" s="2">
        <v>1060</v>
      </c>
      <c r="M314" s="2">
        <v>3167</v>
      </c>
      <c r="N314" s="2">
        <v>2911</v>
      </c>
      <c r="O314" s="2">
        <v>1393.67</v>
      </c>
      <c r="P314" s="2">
        <v>-1449.5</v>
      </c>
      <c r="Q314">
        <v>875</v>
      </c>
      <c r="R314" s="2">
        <v>1500</v>
      </c>
    </row>
    <row r="315" spans="1:19" x14ac:dyDescent="0.25">
      <c r="A315" t="s">
        <v>766</v>
      </c>
      <c r="F315">
        <v>108</v>
      </c>
      <c r="G315">
        <v>-522</v>
      </c>
      <c r="H315" s="2">
        <v>-2586</v>
      </c>
      <c r="I315" s="2">
        <v>-2410</v>
      </c>
      <c r="J315" s="2">
        <v>-4562</v>
      </c>
      <c r="K315" s="2">
        <v>-5132</v>
      </c>
      <c r="L315" s="2">
        <v>-3925</v>
      </c>
      <c r="M315" s="2">
        <v>-4451</v>
      </c>
      <c r="N315" s="2">
        <v>-4578</v>
      </c>
      <c r="O315" s="2">
        <v>-3941.99</v>
      </c>
      <c r="P315" s="2">
        <v>-4381.99</v>
      </c>
      <c r="Q315" s="2">
        <v>-3812.32</v>
      </c>
      <c r="R315" s="2">
        <v>-5250</v>
      </c>
    </row>
    <row r="316" spans="1:19" x14ac:dyDescent="0.25">
      <c r="A316" t="s">
        <v>2975</v>
      </c>
      <c r="F316">
        <v>120</v>
      </c>
      <c r="G316">
        <v>77</v>
      </c>
      <c r="H316">
        <v>72</v>
      </c>
      <c r="I316">
        <v>47</v>
      </c>
      <c r="J316">
        <v>50</v>
      </c>
      <c r="K316">
        <v>36</v>
      </c>
      <c r="L316">
        <v>33</v>
      </c>
      <c r="M316">
        <v>31</v>
      </c>
      <c r="N316">
        <v>23</v>
      </c>
      <c r="O316">
        <v>46.8</v>
      </c>
      <c r="P316">
        <v>113.8</v>
      </c>
      <c r="Q316">
        <v>113.8</v>
      </c>
      <c r="R316">
        <v>30</v>
      </c>
      <c r="S316">
        <v>30</v>
      </c>
    </row>
    <row r="317" spans="1:19" x14ac:dyDescent="0.25">
      <c r="A317" t="s">
        <v>2976</v>
      </c>
      <c r="F317">
        <v>-12</v>
      </c>
      <c r="G317">
        <v>-599</v>
      </c>
      <c r="H317" s="2">
        <v>-2658</v>
      </c>
      <c r="I317" s="2">
        <v>-2457</v>
      </c>
      <c r="J317" s="2">
        <v>-4612</v>
      </c>
      <c r="K317" s="2">
        <v>-5168</v>
      </c>
      <c r="L317" s="2">
        <v>-3958</v>
      </c>
      <c r="M317" s="2">
        <v>-4482</v>
      </c>
      <c r="N317" s="2">
        <v>-4601</v>
      </c>
      <c r="O317" s="2">
        <v>-3157.26</v>
      </c>
      <c r="P317" s="2">
        <v>-4061.22</v>
      </c>
      <c r="Q317" s="2">
        <v>-4383.21</v>
      </c>
      <c r="R317" s="2">
        <v>-4744.3999999999996</v>
      </c>
      <c r="S317" s="2">
        <v>-3733.2</v>
      </c>
    </row>
    <row r="318" spans="1:19" x14ac:dyDescent="0.25">
      <c r="A318" t="s">
        <v>347</v>
      </c>
      <c r="F318">
        <v>-901</v>
      </c>
      <c r="G318" s="2">
        <v>-1166</v>
      </c>
      <c r="H318" s="2">
        <v>-1891</v>
      </c>
      <c r="I318" s="2">
        <v>-2028</v>
      </c>
      <c r="J318" s="2">
        <v>-2189</v>
      </c>
      <c r="K318" s="2">
        <v>-2344</v>
      </c>
      <c r="L318" s="2">
        <v>-2482</v>
      </c>
      <c r="M318" s="2">
        <v>-2655</v>
      </c>
      <c r="N318" s="2">
        <v>-2811</v>
      </c>
      <c r="O318" s="2">
        <v>-2927.55</v>
      </c>
      <c r="P318" s="2">
        <v>-3069.3</v>
      </c>
      <c r="Q318" s="2">
        <v>-3219.38</v>
      </c>
      <c r="R318" s="2">
        <v>-3167.5</v>
      </c>
      <c r="S318" s="2">
        <v>-3155.13</v>
      </c>
    </row>
    <row r="319" spans="1:19" x14ac:dyDescent="0.25">
      <c r="A319" t="s">
        <v>212</v>
      </c>
      <c r="F319">
        <v>-92</v>
      </c>
      <c r="G319">
        <v>-402</v>
      </c>
      <c r="H319" s="2">
        <v>-3260</v>
      </c>
      <c r="I319">
        <v>-220</v>
      </c>
      <c r="J319">
        <v>-323</v>
      </c>
      <c r="K319">
        <v>-88</v>
      </c>
      <c r="L319">
        <v>-53</v>
      </c>
      <c r="M319">
        <v>-420</v>
      </c>
      <c r="N319">
        <v>-76</v>
      </c>
      <c r="O319">
        <v>-149.22</v>
      </c>
      <c r="P319">
        <v>0</v>
      </c>
      <c r="Q319">
        <v>0</v>
      </c>
    </row>
    <row r="320" spans="1:19" x14ac:dyDescent="0.25">
      <c r="A320" t="s">
        <v>218</v>
      </c>
      <c r="F320" s="2">
        <v>-1656</v>
      </c>
      <c r="G320" s="2">
        <v>-4996</v>
      </c>
      <c r="H320" s="2">
        <v>-8992</v>
      </c>
      <c r="I320" s="2">
        <v>-3345</v>
      </c>
      <c r="J320" s="2">
        <v>-7588</v>
      </c>
      <c r="K320" s="2">
        <v>-3089</v>
      </c>
      <c r="L320" s="2">
        <v>-5400</v>
      </c>
      <c r="M320" s="2">
        <v>-4359</v>
      </c>
      <c r="N320" s="2">
        <v>-4554</v>
      </c>
      <c r="O320" s="2">
        <v>-4833.83</v>
      </c>
      <c r="P320" s="2">
        <v>-6162.04</v>
      </c>
      <c r="Q320" s="2">
        <v>-6517</v>
      </c>
      <c r="R320" s="2">
        <v>-5857.34</v>
      </c>
      <c r="S320" s="2">
        <v>-4638.2</v>
      </c>
    </row>
    <row r="321" spans="1:19" x14ac:dyDescent="0.25">
      <c r="A321" t="s">
        <v>17</v>
      </c>
    </row>
    <row r="322" spans="1:19" x14ac:dyDescent="0.25">
      <c r="A322" t="s">
        <v>176</v>
      </c>
    </row>
    <row r="323" spans="1:19" x14ac:dyDescent="0.25">
      <c r="A323" t="s">
        <v>219</v>
      </c>
      <c r="F323">
        <v>22</v>
      </c>
      <c r="G323">
        <v>-60</v>
      </c>
      <c r="H323">
        <v>-77</v>
      </c>
      <c r="I323">
        <v>-44</v>
      </c>
      <c r="J323">
        <v>-61</v>
      </c>
      <c r="K323">
        <v>-74</v>
      </c>
      <c r="L323">
        <v>-7</v>
      </c>
      <c r="M323">
        <v>-234</v>
      </c>
      <c r="N323">
        <v>131</v>
      </c>
      <c r="O323">
        <v>14.09</v>
      </c>
      <c r="P323">
        <v>0</v>
      </c>
      <c r="Q323">
        <v>0.25</v>
      </c>
      <c r="R323">
        <v>0</v>
      </c>
      <c r="S323">
        <v>0</v>
      </c>
    </row>
    <row r="324" spans="1:19" x14ac:dyDescent="0.25">
      <c r="A324" t="s">
        <v>220</v>
      </c>
      <c r="F324">
        <v>93</v>
      </c>
      <c r="G324" s="2">
        <v>3986</v>
      </c>
      <c r="H324" s="2">
        <v>-1568</v>
      </c>
      <c r="I324" s="2">
        <v>1054</v>
      </c>
      <c r="J324">
        <v>-931</v>
      </c>
      <c r="K324" s="2">
        <v>2613</v>
      </c>
      <c r="L324">
        <v>-772</v>
      </c>
      <c r="M324">
        <v>186</v>
      </c>
      <c r="N324">
        <v>206</v>
      </c>
      <c r="O324">
        <v>563.99</v>
      </c>
      <c r="P324">
        <v>632.71</v>
      </c>
      <c r="Q324">
        <v>277.57</v>
      </c>
      <c r="R324" s="2">
        <v>1533.21</v>
      </c>
      <c r="S324" s="2">
        <v>2889.27</v>
      </c>
    </row>
    <row r="325" spans="1:19" x14ac:dyDescent="0.25">
      <c r="A325" t="s">
        <v>221</v>
      </c>
      <c r="F325">
        <v>524</v>
      </c>
      <c r="G325">
        <v>617</v>
      </c>
      <c r="H325" s="2">
        <v>4466</v>
      </c>
      <c r="I325" s="2">
        <v>2700</v>
      </c>
      <c r="J325" s="2">
        <v>3754</v>
      </c>
      <c r="K325" s="2">
        <v>2823</v>
      </c>
      <c r="L325" s="2">
        <v>5436</v>
      </c>
      <c r="M325" s="2">
        <v>4664</v>
      </c>
      <c r="N325" s="2">
        <v>4850</v>
      </c>
      <c r="O325" s="2">
        <v>4992.8500000000004</v>
      </c>
      <c r="P325" s="2">
        <v>5072.09</v>
      </c>
      <c r="Q325" s="2">
        <v>4846.9799999999996</v>
      </c>
      <c r="R325" s="2">
        <v>5185</v>
      </c>
      <c r="S325" s="2">
        <v>9529.24</v>
      </c>
    </row>
    <row r="326" spans="1:19" x14ac:dyDescent="0.25">
      <c r="A326" t="s">
        <v>222</v>
      </c>
      <c r="F326">
        <v>617</v>
      </c>
      <c r="G326" s="2">
        <v>4603</v>
      </c>
      <c r="H326" s="2">
        <v>2700</v>
      </c>
      <c r="I326" s="2">
        <v>3754</v>
      </c>
      <c r="J326" s="2">
        <v>2823</v>
      </c>
      <c r="K326" s="2">
        <v>5436</v>
      </c>
      <c r="L326" s="2">
        <v>4664</v>
      </c>
      <c r="M326" s="2">
        <v>4850</v>
      </c>
      <c r="N326" s="2">
        <v>5056</v>
      </c>
      <c r="O326" s="2">
        <v>4409.4799999999996</v>
      </c>
      <c r="P326" s="2">
        <v>4527.01</v>
      </c>
      <c r="Q326" s="2">
        <v>4806.74</v>
      </c>
      <c r="R326" s="2">
        <v>5361.11</v>
      </c>
      <c r="S326" s="2">
        <v>16384</v>
      </c>
    </row>
    <row r="327" spans="1:19" x14ac:dyDescent="0.25">
      <c r="A327" t="s">
        <v>224</v>
      </c>
      <c r="F327">
        <v>10.52</v>
      </c>
      <c r="G327">
        <v>6.67</v>
      </c>
      <c r="H327">
        <v>11.69</v>
      </c>
      <c r="I327">
        <v>13.99</v>
      </c>
      <c r="J327">
        <v>18.63</v>
      </c>
      <c r="K327">
        <v>17.59</v>
      </c>
      <c r="L327">
        <v>18.899999999999999</v>
      </c>
      <c r="M327">
        <v>19.55</v>
      </c>
      <c r="N327">
        <v>21.92</v>
      </c>
      <c r="O327">
        <v>23.53</v>
      </c>
      <c r="P327">
        <v>26.52</v>
      </c>
      <c r="Q327">
        <v>28.41</v>
      </c>
      <c r="R327">
        <v>32.14</v>
      </c>
      <c r="S327">
        <v>32.64</v>
      </c>
    </row>
    <row r="328" spans="1:19" x14ac:dyDescent="0.25">
      <c r="A328" t="s">
        <v>225</v>
      </c>
      <c r="F328" s="2">
        <v>1730</v>
      </c>
      <c r="G328" s="2">
        <v>1819</v>
      </c>
      <c r="H328" s="2">
        <v>2690</v>
      </c>
      <c r="I328" s="2">
        <v>4029</v>
      </c>
      <c r="J328" s="2">
        <v>6639</v>
      </c>
      <c r="K328" s="2">
        <v>5691</v>
      </c>
      <c r="L328" s="2">
        <v>5518</v>
      </c>
      <c r="M328" s="2">
        <v>4926</v>
      </c>
      <c r="N328" s="2">
        <v>5089</v>
      </c>
      <c r="O328" s="2">
        <v>5517.88</v>
      </c>
      <c r="P328" s="2">
        <v>6743.53</v>
      </c>
      <c r="Q328" s="2">
        <v>7291.59</v>
      </c>
      <c r="R328" s="2">
        <v>8026.12</v>
      </c>
      <c r="S328" s="2">
        <v>8508.5</v>
      </c>
    </row>
    <row r="329" spans="1:19" x14ac:dyDescent="0.25">
      <c r="A329" t="s">
        <v>228</v>
      </c>
      <c r="F329">
        <v>15.23</v>
      </c>
      <c r="G329">
        <v>6.48</v>
      </c>
      <c r="H329">
        <v>9.5299999999999994</v>
      </c>
      <c r="I329">
        <v>14.79</v>
      </c>
      <c r="J329">
        <v>21.56</v>
      </c>
      <c r="K329">
        <v>17.059999999999999</v>
      </c>
      <c r="L329">
        <v>16.8</v>
      </c>
      <c r="M329">
        <v>14.93</v>
      </c>
      <c r="N329">
        <v>14.97</v>
      </c>
      <c r="O329">
        <v>14.46</v>
      </c>
      <c r="P329">
        <v>16.07</v>
      </c>
      <c r="Q329">
        <v>16.170000000000002</v>
      </c>
      <c r="R329">
        <v>15.76</v>
      </c>
      <c r="S329">
        <v>15.85</v>
      </c>
    </row>
    <row r="330" spans="1:19" x14ac:dyDescent="0.25">
      <c r="A330" t="s">
        <v>227</v>
      </c>
      <c r="F330">
        <v>5.98</v>
      </c>
      <c r="G330">
        <v>3.28</v>
      </c>
      <c r="H330">
        <v>4.93</v>
      </c>
      <c r="I330">
        <v>7.59</v>
      </c>
      <c r="J330">
        <v>12.72</v>
      </c>
      <c r="K330">
        <v>11.29</v>
      </c>
      <c r="L330">
        <v>11.21</v>
      </c>
      <c r="M330">
        <v>10.220000000000001</v>
      </c>
      <c r="N330">
        <v>10.78</v>
      </c>
      <c r="O330">
        <v>12.18</v>
      </c>
      <c r="P330">
        <v>15.66</v>
      </c>
      <c r="Q330">
        <v>16.11</v>
      </c>
      <c r="R330">
        <v>14.84</v>
      </c>
      <c r="S330">
        <v>15.38</v>
      </c>
    </row>
    <row r="331" spans="1:19" x14ac:dyDescent="0.25">
      <c r="A331" t="s">
        <v>2977</v>
      </c>
      <c r="F331">
        <v>829</v>
      </c>
      <c r="G331">
        <v>653</v>
      </c>
      <c r="H331">
        <v>799</v>
      </c>
      <c r="I331" s="2">
        <v>2001</v>
      </c>
      <c r="J331" s="2">
        <v>4450</v>
      </c>
      <c r="K331" s="2">
        <v>3347</v>
      </c>
      <c r="L331" s="2">
        <v>3036</v>
      </c>
      <c r="M331" s="2">
        <v>2271</v>
      </c>
      <c r="N331" s="2">
        <v>2278</v>
      </c>
      <c r="O331" s="2">
        <v>3828.89</v>
      </c>
      <c r="P331" s="2">
        <v>6091.61</v>
      </c>
      <c r="Q331" s="2">
        <v>4600.0600000000004</v>
      </c>
      <c r="R331" s="2">
        <v>4112.59</v>
      </c>
      <c r="S331" s="2">
        <v>4359.24</v>
      </c>
    </row>
    <row r="332" spans="1:19" x14ac:dyDescent="0.25">
      <c r="A332" t="s">
        <v>17</v>
      </c>
    </row>
    <row r="333" spans="1:19" x14ac:dyDescent="0.25">
      <c r="A333" t="s">
        <v>231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5A9D-1AF1-453C-B15A-D499EFD50558}">
  <dimension ref="A1:A62"/>
  <sheetViews>
    <sheetView workbookViewId="0">
      <selection activeCell="G10" sqref="G10"/>
    </sheetView>
  </sheetViews>
  <sheetFormatPr defaultRowHeight="15" x14ac:dyDescent="0.25"/>
  <sheetData>
    <row r="1" spans="1:1" x14ac:dyDescent="0.25">
      <c r="A1" t="s">
        <v>2978</v>
      </c>
    </row>
    <row r="4" spans="1:1" x14ac:dyDescent="0.25">
      <c r="A4" t="s">
        <v>2979</v>
      </c>
    </row>
    <row r="5" spans="1:1" x14ac:dyDescent="0.25">
      <c r="A5" t="s">
        <v>2980</v>
      </c>
    </row>
    <row r="6" spans="1:1" x14ac:dyDescent="0.25">
      <c r="A6" t="s">
        <v>2981</v>
      </c>
    </row>
    <row r="7" spans="1:1" x14ac:dyDescent="0.25">
      <c r="A7" t="s">
        <v>2982</v>
      </c>
    </row>
    <row r="9" spans="1:1" x14ac:dyDescent="0.25">
      <c r="A9" t="s">
        <v>2983</v>
      </c>
    </row>
    <row r="10" spans="1:1" x14ac:dyDescent="0.25">
      <c r="A10" t="s">
        <v>2984</v>
      </c>
    </row>
    <row r="13" spans="1:1" x14ac:dyDescent="0.25">
      <c r="A13" t="s">
        <v>2985</v>
      </c>
    </row>
    <row r="14" spans="1:1" x14ac:dyDescent="0.25">
      <c r="A14" t="s">
        <v>2986</v>
      </c>
    </row>
    <row r="15" spans="1:1" x14ac:dyDescent="0.25">
      <c r="A15" t="s">
        <v>2987</v>
      </c>
    </row>
    <row r="16" spans="1:1" x14ac:dyDescent="0.25">
      <c r="A16" t="s">
        <v>2988</v>
      </c>
    </row>
    <row r="17" spans="1:1" x14ac:dyDescent="0.25">
      <c r="A17" t="s">
        <v>2989</v>
      </c>
    </row>
    <row r="18" spans="1:1" x14ac:dyDescent="0.25">
      <c r="A18" t="s">
        <v>2990</v>
      </c>
    </row>
    <row r="19" spans="1:1" x14ac:dyDescent="0.25">
      <c r="A19" t="s">
        <v>2991</v>
      </c>
    </row>
    <row r="25" spans="1:1" x14ac:dyDescent="0.25">
      <c r="A25" t="s">
        <v>2992</v>
      </c>
    </row>
    <row r="26" spans="1:1" x14ac:dyDescent="0.25">
      <c r="A26" t="s">
        <v>2993</v>
      </c>
    </row>
    <row r="27" spans="1:1" x14ac:dyDescent="0.25">
      <c r="A27" t="s">
        <v>2994</v>
      </c>
    </row>
    <row r="31" spans="1:1" x14ac:dyDescent="0.25">
      <c r="A31" t="s">
        <v>2995</v>
      </c>
    </row>
    <row r="32" spans="1:1" x14ac:dyDescent="0.25">
      <c r="A32" t="s">
        <v>2996</v>
      </c>
    </row>
    <row r="34" spans="1:1" x14ac:dyDescent="0.25">
      <c r="A34" t="s">
        <v>2997</v>
      </c>
    </row>
    <row r="35" spans="1:1" x14ac:dyDescent="0.25">
      <c r="A35" t="s">
        <v>2998</v>
      </c>
    </row>
    <row r="36" spans="1:1" x14ac:dyDescent="0.25">
      <c r="A36" t="s">
        <v>2999</v>
      </c>
    </row>
    <row r="37" spans="1:1" x14ac:dyDescent="0.25">
      <c r="A37" t="s">
        <v>3000</v>
      </c>
    </row>
    <row r="39" spans="1:1" x14ac:dyDescent="0.25">
      <c r="A39" t="s">
        <v>3001</v>
      </c>
    </row>
    <row r="40" spans="1:1" x14ac:dyDescent="0.25">
      <c r="A40" t="s">
        <v>3002</v>
      </c>
    </row>
    <row r="41" spans="1:1" x14ac:dyDescent="0.25">
      <c r="A41" t="s">
        <v>3003</v>
      </c>
    </row>
    <row r="42" spans="1:1" x14ac:dyDescent="0.25">
      <c r="A42" t="s">
        <v>2978</v>
      </c>
    </row>
    <row r="52" spans="1:1" x14ac:dyDescent="0.25">
      <c r="A52" t="s">
        <v>3004</v>
      </c>
    </row>
    <row r="53" spans="1:1" x14ac:dyDescent="0.25">
      <c r="A53" t="s">
        <v>3005</v>
      </c>
    </row>
    <row r="54" spans="1:1" x14ac:dyDescent="0.25">
      <c r="A54" t="s">
        <v>3006</v>
      </c>
    </row>
    <row r="55" spans="1:1" x14ac:dyDescent="0.25">
      <c r="A55" t="s">
        <v>3007</v>
      </c>
    </row>
    <row r="56" spans="1:1" x14ac:dyDescent="0.25">
      <c r="A56" t="s">
        <v>3008</v>
      </c>
    </row>
    <row r="57" spans="1:1" x14ac:dyDescent="0.25">
      <c r="A57" t="s">
        <v>3004</v>
      </c>
    </row>
    <row r="58" spans="1:1" x14ac:dyDescent="0.25">
      <c r="A58" t="s">
        <v>3009</v>
      </c>
    </row>
    <row r="59" spans="1:1" x14ac:dyDescent="0.25">
      <c r="A59" t="s">
        <v>3010</v>
      </c>
    </row>
    <row r="62" spans="1:1" x14ac:dyDescent="0.25">
      <c r="A62" t="s">
        <v>3011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B27F-B609-47ED-AC3C-A70BF22D9B70}">
  <dimension ref="A1:U84"/>
  <sheetViews>
    <sheetView workbookViewId="0">
      <selection sqref="A1:U84"/>
    </sheetView>
  </sheetViews>
  <sheetFormatPr defaultRowHeight="15" x14ac:dyDescent="0.25"/>
  <sheetData>
    <row r="1" spans="1:21" x14ac:dyDescent="0.25">
      <c r="A1" t="s">
        <v>3012</v>
      </c>
    </row>
    <row r="2" spans="1:21" x14ac:dyDescent="0.25">
      <c r="A2" t="s">
        <v>3013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41820</v>
      </c>
      <c r="C4" s="1">
        <v>42185</v>
      </c>
      <c r="D4" s="1">
        <v>42551</v>
      </c>
      <c r="E4" s="1">
        <v>42916</v>
      </c>
      <c r="F4" s="1">
        <v>43281</v>
      </c>
      <c r="G4" s="1">
        <v>43646</v>
      </c>
      <c r="H4" s="1">
        <v>44012</v>
      </c>
      <c r="I4" s="1">
        <v>44377</v>
      </c>
      <c r="J4" s="1">
        <v>44742</v>
      </c>
      <c r="K4" s="1">
        <v>45107</v>
      </c>
      <c r="L4" s="1">
        <v>45473</v>
      </c>
      <c r="M4" s="1">
        <v>45838</v>
      </c>
      <c r="N4" s="1">
        <v>46203</v>
      </c>
      <c r="O4" s="1">
        <v>46568</v>
      </c>
      <c r="P4" s="1">
        <v>46934</v>
      </c>
      <c r="Q4" s="1">
        <v>47299</v>
      </c>
      <c r="R4" s="1">
        <v>47664</v>
      </c>
      <c r="S4" s="1">
        <v>48029</v>
      </c>
      <c r="T4" s="1">
        <v>48395</v>
      </c>
      <c r="U4" s="1">
        <v>48760</v>
      </c>
    </row>
    <row r="5" spans="1:21" x14ac:dyDescent="0.25">
      <c r="A5" t="s">
        <v>14</v>
      </c>
    </row>
    <row r="6" spans="1:21" x14ac:dyDescent="0.25">
      <c r="A6" t="s">
        <v>15</v>
      </c>
      <c r="N6">
        <v>3.21</v>
      </c>
      <c r="O6">
        <v>0.25</v>
      </c>
      <c r="P6">
        <v>1.04</v>
      </c>
      <c r="Q6">
        <v>1.01</v>
      </c>
    </row>
    <row r="7" spans="1:21" x14ac:dyDescent="0.25">
      <c r="A7" t="s">
        <v>16</v>
      </c>
      <c r="N7">
        <v>9.4600000000000009</v>
      </c>
      <c r="O7">
        <v>45.03</v>
      </c>
      <c r="P7">
        <v>59.9</v>
      </c>
      <c r="Q7">
        <v>62.2</v>
      </c>
    </row>
    <row r="8" spans="1:21" x14ac:dyDescent="0.25">
      <c r="A8" t="s">
        <v>17</v>
      </c>
    </row>
    <row r="9" spans="1:21" x14ac:dyDescent="0.25">
      <c r="A9" t="s">
        <v>91</v>
      </c>
      <c r="N9">
        <v>500.62</v>
      </c>
      <c r="O9">
        <v>90.17</v>
      </c>
      <c r="P9">
        <v>323.93</v>
      </c>
      <c r="Q9">
        <v>374</v>
      </c>
    </row>
    <row r="10" spans="1:21" x14ac:dyDescent="0.25">
      <c r="A10" t="s">
        <v>528</v>
      </c>
      <c r="N10">
        <v>256.18</v>
      </c>
      <c r="O10">
        <v>50.78</v>
      </c>
      <c r="P10">
        <v>229.4</v>
      </c>
      <c r="Q10">
        <v>270</v>
      </c>
    </row>
    <row r="11" spans="1:21" x14ac:dyDescent="0.25">
      <c r="A11" t="s">
        <v>17</v>
      </c>
    </row>
    <row r="12" spans="1:21" x14ac:dyDescent="0.25">
      <c r="A12" t="s">
        <v>379</v>
      </c>
      <c r="N12">
        <v>137.91999999999999</v>
      </c>
      <c r="O12">
        <v>175.58</v>
      </c>
      <c r="P12">
        <v>204.42</v>
      </c>
      <c r="Q12">
        <v>224.42</v>
      </c>
    </row>
    <row r="13" spans="1:21" x14ac:dyDescent="0.25">
      <c r="A13" t="s">
        <v>17</v>
      </c>
    </row>
    <row r="14" spans="1:21" x14ac:dyDescent="0.25">
      <c r="A14" t="s">
        <v>79</v>
      </c>
    </row>
    <row r="15" spans="1:21" x14ac:dyDescent="0.25">
      <c r="A15" t="s">
        <v>80</v>
      </c>
      <c r="N15">
        <v>9.4600000000000009</v>
      </c>
      <c r="O15">
        <v>45.03</v>
      </c>
      <c r="P15">
        <v>59.9</v>
      </c>
      <c r="Q15">
        <v>62.2</v>
      </c>
    </row>
    <row r="16" spans="1:21" x14ac:dyDescent="0.25">
      <c r="A16" t="s">
        <v>17</v>
      </c>
    </row>
    <row r="17" spans="1:17" x14ac:dyDescent="0.25">
      <c r="A17" t="s">
        <v>985</v>
      </c>
      <c r="N17">
        <v>-491.16</v>
      </c>
      <c r="O17">
        <v>106.95</v>
      </c>
      <c r="P17">
        <v>190.6</v>
      </c>
    </row>
    <row r="18" spans="1:17" x14ac:dyDescent="0.25">
      <c r="A18" t="s">
        <v>3014</v>
      </c>
      <c r="N18">
        <v>13.95</v>
      </c>
      <c r="O18">
        <v>15.47</v>
      </c>
      <c r="P18">
        <v>15.21</v>
      </c>
      <c r="Q18">
        <v>9.26</v>
      </c>
    </row>
    <row r="19" spans="1:17" x14ac:dyDescent="0.25">
      <c r="A19" t="s">
        <v>17</v>
      </c>
    </row>
    <row r="20" spans="1:17" x14ac:dyDescent="0.25">
      <c r="A20" t="s">
        <v>91</v>
      </c>
      <c r="N20">
        <v>500.62</v>
      </c>
      <c r="O20">
        <v>90.17</v>
      </c>
      <c r="P20">
        <v>323.93</v>
      </c>
      <c r="Q20">
        <v>374</v>
      </c>
    </row>
    <row r="21" spans="1:17" x14ac:dyDescent="0.25">
      <c r="A21" t="s">
        <v>17</v>
      </c>
    </row>
    <row r="22" spans="1:17" x14ac:dyDescent="0.25">
      <c r="A22" t="s">
        <v>97</v>
      </c>
      <c r="N22">
        <v>2.71</v>
      </c>
      <c r="O22">
        <v>3.75</v>
      </c>
      <c r="P22">
        <v>4.33</v>
      </c>
      <c r="Q22">
        <v>6.29</v>
      </c>
    </row>
    <row r="23" spans="1:17" x14ac:dyDescent="0.25">
      <c r="A23" t="s">
        <v>100</v>
      </c>
      <c r="N23">
        <v>489.02</v>
      </c>
      <c r="O23">
        <v>92.83</v>
      </c>
      <c r="P23">
        <v>327.27</v>
      </c>
      <c r="Q23">
        <v>380</v>
      </c>
    </row>
    <row r="24" spans="1:17" x14ac:dyDescent="0.25">
      <c r="A24" t="s">
        <v>17</v>
      </c>
    </row>
    <row r="25" spans="1:17" x14ac:dyDescent="0.25">
      <c r="A25" t="s">
        <v>101</v>
      </c>
      <c r="N25">
        <v>183.48</v>
      </c>
      <c r="O25">
        <v>19.87</v>
      </c>
      <c r="P25">
        <v>24.53</v>
      </c>
      <c r="Q25">
        <v>83.28</v>
      </c>
    </row>
    <row r="26" spans="1:17" x14ac:dyDescent="0.25">
      <c r="A26" t="s">
        <v>17</v>
      </c>
    </row>
    <row r="27" spans="1:17" x14ac:dyDescent="0.25">
      <c r="A27" t="s">
        <v>106</v>
      </c>
      <c r="N27">
        <v>256.18</v>
      </c>
      <c r="O27">
        <v>57.78</v>
      </c>
      <c r="P27">
        <v>235.4</v>
      </c>
      <c r="Q27">
        <v>297</v>
      </c>
    </row>
    <row r="28" spans="1:17" x14ac:dyDescent="0.25">
      <c r="A28" t="s">
        <v>17</v>
      </c>
    </row>
    <row r="29" spans="1:17" x14ac:dyDescent="0.25">
      <c r="A29" t="s">
        <v>108</v>
      </c>
      <c r="N29">
        <v>79.77</v>
      </c>
      <c r="O29">
        <v>190.78</v>
      </c>
      <c r="P29">
        <v>226.04</v>
      </c>
      <c r="Q29">
        <v>267.19</v>
      </c>
    </row>
    <row r="30" spans="1:17" x14ac:dyDescent="0.25">
      <c r="A30" t="s">
        <v>17</v>
      </c>
    </row>
    <row r="31" spans="1:17" x14ac:dyDescent="0.25">
      <c r="A31" t="s">
        <v>109</v>
      </c>
      <c r="N31">
        <v>79.8</v>
      </c>
      <c r="O31">
        <v>240.6</v>
      </c>
      <c r="P31">
        <v>252.13</v>
      </c>
      <c r="Q31">
        <v>295.23</v>
      </c>
    </row>
    <row r="32" spans="1:17" x14ac:dyDescent="0.25">
      <c r="A32" t="s">
        <v>110</v>
      </c>
      <c r="N32">
        <v>3.21</v>
      </c>
      <c r="O32">
        <v>0.24</v>
      </c>
      <c r="P32">
        <v>1.3</v>
      </c>
      <c r="Q32">
        <v>0.92</v>
      </c>
    </row>
    <row r="33" spans="1:17" x14ac:dyDescent="0.25">
      <c r="A33" t="s">
        <v>17</v>
      </c>
    </row>
    <row r="34" spans="1:17" x14ac:dyDescent="0.25">
      <c r="A34" t="s">
        <v>111</v>
      </c>
    </row>
    <row r="35" spans="1:17" x14ac:dyDescent="0.25">
      <c r="A35" t="s">
        <v>121</v>
      </c>
      <c r="N35">
        <v>256.18</v>
      </c>
      <c r="O35">
        <v>50.78</v>
      </c>
      <c r="P35">
        <v>229.4</v>
      </c>
      <c r="Q35">
        <v>270</v>
      </c>
    </row>
    <row r="36" spans="1:17" x14ac:dyDescent="0.25">
      <c r="A36" t="s">
        <v>124</v>
      </c>
      <c r="N36">
        <v>3.21</v>
      </c>
      <c r="O36">
        <v>0.25</v>
      </c>
      <c r="P36">
        <v>1.04</v>
      </c>
      <c r="Q36">
        <v>1.01</v>
      </c>
    </row>
    <row r="37" spans="1:17" x14ac:dyDescent="0.25">
      <c r="A37" t="s">
        <v>17</v>
      </c>
    </row>
    <row r="38" spans="1:17" x14ac:dyDescent="0.25">
      <c r="A38" t="s">
        <v>134</v>
      </c>
    </row>
    <row r="39" spans="1:17" x14ac:dyDescent="0.25">
      <c r="A39" t="s">
        <v>135</v>
      </c>
    </row>
    <row r="40" spans="1:17" x14ac:dyDescent="0.25">
      <c r="A40" t="s">
        <v>136</v>
      </c>
      <c r="N40">
        <v>152.41</v>
      </c>
      <c r="O40">
        <v>183.29</v>
      </c>
      <c r="P40">
        <v>213.83</v>
      </c>
      <c r="Q40">
        <v>238.91</v>
      </c>
    </row>
    <row r="41" spans="1:17" x14ac:dyDescent="0.25">
      <c r="A41" t="s">
        <v>536</v>
      </c>
      <c r="N41">
        <v>137.91999999999999</v>
      </c>
      <c r="O41">
        <v>175.58</v>
      </c>
      <c r="P41">
        <v>204.42</v>
      </c>
      <c r="Q41">
        <v>224.42</v>
      </c>
    </row>
    <row r="42" spans="1:17" x14ac:dyDescent="0.25">
      <c r="A42" t="s">
        <v>1862</v>
      </c>
      <c r="N42">
        <v>14.08</v>
      </c>
      <c r="O42">
        <v>14.08</v>
      </c>
      <c r="P42">
        <v>14.08</v>
      </c>
      <c r="Q42">
        <v>14.08</v>
      </c>
    </row>
    <row r="43" spans="1:17" x14ac:dyDescent="0.25">
      <c r="A43" t="s">
        <v>146</v>
      </c>
      <c r="N43" s="2">
        <v>1907.6</v>
      </c>
    </row>
    <row r="44" spans="1:17" x14ac:dyDescent="0.25">
      <c r="A44" t="s">
        <v>3015</v>
      </c>
      <c r="N44" s="2">
        <v>1904.05</v>
      </c>
      <c r="O44" s="2">
        <v>2062.6</v>
      </c>
      <c r="P44" s="2">
        <v>2470.58</v>
      </c>
      <c r="Q44" s="2">
        <v>3697.69</v>
      </c>
    </row>
    <row r="45" spans="1:17" x14ac:dyDescent="0.25">
      <c r="A45" t="s">
        <v>78</v>
      </c>
      <c r="N45">
        <v>0.88</v>
      </c>
      <c r="O45">
        <v>0.88</v>
      </c>
      <c r="P45">
        <v>0.88</v>
      </c>
      <c r="Q45">
        <v>0.88</v>
      </c>
    </row>
    <row r="46" spans="1:17" x14ac:dyDescent="0.25">
      <c r="A46" t="s">
        <v>155</v>
      </c>
      <c r="N46" s="2">
        <v>2060.0100000000002</v>
      </c>
      <c r="O46" s="2">
        <v>2280.62</v>
      </c>
      <c r="P46" s="2">
        <v>2733.33</v>
      </c>
      <c r="Q46" s="2">
        <v>3940.15</v>
      </c>
    </row>
    <row r="47" spans="1:17" x14ac:dyDescent="0.25">
      <c r="A47" t="s">
        <v>17</v>
      </c>
    </row>
    <row r="48" spans="1:17" x14ac:dyDescent="0.25">
      <c r="A48" t="s">
        <v>156</v>
      </c>
    </row>
    <row r="49" spans="1:17" x14ac:dyDescent="0.25">
      <c r="A49" t="s">
        <v>157</v>
      </c>
      <c r="N49">
        <v>3.66</v>
      </c>
      <c r="O49">
        <v>3.42</v>
      </c>
      <c r="P49">
        <v>3.37</v>
      </c>
      <c r="Q49">
        <v>3.66</v>
      </c>
    </row>
    <row r="50" spans="1:17" x14ac:dyDescent="0.25">
      <c r="A50" t="s">
        <v>158</v>
      </c>
      <c r="N50">
        <v>1.19</v>
      </c>
      <c r="O50">
        <v>2.8</v>
      </c>
    </row>
    <row r="51" spans="1:17" x14ac:dyDescent="0.25">
      <c r="A51" t="s">
        <v>78</v>
      </c>
      <c r="N51">
        <v>2.4700000000000002</v>
      </c>
      <c r="O51">
        <v>3.42</v>
      </c>
      <c r="P51">
        <v>3.18</v>
      </c>
      <c r="Q51">
        <v>2.4700000000000002</v>
      </c>
    </row>
    <row r="52" spans="1:17" x14ac:dyDescent="0.25">
      <c r="A52" t="s">
        <v>164</v>
      </c>
      <c r="N52">
        <v>183.48</v>
      </c>
    </row>
    <row r="53" spans="1:17" x14ac:dyDescent="0.25">
      <c r="A53" t="s">
        <v>501</v>
      </c>
      <c r="N53">
        <v>183.48</v>
      </c>
      <c r="O53">
        <v>127.41</v>
      </c>
      <c r="P53">
        <v>195.73</v>
      </c>
      <c r="Q53">
        <v>414.27</v>
      </c>
    </row>
    <row r="54" spans="1:17" x14ac:dyDescent="0.25">
      <c r="A54" t="s">
        <v>167</v>
      </c>
      <c r="N54">
        <v>187.14</v>
      </c>
      <c r="O54">
        <v>166.07</v>
      </c>
      <c r="P54">
        <v>334.65</v>
      </c>
      <c r="Q54">
        <v>417.93</v>
      </c>
    </row>
    <row r="55" spans="1:17" x14ac:dyDescent="0.25">
      <c r="A55" t="s">
        <v>170</v>
      </c>
      <c r="N55" s="2">
        <v>1872.87</v>
      </c>
      <c r="O55" s="2">
        <v>2530.59</v>
      </c>
      <c r="P55" s="2">
        <v>2903.2</v>
      </c>
      <c r="Q55" s="2">
        <v>3522.22</v>
      </c>
    </row>
    <row r="56" spans="1:17" x14ac:dyDescent="0.25">
      <c r="A56" t="s">
        <v>326</v>
      </c>
      <c r="N56" s="2">
        <v>2060.0100000000002</v>
      </c>
      <c r="O56" s="2">
        <v>2280.62</v>
      </c>
      <c r="P56" s="2">
        <v>2733.33</v>
      </c>
      <c r="Q56" s="2">
        <v>3940.15</v>
      </c>
    </row>
    <row r="57" spans="1:17" x14ac:dyDescent="0.25">
      <c r="A57" t="s">
        <v>17</v>
      </c>
    </row>
    <row r="58" spans="1:17" x14ac:dyDescent="0.25">
      <c r="A58" t="s">
        <v>176</v>
      </c>
    </row>
    <row r="59" spans="1:17" x14ac:dyDescent="0.25">
      <c r="A59" t="s">
        <v>177</v>
      </c>
      <c r="N59">
        <v>-137.91999999999999</v>
      </c>
      <c r="O59">
        <v>-179</v>
      </c>
      <c r="P59">
        <v>-335</v>
      </c>
    </row>
    <row r="60" spans="1:17" x14ac:dyDescent="0.25">
      <c r="A60" t="s">
        <v>178</v>
      </c>
    </row>
    <row r="61" spans="1:17" x14ac:dyDescent="0.25">
      <c r="A61" t="s">
        <v>183</v>
      </c>
      <c r="N61">
        <v>200.55</v>
      </c>
      <c r="O61">
        <v>229.21</v>
      </c>
      <c r="P61">
        <v>247.55</v>
      </c>
      <c r="Q61">
        <v>275.95</v>
      </c>
    </row>
    <row r="62" spans="1:17" x14ac:dyDescent="0.25">
      <c r="A62" t="s">
        <v>17</v>
      </c>
    </row>
    <row r="63" spans="1:17" x14ac:dyDescent="0.25">
      <c r="A63" t="s">
        <v>188</v>
      </c>
    </row>
    <row r="64" spans="1:17" x14ac:dyDescent="0.25">
      <c r="A64" t="s">
        <v>189</v>
      </c>
    </row>
    <row r="65" spans="1:17" x14ac:dyDescent="0.25">
      <c r="A65" t="s">
        <v>121</v>
      </c>
      <c r="N65">
        <v>256.18</v>
      </c>
      <c r="O65">
        <v>57.78</v>
      </c>
      <c r="P65">
        <v>235.4</v>
      </c>
      <c r="Q65">
        <v>297</v>
      </c>
    </row>
    <row r="66" spans="1:17" x14ac:dyDescent="0.25">
      <c r="A66" t="s">
        <v>3016</v>
      </c>
      <c r="N66">
        <v>-709.88</v>
      </c>
      <c r="O66">
        <v>-44.72</v>
      </c>
      <c r="P66">
        <v>-273.91000000000003</v>
      </c>
      <c r="Q66">
        <v>-321</v>
      </c>
    </row>
    <row r="67" spans="1:17" x14ac:dyDescent="0.25">
      <c r="A67" t="s">
        <v>2869</v>
      </c>
    </row>
    <row r="68" spans="1:17" x14ac:dyDescent="0.25">
      <c r="A68" t="s">
        <v>158</v>
      </c>
      <c r="N68">
        <v>-2.11</v>
      </c>
      <c r="O68">
        <v>0.2</v>
      </c>
    </row>
    <row r="69" spans="1:17" x14ac:dyDescent="0.25">
      <c r="A69" t="s">
        <v>204</v>
      </c>
      <c r="N69">
        <v>-19.149999999999999</v>
      </c>
      <c r="O69">
        <v>18.55</v>
      </c>
      <c r="P69">
        <v>35.1</v>
      </c>
      <c r="Q69">
        <v>-2.23</v>
      </c>
    </row>
    <row r="70" spans="1:17" x14ac:dyDescent="0.25">
      <c r="A70" t="s">
        <v>17</v>
      </c>
    </row>
    <row r="71" spans="1:17" x14ac:dyDescent="0.25">
      <c r="A71" t="s">
        <v>213</v>
      </c>
    </row>
    <row r="72" spans="1:17" x14ac:dyDescent="0.25">
      <c r="A72" t="s">
        <v>3017</v>
      </c>
      <c r="N72">
        <v>-478.17</v>
      </c>
      <c r="O72">
        <v>-160.24</v>
      </c>
      <c r="P72">
        <v>-175</v>
      </c>
      <c r="Q72">
        <v>-200</v>
      </c>
    </row>
    <row r="73" spans="1:17" x14ac:dyDescent="0.25">
      <c r="A73" t="s">
        <v>3018</v>
      </c>
      <c r="N73">
        <v>-777.42</v>
      </c>
      <c r="O73">
        <v>-240.35</v>
      </c>
      <c r="P73">
        <v>-175</v>
      </c>
      <c r="Q73">
        <v>-200</v>
      </c>
    </row>
    <row r="74" spans="1:17" x14ac:dyDescent="0.25">
      <c r="A74" t="s">
        <v>17</v>
      </c>
    </row>
    <row r="75" spans="1:17" x14ac:dyDescent="0.25">
      <c r="A75" t="s">
        <v>214</v>
      </c>
    </row>
    <row r="76" spans="1:17" x14ac:dyDescent="0.25">
      <c r="A76" t="s">
        <v>3019</v>
      </c>
      <c r="N76">
        <v>947.28</v>
      </c>
      <c r="O76">
        <v>330.71</v>
      </c>
      <c r="P76">
        <v>200</v>
      </c>
      <c r="Q76">
        <v>200</v>
      </c>
    </row>
    <row r="77" spans="1:17" x14ac:dyDescent="0.25">
      <c r="A77" t="s">
        <v>218</v>
      </c>
      <c r="N77">
        <v>934.48</v>
      </c>
      <c r="O77">
        <v>287.02999999999997</v>
      </c>
      <c r="P77">
        <v>175</v>
      </c>
      <c r="Q77">
        <v>200</v>
      </c>
    </row>
    <row r="78" spans="1:17" x14ac:dyDescent="0.25">
      <c r="A78" t="s">
        <v>17</v>
      </c>
    </row>
    <row r="79" spans="1:17" x14ac:dyDescent="0.25">
      <c r="A79" t="s">
        <v>176</v>
      </c>
    </row>
    <row r="80" spans="1:17" x14ac:dyDescent="0.25">
      <c r="A80" t="s">
        <v>220</v>
      </c>
      <c r="N80">
        <v>137.91999999999999</v>
      </c>
      <c r="O80">
        <v>57.59</v>
      </c>
      <c r="P80">
        <v>44.72</v>
      </c>
      <c r="Q80">
        <v>-2.23</v>
      </c>
    </row>
    <row r="81" spans="1:17" x14ac:dyDescent="0.25">
      <c r="A81" t="s">
        <v>221</v>
      </c>
      <c r="N81">
        <v>0</v>
      </c>
      <c r="O81">
        <v>137.91999999999999</v>
      </c>
      <c r="P81">
        <v>214.26</v>
      </c>
    </row>
    <row r="82" spans="1:17" x14ac:dyDescent="0.25">
      <c r="A82" t="s">
        <v>222</v>
      </c>
      <c r="N82">
        <v>137.91999999999999</v>
      </c>
      <c r="O82">
        <v>175.58</v>
      </c>
      <c r="P82">
        <v>204.42</v>
      </c>
      <c r="Q82">
        <v>224.42</v>
      </c>
    </row>
    <row r="83" spans="1:17" x14ac:dyDescent="0.25">
      <c r="A83" t="s">
        <v>17</v>
      </c>
    </row>
    <row r="84" spans="1:17" x14ac:dyDescent="0.25">
      <c r="A84" t="s">
        <v>231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160C-9C74-40ED-B970-2E05CE1BBE14}">
  <dimension ref="A1:U196"/>
  <sheetViews>
    <sheetView workbookViewId="0">
      <selection sqref="A1:U196"/>
    </sheetView>
  </sheetViews>
  <sheetFormatPr defaultRowHeight="15" x14ac:dyDescent="0.25"/>
  <sheetData>
    <row r="1" spans="1:21" x14ac:dyDescent="0.25">
      <c r="A1" t="s">
        <v>3020</v>
      </c>
    </row>
    <row r="2" spans="1:21" x14ac:dyDescent="0.25">
      <c r="A2" t="s">
        <v>3021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1.69</v>
      </c>
      <c r="C6">
        <v>2</v>
      </c>
      <c r="D6">
        <v>2.16</v>
      </c>
      <c r="E6">
        <v>1.87</v>
      </c>
      <c r="F6">
        <v>2.19</v>
      </c>
      <c r="G6">
        <v>4</v>
      </c>
      <c r="H6">
        <v>4.3</v>
      </c>
      <c r="I6">
        <v>5.2</v>
      </c>
      <c r="J6">
        <v>9.48</v>
      </c>
      <c r="K6">
        <v>13.4</v>
      </c>
      <c r="L6">
        <v>13.26</v>
      </c>
      <c r="M6">
        <v>13.51</v>
      </c>
      <c r="N6">
        <v>9.52</v>
      </c>
      <c r="O6">
        <v>11.37</v>
      </c>
      <c r="P6">
        <v>14.29</v>
      </c>
      <c r="Q6">
        <v>17.16</v>
      </c>
      <c r="R6">
        <v>20.329999999999998</v>
      </c>
      <c r="S6">
        <v>21.99</v>
      </c>
      <c r="T6">
        <v>25.72</v>
      </c>
      <c r="U6">
        <v>26.49</v>
      </c>
    </row>
    <row r="7" spans="1:21" x14ac:dyDescent="0.25">
      <c r="A7" t="s">
        <v>16</v>
      </c>
      <c r="B7" s="2">
        <v>1139.0899999999999</v>
      </c>
      <c r="C7" s="2">
        <v>1272.32</v>
      </c>
      <c r="D7" s="2">
        <v>1221.31</v>
      </c>
      <c r="E7" s="2">
        <v>1218.48</v>
      </c>
      <c r="F7" s="2">
        <v>1378.51</v>
      </c>
      <c r="G7" s="2">
        <v>1653.85</v>
      </c>
      <c r="H7" s="2">
        <v>1786.74</v>
      </c>
      <c r="I7" s="2">
        <v>1822.37</v>
      </c>
      <c r="J7" s="2">
        <v>2288.6999999999998</v>
      </c>
      <c r="K7" s="2">
        <v>2792.06</v>
      </c>
      <c r="L7" s="2">
        <v>2881.43</v>
      </c>
      <c r="M7" s="2">
        <v>3209.07</v>
      </c>
      <c r="N7" s="2">
        <v>3234.29</v>
      </c>
      <c r="O7" s="2">
        <v>3618.9</v>
      </c>
      <c r="P7" s="2">
        <v>3887.9</v>
      </c>
      <c r="Q7" s="2">
        <v>4220.92</v>
      </c>
      <c r="R7" s="2">
        <v>4502</v>
      </c>
      <c r="S7" s="2">
        <v>4723.67</v>
      </c>
      <c r="T7" s="2">
        <v>5042</v>
      </c>
      <c r="U7" s="2">
        <v>5275</v>
      </c>
    </row>
    <row r="8" spans="1:21" x14ac:dyDescent="0.25">
      <c r="A8" t="s">
        <v>17</v>
      </c>
    </row>
    <row r="9" spans="1:21" x14ac:dyDescent="0.25">
      <c r="A9" t="s">
        <v>3022</v>
      </c>
      <c r="B9">
        <v>72.98</v>
      </c>
      <c r="C9">
        <v>99.61</v>
      </c>
      <c r="D9">
        <v>141.22</v>
      </c>
      <c r="E9">
        <v>56.33</v>
      </c>
      <c r="F9">
        <v>107.7</v>
      </c>
      <c r="G9">
        <v>123.9</v>
      </c>
      <c r="H9">
        <v>129.97999999999999</v>
      </c>
      <c r="I9">
        <v>141.37</v>
      </c>
      <c r="J9">
        <v>249.71</v>
      </c>
      <c r="K9">
        <v>315.89999999999998</v>
      </c>
      <c r="L9">
        <v>238.69</v>
      </c>
      <c r="M9">
        <v>237.31</v>
      </c>
      <c r="N9">
        <v>234.6</v>
      </c>
      <c r="O9">
        <v>308.58999999999997</v>
      </c>
      <c r="P9">
        <v>322.01</v>
      </c>
      <c r="Q9">
        <v>350.88</v>
      </c>
      <c r="R9">
        <v>364.24</v>
      </c>
      <c r="S9">
        <v>391.46</v>
      </c>
      <c r="T9">
        <v>392.93</v>
      </c>
      <c r="U9">
        <v>405.56</v>
      </c>
    </row>
    <row r="10" spans="1:21" x14ac:dyDescent="0.25">
      <c r="A10" t="s">
        <v>3023</v>
      </c>
      <c r="B10">
        <v>74.42</v>
      </c>
      <c r="C10">
        <v>85.69</v>
      </c>
      <c r="D10">
        <v>89.98</v>
      </c>
      <c r="E10">
        <v>79.14</v>
      </c>
      <c r="F10">
        <v>94.55</v>
      </c>
      <c r="G10">
        <v>141.56</v>
      </c>
      <c r="H10">
        <v>152.59</v>
      </c>
      <c r="I10">
        <v>177.79</v>
      </c>
      <c r="J10">
        <v>335.14</v>
      </c>
      <c r="K10">
        <v>470.49</v>
      </c>
      <c r="L10">
        <v>460.5</v>
      </c>
      <c r="M10">
        <v>482.16</v>
      </c>
      <c r="N10">
        <v>352.2</v>
      </c>
      <c r="O10">
        <v>406.5</v>
      </c>
      <c r="P10">
        <v>507.2</v>
      </c>
      <c r="Q10">
        <v>606.71</v>
      </c>
      <c r="R10">
        <v>712.5</v>
      </c>
      <c r="S10">
        <v>777</v>
      </c>
      <c r="T10">
        <v>905</v>
      </c>
      <c r="U10">
        <v>930</v>
      </c>
    </row>
    <row r="11" spans="1:21" x14ac:dyDescent="0.25">
      <c r="A11" t="s">
        <v>680</v>
      </c>
      <c r="B11">
        <v>125.98</v>
      </c>
      <c r="C11">
        <v>144.72</v>
      </c>
      <c r="D11">
        <v>155</v>
      </c>
      <c r="E11">
        <v>155.38</v>
      </c>
      <c r="F11">
        <v>181.66</v>
      </c>
      <c r="G11">
        <v>243.71</v>
      </c>
      <c r="H11">
        <v>271.32</v>
      </c>
      <c r="I11">
        <v>312.45</v>
      </c>
      <c r="J11">
        <v>476.84</v>
      </c>
      <c r="K11">
        <v>627.74</v>
      </c>
      <c r="L11">
        <v>639.34</v>
      </c>
      <c r="M11">
        <v>692.27</v>
      </c>
      <c r="N11">
        <v>600.77</v>
      </c>
      <c r="O11">
        <v>664.84</v>
      </c>
      <c r="P11">
        <v>779.05</v>
      </c>
      <c r="Q11">
        <v>891.4</v>
      </c>
      <c r="R11">
        <v>990</v>
      </c>
      <c r="S11" s="2">
        <v>1057</v>
      </c>
    </row>
    <row r="12" spans="1:21" x14ac:dyDescent="0.25">
      <c r="A12" t="s">
        <v>528</v>
      </c>
      <c r="B12">
        <v>42.63</v>
      </c>
      <c r="C12">
        <v>50.97</v>
      </c>
      <c r="D12">
        <v>55.02</v>
      </c>
      <c r="E12">
        <v>48.02</v>
      </c>
      <c r="F12">
        <v>57.13</v>
      </c>
      <c r="G12">
        <v>105.28</v>
      </c>
      <c r="H12">
        <v>113.72</v>
      </c>
      <c r="I12">
        <v>138.34</v>
      </c>
      <c r="J12">
        <v>253.24</v>
      </c>
      <c r="K12">
        <v>357.42</v>
      </c>
      <c r="L12">
        <v>354.86</v>
      </c>
      <c r="M12">
        <v>362.07</v>
      </c>
      <c r="N12">
        <v>255.04</v>
      </c>
      <c r="O12">
        <v>305.05</v>
      </c>
      <c r="P12">
        <v>382.2</v>
      </c>
      <c r="Q12">
        <v>457.69</v>
      </c>
      <c r="R12">
        <v>537.5</v>
      </c>
      <c r="S12">
        <v>586.66999999999996</v>
      </c>
      <c r="T12">
        <v>689</v>
      </c>
      <c r="U12">
        <v>710</v>
      </c>
    </row>
    <row r="13" spans="1:21" x14ac:dyDescent="0.25">
      <c r="A13" t="s">
        <v>17</v>
      </c>
    </row>
    <row r="14" spans="1:21" x14ac:dyDescent="0.25">
      <c r="A14" t="s">
        <v>3024</v>
      </c>
      <c r="B14">
        <v>93.5</v>
      </c>
      <c r="C14">
        <v>93.3</v>
      </c>
      <c r="D14">
        <v>92.6</v>
      </c>
      <c r="E14">
        <v>93.5</v>
      </c>
      <c r="F14">
        <v>93.3</v>
      </c>
      <c r="G14">
        <v>91.5</v>
      </c>
      <c r="H14">
        <v>91.5</v>
      </c>
      <c r="I14">
        <v>90.1</v>
      </c>
      <c r="J14">
        <v>85.4</v>
      </c>
      <c r="K14">
        <v>83.1</v>
      </c>
      <c r="L14">
        <v>84</v>
      </c>
      <c r="M14">
        <v>85</v>
      </c>
      <c r="N14">
        <v>89.1</v>
      </c>
      <c r="O14">
        <v>88.75</v>
      </c>
      <c r="P14">
        <v>87.05</v>
      </c>
      <c r="Q14">
        <v>85.84</v>
      </c>
      <c r="R14">
        <v>85.09</v>
      </c>
      <c r="S14">
        <v>84.8</v>
      </c>
    </row>
    <row r="15" spans="1:21" x14ac:dyDescent="0.25">
      <c r="A15" t="s">
        <v>3025</v>
      </c>
      <c r="B15" s="2">
        <v>6260</v>
      </c>
      <c r="C15" s="2">
        <v>6646</v>
      </c>
      <c r="D15" s="2">
        <v>6381</v>
      </c>
      <c r="E15" s="2">
        <v>6335</v>
      </c>
      <c r="F15" s="2">
        <v>6666</v>
      </c>
      <c r="G15" s="2">
        <v>7103</v>
      </c>
      <c r="H15" s="2">
        <v>7409</v>
      </c>
      <c r="I15" s="2">
        <v>7371</v>
      </c>
      <c r="J15" s="2">
        <v>7730</v>
      </c>
      <c r="K15" s="2">
        <v>7697</v>
      </c>
      <c r="L15" s="2">
        <v>7997</v>
      </c>
      <c r="M15" s="2">
        <v>8988</v>
      </c>
      <c r="N15" s="2">
        <v>8929</v>
      </c>
      <c r="O15" s="2">
        <v>9119.7800000000007</v>
      </c>
      <c r="P15" s="2">
        <v>9458.66</v>
      </c>
      <c r="Q15" s="2">
        <v>9859</v>
      </c>
      <c r="R15" s="2">
        <v>10210.459999999999</v>
      </c>
      <c r="S15" s="2">
        <v>10483.52</v>
      </c>
      <c r="T15" s="2">
        <v>10514.93</v>
      </c>
      <c r="U15" s="2">
        <v>10788.32</v>
      </c>
    </row>
    <row r="16" spans="1:21" x14ac:dyDescent="0.25">
      <c r="A16" t="s">
        <v>3026</v>
      </c>
      <c r="B16" s="2">
        <v>25000</v>
      </c>
      <c r="C16" s="2">
        <v>25000</v>
      </c>
      <c r="D16" s="2">
        <v>25200</v>
      </c>
      <c r="E16" s="2">
        <v>25000</v>
      </c>
      <c r="F16" s="2">
        <v>27000</v>
      </c>
      <c r="G16" s="2">
        <v>28080</v>
      </c>
      <c r="H16" s="2">
        <v>29280</v>
      </c>
      <c r="I16" s="2">
        <v>29020</v>
      </c>
      <c r="J16" s="2">
        <v>30680</v>
      </c>
      <c r="K16" s="2">
        <v>30420</v>
      </c>
      <c r="L16" s="2">
        <v>31730</v>
      </c>
      <c r="M16" s="2">
        <v>35390</v>
      </c>
      <c r="N16" s="2">
        <v>35290</v>
      </c>
      <c r="O16" s="2">
        <v>36072.300000000003</v>
      </c>
      <c r="P16" s="2">
        <v>37236.71</v>
      </c>
      <c r="Q16" s="2">
        <v>38650.050000000003</v>
      </c>
      <c r="R16" s="2">
        <v>40357.57</v>
      </c>
      <c r="S16" s="2">
        <v>41436.83</v>
      </c>
      <c r="T16" s="2">
        <v>41560.980000000003</v>
      </c>
      <c r="U16" s="2">
        <v>42641.57</v>
      </c>
    </row>
    <row r="17" spans="1:21" x14ac:dyDescent="0.25">
      <c r="A17" t="s">
        <v>3027</v>
      </c>
      <c r="B17" s="2">
        <v>4378</v>
      </c>
      <c r="C17" s="2">
        <v>4755</v>
      </c>
      <c r="D17" s="2">
        <v>4369</v>
      </c>
      <c r="E17" s="2">
        <v>4246</v>
      </c>
      <c r="F17" s="2">
        <v>4485</v>
      </c>
      <c r="G17" s="2">
        <v>4801</v>
      </c>
      <c r="H17" s="2">
        <v>4820</v>
      </c>
      <c r="I17" s="2">
        <v>4842</v>
      </c>
      <c r="J17" s="2">
        <v>5401</v>
      </c>
      <c r="K17" s="2">
        <v>5473</v>
      </c>
      <c r="L17" s="2">
        <v>5543</v>
      </c>
      <c r="M17" s="2">
        <v>6037</v>
      </c>
      <c r="N17" s="2">
        <v>6161</v>
      </c>
      <c r="O17" s="2">
        <v>6494.85</v>
      </c>
      <c r="P17" s="2">
        <v>6880.75</v>
      </c>
      <c r="Q17" s="2">
        <v>7233.22</v>
      </c>
      <c r="R17" s="2">
        <v>7474.66</v>
      </c>
      <c r="S17" s="2">
        <v>7747.93</v>
      </c>
      <c r="T17" s="2">
        <v>7947.06</v>
      </c>
      <c r="U17" s="2">
        <v>8235.2199999999993</v>
      </c>
    </row>
    <row r="18" spans="1:21" x14ac:dyDescent="0.25">
      <c r="A18" t="s">
        <v>3028</v>
      </c>
      <c r="I18">
        <v>16.27</v>
      </c>
      <c r="J18">
        <v>17.72</v>
      </c>
      <c r="K18">
        <v>19.63</v>
      </c>
      <c r="L18">
        <v>20.99</v>
      </c>
      <c r="M18">
        <v>21.9</v>
      </c>
      <c r="N18">
        <v>21.58</v>
      </c>
      <c r="O18">
        <v>21.53</v>
      </c>
      <c r="P18">
        <v>22.52</v>
      </c>
      <c r="Q18">
        <v>23.66</v>
      </c>
      <c r="R18">
        <v>24.35</v>
      </c>
      <c r="S18">
        <v>24.83</v>
      </c>
      <c r="T18">
        <v>24.96</v>
      </c>
      <c r="U18">
        <v>25.21</v>
      </c>
    </row>
    <row r="19" spans="1:21" x14ac:dyDescent="0.25">
      <c r="A19" t="s">
        <v>3029</v>
      </c>
      <c r="J19">
        <v>247.56</v>
      </c>
      <c r="K19">
        <v>279.16000000000003</v>
      </c>
      <c r="L19">
        <v>291</v>
      </c>
      <c r="M19">
        <v>294.23</v>
      </c>
      <c r="N19">
        <v>297.79000000000002</v>
      </c>
      <c r="O19">
        <v>306.33</v>
      </c>
      <c r="P19">
        <v>327.55</v>
      </c>
      <c r="Q19">
        <v>344.71</v>
      </c>
      <c r="R19">
        <v>355.81</v>
      </c>
      <c r="S19">
        <v>367.13</v>
      </c>
      <c r="T19">
        <v>377.3</v>
      </c>
      <c r="U19">
        <v>384.88</v>
      </c>
    </row>
    <row r="20" spans="1:21" x14ac:dyDescent="0.25">
      <c r="A20" t="s">
        <v>17</v>
      </c>
    </row>
    <row r="21" spans="1:21" x14ac:dyDescent="0.25">
      <c r="A21" t="s">
        <v>37</v>
      </c>
    </row>
    <row r="22" spans="1:21" x14ac:dyDescent="0.25">
      <c r="A22" t="s">
        <v>17</v>
      </c>
    </row>
    <row r="23" spans="1:21" x14ac:dyDescent="0.25">
      <c r="A23" t="s">
        <v>38</v>
      </c>
    </row>
    <row r="24" spans="1:21" x14ac:dyDescent="0.25">
      <c r="A24" t="s">
        <v>3030</v>
      </c>
      <c r="B24">
        <v>253</v>
      </c>
      <c r="C24">
        <v>253</v>
      </c>
      <c r="D24">
        <v>253</v>
      </c>
      <c r="E24">
        <v>253</v>
      </c>
      <c r="F24">
        <v>252</v>
      </c>
      <c r="G24">
        <v>253</v>
      </c>
      <c r="H24">
        <v>253</v>
      </c>
      <c r="I24">
        <v>254</v>
      </c>
      <c r="J24">
        <v>252</v>
      </c>
      <c r="K24">
        <v>253</v>
      </c>
      <c r="L24">
        <v>252</v>
      </c>
      <c r="M24">
        <v>254</v>
      </c>
      <c r="N24">
        <v>253</v>
      </c>
      <c r="O24">
        <v>252.8</v>
      </c>
      <c r="P24">
        <v>253.1</v>
      </c>
      <c r="Q24">
        <v>253.29</v>
      </c>
      <c r="R24">
        <v>253</v>
      </c>
      <c r="S24">
        <v>253</v>
      </c>
      <c r="T24">
        <v>253</v>
      </c>
      <c r="U24">
        <v>253</v>
      </c>
    </row>
    <row r="25" spans="1:21" x14ac:dyDescent="0.25">
      <c r="A25" t="s">
        <v>3024</v>
      </c>
      <c r="B25">
        <v>93.5</v>
      </c>
      <c r="C25">
        <v>93.3</v>
      </c>
      <c r="D25">
        <v>92.6</v>
      </c>
      <c r="E25">
        <v>93.5</v>
      </c>
      <c r="F25">
        <v>93.3</v>
      </c>
      <c r="G25">
        <v>91.5</v>
      </c>
      <c r="H25">
        <v>91.5</v>
      </c>
      <c r="I25">
        <v>90.1</v>
      </c>
      <c r="J25">
        <v>85.4</v>
      </c>
      <c r="K25">
        <v>83.1</v>
      </c>
      <c r="L25">
        <v>84</v>
      </c>
      <c r="M25">
        <v>85</v>
      </c>
      <c r="N25">
        <v>89.1</v>
      </c>
      <c r="O25">
        <v>88.75</v>
      </c>
      <c r="P25">
        <v>87.05</v>
      </c>
      <c r="Q25">
        <v>85.84</v>
      </c>
      <c r="R25">
        <v>85.09</v>
      </c>
      <c r="S25">
        <v>84.8</v>
      </c>
    </row>
    <row r="26" spans="1:21" x14ac:dyDescent="0.25">
      <c r="A26" t="s">
        <v>3027</v>
      </c>
      <c r="B26" s="2">
        <v>4378</v>
      </c>
      <c r="C26" s="2">
        <v>4755</v>
      </c>
      <c r="D26" s="2">
        <v>4369</v>
      </c>
      <c r="E26" s="2">
        <v>4246</v>
      </c>
      <c r="F26" s="2">
        <v>4485</v>
      </c>
      <c r="G26" s="2">
        <v>4801</v>
      </c>
      <c r="H26" s="2">
        <v>4820</v>
      </c>
      <c r="I26" s="2">
        <v>4842</v>
      </c>
      <c r="J26" s="2">
        <v>5401</v>
      </c>
      <c r="K26" s="2">
        <v>5473</v>
      </c>
      <c r="L26" s="2">
        <v>5543</v>
      </c>
      <c r="M26" s="2">
        <v>6037</v>
      </c>
      <c r="N26" s="2">
        <v>6161</v>
      </c>
      <c r="O26" s="2">
        <v>6494.85</v>
      </c>
      <c r="P26" s="2">
        <v>6880.75</v>
      </c>
      <c r="Q26" s="2">
        <v>7233.22</v>
      </c>
      <c r="R26" s="2">
        <v>7474.66</v>
      </c>
      <c r="S26" s="2">
        <v>7747.93</v>
      </c>
      <c r="T26" s="2">
        <v>7947.06</v>
      </c>
      <c r="U26" s="2">
        <v>8235.2199999999993</v>
      </c>
    </row>
    <row r="27" spans="1:21" x14ac:dyDescent="0.25">
      <c r="A27" t="s">
        <v>3031</v>
      </c>
      <c r="B27">
        <v>17.3</v>
      </c>
      <c r="C27">
        <v>18.79</v>
      </c>
      <c r="D27">
        <v>17.27</v>
      </c>
      <c r="E27">
        <v>16.78</v>
      </c>
      <c r="F27">
        <v>17.8</v>
      </c>
      <c r="G27">
        <v>18.98</v>
      </c>
      <c r="H27">
        <v>19.05</v>
      </c>
      <c r="I27">
        <v>19.059999999999999</v>
      </c>
      <c r="J27">
        <v>21.43</v>
      </c>
      <c r="K27">
        <v>21.63</v>
      </c>
      <c r="L27">
        <v>22</v>
      </c>
      <c r="M27">
        <v>23.77</v>
      </c>
      <c r="N27">
        <v>24.35</v>
      </c>
      <c r="O27">
        <v>25.68</v>
      </c>
      <c r="P27">
        <v>27.22</v>
      </c>
      <c r="Q27">
        <v>28.42</v>
      </c>
      <c r="R27">
        <v>29.54</v>
      </c>
      <c r="S27">
        <v>30.62</v>
      </c>
      <c r="T27">
        <v>31.41</v>
      </c>
      <c r="U27">
        <v>32.549999999999997</v>
      </c>
    </row>
    <row r="28" spans="1:21" x14ac:dyDescent="0.25">
      <c r="A28" t="s">
        <v>3032</v>
      </c>
      <c r="B28">
        <v>-0.13</v>
      </c>
      <c r="C28">
        <v>6.3</v>
      </c>
      <c r="D28">
        <v>-7</v>
      </c>
      <c r="E28">
        <v>-2.4</v>
      </c>
      <c r="F28">
        <v>5.2</v>
      </c>
      <c r="G28">
        <v>6.6</v>
      </c>
      <c r="H28">
        <v>0.4</v>
      </c>
      <c r="I28">
        <v>0.1</v>
      </c>
      <c r="J28">
        <v>12.4</v>
      </c>
      <c r="K28">
        <v>0.9</v>
      </c>
      <c r="L28">
        <v>1.7</v>
      </c>
      <c r="M28">
        <v>8</v>
      </c>
      <c r="N28">
        <v>2.5</v>
      </c>
      <c r="O28">
        <v>5.63</v>
      </c>
      <c r="P28">
        <v>5.98</v>
      </c>
      <c r="Q28">
        <v>4.3099999999999996</v>
      </c>
      <c r="R28">
        <v>3.71</v>
      </c>
      <c r="S28">
        <v>4.68</v>
      </c>
    </row>
    <row r="29" spans="1:21" x14ac:dyDescent="0.25">
      <c r="A29" t="s">
        <v>3025</v>
      </c>
      <c r="B29" s="2">
        <v>6260</v>
      </c>
      <c r="C29" s="2">
        <v>6646</v>
      </c>
      <c r="D29" s="2">
        <v>6381</v>
      </c>
      <c r="E29" s="2">
        <v>6335</v>
      </c>
      <c r="F29" s="2">
        <v>6666</v>
      </c>
      <c r="G29" s="2">
        <v>7103</v>
      </c>
      <c r="H29" s="2">
        <v>7409</v>
      </c>
      <c r="I29" s="2">
        <v>7371</v>
      </c>
      <c r="J29" s="2">
        <v>7730</v>
      </c>
      <c r="K29" s="2">
        <v>7697</v>
      </c>
      <c r="L29" s="2">
        <v>7997</v>
      </c>
      <c r="M29" s="2">
        <v>8988</v>
      </c>
      <c r="N29" s="2">
        <v>8929</v>
      </c>
      <c r="O29" s="2">
        <v>9119.7800000000007</v>
      </c>
      <c r="P29" s="2">
        <v>9458.66</v>
      </c>
      <c r="Q29" s="2">
        <v>9859</v>
      </c>
      <c r="R29" s="2">
        <v>10210.459999999999</v>
      </c>
      <c r="S29" s="2">
        <v>10483.52</v>
      </c>
      <c r="T29" s="2">
        <v>10514.93</v>
      </c>
      <c r="U29" s="2">
        <v>10788.32</v>
      </c>
    </row>
    <row r="30" spans="1:21" x14ac:dyDescent="0.25">
      <c r="A30" t="s">
        <v>3026</v>
      </c>
      <c r="B30" s="2">
        <v>25000</v>
      </c>
      <c r="C30" s="2">
        <v>25000</v>
      </c>
      <c r="D30" s="2">
        <v>25200</v>
      </c>
      <c r="E30" s="2">
        <v>25000</v>
      </c>
      <c r="F30" s="2">
        <v>27000</v>
      </c>
      <c r="G30" s="2">
        <v>28080</v>
      </c>
      <c r="H30" s="2">
        <v>29280</v>
      </c>
      <c r="I30" s="2">
        <v>29020</v>
      </c>
      <c r="J30" s="2">
        <v>30680</v>
      </c>
      <c r="K30" s="2">
        <v>30420</v>
      </c>
      <c r="L30" s="2">
        <v>31730</v>
      </c>
      <c r="M30" s="2">
        <v>35390</v>
      </c>
      <c r="N30" s="2">
        <v>35290</v>
      </c>
      <c r="O30" s="2">
        <v>36072.300000000003</v>
      </c>
      <c r="P30" s="2">
        <v>37236.71</v>
      </c>
      <c r="Q30" s="2">
        <v>38650.050000000003</v>
      </c>
      <c r="R30" s="2">
        <v>40357.57</v>
      </c>
      <c r="S30" s="2">
        <v>41436.83</v>
      </c>
      <c r="T30" s="2">
        <v>41560.980000000003</v>
      </c>
      <c r="U30" s="2">
        <v>42641.57</v>
      </c>
    </row>
    <row r="31" spans="1:21" x14ac:dyDescent="0.25">
      <c r="A31" t="s">
        <v>3033</v>
      </c>
      <c r="C31">
        <v>6.2</v>
      </c>
      <c r="D31">
        <v>-4</v>
      </c>
      <c r="E31">
        <v>-0.7</v>
      </c>
      <c r="F31">
        <v>5.6</v>
      </c>
      <c r="G31">
        <v>4.4000000000000004</v>
      </c>
      <c r="H31">
        <v>4.3</v>
      </c>
      <c r="I31">
        <v>-0.9</v>
      </c>
      <c r="J31">
        <v>5.7</v>
      </c>
      <c r="K31">
        <v>-0.8</v>
      </c>
      <c r="L31">
        <v>4.3</v>
      </c>
      <c r="M31">
        <v>11.5</v>
      </c>
      <c r="N31">
        <v>0.7</v>
      </c>
      <c r="O31">
        <v>2.19</v>
      </c>
      <c r="P31">
        <v>3.63</v>
      </c>
      <c r="Q31">
        <v>3.51</v>
      </c>
      <c r="R31">
        <v>3.14</v>
      </c>
      <c r="S31">
        <v>3.31</v>
      </c>
      <c r="T31">
        <v>2.6</v>
      </c>
      <c r="U31">
        <v>2.6</v>
      </c>
    </row>
    <row r="32" spans="1:21" x14ac:dyDescent="0.25">
      <c r="A32" t="s">
        <v>3034</v>
      </c>
      <c r="B32">
        <v>14.33</v>
      </c>
      <c r="C32">
        <v>14.96</v>
      </c>
      <c r="D32">
        <v>15.44</v>
      </c>
      <c r="E32">
        <v>15.93</v>
      </c>
      <c r="F32">
        <v>17.2</v>
      </c>
      <c r="G32">
        <v>16.8</v>
      </c>
      <c r="H32">
        <v>18.05</v>
      </c>
      <c r="I32">
        <v>18.329999999999998</v>
      </c>
      <c r="J32">
        <v>20.68</v>
      </c>
      <c r="K32">
        <v>24.7</v>
      </c>
      <c r="L32">
        <v>25.38</v>
      </c>
      <c r="M32">
        <v>25.89</v>
      </c>
      <c r="N32">
        <v>25.5</v>
      </c>
      <c r="O32">
        <v>27.06</v>
      </c>
      <c r="P32">
        <v>27.55</v>
      </c>
      <c r="Q32">
        <v>28.67</v>
      </c>
      <c r="R32">
        <v>29.8</v>
      </c>
      <c r="S32">
        <v>30.28</v>
      </c>
      <c r="T32">
        <v>30.89</v>
      </c>
      <c r="U32">
        <v>31.2</v>
      </c>
    </row>
    <row r="33" spans="1:21" x14ac:dyDescent="0.25">
      <c r="A33" t="s">
        <v>3035</v>
      </c>
      <c r="B33">
        <v>3.7</v>
      </c>
      <c r="C33">
        <v>4.4000000000000004</v>
      </c>
      <c r="D33">
        <v>3.2</v>
      </c>
      <c r="E33">
        <v>3.2</v>
      </c>
      <c r="F33">
        <v>8</v>
      </c>
      <c r="G33">
        <v>10.199999999999999</v>
      </c>
      <c r="H33">
        <v>7.4</v>
      </c>
      <c r="I33">
        <v>1.6</v>
      </c>
      <c r="J33">
        <v>12.8</v>
      </c>
      <c r="K33">
        <v>19.399999999999999</v>
      </c>
      <c r="L33">
        <v>2.8</v>
      </c>
      <c r="M33">
        <v>2</v>
      </c>
      <c r="N33">
        <v>-1.5</v>
      </c>
      <c r="O33">
        <v>5.98</v>
      </c>
      <c r="P33">
        <v>1.35</v>
      </c>
      <c r="Q33">
        <v>3.59</v>
      </c>
      <c r="R33">
        <v>3.83</v>
      </c>
    </row>
    <row r="34" spans="1:21" x14ac:dyDescent="0.25">
      <c r="A34" t="s">
        <v>3028</v>
      </c>
      <c r="I34">
        <v>16.27</v>
      </c>
      <c r="J34">
        <v>17.72</v>
      </c>
      <c r="K34">
        <v>19.63</v>
      </c>
      <c r="L34">
        <v>20.99</v>
      </c>
      <c r="M34">
        <v>21.9</v>
      </c>
      <c r="N34">
        <v>21.58</v>
      </c>
      <c r="O34">
        <v>21.53</v>
      </c>
      <c r="P34">
        <v>22.52</v>
      </c>
      <c r="Q34">
        <v>23.66</v>
      </c>
      <c r="R34">
        <v>24.35</v>
      </c>
      <c r="S34">
        <v>24.83</v>
      </c>
      <c r="T34">
        <v>24.96</v>
      </c>
      <c r="U34">
        <v>25.21</v>
      </c>
    </row>
    <row r="35" spans="1:21" x14ac:dyDescent="0.25">
      <c r="A35" t="s">
        <v>3036</v>
      </c>
      <c r="J35">
        <v>8.91</v>
      </c>
      <c r="K35">
        <v>10.78</v>
      </c>
      <c r="L35">
        <v>6.93</v>
      </c>
      <c r="M35">
        <v>4.34</v>
      </c>
      <c r="N35">
        <v>-1.46</v>
      </c>
      <c r="O35">
        <v>-0.43</v>
      </c>
      <c r="P35">
        <v>4.37</v>
      </c>
      <c r="Q35">
        <v>4.63</v>
      </c>
      <c r="R35">
        <v>4</v>
      </c>
      <c r="S35">
        <v>4</v>
      </c>
      <c r="T35">
        <v>0.52</v>
      </c>
      <c r="U35">
        <v>1</v>
      </c>
    </row>
    <row r="36" spans="1:21" x14ac:dyDescent="0.25">
      <c r="A36" t="s">
        <v>3037</v>
      </c>
      <c r="B36">
        <v>168.06</v>
      </c>
      <c r="C36">
        <v>175.71</v>
      </c>
      <c r="D36">
        <v>175.55</v>
      </c>
      <c r="E36">
        <v>178.13</v>
      </c>
      <c r="F36">
        <v>191.55</v>
      </c>
      <c r="G36">
        <v>227.08</v>
      </c>
      <c r="H36">
        <v>234.81</v>
      </c>
      <c r="I36">
        <v>240.86</v>
      </c>
      <c r="J36">
        <v>289</v>
      </c>
      <c r="K36">
        <v>351.27</v>
      </c>
      <c r="L36">
        <v>351.9</v>
      </c>
      <c r="M36">
        <v>347.81</v>
      </c>
      <c r="N36">
        <v>351.99</v>
      </c>
      <c r="O36">
        <v>388.42</v>
      </c>
      <c r="P36">
        <v>403.07</v>
      </c>
      <c r="Q36">
        <v>417.55</v>
      </c>
      <c r="R36">
        <v>436.38</v>
      </c>
      <c r="S36">
        <v>447.7</v>
      </c>
      <c r="T36">
        <v>466.99</v>
      </c>
      <c r="U36">
        <v>476.38</v>
      </c>
    </row>
    <row r="37" spans="1:21" x14ac:dyDescent="0.25">
      <c r="A37" t="s">
        <v>3029</v>
      </c>
      <c r="J37">
        <v>247.56</v>
      </c>
      <c r="K37">
        <v>279.16000000000003</v>
      </c>
      <c r="L37">
        <v>291</v>
      </c>
      <c r="M37">
        <v>294.23</v>
      </c>
      <c r="N37">
        <v>297.79000000000002</v>
      </c>
      <c r="O37">
        <v>306.33</v>
      </c>
      <c r="P37">
        <v>327.55</v>
      </c>
      <c r="Q37">
        <v>344.71</v>
      </c>
      <c r="R37">
        <v>355.81</v>
      </c>
      <c r="S37">
        <v>367.13</v>
      </c>
      <c r="T37">
        <v>377.3</v>
      </c>
      <c r="U37">
        <v>384.88</v>
      </c>
    </row>
    <row r="38" spans="1:21" x14ac:dyDescent="0.25">
      <c r="A38" t="s">
        <v>3038</v>
      </c>
      <c r="B38" s="2">
        <v>1173</v>
      </c>
      <c r="C38" s="2">
        <v>1174</v>
      </c>
      <c r="D38" s="2">
        <v>1137</v>
      </c>
      <c r="E38" s="2">
        <v>1118</v>
      </c>
      <c r="F38" s="2">
        <v>1113</v>
      </c>
      <c r="G38" s="2">
        <v>1352</v>
      </c>
      <c r="H38" s="2">
        <v>1301</v>
      </c>
      <c r="I38" s="2">
        <v>1314</v>
      </c>
      <c r="J38" s="2">
        <v>1397</v>
      </c>
      <c r="K38" s="2">
        <v>1422</v>
      </c>
      <c r="L38" s="2">
        <v>1386</v>
      </c>
      <c r="M38" s="2">
        <v>1343</v>
      </c>
      <c r="N38" s="2">
        <v>1380</v>
      </c>
      <c r="O38" s="2">
        <v>1423.66</v>
      </c>
      <c r="P38" s="2">
        <v>1456.75</v>
      </c>
      <c r="Q38" s="2">
        <v>1460.31</v>
      </c>
      <c r="R38" s="2">
        <v>1464.3</v>
      </c>
      <c r="S38" s="2">
        <v>1478.52</v>
      </c>
      <c r="T38" s="2">
        <v>1511.58</v>
      </c>
      <c r="U38" s="2">
        <v>1526.69</v>
      </c>
    </row>
    <row r="39" spans="1:21" x14ac:dyDescent="0.25">
      <c r="A39" t="s">
        <v>3039</v>
      </c>
      <c r="C39">
        <v>0.1</v>
      </c>
      <c r="D39">
        <v>-3.2</v>
      </c>
      <c r="E39">
        <v>-1.7</v>
      </c>
      <c r="F39">
        <v>-0.4</v>
      </c>
      <c r="G39">
        <v>2.1</v>
      </c>
      <c r="H39">
        <v>-3.8</v>
      </c>
      <c r="I39">
        <v>1</v>
      </c>
      <c r="J39">
        <v>6.3</v>
      </c>
      <c r="K39">
        <v>1.8</v>
      </c>
      <c r="L39">
        <v>-2.5</v>
      </c>
      <c r="M39">
        <v>-3.1</v>
      </c>
      <c r="N39">
        <v>2.8</v>
      </c>
      <c r="O39">
        <v>3.16</v>
      </c>
      <c r="P39">
        <v>2.3199999999999998</v>
      </c>
      <c r="Q39">
        <v>1.1100000000000001</v>
      </c>
      <c r="R39">
        <v>0.84</v>
      </c>
      <c r="S39">
        <v>0.82</v>
      </c>
      <c r="T39">
        <v>1</v>
      </c>
      <c r="U39">
        <v>1</v>
      </c>
    </row>
    <row r="40" spans="1:21" x14ac:dyDescent="0.25">
      <c r="A40" t="s">
        <v>3040</v>
      </c>
      <c r="B40">
        <v>741</v>
      </c>
      <c r="C40">
        <v>763</v>
      </c>
      <c r="D40">
        <v>775</v>
      </c>
      <c r="E40">
        <v>787</v>
      </c>
      <c r="F40">
        <v>811</v>
      </c>
      <c r="G40">
        <v>837</v>
      </c>
      <c r="H40">
        <v>840</v>
      </c>
      <c r="I40">
        <v>879</v>
      </c>
      <c r="J40">
        <v>913</v>
      </c>
      <c r="K40">
        <v>904</v>
      </c>
      <c r="L40">
        <v>894</v>
      </c>
      <c r="M40">
        <v>891</v>
      </c>
      <c r="N40">
        <v>897</v>
      </c>
      <c r="O40">
        <v>889.57</v>
      </c>
      <c r="P40">
        <v>891.08</v>
      </c>
      <c r="Q40">
        <v>892.9</v>
      </c>
      <c r="R40">
        <v>888</v>
      </c>
    </row>
    <row r="41" spans="1:21" x14ac:dyDescent="0.25">
      <c r="A41" t="s">
        <v>3041</v>
      </c>
      <c r="B41">
        <v>1.93</v>
      </c>
      <c r="C41">
        <v>2.97</v>
      </c>
      <c r="D41">
        <v>1.57</v>
      </c>
      <c r="E41">
        <v>1.55</v>
      </c>
      <c r="F41">
        <v>3.05</v>
      </c>
      <c r="G41">
        <v>3.21</v>
      </c>
      <c r="H41">
        <v>0.36</v>
      </c>
      <c r="I41">
        <v>4.6399999999999997</v>
      </c>
      <c r="J41">
        <v>3.87</v>
      </c>
      <c r="K41">
        <v>-0.99</v>
      </c>
      <c r="L41">
        <v>-1.1100000000000001</v>
      </c>
      <c r="M41">
        <v>-0.34</v>
      </c>
      <c r="N41">
        <v>0.67</v>
      </c>
      <c r="O41">
        <v>-0.79</v>
      </c>
      <c r="P41">
        <v>0.06</v>
      </c>
      <c r="Q41">
        <v>0.11</v>
      </c>
      <c r="R41">
        <v>-0.55000000000000004</v>
      </c>
    </row>
    <row r="42" spans="1:21" x14ac:dyDescent="0.25">
      <c r="A42" t="s">
        <v>17</v>
      </c>
    </row>
    <row r="43" spans="1:21" x14ac:dyDescent="0.25">
      <c r="A43" t="s">
        <v>58</v>
      </c>
    </row>
    <row r="44" spans="1:21" x14ac:dyDescent="0.25">
      <c r="A44" t="s">
        <v>80</v>
      </c>
    </row>
    <row r="45" spans="1:21" x14ac:dyDescent="0.25">
      <c r="A45" t="s">
        <v>3042</v>
      </c>
      <c r="O45" s="2">
        <v>3520.87</v>
      </c>
      <c r="P45" s="2">
        <v>3784.62</v>
      </c>
      <c r="Q45" s="2">
        <v>4129.0200000000004</v>
      </c>
      <c r="R45" s="2">
        <v>4453.8599999999997</v>
      </c>
      <c r="S45" s="2">
        <v>4691.1099999999997</v>
      </c>
      <c r="T45" s="2">
        <v>4910.3900000000003</v>
      </c>
      <c r="U45" s="2">
        <v>5139.32</v>
      </c>
    </row>
    <row r="46" spans="1:21" x14ac:dyDescent="0.25">
      <c r="A46" t="s">
        <v>3043</v>
      </c>
      <c r="O46" s="2">
        <v>2790.18</v>
      </c>
      <c r="P46" s="2">
        <v>3079.83</v>
      </c>
      <c r="Q46" s="2">
        <v>3367.16</v>
      </c>
      <c r="R46" s="2">
        <v>3631.9</v>
      </c>
      <c r="S46" s="2">
        <v>3848.2</v>
      </c>
      <c r="T46" s="2">
        <v>3967.28</v>
      </c>
      <c r="U46" s="2">
        <v>4152.25</v>
      </c>
    </row>
    <row r="47" spans="1:21" x14ac:dyDescent="0.25">
      <c r="A47" t="s">
        <v>3044</v>
      </c>
      <c r="O47">
        <v>723.66</v>
      </c>
      <c r="P47">
        <v>692.6</v>
      </c>
      <c r="Q47">
        <v>728.79</v>
      </c>
      <c r="R47">
        <v>821.95</v>
      </c>
      <c r="S47">
        <v>842.91</v>
      </c>
      <c r="T47">
        <v>943.1</v>
      </c>
      <c r="U47">
        <v>987.07</v>
      </c>
    </row>
    <row r="48" spans="1:21" x14ac:dyDescent="0.25">
      <c r="A48" t="s">
        <v>3045</v>
      </c>
      <c r="O48">
        <v>106.68</v>
      </c>
      <c r="P48">
        <v>113.91</v>
      </c>
      <c r="Q48">
        <v>113.65</v>
      </c>
      <c r="R48">
        <v>114.32</v>
      </c>
      <c r="S48">
        <v>119.63</v>
      </c>
      <c r="T48">
        <v>131.25</v>
      </c>
      <c r="U48">
        <v>136.01</v>
      </c>
    </row>
    <row r="49" spans="1:21" x14ac:dyDescent="0.25">
      <c r="A49" t="s">
        <v>17</v>
      </c>
    </row>
    <row r="50" spans="1:21" x14ac:dyDescent="0.25">
      <c r="A50" t="s">
        <v>79</v>
      </c>
    </row>
    <row r="51" spans="1:21" x14ac:dyDescent="0.25">
      <c r="A51" t="s">
        <v>3046</v>
      </c>
      <c r="B51" s="2">
        <v>1139.0899999999999</v>
      </c>
      <c r="C51" s="2">
        <v>1272.32</v>
      </c>
      <c r="D51" s="2">
        <v>1221.31</v>
      </c>
      <c r="E51" s="2">
        <v>1218.48</v>
      </c>
      <c r="F51" s="2">
        <v>1378.51</v>
      </c>
      <c r="G51" s="2">
        <v>1653.85</v>
      </c>
      <c r="H51" s="2">
        <v>1786.74</v>
      </c>
      <c r="I51" s="2">
        <v>1822.37</v>
      </c>
      <c r="J51" s="2">
        <v>2288.6999999999998</v>
      </c>
      <c r="K51" s="2">
        <v>2792.06</v>
      </c>
      <c r="L51" s="2">
        <v>2881.43</v>
      </c>
      <c r="M51" s="2">
        <v>3209.07</v>
      </c>
      <c r="N51" s="2">
        <v>3234.29</v>
      </c>
      <c r="O51" s="2">
        <v>3618.9</v>
      </c>
      <c r="P51" s="2">
        <v>3887.9</v>
      </c>
      <c r="Q51" s="2">
        <v>4220.92</v>
      </c>
      <c r="R51" s="2">
        <v>4502</v>
      </c>
      <c r="S51" s="2">
        <v>4723.67</v>
      </c>
      <c r="T51" s="2">
        <v>5042</v>
      </c>
      <c r="U51" s="2">
        <v>5275</v>
      </c>
    </row>
    <row r="52" spans="1:21" x14ac:dyDescent="0.25">
      <c r="A52" t="s">
        <v>17</v>
      </c>
    </row>
    <row r="53" spans="1:21" x14ac:dyDescent="0.25">
      <c r="A53" t="s">
        <v>275</v>
      </c>
      <c r="B53" s="2">
        <v>1064.68</v>
      </c>
      <c r="C53" s="2">
        <v>1186.6300000000001</v>
      </c>
      <c r="D53" s="2">
        <v>1131.3399999999999</v>
      </c>
      <c r="E53" s="2">
        <v>1139.3499999999999</v>
      </c>
      <c r="F53" s="2">
        <v>1309.99</v>
      </c>
      <c r="G53" s="2">
        <v>1512.67</v>
      </c>
      <c r="H53" s="2">
        <v>1634.15</v>
      </c>
      <c r="I53" s="2">
        <v>1642.05</v>
      </c>
      <c r="J53" s="2">
        <v>1953.56</v>
      </c>
      <c r="K53" s="2">
        <v>2321.5700000000002</v>
      </c>
      <c r="L53" s="2">
        <v>2420.94</v>
      </c>
      <c r="M53" s="2">
        <v>2726.91</v>
      </c>
      <c r="N53" s="2">
        <v>2882.09</v>
      </c>
      <c r="O53" s="2">
        <v>3219.08</v>
      </c>
      <c r="P53" s="2">
        <v>3389.54</v>
      </c>
      <c r="Q53" s="2">
        <v>3645.59</v>
      </c>
      <c r="R53" s="2">
        <v>3837.44</v>
      </c>
      <c r="S53" s="2">
        <v>4005.45</v>
      </c>
      <c r="T53" s="2">
        <v>4136.53</v>
      </c>
      <c r="U53" s="2">
        <v>4345.26</v>
      </c>
    </row>
    <row r="54" spans="1:21" x14ac:dyDescent="0.25">
      <c r="A54" t="s">
        <v>3047</v>
      </c>
      <c r="B54">
        <v>572.49</v>
      </c>
      <c r="C54">
        <v>639.63</v>
      </c>
      <c r="D54">
        <v>670.17</v>
      </c>
      <c r="E54">
        <v>696.05</v>
      </c>
      <c r="F54">
        <v>766.79</v>
      </c>
      <c r="G54">
        <v>872.72</v>
      </c>
      <c r="H54">
        <v>947.91</v>
      </c>
      <c r="I54">
        <v>963.26</v>
      </c>
      <c r="J54" s="2">
        <v>1063.7</v>
      </c>
      <c r="K54" s="2">
        <v>1169.54</v>
      </c>
      <c r="L54" s="2">
        <v>1301.28</v>
      </c>
      <c r="M54" s="2">
        <v>1487.85</v>
      </c>
      <c r="N54" s="2">
        <v>1579.79</v>
      </c>
      <c r="O54" s="2">
        <v>1705.04</v>
      </c>
      <c r="P54" s="2">
        <v>1815.62</v>
      </c>
      <c r="Q54" s="2">
        <v>1984.84</v>
      </c>
      <c r="R54" s="2">
        <v>2098.86</v>
      </c>
      <c r="S54" s="2">
        <v>2211.0300000000002</v>
      </c>
      <c r="T54" s="2">
        <v>2255.6</v>
      </c>
      <c r="U54" s="2">
        <v>2382.98</v>
      </c>
    </row>
    <row r="55" spans="1:21" x14ac:dyDescent="0.25">
      <c r="A55" t="s">
        <v>61</v>
      </c>
      <c r="B55">
        <v>50.26</v>
      </c>
      <c r="C55">
        <v>50.27</v>
      </c>
      <c r="D55">
        <v>54.87</v>
      </c>
      <c r="E55">
        <v>57.12</v>
      </c>
      <c r="F55">
        <v>54.59</v>
      </c>
      <c r="G55">
        <v>52.77</v>
      </c>
      <c r="H55">
        <v>53.05</v>
      </c>
      <c r="I55">
        <v>52.86</v>
      </c>
      <c r="J55">
        <v>46.48</v>
      </c>
      <c r="K55">
        <v>41.89</v>
      </c>
      <c r="L55">
        <v>45.16</v>
      </c>
      <c r="M55">
        <v>46.36</v>
      </c>
      <c r="N55">
        <v>48.85</v>
      </c>
      <c r="O55">
        <v>47.36</v>
      </c>
      <c r="P55">
        <v>46.86</v>
      </c>
      <c r="Q55">
        <v>47.03</v>
      </c>
      <c r="R55">
        <v>46.78</v>
      </c>
      <c r="S55">
        <v>47.55</v>
      </c>
    </row>
    <row r="56" spans="1:21" x14ac:dyDescent="0.25">
      <c r="A56" t="s">
        <v>3048</v>
      </c>
      <c r="B56">
        <v>72.98</v>
      </c>
      <c r="C56">
        <v>99.61</v>
      </c>
      <c r="D56">
        <v>141.22</v>
      </c>
      <c r="E56">
        <v>56.33</v>
      </c>
      <c r="F56">
        <v>107.7</v>
      </c>
      <c r="G56">
        <v>123.9</v>
      </c>
      <c r="H56">
        <v>129.97999999999999</v>
      </c>
      <c r="I56">
        <v>141.37</v>
      </c>
      <c r="J56">
        <v>249.71</v>
      </c>
      <c r="K56">
        <v>315.89999999999998</v>
      </c>
      <c r="L56">
        <v>238.69</v>
      </c>
      <c r="M56">
        <v>237.31</v>
      </c>
      <c r="N56">
        <v>234.6</v>
      </c>
      <c r="O56">
        <v>308.58999999999997</v>
      </c>
      <c r="P56">
        <v>322.01</v>
      </c>
      <c r="Q56">
        <v>350.88</v>
      </c>
      <c r="R56">
        <v>364.24</v>
      </c>
      <c r="S56">
        <v>391.46</v>
      </c>
      <c r="T56">
        <v>392.93</v>
      </c>
      <c r="U56">
        <v>405.56</v>
      </c>
    </row>
    <row r="57" spans="1:21" x14ac:dyDescent="0.25">
      <c r="A57" t="s">
        <v>61</v>
      </c>
      <c r="O57">
        <v>8.56</v>
      </c>
      <c r="P57">
        <v>8.3699999999999992</v>
      </c>
      <c r="Q57">
        <v>8.23</v>
      </c>
      <c r="R57">
        <v>7.61</v>
      </c>
    </row>
    <row r="58" spans="1:21" x14ac:dyDescent="0.25">
      <c r="A58" t="s">
        <v>3049</v>
      </c>
      <c r="B58">
        <v>306.36</v>
      </c>
      <c r="C58">
        <v>314.79000000000002</v>
      </c>
      <c r="D58">
        <v>261.39</v>
      </c>
      <c r="E58">
        <v>230.36</v>
      </c>
      <c r="F58">
        <v>268.08999999999997</v>
      </c>
      <c r="G58">
        <v>325</v>
      </c>
      <c r="H58">
        <v>340.06</v>
      </c>
      <c r="I58">
        <v>299.23</v>
      </c>
      <c r="J58">
        <v>381.9</v>
      </c>
      <c r="K58">
        <v>558.46</v>
      </c>
      <c r="L58">
        <v>563.69000000000005</v>
      </c>
      <c r="M58">
        <v>629.4</v>
      </c>
      <c r="N58">
        <v>654.71</v>
      </c>
      <c r="O58">
        <v>753.94</v>
      </c>
      <c r="P58">
        <v>772.57</v>
      </c>
      <c r="Q58">
        <v>794.5</v>
      </c>
      <c r="R58">
        <v>825.26</v>
      </c>
      <c r="S58">
        <v>822.91</v>
      </c>
      <c r="T58">
        <v>849.29</v>
      </c>
      <c r="U58">
        <v>871.61</v>
      </c>
    </row>
    <row r="59" spans="1:21" x14ac:dyDescent="0.25">
      <c r="A59" t="s">
        <v>61</v>
      </c>
      <c r="O59">
        <v>20.66</v>
      </c>
      <c r="P59">
        <v>19.63</v>
      </c>
      <c r="Q59">
        <v>18.59</v>
      </c>
    </row>
    <row r="60" spans="1:21" x14ac:dyDescent="0.25">
      <c r="A60" t="s">
        <v>3050</v>
      </c>
      <c r="B60">
        <v>36.51</v>
      </c>
      <c r="C60">
        <v>36.03</v>
      </c>
      <c r="D60">
        <v>37</v>
      </c>
      <c r="E60">
        <v>40.03</v>
      </c>
      <c r="F60">
        <v>43.33</v>
      </c>
      <c r="G60">
        <v>50.09</v>
      </c>
      <c r="H60">
        <v>54.4</v>
      </c>
      <c r="I60">
        <v>56.29</v>
      </c>
      <c r="J60">
        <v>59.1</v>
      </c>
      <c r="K60">
        <v>63.82</v>
      </c>
      <c r="L60">
        <v>69.540000000000006</v>
      </c>
      <c r="M60">
        <v>80.13</v>
      </c>
      <c r="N60">
        <v>84.09</v>
      </c>
      <c r="O60">
        <v>89.05</v>
      </c>
      <c r="P60">
        <v>93.64</v>
      </c>
      <c r="Q60">
        <v>101.83</v>
      </c>
      <c r="R60">
        <v>100.45</v>
      </c>
      <c r="S60">
        <v>105.46</v>
      </c>
    </row>
    <row r="61" spans="1:21" x14ac:dyDescent="0.25">
      <c r="A61" t="s">
        <v>3051</v>
      </c>
      <c r="B61">
        <v>25.49</v>
      </c>
      <c r="C61">
        <v>37.56</v>
      </c>
      <c r="D61">
        <v>53.66</v>
      </c>
      <c r="E61">
        <v>39.630000000000003</v>
      </c>
      <c r="F61">
        <v>37.159999999999997</v>
      </c>
      <c r="G61">
        <v>38.43</v>
      </c>
      <c r="H61">
        <v>43.07</v>
      </c>
      <c r="I61">
        <v>49.76</v>
      </c>
      <c r="J61">
        <v>61.35</v>
      </c>
      <c r="K61">
        <v>56.6</v>
      </c>
      <c r="L61">
        <v>67.98</v>
      </c>
      <c r="M61">
        <v>77.650000000000006</v>
      </c>
      <c r="N61">
        <v>92.79</v>
      </c>
      <c r="O61">
        <v>97.15</v>
      </c>
      <c r="P61">
        <v>102.87</v>
      </c>
      <c r="Q61">
        <v>111.18</v>
      </c>
      <c r="R61">
        <v>109.06</v>
      </c>
      <c r="S61">
        <v>113.92</v>
      </c>
      <c r="T61">
        <v>107.99</v>
      </c>
      <c r="U61">
        <v>110.8</v>
      </c>
    </row>
    <row r="62" spans="1:21" x14ac:dyDescent="0.25">
      <c r="A62" t="s">
        <v>190</v>
      </c>
      <c r="B62">
        <v>51.56</v>
      </c>
      <c r="C62">
        <v>59.02</v>
      </c>
      <c r="D62">
        <v>65.02</v>
      </c>
      <c r="E62">
        <v>76.239999999999995</v>
      </c>
      <c r="F62">
        <v>87.1</v>
      </c>
      <c r="G62">
        <v>102.15</v>
      </c>
      <c r="H62">
        <v>119.14</v>
      </c>
      <c r="I62">
        <v>134.66</v>
      </c>
      <c r="J62">
        <v>141.69999999999999</v>
      </c>
      <c r="K62">
        <v>157.19999999999999</v>
      </c>
      <c r="L62">
        <v>178.85</v>
      </c>
      <c r="M62">
        <v>210.11</v>
      </c>
      <c r="N62">
        <v>248.57</v>
      </c>
      <c r="O62">
        <v>258.98</v>
      </c>
      <c r="P62">
        <v>276.67</v>
      </c>
      <c r="Q62">
        <v>299.70999999999998</v>
      </c>
      <c r="R62">
        <v>331.76</v>
      </c>
      <c r="S62">
        <v>354.89</v>
      </c>
      <c r="T62">
        <v>438.19</v>
      </c>
      <c r="U62">
        <v>477.16</v>
      </c>
    </row>
    <row r="63" spans="1:21" x14ac:dyDescent="0.25">
      <c r="A63" t="s">
        <v>61</v>
      </c>
      <c r="B63">
        <v>4.53</v>
      </c>
      <c r="C63">
        <v>4.6399999999999997</v>
      </c>
      <c r="D63">
        <v>5.32</v>
      </c>
      <c r="E63">
        <v>6.26</v>
      </c>
      <c r="F63">
        <v>6.2</v>
      </c>
      <c r="G63">
        <v>6.18</v>
      </c>
      <c r="H63">
        <v>6.67</v>
      </c>
      <c r="I63">
        <v>7.39</v>
      </c>
      <c r="J63">
        <v>6.19</v>
      </c>
      <c r="K63">
        <v>5.63</v>
      </c>
      <c r="L63">
        <v>6.21</v>
      </c>
      <c r="M63">
        <v>6.55</v>
      </c>
      <c r="N63">
        <v>7.69</v>
      </c>
      <c r="O63">
        <v>7.4</v>
      </c>
      <c r="P63">
        <v>7.38</v>
      </c>
      <c r="Q63">
        <v>7.33</v>
      </c>
    </row>
    <row r="64" spans="1:21" x14ac:dyDescent="0.25">
      <c r="A64" t="s">
        <v>3052</v>
      </c>
      <c r="E64">
        <v>0.72</v>
      </c>
      <c r="F64">
        <v>-0.18</v>
      </c>
      <c r="G64">
        <v>0.38</v>
      </c>
      <c r="H64">
        <v>-0.4</v>
      </c>
      <c r="I64">
        <v>-2.5299999999999998</v>
      </c>
      <c r="J64">
        <v>-3.89</v>
      </c>
      <c r="K64">
        <v>0.05</v>
      </c>
      <c r="L64">
        <v>0.91</v>
      </c>
      <c r="M64">
        <v>4.4800000000000004</v>
      </c>
      <c r="N64">
        <v>-12.46</v>
      </c>
      <c r="O64">
        <v>4.5999999999999996</v>
      </c>
      <c r="P64">
        <v>9.4</v>
      </c>
      <c r="Q64">
        <v>3.67</v>
      </c>
      <c r="R64">
        <v>2</v>
      </c>
    </row>
    <row r="65" spans="1:21" x14ac:dyDescent="0.25">
      <c r="A65" t="s">
        <v>17</v>
      </c>
    </row>
    <row r="66" spans="1:21" x14ac:dyDescent="0.25">
      <c r="A66" t="s">
        <v>91</v>
      </c>
      <c r="B66">
        <v>74.42</v>
      </c>
      <c r="C66">
        <v>85.69</v>
      </c>
      <c r="D66">
        <v>89.98</v>
      </c>
      <c r="E66">
        <v>79.14</v>
      </c>
      <c r="F66">
        <v>94.55</v>
      </c>
      <c r="G66">
        <v>141.56</v>
      </c>
      <c r="H66">
        <v>152.59</v>
      </c>
      <c r="I66">
        <v>177.79</v>
      </c>
      <c r="J66">
        <v>335.14</v>
      </c>
      <c r="K66">
        <v>470.49</v>
      </c>
      <c r="L66">
        <v>460.5</v>
      </c>
      <c r="M66">
        <v>482.16</v>
      </c>
      <c r="N66">
        <v>352.2</v>
      </c>
      <c r="O66">
        <v>406.5</v>
      </c>
      <c r="P66">
        <v>507.2</v>
      </c>
      <c r="Q66">
        <v>606.71</v>
      </c>
      <c r="R66">
        <v>712.5</v>
      </c>
      <c r="S66">
        <v>777</v>
      </c>
      <c r="T66">
        <v>905</v>
      </c>
      <c r="U66">
        <v>930</v>
      </c>
    </row>
    <row r="67" spans="1:21" x14ac:dyDescent="0.25">
      <c r="A67" t="s">
        <v>17</v>
      </c>
    </row>
    <row r="68" spans="1:21" x14ac:dyDescent="0.25">
      <c r="A68" t="s">
        <v>3053</v>
      </c>
      <c r="B68">
        <v>6.27</v>
      </c>
      <c r="C68">
        <v>4.47</v>
      </c>
      <c r="D68">
        <v>4.01</v>
      </c>
      <c r="E68">
        <v>4.22</v>
      </c>
      <c r="F68">
        <v>4.96</v>
      </c>
      <c r="G68">
        <v>5.34</v>
      </c>
      <c r="H68">
        <v>5.93</v>
      </c>
      <c r="I68">
        <v>4.04</v>
      </c>
      <c r="J68">
        <v>2.37</v>
      </c>
      <c r="K68">
        <v>2.44</v>
      </c>
      <c r="L68">
        <v>-5.73</v>
      </c>
      <c r="M68">
        <v>6.15</v>
      </c>
      <c r="N68">
        <v>14.81</v>
      </c>
      <c r="O68">
        <v>2.42</v>
      </c>
      <c r="P68">
        <v>0.06</v>
      </c>
      <c r="Q68">
        <v>0.44</v>
      </c>
      <c r="R68">
        <v>-0.02</v>
      </c>
      <c r="S68">
        <v>0.28999999999999998</v>
      </c>
      <c r="T68">
        <v>-1.55</v>
      </c>
      <c r="U68">
        <v>-3.81</v>
      </c>
    </row>
    <row r="69" spans="1:21" x14ac:dyDescent="0.25">
      <c r="A69" t="s">
        <v>484</v>
      </c>
      <c r="B69">
        <v>6.49</v>
      </c>
      <c r="C69">
        <v>4.5599999999999996</v>
      </c>
      <c r="D69">
        <v>4.1100000000000003</v>
      </c>
      <c r="E69">
        <v>4.3899999999999997</v>
      </c>
      <c r="F69">
        <v>5.05</v>
      </c>
      <c r="G69">
        <v>5.42</v>
      </c>
      <c r="H69">
        <v>6.69</v>
      </c>
      <c r="I69">
        <v>5.18</v>
      </c>
      <c r="J69">
        <v>3.21</v>
      </c>
      <c r="K69">
        <v>2.61</v>
      </c>
      <c r="L69">
        <v>2.54</v>
      </c>
      <c r="M69">
        <v>8.93</v>
      </c>
      <c r="N69">
        <v>16.440000000000001</v>
      </c>
      <c r="O69">
        <v>7.2</v>
      </c>
      <c r="P69">
        <v>3.78</v>
      </c>
      <c r="Q69">
        <v>4.43</v>
      </c>
      <c r="R69">
        <v>5.59</v>
      </c>
      <c r="S69">
        <v>8.7799999999999994</v>
      </c>
      <c r="T69">
        <v>7</v>
      </c>
      <c r="U69">
        <v>7</v>
      </c>
    </row>
    <row r="70" spans="1:21" x14ac:dyDescent="0.25">
      <c r="A70" t="s">
        <v>398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6.21</v>
      </c>
      <c r="M70">
        <v>1.05</v>
      </c>
      <c r="N70">
        <v>0.15</v>
      </c>
      <c r="O70">
        <v>1.06</v>
      </c>
      <c r="P70">
        <v>1.63</v>
      </c>
      <c r="Q70">
        <v>2.2200000000000002</v>
      </c>
      <c r="R70">
        <v>5.05</v>
      </c>
      <c r="S70">
        <v>7.05</v>
      </c>
      <c r="T70">
        <v>2.31</v>
      </c>
      <c r="U70">
        <v>2.97</v>
      </c>
    </row>
    <row r="71" spans="1:21" x14ac:dyDescent="0.25">
      <c r="A71" t="s">
        <v>3054</v>
      </c>
      <c r="B71">
        <v>-0.22</v>
      </c>
      <c r="C71">
        <v>-0.1</v>
      </c>
      <c r="D71">
        <v>-0.1</v>
      </c>
      <c r="E71">
        <v>-0.18</v>
      </c>
      <c r="F71">
        <v>-0.09</v>
      </c>
      <c r="G71">
        <v>-7.0000000000000007E-2</v>
      </c>
      <c r="H71">
        <v>-0.75</v>
      </c>
      <c r="I71">
        <v>-1.1299999999999999</v>
      </c>
      <c r="J71">
        <v>-0.84</v>
      </c>
      <c r="K71">
        <v>-0.17</v>
      </c>
      <c r="L71">
        <v>-2.06</v>
      </c>
      <c r="M71">
        <v>-1.73</v>
      </c>
      <c r="N71">
        <v>-1.48</v>
      </c>
      <c r="O71">
        <v>-4.51</v>
      </c>
      <c r="P71">
        <v>-4.42</v>
      </c>
      <c r="Q71">
        <v>-1.78</v>
      </c>
      <c r="R71">
        <v>-2.4300000000000002</v>
      </c>
      <c r="S71">
        <v>-4.8</v>
      </c>
      <c r="T71">
        <v>-6.24</v>
      </c>
      <c r="U71">
        <v>-7.84</v>
      </c>
    </row>
    <row r="72" spans="1:21" x14ac:dyDescent="0.25">
      <c r="A72" t="s">
        <v>100</v>
      </c>
      <c r="B72">
        <v>68.150000000000006</v>
      </c>
      <c r="C72">
        <v>81.23</v>
      </c>
      <c r="D72">
        <v>85.96</v>
      </c>
      <c r="E72">
        <v>74.92</v>
      </c>
      <c r="F72">
        <v>89.6</v>
      </c>
      <c r="G72">
        <v>136.21</v>
      </c>
      <c r="H72">
        <v>146.65</v>
      </c>
      <c r="I72">
        <v>176.28</v>
      </c>
      <c r="J72">
        <v>332.77</v>
      </c>
      <c r="K72">
        <v>468.05</v>
      </c>
      <c r="L72">
        <v>466.23</v>
      </c>
      <c r="M72">
        <v>476.01</v>
      </c>
      <c r="N72">
        <v>337.39</v>
      </c>
      <c r="O72">
        <v>403.32</v>
      </c>
      <c r="P72">
        <v>505.37</v>
      </c>
      <c r="Q72">
        <v>606.83000000000004</v>
      </c>
      <c r="R72">
        <v>730.33</v>
      </c>
      <c r="S72">
        <v>805.5</v>
      </c>
      <c r="T72">
        <v>907</v>
      </c>
      <c r="U72">
        <v>934</v>
      </c>
    </row>
    <row r="73" spans="1:21" x14ac:dyDescent="0.25">
      <c r="A73" t="s">
        <v>83</v>
      </c>
      <c r="B73">
        <v>5.98</v>
      </c>
      <c r="C73">
        <v>6.38</v>
      </c>
      <c r="D73">
        <v>7.04</v>
      </c>
      <c r="E73">
        <v>6.15</v>
      </c>
      <c r="F73">
        <v>6.39</v>
      </c>
      <c r="G73">
        <v>8.2100000000000009</v>
      </c>
      <c r="H73">
        <v>8.2100000000000009</v>
      </c>
      <c r="I73">
        <v>9.67</v>
      </c>
      <c r="J73">
        <v>14.54</v>
      </c>
      <c r="K73">
        <v>16.760000000000002</v>
      </c>
      <c r="L73">
        <v>16.18</v>
      </c>
      <c r="M73">
        <v>14.83</v>
      </c>
      <c r="N73">
        <v>10.43</v>
      </c>
      <c r="O73">
        <v>11.26</v>
      </c>
      <c r="P73">
        <v>13.36</v>
      </c>
      <c r="Q73">
        <v>14.95</v>
      </c>
      <c r="R73">
        <v>16.77</v>
      </c>
      <c r="S73">
        <v>18.27</v>
      </c>
      <c r="T73">
        <v>17.98</v>
      </c>
      <c r="U73">
        <v>17.7</v>
      </c>
    </row>
    <row r="74" spans="1:21" x14ac:dyDescent="0.25">
      <c r="A74" t="s">
        <v>17</v>
      </c>
    </row>
    <row r="75" spans="1:21" x14ac:dyDescent="0.25">
      <c r="A75" t="s">
        <v>101</v>
      </c>
      <c r="B75">
        <v>24.52</v>
      </c>
      <c r="C75">
        <v>29.24</v>
      </c>
      <c r="D75">
        <v>30.95</v>
      </c>
      <c r="E75">
        <v>26.9</v>
      </c>
      <c r="F75">
        <v>-1.38</v>
      </c>
      <c r="G75">
        <v>30.85</v>
      </c>
      <c r="H75">
        <v>32.93</v>
      </c>
      <c r="I75">
        <v>37.94</v>
      </c>
      <c r="J75">
        <v>79.540000000000006</v>
      </c>
      <c r="K75">
        <v>110.63</v>
      </c>
      <c r="L75">
        <v>111.37</v>
      </c>
      <c r="M75">
        <v>113.94</v>
      </c>
      <c r="N75">
        <v>82.35</v>
      </c>
      <c r="O75">
        <v>98.6</v>
      </c>
      <c r="P75">
        <v>123.09</v>
      </c>
      <c r="Q75">
        <v>149.44999999999999</v>
      </c>
      <c r="R75">
        <v>172.33</v>
      </c>
      <c r="S75">
        <v>187.84</v>
      </c>
      <c r="T75">
        <v>217.66</v>
      </c>
      <c r="U75">
        <v>224.24</v>
      </c>
    </row>
    <row r="76" spans="1:21" x14ac:dyDescent="0.25">
      <c r="A76" t="s">
        <v>278</v>
      </c>
      <c r="B76">
        <v>35.979999999999997</v>
      </c>
      <c r="C76">
        <v>35.99</v>
      </c>
      <c r="D76">
        <v>36</v>
      </c>
      <c r="E76">
        <v>35.9</v>
      </c>
      <c r="G76">
        <v>22.71</v>
      </c>
      <c r="H76">
        <v>22.46</v>
      </c>
      <c r="I76">
        <v>21.52</v>
      </c>
      <c r="J76">
        <v>23.9</v>
      </c>
      <c r="K76">
        <v>23.64</v>
      </c>
      <c r="L76">
        <v>23.89</v>
      </c>
      <c r="M76">
        <v>23.94</v>
      </c>
      <c r="N76">
        <v>24.41</v>
      </c>
      <c r="O76">
        <v>24.39</v>
      </c>
      <c r="P76">
        <v>24.3</v>
      </c>
      <c r="Q76">
        <v>24.37</v>
      </c>
      <c r="R76">
        <v>24.33</v>
      </c>
      <c r="S76">
        <v>24.25</v>
      </c>
      <c r="T76">
        <v>24.01</v>
      </c>
      <c r="U76">
        <v>24.01</v>
      </c>
    </row>
    <row r="77" spans="1:21" x14ac:dyDescent="0.25">
      <c r="A77" t="s">
        <v>17</v>
      </c>
    </row>
    <row r="78" spans="1:21" x14ac:dyDescent="0.25">
      <c r="A78" t="s">
        <v>106</v>
      </c>
      <c r="B78">
        <v>43.63</v>
      </c>
      <c r="C78">
        <v>51.99</v>
      </c>
      <c r="D78">
        <v>55.02</v>
      </c>
      <c r="E78">
        <v>48.02</v>
      </c>
      <c r="F78">
        <v>91.16</v>
      </c>
      <c r="G78">
        <v>104.98</v>
      </c>
      <c r="H78">
        <v>113.72</v>
      </c>
      <c r="I78">
        <v>138.34</v>
      </c>
      <c r="J78">
        <v>253.24</v>
      </c>
      <c r="K78">
        <v>357.42</v>
      </c>
      <c r="L78">
        <v>354.86</v>
      </c>
      <c r="M78">
        <v>362.07</v>
      </c>
      <c r="N78">
        <v>255.04</v>
      </c>
      <c r="O78">
        <v>306.25</v>
      </c>
      <c r="P78">
        <v>384.13</v>
      </c>
      <c r="Q78">
        <v>456.1</v>
      </c>
      <c r="R78">
        <v>537.5</v>
      </c>
      <c r="S78">
        <v>586.66999999999996</v>
      </c>
      <c r="T78">
        <v>689</v>
      </c>
      <c r="U78">
        <v>710</v>
      </c>
    </row>
    <row r="79" spans="1:21" x14ac:dyDescent="0.25">
      <c r="A79" t="s">
        <v>280</v>
      </c>
      <c r="B79">
        <v>3.83</v>
      </c>
      <c r="C79">
        <v>4.09</v>
      </c>
      <c r="D79">
        <v>4.5</v>
      </c>
      <c r="E79">
        <v>3.94</v>
      </c>
      <c r="F79">
        <v>6.49</v>
      </c>
      <c r="G79">
        <v>6.35</v>
      </c>
      <c r="H79">
        <v>6.36</v>
      </c>
      <c r="I79">
        <v>7.59</v>
      </c>
      <c r="J79">
        <v>11.06</v>
      </c>
      <c r="K79">
        <v>12.8</v>
      </c>
      <c r="L79">
        <v>12.32</v>
      </c>
      <c r="M79">
        <v>11.28</v>
      </c>
      <c r="N79">
        <v>7.89</v>
      </c>
      <c r="O79">
        <v>8.5</v>
      </c>
      <c r="P79">
        <v>9.93</v>
      </c>
      <c r="Q79">
        <v>10.75</v>
      </c>
      <c r="R79">
        <v>11.54</v>
      </c>
      <c r="S79">
        <v>11.9</v>
      </c>
      <c r="T79">
        <v>13.67</v>
      </c>
      <c r="U79">
        <v>13.46</v>
      </c>
    </row>
    <row r="80" spans="1:21" x14ac:dyDescent="0.25">
      <c r="A80" t="s">
        <v>17</v>
      </c>
    </row>
    <row r="81" spans="1:21" x14ac:dyDescent="0.25">
      <c r="A81" t="s">
        <v>108</v>
      </c>
      <c r="B81">
        <v>24.15</v>
      </c>
      <c r="C81">
        <v>24.51</v>
      </c>
      <c r="D81">
        <v>24.92</v>
      </c>
      <c r="E81">
        <v>25.04</v>
      </c>
      <c r="F81">
        <v>25.52</v>
      </c>
      <c r="G81">
        <v>25.76</v>
      </c>
      <c r="H81">
        <v>25.95</v>
      </c>
      <c r="I81">
        <v>26.14</v>
      </c>
      <c r="J81">
        <v>26.32</v>
      </c>
      <c r="K81">
        <v>26.52</v>
      </c>
      <c r="L81">
        <v>26.63</v>
      </c>
      <c r="M81">
        <v>26.69</v>
      </c>
      <c r="N81">
        <v>26.74</v>
      </c>
      <c r="O81">
        <v>26.79</v>
      </c>
      <c r="P81">
        <v>26.78</v>
      </c>
      <c r="Q81">
        <v>26.65</v>
      </c>
      <c r="R81">
        <v>26.27</v>
      </c>
      <c r="S81">
        <v>26.76</v>
      </c>
      <c r="T81">
        <v>26.75</v>
      </c>
      <c r="U81">
        <v>26.75</v>
      </c>
    </row>
    <row r="82" spans="1:21" x14ac:dyDescent="0.25">
      <c r="A82" t="s">
        <v>888</v>
      </c>
      <c r="B82">
        <v>1.81</v>
      </c>
      <c r="C82">
        <v>2.12</v>
      </c>
      <c r="D82">
        <v>2.21</v>
      </c>
      <c r="E82">
        <v>1.92</v>
      </c>
      <c r="F82">
        <v>3.57</v>
      </c>
      <c r="G82">
        <v>4.08</v>
      </c>
      <c r="H82">
        <v>4.38</v>
      </c>
      <c r="I82">
        <v>5.29</v>
      </c>
      <c r="J82">
        <v>9.6199999999999992</v>
      </c>
      <c r="K82">
        <v>13.48</v>
      </c>
      <c r="L82">
        <v>13.32</v>
      </c>
      <c r="M82">
        <v>13.57</v>
      </c>
      <c r="N82">
        <v>9.5399999999999991</v>
      </c>
      <c r="O82">
        <v>10.38</v>
      </c>
      <c r="P82">
        <v>13.99</v>
      </c>
      <c r="Q82">
        <v>16.2</v>
      </c>
      <c r="R82">
        <v>18.43</v>
      </c>
      <c r="S82">
        <v>20.63</v>
      </c>
    </row>
    <row r="83" spans="1:21" x14ac:dyDescent="0.25">
      <c r="A83" t="s">
        <v>17</v>
      </c>
    </row>
    <row r="84" spans="1:21" x14ac:dyDescent="0.25">
      <c r="A84" t="s">
        <v>109</v>
      </c>
      <c r="B84">
        <v>25.21</v>
      </c>
      <c r="C84">
        <v>25.46</v>
      </c>
      <c r="D84">
        <v>25.47</v>
      </c>
      <c r="E84">
        <v>25.68</v>
      </c>
      <c r="F84">
        <v>26.09</v>
      </c>
      <c r="G84">
        <v>26.29</v>
      </c>
      <c r="H84">
        <v>26.44</v>
      </c>
      <c r="I84">
        <v>26.59</v>
      </c>
      <c r="J84">
        <v>26.71</v>
      </c>
      <c r="K84">
        <v>26.67</v>
      </c>
      <c r="L84">
        <v>26.76</v>
      </c>
      <c r="M84">
        <v>26.8</v>
      </c>
      <c r="N84">
        <v>26.79</v>
      </c>
      <c r="O84">
        <v>26.84</v>
      </c>
      <c r="P84">
        <v>26.79</v>
      </c>
      <c r="Q84">
        <v>26.7</v>
      </c>
      <c r="R84">
        <v>26.56</v>
      </c>
      <c r="S84">
        <v>26.54</v>
      </c>
      <c r="T84">
        <v>26.79</v>
      </c>
      <c r="U84">
        <v>26.79</v>
      </c>
    </row>
    <row r="85" spans="1:21" x14ac:dyDescent="0.25">
      <c r="A85" t="s">
        <v>110</v>
      </c>
      <c r="B85">
        <v>1.73</v>
      </c>
      <c r="C85">
        <v>2.04</v>
      </c>
      <c r="D85">
        <v>2.16</v>
      </c>
      <c r="E85">
        <v>1.87</v>
      </c>
      <c r="F85">
        <v>3.49</v>
      </c>
      <c r="G85">
        <v>3.99</v>
      </c>
      <c r="H85">
        <v>4.3</v>
      </c>
      <c r="I85">
        <v>5.2</v>
      </c>
      <c r="J85">
        <v>9.48</v>
      </c>
      <c r="K85">
        <v>13.4</v>
      </c>
      <c r="L85">
        <v>13.26</v>
      </c>
      <c r="M85">
        <v>13.51</v>
      </c>
      <c r="N85">
        <v>9.52</v>
      </c>
      <c r="O85">
        <v>11.38</v>
      </c>
      <c r="P85">
        <v>14.28</v>
      </c>
      <c r="Q85">
        <v>17.059999999999999</v>
      </c>
      <c r="R85">
        <v>20.329999999999998</v>
      </c>
      <c r="S85">
        <v>21.99</v>
      </c>
      <c r="T85">
        <v>25.72</v>
      </c>
      <c r="U85">
        <v>26.49</v>
      </c>
    </row>
    <row r="86" spans="1:21" x14ac:dyDescent="0.25">
      <c r="A86" t="s">
        <v>17</v>
      </c>
    </row>
    <row r="87" spans="1:21" x14ac:dyDescent="0.25">
      <c r="A87" t="s">
        <v>111</v>
      </c>
    </row>
    <row r="88" spans="1:21" x14ac:dyDescent="0.25">
      <c r="A88" t="s">
        <v>116</v>
      </c>
      <c r="B88">
        <v>74.42</v>
      </c>
      <c r="C88">
        <v>85.69</v>
      </c>
      <c r="D88">
        <v>89.98</v>
      </c>
      <c r="E88">
        <v>79.14</v>
      </c>
      <c r="F88">
        <v>94.55</v>
      </c>
      <c r="G88">
        <v>141.56</v>
      </c>
      <c r="H88">
        <v>152.59</v>
      </c>
      <c r="I88">
        <v>177.79</v>
      </c>
      <c r="J88">
        <v>335.14</v>
      </c>
      <c r="K88">
        <v>470.49</v>
      </c>
      <c r="L88">
        <v>460.5</v>
      </c>
      <c r="M88">
        <v>482.16</v>
      </c>
      <c r="N88">
        <v>352.2</v>
      </c>
      <c r="O88">
        <v>406.5</v>
      </c>
      <c r="P88">
        <v>507.2</v>
      </c>
      <c r="Q88">
        <v>606.71</v>
      </c>
      <c r="R88">
        <v>712.5</v>
      </c>
      <c r="S88">
        <v>777</v>
      </c>
      <c r="T88">
        <v>905</v>
      </c>
      <c r="U88">
        <v>930</v>
      </c>
    </row>
    <row r="89" spans="1:21" x14ac:dyDescent="0.25">
      <c r="A89" t="s">
        <v>269</v>
      </c>
      <c r="B89">
        <v>6.53</v>
      </c>
      <c r="C89">
        <v>6.74</v>
      </c>
      <c r="D89">
        <v>7.37</v>
      </c>
      <c r="E89">
        <v>6.49</v>
      </c>
      <c r="F89">
        <v>6.74</v>
      </c>
      <c r="G89">
        <v>8.5399999999999991</v>
      </c>
      <c r="H89">
        <v>8.5399999999999991</v>
      </c>
      <c r="I89">
        <v>9.89</v>
      </c>
      <c r="J89">
        <v>14.64</v>
      </c>
      <c r="K89">
        <v>16.850000000000001</v>
      </c>
      <c r="L89">
        <v>15.98</v>
      </c>
      <c r="M89">
        <v>15.02</v>
      </c>
      <c r="N89">
        <v>10.89</v>
      </c>
      <c r="O89">
        <v>11.32</v>
      </c>
      <c r="P89">
        <v>13.11</v>
      </c>
      <c r="Q89">
        <v>14.22</v>
      </c>
      <c r="R89">
        <v>15.37</v>
      </c>
      <c r="S89">
        <v>15.8</v>
      </c>
    </row>
    <row r="90" spans="1:21" x14ac:dyDescent="0.25">
      <c r="A90" t="s">
        <v>3055</v>
      </c>
      <c r="B90">
        <v>38.81</v>
      </c>
      <c r="C90">
        <v>8.4600000000000009</v>
      </c>
      <c r="E90">
        <v>-383</v>
      </c>
      <c r="F90">
        <v>8.36</v>
      </c>
      <c r="G90">
        <v>18.649999999999999</v>
      </c>
      <c r="H90">
        <v>8.59</v>
      </c>
      <c r="I90">
        <v>77.84</v>
      </c>
      <c r="J90">
        <v>33.200000000000003</v>
      </c>
      <c r="K90">
        <v>26.89</v>
      </c>
      <c r="M90">
        <v>6.61</v>
      </c>
      <c r="O90">
        <v>18.18</v>
      </c>
      <c r="P90">
        <v>36.06</v>
      </c>
      <c r="Q90">
        <v>27.32</v>
      </c>
      <c r="R90">
        <v>28.6</v>
      </c>
      <c r="S90">
        <v>25.47</v>
      </c>
    </row>
    <row r="91" spans="1:21" x14ac:dyDescent="0.25">
      <c r="A91" t="s">
        <v>117</v>
      </c>
      <c r="B91">
        <v>125.98</v>
      </c>
      <c r="C91">
        <v>144.72</v>
      </c>
      <c r="D91">
        <v>155</v>
      </c>
      <c r="E91">
        <v>155.38</v>
      </c>
      <c r="F91">
        <v>181.66</v>
      </c>
      <c r="G91">
        <v>243.71</v>
      </c>
      <c r="H91">
        <v>271.32</v>
      </c>
      <c r="I91">
        <v>312.45</v>
      </c>
      <c r="J91">
        <v>476.84</v>
      </c>
      <c r="K91">
        <v>627.74</v>
      </c>
      <c r="L91">
        <v>639.34</v>
      </c>
      <c r="M91">
        <v>692.27</v>
      </c>
      <c r="N91">
        <v>600.77</v>
      </c>
      <c r="O91">
        <v>664.84</v>
      </c>
      <c r="P91">
        <v>779.05</v>
      </c>
      <c r="Q91">
        <v>891.4</v>
      </c>
      <c r="R91">
        <v>990</v>
      </c>
      <c r="S91" s="2">
        <v>1057</v>
      </c>
    </row>
    <row r="92" spans="1:21" x14ac:dyDescent="0.25">
      <c r="A92" t="s">
        <v>286</v>
      </c>
      <c r="B92">
        <v>11.06</v>
      </c>
      <c r="C92">
        <v>11.37</v>
      </c>
      <c r="D92">
        <v>12.69</v>
      </c>
      <c r="E92">
        <v>12.75</v>
      </c>
      <c r="F92">
        <v>12.94</v>
      </c>
      <c r="G92">
        <v>14.71</v>
      </c>
      <c r="H92">
        <v>15.21</v>
      </c>
      <c r="I92">
        <v>17.28</v>
      </c>
      <c r="J92">
        <v>20.83</v>
      </c>
      <c r="K92">
        <v>22.48</v>
      </c>
      <c r="L92">
        <v>22.19</v>
      </c>
      <c r="M92">
        <v>21.57</v>
      </c>
      <c r="N92">
        <v>18.579999999999998</v>
      </c>
      <c r="O92">
        <v>18.47</v>
      </c>
      <c r="P92">
        <v>20.14</v>
      </c>
      <c r="Q92">
        <v>21.15</v>
      </c>
      <c r="R92">
        <v>22.23</v>
      </c>
      <c r="S92">
        <v>22.61</v>
      </c>
    </row>
    <row r="93" spans="1:21" x14ac:dyDescent="0.25">
      <c r="A93" t="s">
        <v>121</v>
      </c>
      <c r="B93">
        <v>42.63</v>
      </c>
      <c r="C93">
        <v>50.97</v>
      </c>
      <c r="D93">
        <v>55.02</v>
      </c>
      <c r="E93">
        <v>48.02</v>
      </c>
      <c r="F93">
        <v>57.13</v>
      </c>
      <c r="G93">
        <v>105.28</v>
      </c>
      <c r="H93">
        <v>113.72</v>
      </c>
      <c r="I93">
        <v>138.34</v>
      </c>
      <c r="J93">
        <v>253.24</v>
      </c>
      <c r="K93">
        <v>357.42</v>
      </c>
      <c r="L93">
        <v>354.86</v>
      </c>
      <c r="M93">
        <v>362.07</v>
      </c>
      <c r="N93">
        <v>255.04</v>
      </c>
      <c r="O93">
        <v>305.05</v>
      </c>
      <c r="P93">
        <v>382.2</v>
      </c>
      <c r="Q93">
        <v>457.69</v>
      </c>
      <c r="R93">
        <v>537.5</v>
      </c>
      <c r="S93">
        <v>586.66999999999996</v>
      </c>
      <c r="T93">
        <v>689</v>
      </c>
      <c r="U93">
        <v>710</v>
      </c>
    </row>
    <row r="94" spans="1:21" x14ac:dyDescent="0.25">
      <c r="A94" t="s">
        <v>124</v>
      </c>
      <c r="B94">
        <v>1.69</v>
      </c>
      <c r="C94">
        <v>2</v>
      </c>
      <c r="D94">
        <v>2.16</v>
      </c>
      <c r="E94">
        <v>1.87</v>
      </c>
      <c r="F94">
        <v>2.19</v>
      </c>
      <c r="G94">
        <v>4</v>
      </c>
      <c r="H94">
        <v>4.3</v>
      </c>
      <c r="I94">
        <v>5.2</v>
      </c>
      <c r="J94">
        <v>9.48</v>
      </c>
      <c r="K94">
        <v>13.4</v>
      </c>
      <c r="L94">
        <v>13.26</v>
      </c>
      <c r="M94">
        <v>13.51</v>
      </c>
      <c r="N94">
        <v>9.52</v>
      </c>
      <c r="O94">
        <v>11.37</v>
      </c>
      <c r="P94">
        <v>14.29</v>
      </c>
      <c r="Q94">
        <v>17.16</v>
      </c>
      <c r="R94">
        <v>20.329999999999998</v>
      </c>
      <c r="S94">
        <v>21.99</v>
      </c>
      <c r="T94">
        <v>25.72</v>
      </c>
      <c r="U94">
        <v>26.49</v>
      </c>
    </row>
    <row r="95" spans="1:21" x14ac:dyDescent="0.25">
      <c r="A95" t="s">
        <v>17</v>
      </c>
    </row>
    <row r="96" spans="1:21" x14ac:dyDescent="0.25">
      <c r="A96" t="s">
        <v>651</v>
      </c>
    </row>
    <row r="97" spans="1:21" x14ac:dyDescent="0.25">
      <c r="A97" t="s">
        <v>67</v>
      </c>
      <c r="B97">
        <v>2.9</v>
      </c>
      <c r="C97">
        <v>4.17</v>
      </c>
      <c r="D97">
        <v>3.88</v>
      </c>
      <c r="E97">
        <v>4.5999999999999996</v>
      </c>
      <c r="F97">
        <v>5.08</v>
      </c>
      <c r="G97">
        <v>5.62</v>
      </c>
      <c r="H97">
        <v>6.19</v>
      </c>
      <c r="I97">
        <v>7.54</v>
      </c>
      <c r="J97">
        <v>8.6999999999999993</v>
      </c>
      <c r="K97">
        <v>8.83</v>
      </c>
      <c r="L97">
        <v>11.64</v>
      </c>
      <c r="M97">
        <v>14.24</v>
      </c>
      <c r="N97">
        <v>17.399999999999999</v>
      </c>
      <c r="O97">
        <v>16.38</v>
      </c>
      <c r="P97">
        <v>17.02</v>
      </c>
      <c r="Q97">
        <v>16.579999999999998</v>
      </c>
    </row>
    <row r="98" spans="1:21" x14ac:dyDescent="0.25">
      <c r="A98" t="s">
        <v>3056</v>
      </c>
      <c r="B98">
        <v>5</v>
      </c>
      <c r="C98">
        <v>5.68</v>
      </c>
      <c r="D98">
        <v>6.09</v>
      </c>
      <c r="E98">
        <v>6.05</v>
      </c>
      <c r="F98">
        <v>6.97</v>
      </c>
      <c r="G98">
        <v>9.26</v>
      </c>
      <c r="H98">
        <v>10.28</v>
      </c>
      <c r="I98">
        <v>11.84</v>
      </c>
      <c r="J98">
        <v>17.850000000000001</v>
      </c>
      <c r="K98">
        <v>23.53</v>
      </c>
      <c r="L98">
        <v>23.89</v>
      </c>
      <c r="M98">
        <v>25.83</v>
      </c>
      <c r="N98">
        <v>22.43</v>
      </c>
      <c r="O98">
        <v>25.7</v>
      </c>
      <c r="P98">
        <v>28.43</v>
      </c>
      <c r="Q98">
        <v>31.98</v>
      </c>
    </row>
    <row r="99" spans="1:21" x14ac:dyDescent="0.25">
      <c r="A99" t="s">
        <v>17</v>
      </c>
    </row>
    <row r="100" spans="1:21" x14ac:dyDescent="0.25">
      <c r="A100" t="s">
        <v>134</v>
      </c>
    </row>
    <row r="101" spans="1:21" x14ac:dyDescent="0.25">
      <c r="A101" t="s">
        <v>135</v>
      </c>
    </row>
    <row r="102" spans="1:21" x14ac:dyDescent="0.25">
      <c r="A102" t="s">
        <v>136</v>
      </c>
      <c r="B102">
        <v>170.25</v>
      </c>
      <c r="C102">
        <v>170.18</v>
      </c>
      <c r="D102">
        <v>158.99</v>
      </c>
      <c r="E102">
        <v>166.48</v>
      </c>
      <c r="F102">
        <v>203.25</v>
      </c>
      <c r="G102">
        <v>213.37</v>
      </c>
      <c r="H102">
        <v>232.38</v>
      </c>
      <c r="I102">
        <v>271.7</v>
      </c>
      <c r="J102">
        <v>416.26</v>
      </c>
      <c r="K102">
        <v>530.89</v>
      </c>
      <c r="L102">
        <v>648.69000000000005</v>
      </c>
      <c r="M102">
        <v>435.77</v>
      </c>
      <c r="N102">
        <v>434.56</v>
      </c>
      <c r="O102">
        <v>618.29999999999995</v>
      </c>
      <c r="P102">
        <v>828.78</v>
      </c>
      <c r="Q102" s="2">
        <v>1012.72</v>
      </c>
      <c r="R102" s="2">
        <v>1207.4100000000001</v>
      </c>
      <c r="S102" s="2">
        <v>1822.74</v>
      </c>
      <c r="T102" s="2">
        <v>2728.23</v>
      </c>
      <c r="U102" s="2">
        <v>3293.46</v>
      </c>
    </row>
    <row r="103" spans="1:21" x14ac:dyDescent="0.25">
      <c r="A103" t="s">
        <v>536</v>
      </c>
      <c r="B103">
        <v>0.16</v>
      </c>
      <c r="C103">
        <v>4.37</v>
      </c>
      <c r="D103">
        <v>0.12</v>
      </c>
      <c r="E103">
        <v>1.54</v>
      </c>
      <c r="F103">
        <v>4.72</v>
      </c>
      <c r="G103">
        <v>2.19</v>
      </c>
      <c r="H103">
        <v>0.25</v>
      </c>
      <c r="I103">
        <v>25.31</v>
      </c>
      <c r="J103">
        <v>106.59</v>
      </c>
      <c r="K103">
        <v>187.39</v>
      </c>
      <c r="L103">
        <v>296.22000000000003</v>
      </c>
      <c r="M103">
        <v>19.47</v>
      </c>
      <c r="N103">
        <v>19.72</v>
      </c>
      <c r="O103">
        <v>160.75</v>
      </c>
      <c r="P103">
        <v>357.64</v>
      </c>
      <c r="Q103">
        <v>501.49</v>
      </c>
      <c r="R103">
        <v>670.32</v>
      </c>
      <c r="S103" s="2">
        <v>1187.19</v>
      </c>
      <c r="T103" s="2">
        <v>2068.96</v>
      </c>
      <c r="U103" s="2">
        <v>2603.62</v>
      </c>
    </row>
    <row r="104" spans="1:21" x14ac:dyDescent="0.25">
      <c r="A104" t="s">
        <v>141</v>
      </c>
      <c r="B104">
        <v>117.94</v>
      </c>
      <c r="C104">
        <v>128.37</v>
      </c>
      <c r="D104">
        <v>124.22</v>
      </c>
      <c r="E104">
        <v>135.08000000000001</v>
      </c>
      <c r="F104">
        <v>170.28</v>
      </c>
      <c r="G104">
        <v>181.61</v>
      </c>
      <c r="H104">
        <v>196.12</v>
      </c>
      <c r="I104">
        <v>216.9</v>
      </c>
      <c r="J104">
        <v>276.76</v>
      </c>
      <c r="K104">
        <v>290.31</v>
      </c>
      <c r="L104">
        <v>311.74</v>
      </c>
      <c r="M104">
        <v>322.99</v>
      </c>
      <c r="N104">
        <v>332.21</v>
      </c>
      <c r="O104">
        <v>381.26</v>
      </c>
      <c r="P104">
        <v>406.95</v>
      </c>
      <c r="Q104">
        <v>440.26</v>
      </c>
      <c r="R104">
        <v>482.75</v>
      </c>
      <c r="S104">
        <v>506.77</v>
      </c>
    </row>
    <row r="105" spans="1:21" x14ac:dyDescent="0.25">
      <c r="A105" t="s">
        <v>203</v>
      </c>
      <c r="B105">
        <v>13.16</v>
      </c>
      <c r="C105">
        <v>13.69</v>
      </c>
      <c r="D105">
        <v>14.2</v>
      </c>
      <c r="E105">
        <v>17.37</v>
      </c>
      <c r="F105">
        <v>17.54</v>
      </c>
      <c r="G105">
        <v>20.62</v>
      </c>
      <c r="H105">
        <v>18.54</v>
      </c>
      <c r="I105">
        <v>19.510000000000002</v>
      </c>
      <c r="J105">
        <v>20.329999999999998</v>
      </c>
      <c r="K105">
        <v>22.53</v>
      </c>
      <c r="L105">
        <v>32.65</v>
      </c>
      <c r="M105">
        <v>35.5</v>
      </c>
      <c r="N105">
        <v>35.81</v>
      </c>
      <c r="O105">
        <v>52.45</v>
      </c>
      <c r="P105">
        <v>59.83</v>
      </c>
      <c r="Q105">
        <v>67.069999999999993</v>
      </c>
    </row>
    <row r="106" spans="1:21" x14ac:dyDescent="0.25">
      <c r="A106" t="s">
        <v>3057</v>
      </c>
      <c r="B106">
        <v>13.5</v>
      </c>
      <c r="C106">
        <v>18.34</v>
      </c>
      <c r="D106">
        <v>15.75</v>
      </c>
      <c r="E106">
        <v>6.99</v>
      </c>
      <c r="F106">
        <v>3.66</v>
      </c>
      <c r="G106">
        <v>1.83</v>
      </c>
      <c r="H106">
        <v>8.2899999999999991</v>
      </c>
      <c r="I106">
        <v>0.1</v>
      </c>
      <c r="J106">
        <v>0</v>
      </c>
      <c r="K106">
        <v>23.44</v>
      </c>
      <c r="L106">
        <v>1.01</v>
      </c>
      <c r="M106">
        <v>44.11</v>
      </c>
      <c r="N106">
        <v>32.549999999999997</v>
      </c>
      <c r="O106">
        <v>19.260000000000002</v>
      </c>
      <c r="P106">
        <v>19.260000000000002</v>
      </c>
      <c r="Q106">
        <v>12.61</v>
      </c>
      <c r="R106">
        <v>12.61</v>
      </c>
    </row>
    <row r="107" spans="1:21" x14ac:dyDescent="0.25">
      <c r="A107" t="s">
        <v>3058</v>
      </c>
      <c r="B107">
        <v>52.16</v>
      </c>
      <c r="C107">
        <v>37.44</v>
      </c>
      <c r="D107">
        <v>34.64</v>
      </c>
      <c r="E107">
        <v>29.86</v>
      </c>
      <c r="F107">
        <v>28.25</v>
      </c>
      <c r="G107">
        <v>29.57</v>
      </c>
      <c r="H107">
        <v>36.01</v>
      </c>
      <c r="I107">
        <v>29.49</v>
      </c>
      <c r="J107">
        <v>32.909999999999997</v>
      </c>
      <c r="K107">
        <v>53.19</v>
      </c>
      <c r="L107">
        <v>40.74</v>
      </c>
      <c r="M107">
        <v>93.31</v>
      </c>
      <c r="N107">
        <v>82.63</v>
      </c>
      <c r="O107">
        <v>76.78</v>
      </c>
      <c r="P107">
        <v>81.06</v>
      </c>
      <c r="Q107">
        <v>86.18</v>
      </c>
      <c r="R107">
        <v>67.77</v>
      </c>
      <c r="S107">
        <v>72.31</v>
      </c>
    </row>
    <row r="108" spans="1:21" x14ac:dyDescent="0.25">
      <c r="A108" t="s">
        <v>514</v>
      </c>
      <c r="B108">
        <v>14.32</v>
      </c>
      <c r="C108">
        <v>13.17</v>
      </c>
      <c r="D108">
        <v>31.03</v>
      </c>
      <c r="E108">
        <v>29.77</v>
      </c>
      <c r="F108">
        <v>28.29</v>
      </c>
      <c r="G108">
        <v>27.31</v>
      </c>
      <c r="H108">
        <v>26.83</v>
      </c>
      <c r="I108">
        <v>27.34</v>
      </c>
      <c r="J108">
        <v>40.76</v>
      </c>
      <c r="K108">
        <v>40.75</v>
      </c>
      <c r="L108">
        <v>52.83</v>
      </c>
      <c r="M108">
        <v>47.33</v>
      </c>
      <c r="N108">
        <v>53.47</v>
      </c>
      <c r="O108">
        <v>54.21</v>
      </c>
      <c r="P108">
        <v>54.21</v>
      </c>
      <c r="Q108">
        <v>54.21</v>
      </c>
    </row>
    <row r="109" spans="1:21" x14ac:dyDescent="0.25">
      <c r="A109" t="s">
        <v>78</v>
      </c>
      <c r="B109">
        <v>5.08</v>
      </c>
      <c r="C109">
        <v>5.42</v>
      </c>
      <c r="D109">
        <v>4.7</v>
      </c>
      <c r="E109">
        <v>5.5</v>
      </c>
      <c r="F109">
        <v>7.05</v>
      </c>
      <c r="G109">
        <v>7.12</v>
      </c>
      <c r="H109">
        <v>9.18</v>
      </c>
      <c r="I109">
        <v>9.89</v>
      </c>
      <c r="J109">
        <v>12.58</v>
      </c>
      <c r="K109">
        <v>7.23</v>
      </c>
      <c r="L109">
        <v>7.08</v>
      </c>
      <c r="M109">
        <v>13.7</v>
      </c>
      <c r="N109">
        <v>14.27</v>
      </c>
      <c r="O109">
        <v>14.7</v>
      </c>
      <c r="P109">
        <v>15.14</v>
      </c>
    </row>
    <row r="110" spans="1:21" x14ac:dyDescent="0.25">
      <c r="A110" t="s">
        <v>146</v>
      </c>
    </row>
    <row r="111" spans="1:21" x14ac:dyDescent="0.25">
      <c r="A111" t="s">
        <v>3059</v>
      </c>
      <c r="B111">
        <v>432.23</v>
      </c>
      <c r="C111">
        <v>483.64</v>
      </c>
      <c r="D111">
        <v>539.17999999999995</v>
      </c>
      <c r="E111">
        <v>604.12</v>
      </c>
      <c r="F111">
        <v>735.78</v>
      </c>
      <c r="G111">
        <v>893.06</v>
      </c>
      <c r="H111" s="2">
        <v>1052.5999999999999</v>
      </c>
      <c r="I111" s="2">
        <v>1136.03</v>
      </c>
      <c r="J111" s="2">
        <v>1280.45</v>
      </c>
      <c r="K111" s="2">
        <v>1482.62</v>
      </c>
      <c r="L111" s="2">
        <v>1763.31</v>
      </c>
      <c r="M111" s="2">
        <v>2556.94</v>
      </c>
      <c r="N111" s="2">
        <v>2844.35</v>
      </c>
      <c r="O111" s="2">
        <v>2949.87</v>
      </c>
      <c r="P111" s="2">
        <v>3102.09</v>
      </c>
      <c r="Q111" s="2">
        <v>3320.27</v>
      </c>
      <c r="R111" s="2">
        <v>3659.96</v>
      </c>
      <c r="S111" s="2">
        <v>3908.07</v>
      </c>
      <c r="T111" s="2">
        <v>3968.17</v>
      </c>
      <c r="U111" s="2">
        <v>4132.1400000000003</v>
      </c>
    </row>
    <row r="112" spans="1:21" x14ac:dyDescent="0.25">
      <c r="A112" t="s">
        <v>3060</v>
      </c>
      <c r="B112">
        <v>797.53</v>
      </c>
      <c r="C112">
        <v>891.15</v>
      </c>
      <c r="D112">
        <v>995.51</v>
      </c>
      <c r="E112" s="2">
        <v>1101.95</v>
      </c>
      <c r="F112" s="2">
        <v>1289.99</v>
      </c>
      <c r="G112" s="2">
        <v>1521.34</v>
      </c>
      <c r="H112" s="2">
        <v>1739.22</v>
      </c>
      <c r="I112" s="2">
        <v>1901.24</v>
      </c>
      <c r="J112" s="2">
        <v>2144.5300000000002</v>
      </c>
      <c r="K112" s="2">
        <v>2478.8200000000002</v>
      </c>
      <c r="L112" s="2">
        <v>2881.8</v>
      </c>
      <c r="M112" s="2">
        <v>3790.07</v>
      </c>
      <c r="N112" s="2">
        <v>4259.4399999999996</v>
      </c>
      <c r="O112" s="2">
        <v>4550.3599999999997</v>
      </c>
      <c r="P112" s="2">
        <v>4872.76</v>
      </c>
      <c r="Q112" s="2">
        <v>5390.77</v>
      </c>
      <c r="R112" s="2">
        <v>6284.73</v>
      </c>
      <c r="S112" s="2">
        <v>6936.94</v>
      </c>
    </row>
    <row r="113" spans="1:21" x14ac:dyDescent="0.25">
      <c r="A113" t="s">
        <v>3061</v>
      </c>
      <c r="B113">
        <v>365.3</v>
      </c>
      <c r="C113">
        <v>407.51</v>
      </c>
      <c r="D113">
        <v>456.34</v>
      </c>
      <c r="E113">
        <v>497.83</v>
      </c>
      <c r="F113">
        <v>554.21</v>
      </c>
      <c r="G113">
        <v>628.28</v>
      </c>
      <c r="H113">
        <v>686.62</v>
      </c>
      <c r="I113">
        <v>765.22</v>
      </c>
      <c r="J113">
        <v>864.07</v>
      </c>
      <c r="K113">
        <v>996.2</v>
      </c>
      <c r="L113" s="2">
        <v>1118.49</v>
      </c>
      <c r="M113" s="2">
        <v>1233.1300000000001</v>
      </c>
      <c r="N113" s="2">
        <v>1415.09</v>
      </c>
      <c r="O113" s="2">
        <v>1626.35</v>
      </c>
      <c r="P113" s="2">
        <v>1832.04</v>
      </c>
      <c r="Q113" s="2">
        <v>2133.23</v>
      </c>
      <c r="R113" s="2">
        <v>2506.65</v>
      </c>
      <c r="S113" s="2">
        <v>2844.37</v>
      </c>
    </row>
    <row r="114" spans="1:21" x14ac:dyDescent="0.25">
      <c r="A114" t="s">
        <v>692</v>
      </c>
      <c r="H114">
        <v>103.89</v>
      </c>
      <c r="I114">
        <v>113.72</v>
      </c>
      <c r="J114">
        <v>107.78</v>
      </c>
      <c r="K114">
        <v>120.46</v>
      </c>
      <c r="L114">
        <v>118.73</v>
      </c>
      <c r="M114">
        <v>126.83</v>
      </c>
      <c r="N114">
        <v>150.30000000000001</v>
      </c>
      <c r="O114">
        <v>144.06</v>
      </c>
      <c r="P114">
        <v>145.6</v>
      </c>
      <c r="Q114">
        <v>136.97</v>
      </c>
      <c r="R114">
        <v>177.51</v>
      </c>
      <c r="S114">
        <v>177.51</v>
      </c>
    </row>
    <row r="115" spans="1:21" x14ac:dyDescent="0.25">
      <c r="A115" t="s">
        <v>3062</v>
      </c>
      <c r="B115">
        <v>8.7899999999999991</v>
      </c>
      <c r="C115">
        <v>8.17</v>
      </c>
      <c r="D115">
        <v>26.99</v>
      </c>
      <c r="E115">
        <v>25.4</v>
      </c>
      <c r="F115">
        <v>24.03</v>
      </c>
      <c r="G115">
        <v>22.66</v>
      </c>
      <c r="H115">
        <v>21.48</v>
      </c>
      <c r="I115">
        <v>20.32</v>
      </c>
      <c r="J115">
        <v>19.16</v>
      </c>
      <c r="K115">
        <v>24.19</v>
      </c>
      <c r="L115">
        <v>17.3</v>
      </c>
      <c r="M115">
        <v>16.440000000000001</v>
      </c>
      <c r="N115">
        <v>15.59</v>
      </c>
      <c r="O115">
        <v>15.27</v>
      </c>
      <c r="P115">
        <v>15.27</v>
      </c>
      <c r="Q115">
        <v>15.16</v>
      </c>
      <c r="R115">
        <v>15.16</v>
      </c>
      <c r="S115">
        <v>15.16</v>
      </c>
    </row>
    <row r="116" spans="1:21" x14ac:dyDescent="0.25">
      <c r="A116" t="s">
        <v>78</v>
      </c>
      <c r="B116">
        <v>5.53</v>
      </c>
      <c r="C116">
        <v>5</v>
      </c>
      <c r="D116">
        <v>4.04</v>
      </c>
      <c r="E116">
        <v>4.37</v>
      </c>
      <c r="F116">
        <v>4.26</v>
      </c>
      <c r="G116">
        <v>4.6500000000000004</v>
      </c>
      <c r="H116">
        <v>5.34</v>
      </c>
      <c r="I116">
        <v>7.02</v>
      </c>
      <c r="J116">
        <v>21.6</v>
      </c>
      <c r="K116">
        <v>22.6</v>
      </c>
      <c r="L116">
        <v>35.53</v>
      </c>
      <c r="M116">
        <v>30.88</v>
      </c>
      <c r="N116">
        <v>37.880000000000003</v>
      </c>
      <c r="O116">
        <v>39.79</v>
      </c>
      <c r="P116">
        <v>39.79</v>
      </c>
      <c r="Q116">
        <v>39.79</v>
      </c>
      <c r="R116">
        <v>39.79</v>
      </c>
      <c r="S116">
        <v>39.79</v>
      </c>
    </row>
    <row r="117" spans="1:21" x14ac:dyDescent="0.25">
      <c r="A117" t="s">
        <v>155</v>
      </c>
      <c r="B117">
        <v>616.79999999999995</v>
      </c>
      <c r="C117">
        <v>666.99</v>
      </c>
      <c r="D117">
        <v>729.19</v>
      </c>
      <c r="E117">
        <v>800.37</v>
      </c>
      <c r="F117">
        <v>967.32</v>
      </c>
      <c r="G117" s="2">
        <v>1133.74</v>
      </c>
      <c r="H117" s="2">
        <v>1415.69</v>
      </c>
      <c r="I117" s="2">
        <v>1548.77</v>
      </c>
      <c r="J117" s="2">
        <v>1845.25</v>
      </c>
      <c r="K117" s="2">
        <v>2174.71</v>
      </c>
      <c r="L117" s="2">
        <v>2583.5700000000002</v>
      </c>
      <c r="M117" s="2">
        <v>3166.86</v>
      </c>
      <c r="N117" s="2">
        <v>3482.68</v>
      </c>
      <c r="O117" s="2">
        <v>3865.85</v>
      </c>
      <c r="P117" s="2">
        <v>4266.59</v>
      </c>
      <c r="Q117" s="2">
        <v>4773.3599999999997</v>
      </c>
      <c r="R117" s="2">
        <v>5139.37</v>
      </c>
      <c r="S117" s="2">
        <v>5925.54</v>
      </c>
      <c r="T117" s="2">
        <v>6928.87</v>
      </c>
      <c r="U117" s="2">
        <v>7658.07</v>
      </c>
    </row>
    <row r="118" spans="1:21" x14ac:dyDescent="0.25">
      <c r="A118" t="s">
        <v>17</v>
      </c>
    </row>
    <row r="119" spans="1:21" x14ac:dyDescent="0.25">
      <c r="A119" t="s">
        <v>156</v>
      </c>
    </row>
    <row r="120" spans="1:21" x14ac:dyDescent="0.25">
      <c r="A120" t="s">
        <v>157</v>
      </c>
      <c r="B120">
        <v>140.86000000000001</v>
      </c>
      <c r="C120">
        <v>130.47999999999999</v>
      </c>
      <c r="D120">
        <v>141.38</v>
      </c>
      <c r="E120">
        <v>144.94</v>
      </c>
      <c r="F120">
        <v>166.93</v>
      </c>
      <c r="G120">
        <v>209.31</v>
      </c>
      <c r="H120">
        <v>241.25</v>
      </c>
      <c r="I120">
        <v>275.75</v>
      </c>
      <c r="J120">
        <v>321.35000000000002</v>
      </c>
      <c r="K120">
        <v>274.08999999999997</v>
      </c>
      <c r="L120">
        <v>322.06</v>
      </c>
      <c r="M120">
        <v>278.36</v>
      </c>
      <c r="N120">
        <v>265.38</v>
      </c>
      <c r="O120">
        <v>331.62</v>
      </c>
      <c r="P120">
        <v>352.23</v>
      </c>
      <c r="Q120">
        <v>381.85</v>
      </c>
      <c r="R120">
        <v>413.43</v>
      </c>
      <c r="S120">
        <v>427.83</v>
      </c>
      <c r="T120">
        <v>421.76</v>
      </c>
      <c r="U120">
        <v>441.31</v>
      </c>
    </row>
    <row r="121" spans="1:21" x14ac:dyDescent="0.25">
      <c r="A121" t="s">
        <v>158</v>
      </c>
      <c r="B121">
        <v>50.8</v>
      </c>
      <c r="C121">
        <v>42.39</v>
      </c>
      <c r="D121">
        <v>54.75</v>
      </c>
      <c r="E121">
        <v>45.15</v>
      </c>
      <c r="F121">
        <v>57.44</v>
      </c>
      <c r="G121">
        <v>78.989999999999995</v>
      </c>
      <c r="H121">
        <v>83.62</v>
      </c>
      <c r="I121">
        <v>89.38</v>
      </c>
      <c r="J121">
        <v>114.01</v>
      </c>
      <c r="K121">
        <v>99.79</v>
      </c>
      <c r="L121">
        <v>141.88</v>
      </c>
      <c r="M121">
        <v>114.56</v>
      </c>
      <c r="N121">
        <v>107.42</v>
      </c>
      <c r="O121">
        <v>139.72</v>
      </c>
      <c r="P121">
        <v>147.99</v>
      </c>
      <c r="Q121">
        <v>165.51</v>
      </c>
      <c r="R121">
        <v>173.61</v>
      </c>
      <c r="S121">
        <v>184.73</v>
      </c>
    </row>
    <row r="122" spans="1:21" x14ac:dyDescent="0.25">
      <c r="A122" t="s">
        <v>3063</v>
      </c>
      <c r="B122">
        <v>35.25</v>
      </c>
      <c r="C122">
        <v>28.78</v>
      </c>
      <c r="D122">
        <v>27.83</v>
      </c>
      <c r="E122">
        <v>31.7</v>
      </c>
      <c r="F122">
        <v>39.75</v>
      </c>
      <c r="G122">
        <v>48.12</v>
      </c>
      <c r="H122">
        <v>49.67</v>
      </c>
      <c r="I122">
        <v>55.39</v>
      </c>
      <c r="J122">
        <v>73.11</v>
      </c>
      <c r="K122">
        <v>66.680000000000007</v>
      </c>
      <c r="L122">
        <v>75.510000000000005</v>
      </c>
      <c r="M122">
        <v>49.95</v>
      </c>
      <c r="N122">
        <v>50.72</v>
      </c>
      <c r="O122">
        <v>66.930000000000007</v>
      </c>
      <c r="P122">
        <v>71.84</v>
      </c>
      <c r="Q122">
        <v>71.62</v>
      </c>
      <c r="R122">
        <v>70.010000000000005</v>
      </c>
      <c r="S122">
        <v>74.709999999999994</v>
      </c>
    </row>
    <row r="123" spans="1:21" x14ac:dyDescent="0.25">
      <c r="A123" t="s">
        <v>3064</v>
      </c>
      <c r="B123">
        <v>27.64</v>
      </c>
      <c r="C123">
        <v>29.31</v>
      </c>
      <c r="D123">
        <v>26.9</v>
      </c>
      <c r="E123">
        <v>33.049999999999997</v>
      </c>
      <c r="F123">
        <v>35.85</v>
      </c>
      <c r="G123">
        <v>40.98</v>
      </c>
      <c r="H123">
        <v>36.89</v>
      </c>
      <c r="I123">
        <v>49.61</v>
      </c>
      <c r="J123">
        <v>54.72</v>
      </c>
      <c r="K123">
        <v>45.48</v>
      </c>
      <c r="L123">
        <v>41.64</v>
      </c>
      <c r="M123">
        <v>43.13</v>
      </c>
      <c r="N123">
        <v>46.02</v>
      </c>
      <c r="O123">
        <v>62.92</v>
      </c>
      <c r="P123">
        <v>67.569999999999993</v>
      </c>
      <c r="Q123">
        <v>83.95</v>
      </c>
      <c r="R123">
        <v>96.52</v>
      </c>
      <c r="S123">
        <v>103</v>
      </c>
    </row>
    <row r="124" spans="1:21" x14ac:dyDescent="0.25">
      <c r="A124" t="s">
        <v>78</v>
      </c>
      <c r="B124">
        <v>20.03</v>
      </c>
      <c r="C124">
        <v>20.86</v>
      </c>
      <c r="D124">
        <v>19.46</v>
      </c>
      <c r="E124">
        <v>18.29</v>
      </c>
      <c r="F124">
        <v>19.809999999999999</v>
      </c>
      <c r="G124">
        <v>23.14</v>
      </c>
      <c r="H124">
        <v>32.64</v>
      </c>
      <c r="I124">
        <v>40.57</v>
      </c>
      <c r="J124">
        <v>38.549999999999997</v>
      </c>
      <c r="K124">
        <v>22.68</v>
      </c>
      <c r="L124">
        <v>27.09</v>
      </c>
      <c r="M124">
        <v>38.04</v>
      </c>
      <c r="N124">
        <v>32.340000000000003</v>
      </c>
      <c r="O124">
        <v>26.04</v>
      </c>
      <c r="P124">
        <v>27.81</v>
      </c>
      <c r="Q124">
        <v>26.83</v>
      </c>
      <c r="R124">
        <v>46.84</v>
      </c>
      <c r="S124">
        <v>49.99</v>
      </c>
    </row>
    <row r="125" spans="1:21" x14ac:dyDescent="0.25">
      <c r="A125" t="s">
        <v>694</v>
      </c>
      <c r="B125">
        <v>7.14</v>
      </c>
      <c r="C125">
        <v>7.24</v>
      </c>
      <c r="D125">
        <v>12.43</v>
      </c>
      <c r="E125">
        <v>16.760000000000002</v>
      </c>
      <c r="F125">
        <v>14.08</v>
      </c>
      <c r="G125">
        <v>18.079999999999998</v>
      </c>
      <c r="H125">
        <v>19.41</v>
      </c>
      <c r="I125">
        <v>20.59</v>
      </c>
      <c r="J125">
        <v>19.399999999999999</v>
      </c>
      <c r="K125">
        <v>14.52</v>
      </c>
      <c r="L125">
        <v>10.17</v>
      </c>
      <c r="M125">
        <v>5.31</v>
      </c>
      <c r="N125">
        <v>0.98</v>
      </c>
      <c r="O125">
        <v>1.66</v>
      </c>
      <c r="P125">
        <v>3.87</v>
      </c>
      <c r="Q125">
        <v>0.3</v>
      </c>
      <c r="R125">
        <v>0.12</v>
      </c>
      <c r="S125">
        <v>0.12</v>
      </c>
    </row>
    <row r="126" spans="1:21" x14ac:dyDescent="0.25">
      <c r="A126" t="s">
        <v>3065</v>
      </c>
      <c r="H126">
        <v>19.02</v>
      </c>
      <c r="I126">
        <v>20.21</v>
      </c>
      <c r="J126">
        <v>21.57</v>
      </c>
      <c r="K126">
        <v>24.93</v>
      </c>
      <c r="L126">
        <v>25.76</v>
      </c>
      <c r="M126">
        <v>27.37</v>
      </c>
      <c r="N126">
        <v>27.9</v>
      </c>
      <c r="O126">
        <v>29.98</v>
      </c>
      <c r="P126">
        <v>31.15</v>
      </c>
      <c r="Q126">
        <v>33.07</v>
      </c>
      <c r="R126">
        <v>30.31</v>
      </c>
      <c r="S126">
        <v>30.31</v>
      </c>
    </row>
    <row r="127" spans="1:21" x14ac:dyDescent="0.25">
      <c r="A127" t="s">
        <v>164</v>
      </c>
      <c r="B127">
        <v>171.15</v>
      </c>
      <c r="C127">
        <v>169.6</v>
      </c>
      <c r="D127">
        <v>159.91999999999999</v>
      </c>
      <c r="E127">
        <v>172.35</v>
      </c>
      <c r="F127">
        <v>217.9</v>
      </c>
      <c r="G127">
        <v>228.57</v>
      </c>
      <c r="H127">
        <v>359.22</v>
      </c>
      <c r="I127">
        <v>311.73</v>
      </c>
      <c r="J127">
        <v>303.57</v>
      </c>
      <c r="K127">
        <v>321.27999999999997</v>
      </c>
      <c r="L127">
        <v>320.02</v>
      </c>
      <c r="M127">
        <v>577.23</v>
      </c>
      <c r="N127">
        <v>639.6</v>
      </c>
      <c r="O127">
        <v>537.26</v>
      </c>
      <c r="P127">
        <v>589.67999999999995</v>
      </c>
      <c r="Q127">
        <v>647.35</v>
      </c>
    </row>
    <row r="128" spans="1:21" x14ac:dyDescent="0.25">
      <c r="A128" t="s">
        <v>3066</v>
      </c>
      <c r="B128">
        <v>69.739999999999995</v>
      </c>
      <c r="C128">
        <v>73.900000000000006</v>
      </c>
      <c r="D128">
        <v>56.54</v>
      </c>
      <c r="E128">
        <v>57.04</v>
      </c>
      <c r="F128">
        <v>118.83</v>
      </c>
      <c r="G128">
        <v>104.78</v>
      </c>
      <c r="H128">
        <v>117.03</v>
      </c>
      <c r="I128">
        <v>50.39</v>
      </c>
      <c r="J128">
        <v>31.01</v>
      </c>
      <c r="K128">
        <v>16.489999999999998</v>
      </c>
      <c r="L128">
        <v>6.32</v>
      </c>
      <c r="M128">
        <v>194.98</v>
      </c>
      <c r="N128">
        <v>163</v>
      </c>
      <c r="O128">
        <v>90.04</v>
      </c>
      <c r="P128">
        <v>80.040000000000006</v>
      </c>
      <c r="Q128">
        <v>57.43</v>
      </c>
      <c r="R128">
        <v>66.739999999999995</v>
      </c>
      <c r="S128">
        <v>100</v>
      </c>
      <c r="T128">
        <v>100</v>
      </c>
      <c r="U128">
        <v>100</v>
      </c>
    </row>
    <row r="129" spans="1:21" x14ac:dyDescent="0.25">
      <c r="A129" t="s">
        <v>3067</v>
      </c>
      <c r="H129">
        <v>86.24</v>
      </c>
      <c r="I129">
        <v>95.32</v>
      </c>
      <c r="J129">
        <v>88.41</v>
      </c>
      <c r="K129">
        <v>98.58</v>
      </c>
      <c r="L129">
        <v>96.46</v>
      </c>
      <c r="M129">
        <v>96.8</v>
      </c>
      <c r="N129">
        <v>113.12</v>
      </c>
      <c r="O129">
        <v>135.19999999999999</v>
      </c>
      <c r="P129">
        <v>138.91999999999999</v>
      </c>
      <c r="Q129">
        <v>143.94999999999999</v>
      </c>
      <c r="R129">
        <v>138.76</v>
      </c>
      <c r="S129">
        <v>138.76</v>
      </c>
    </row>
    <row r="130" spans="1:21" x14ac:dyDescent="0.25">
      <c r="A130" t="s">
        <v>604</v>
      </c>
      <c r="B130">
        <v>69.92</v>
      </c>
      <c r="C130">
        <v>58.95</v>
      </c>
      <c r="D130">
        <v>67.42</v>
      </c>
      <c r="E130">
        <v>80.2</v>
      </c>
      <c r="F130">
        <v>59.42</v>
      </c>
      <c r="G130">
        <v>86.89</v>
      </c>
      <c r="H130">
        <v>111.56</v>
      </c>
      <c r="I130">
        <v>119.82</v>
      </c>
      <c r="J130">
        <v>124.14</v>
      </c>
      <c r="K130">
        <v>145.77000000000001</v>
      </c>
      <c r="L130">
        <v>155.84</v>
      </c>
      <c r="M130">
        <v>219.06</v>
      </c>
      <c r="N130">
        <v>284.37</v>
      </c>
      <c r="O130">
        <v>305.83</v>
      </c>
      <c r="P130">
        <v>322.87</v>
      </c>
      <c r="Q130">
        <v>365.53</v>
      </c>
      <c r="R130">
        <v>365.29</v>
      </c>
      <c r="S130">
        <v>299.52999999999997</v>
      </c>
    </row>
    <row r="131" spans="1:21" x14ac:dyDescent="0.25">
      <c r="A131" t="s">
        <v>3068</v>
      </c>
      <c r="B131">
        <v>31.5</v>
      </c>
      <c r="C131">
        <v>36.76</v>
      </c>
      <c r="D131">
        <v>35.97</v>
      </c>
      <c r="E131">
        <v>35.11</v>
      </c>
      <c r="F131">
        <v>39.64</v>
      </c>
      <c r="G131">
        <v>36.9</v>
      </c>
      <c r="H131">
        <v>44.4</v>
      </c>
      <c r="I131">
        <v>46.21</v>
      </c>
      <c r="J131">
        <v>60.02</v>
      </c>
      <c r="K131">
        <v>60.44</v>
      </c>
      <c r="L131">
        <v>61.4</v>
      </c>
      <c r="M131">
        <v>66.39</v>
      </c>
      <c r="N131">
        <v>79.11</v>
      </c>
      <c r="O131">
        <v>88.63</v>
      </c>
      <c r="P131">
        <v>90.48</v>
      </c>
      <c r="Q131">
        <v>94.69</v>
      </c>
      <c r="R131">
        <v>105.02</v>
      </c>
      <c r="S131">
        <v>112.07</v>
      </c>
    </row>
    <row r="132" spans="1:21" x14ac:dyDescent="0.25">
      <c r="A132" t="s">
        <v>167</v>
      </c>
      <c r="B132">
        <v>312.01</v>
      </c>
      <c r="C132">
        <v>300.08</v>
      </c>
      <c r="D132">
        <v>301.3</v>
      </c>
      <c r="E132">
        <v>317.29000000000002</v>
      </c>
      <c r="F132">
        <v>384.82</v>
      </c>
      <c r="G132">
        <v>437.88</v>
      </c>
      <c r="H132">
        <v>600.47</v>
      </c>
      <c r="I132">
        <v>587.49</v>
      </c>
      <c r="J132">
        <v>624.91999999999996</v>
      </c>
      <c r="K132">
        <v>595.37</v>
      </c>
      <c r="L132">
        <v>642.07000000000005</v>
      </c>
      <c r="M132">
        <v>855.59</v>
      </c>
      <c r="N132">
        <v>904.98</v>
      </c>
      <c r="O132">
        <v>924.84</v>
      </c>
      <c r="P132">
        <v>985.05</v>
      </c>
      <c r="Q132" s="2">
        <v>1020.52</v>
      </c>
      <c r="R132" s="2">
        <v>1066.94</v>
      </c>
      <c r="S132" s="2">
        <v>1110.78</v>
      </c>
      <c r="T132" s="2">
        <v>1049.0899999999999</v>
      </c>
      <c r="U132" s="2">
        <v>1068.6400000000001</v>
      </c>
    </row>
    <row r="133" spans="1:21" x14ac:dyDescent="0.25">
      <c r="A133" t="s">
        <v>170</v>
      </c>
      <c r="B133">
        <v>304.79000000000002</v>
      </c>
      <c r="C133">
        <v>366.91</v>
      </c>
      <c r="D133">
        <v>427.89</v>
      </c>
      <c r="E133">
        <v>483.08</v>
      </c>
      <c r="F133">
        <v>582.49</v>
      </c>
      <c r="G133">
        <v>695.86</v>
      </c>
      <c r="H133">
        <v>815.23</v>
      </c>
      <c r="I133">
        <v>961.29</v>
      </c>
      <c r="J133" s="2">
        <v>1220.33</v>
      </c>
      <c r="K133" s="2">
        <v>1579.34</v>
      </c>
      <c r="L133" s="2">
        <v>1941.49</v>
      </c>
      <c r="M133" s="2">
        <v>2311.27</v>
      </c>
      <c r="N133" s="2">
        <v>2577.6999999999998</v>
      </c>
      <c r="O133" s="2">
        <v>2888</v>
      </c>
      <c r="P133" s="2">
        <v>3181.77</v>
      </c>
      <c r="Q133" s="2">
        <v>3576.22</v>
      </c>
      <c r="R133" s="2">
        <v>4072.5</v>
      </c>
      <c r="S133" s="2">
        <v>4814.67</v>
      </c>
      <c r="T133" s="2">
        <v>5880</v>
      </c>
      <c r="U133" s="2">
        <v>6589</v>
      </c>
    </row>
    <row r="134" spans="1:21" x14ac:dyDescent="0.25">
      <c r="A134" t="s">
        <v>171</v>
      </c>
      <c r="B134">
        <v>0.02</v>
      </c>
      <c r="C134">
        <v>0.03</v>
      </c>
      <c r="D134">
        <v>0.03</v>
      </c>
      <c r="E134">
        <v>0.03</v>
      </c>
      <c r="F134">
        <v>0.03</v>
      </c>
      <c r="G134">
        <v>0.03</v>
      </c>
      <c r="H134">
        <v>0.03</v>
      </c>
      <c r="I134">
        <v>0.03</v>
      </c>
      <c r="J134">
        <v>0.03</v>
      </c>
      <c r="K134">
        <v>0.03</v>
      </c>
      <c r="L134">
        <v>0.03</v>
      </c>
      <c r="M134">
        <v>0.03</v>
      </c>
      <c r="N134">
        <v>0.03</v>
      </c>
      <c r="O134">
        <v>0.03</v>
      </c>
      <c r="P134">
        <v>0.03</v>
      </c>
      <c r="Q134">
        <v>0.03</v>
      </c>
      <c r="R134">
        <v>0.03</v>
      </c>
      <c r="S134">
        <v>0.03</v>
      </c>
    </row>
    <row r="135" spans="1:21" x14ac:dyDescent="0.25">
      <c r="A135" t="s">
        <v>2684</v>
      </c>
      <c r="B135">
        <v>213.65</v>
      </c>
      <c r="C135">
        <v>223.71</v>
      </c>
      <c r="D135">
        <v>230.59</v>
      </c>
      <c r="E135">
        <v>237.85</v>
      </c>
      <c r="F135">
        <v>246.45</v>
      </c>
      <c r="G135">
        <v>254.74</v>
      </c>
      <c r="H135">
        <v>260.87</v>
      </c>
      <c r="I135">
        <v>267.67</v>
      </c>
      <c r="J135">
        <v>274.63</v>
      </c>
      <c r="K135">
        <v>277.37</v>
      </c>
      <c r="L135">
        <v>285.08999999999997</v>
      </c>
      <c r="M135">
        <v>295.11</v>
      </c>
      <c r="N135">
        <v>307.61</v>
      </c>
      <c r="O135">
        <v>312.64</v>
      </c>
      <c r="P135">
        <v>313.31</v>
      </c>
      <c r="Q135">
        <v>316.58</v>
      </c>
      <c r="R135">
        <v>313.25</v>
      </c>
      <c r="S135">
        <v>313.25</v>
      </c>
    </row>
    <row r="136" spans="1:21" x14ac:dyDescent="0.25">
      <c r="A136" t="s">
        <v>3069</v>
      </c>
      <c r="B136">
        <v>-2.25</v>
      </c>
      <c r="C136">
        <v>2.19</v>
      </c>
      <c r="D136">
        <v>-3.1</v>
      </c>
      <c r="E136">
        <v>-3.19</v>
      </c>
      <c r="F136">
        <v>-3.49</v>
      </c>
      <c r="G136">
        <v>-3.38</v>
      </c>
      <c r="H136">
        <v>-3.87</v>
      </c>
      <c r="I136">
        <v>-2.94</v>
      </c>
      <c r="J136">
        <v>-4.0999999999999996</v>
      </c>
      <c r="K136">
        <v>-5.25</v>
      </c>
      <c r="L136">
        <v>-5.68</v>
      </c>
      <c r="M136">
        <v>-7.98</v>
      </c>
      <c r="N136">
        <v>-9.09</v>
      </c>
      <c r="O136">
        <v>-9.6999999999999993</v>
      </c>
      <c r="P136">
        <v>-9.6999999999999993</v>
      </c>
      <c r="Q136">
        <v>-9.83</v>
      </c>
      <c r="R136">
        <v>-9.83</v>
      </c>
      <c r="S136">
        <v>-9.83</v>
      </c>
    </row>
    <row r="137" spans="1:21" x14ac:dyDescent="0.25">
      <c r="A137" t="s">
        <v>173</v>
      </c>
      <c r="B137">
        <v>93.37</v>
      </c>
      <c r="C137">
        <v>145.36000000000001</v>
      </c>
      <c r="D137">
        <v>200.37</v>
      </c>
      <c r="E137">
        <v>248.4</v>
      </c>
      <c r="F137">
        <v>339.5</v>
      </c>
      <c r="G137">
        <v>444.48</v>
      </c>
      <c r="H137">
        <v>558.20000000000005</v>
      </c>
      <c r="I137">
        <v>696.54</v>
      </c>
      <c r="J137">
        <v>949.78</v>
      </c>
      <c r="K137" s="2">
        <v>1307.2</v>
      </c>
      <c r="L137" s="2">
        <v>1662.05</v>
      </c>
      <c r="M137" s="2">
        <v>2024.12</v>
      </c>
      <c r="N137" s="2">
        <v>2279.16</v>
      </c>
      <c r="O137" s="2">
        <v>2583.52</v>
      </c>
      <c r="P137" s="2">
        <v>2895.95</v>
      </c>
      <c r="Q137" s="2">
        <v>3383.6</v>
      </c>
      <c r="R137" s="2">
        <v>3816.78</v>
      </c>
      <c r="S137" s="2">
        <v>4369.05</v>
      </c>
    </row>
    <row r="138" spans="1:21" x14ac:dyDescent="0.25">
      <c r="A138" t="s">
        <v>326</v>
      </c>
      <c r="B138">
        <v>616.79999999999995</v>
      </c>
      <c r="C138">
        <v>666.99</v>
      </c>
      <c r="D138">
        <v>729.19</v>
      </c>
      <c r="E138">
        <v>800.37</v>
      </c>
      <c r="F138">
        <v>967.32</v>
      </c>
      <c r="G138" s="2">
        <v>1133.74</v>
      </c>
      <c r="H138" s="2">
        <v>1415.69</v>
      </c>
      <c r="I138" s="2">
        <v>1548.77</v>
      </c>
      <c r="J138" s="2">
        <v>1845.25</v>
      </c>
      <c r="K138" s="2">
        <v>2174.71</v>
      </c>
      <c r="L138" s="2">
        <v>2583.5700000000002</v>
      </c>
      <c r="M138" s="2">
        <v>3166.86</v>
      </c>
      <c r="N138" s="2">
        <v>3482.68</v>
      </c>
      <c r="O138" s="2">
        <v>3865.85</v>
      </c>
      <c r="P138" s="2">
        <v>4266.59</v>
      </c>
      <c r="Q138" s="2">
        <v>4773.3599999999997</v>
      </c>
      <c r="R138" s="2">
        <v>5139.37</v>
      </c>
      <c r="S138" s="2">
        <v>5925.54</v>
      </c>
      <c r="T138" s="2">
        <v>6928.87</v>
      </c>
      <c r="U138" s="2">
        <v>7658.07</v>
      </c>
    </row>
    <row r="139" spans="1:21" x14ac:dyDescent="0.25">
      <c r="A139" t="s">
        <v>17</v>
      </c>
    </row>
    <row r="140" spans="1:21" x14ac:dyDescent="0.25">
      <c r="A140" t="s">
        <v>176</v>
      </c>
    </row>
    <row r="141" spans="1:21" x14ac:dyDescent="0.25">
      <c r="A141" t="s">
        <v>609</v>
      </c>
      <c r="B141">
        <v>76.88</v>
      </c>
      <c r="C141">
        <v>83.04</v>
      </c>
      <c r="D141">
        <v>68.97</v>
      </c>
      <c r="E141">
        <v>73.8</v>
      </c>
      <c r="F141">
        <v>132.91999999999999</v>
      </c>
      <c r="G141">
        <v>122.86</v>
      </c>
      <c r="H141">
        <v>136.43</v>
      </c>
      <c r="I141">
        <v>70.98</v>
      </c>
      <c r="J141">
        <v>50.4</v>
      </c>
      <c r="K141">
        <v>31.01</v>
      </c>
      <c r="L141">
        <v>16.489999999999998</v>
      </c>
      <c r="M141">
        <v>200.29</v>
      </c>
      <c r="N141">
        <v>163.98</v>
      </c>
      <c r="O141">
        <v>92.93</v>
      </c>
      <c r="P141">
        <v>80.069999999999993</v>
      </c>
      <c r="Q141">
        <v>55.27</v>
      </c>
      <c r="R141">
        <v>67.040000000000006</v>
      </c>
      <c r="S141">
        <v>100.5</v>
      </c>
      <c r="T141">
        <v>100</v>
      </c>
      <c r="U141">
        <v>100</v>
      </c>
    </row>
    <row r="142" spans="1:21" x14ac:dyDescent="0.25">
      <c r="A142" t="s">
        <v>3070</v>
      </c>
      <c r="B142">
        <v>76.88</v>
      </c>
      <c r="C142">
        <v>83.04</v>
      </c>
      <c r="D142">
        <v>68.97</v>
      </c>
      <c r="E142">
        <v>73.8</v>
      </c>
      <c r="F142">
        <v>132.91999999999999</v>
      </c>
      <c r="G142">
        <v>122.86</v>
      </c>
      <c r="H142">
        <v>241.69</v>
      </c>
      <c r="I142">
        <v>186.51</v>
      </c>
      <c r="J142">
        <v>160.38</v>
      </c>
      <c r="K142">
        <v>154.51</v>
      </c>
      <c r="L142">
        <v>138.71</v>
      </c>
      <c r="M142">
        <v>324.45999999999998</v>
      </c>
      <c r="N142">
        <v>304.99</v>
      </c>
      <c r="O142">
        <v>262.5</v>
      </c>
      <c r="P142">
        <v>271.77999999999997</v>
      </c>
      <c r="Q142">
        <v>281.12</v>
      </c>
      <c r="R142">
        <v>269.19</v>
      </c>
      <c r="S142">
        <v>269.19</v>
      </c>
    </row>
    <row r="143" spans="1:21" x14ac:dyDescent="0.25">
      <c r="A143" t="s">
        <v>505</v>
      </c>
      <c r="B143">
        <v>76.72</v>
      </c>
      <c r="C143">
        <v>78.67</v>
      </c>
      <c r="D143">
        <v>68.849999999999994</v>
      </c>
      <c r="E143">
        <v>72.27</v>
      </c>
      <c r="F143">
        <v>128.19999999999999</v>
      </c>
      <c r="G143">
        <v>120.67</v>
      </c>
      <c r="H143">
        <v>241.44</v>
      </c>
      <c r="I143">
        <v>161.19999999999999</v>
      </c>
      <c r="J143">
        <v>53.79</v>
      </c>
      <c r="K143">
        <v>-32.880000000000003</v>
      </c>
      <c r="L143">
        <v>-157.51</v>
      </c>
      <c r="M143">
        <v>304.99</v>
      </c>
      <c r="N143">
        <v>285.27</v>
      </c>
      <c r="O143">
        <v>75.69</v>
      </c>
      <c r="P143">
        <v>-107.42</v>
      </c>
      <c r="Q143">
        <v>-316.81</v>
      </c>
      <c r="R143">
        <v>-341.94</v>
      </c>
      <c r="S143">
        <v>-569.36</v>
      </c>
    </row>
    <row r="144" spans="1:21" x14ac:dyDescent="0.25">
      <c r="A144" t="s">
        <v>178</v>
      </c>
    </row>
    <row r="145" spans="1:21" x14ac:dyDescent="0.25">
      <c r="A145" t="s">
        <v>179</v>
      </c>
      <c r="B145">
        <v>7.68</v>
      </c>
      <c r="C145">
        <v>8.1</v>
      </c>
      <c r="D145">
        <v>7.88</v>
      </c>
      <c r="E145">
        <v>6.28</v>
      </c>
      <c r="F145">
        <v>10.31</v>
      </c>
      <c r="G145">
        <v>9.99</v>
      </c>
      <c r="H145">
        <v>8.92</v>
      </c>
      <c r="I145">
        <v>9.33</v>
      </c>
      <c r="J145">
        <v>14.92</v>
      </c>
      <c r="K145">
        <v>17.78</v>
      </c>
      <c r="L145">
        <v>14.92</v>
      </c>
      <c r="M145">
        <v>12.59</v>
      </c>
      <c r="N145">
        <v>7.67</v>
      </c>
      <c r="O145">
        <v>8.49</v>
      </c>
      <c r="P145">
        <v>9.68</v>
      </c>
      <c r="Q145">
        <v>9.4</v>
      </c>
      <c r="R145">
        <v>9.5</v>
      </c>
      <c r="S145">
        <v>9.3000000000000007</v>
      </c>
    </row>
    <row r="146" spans="1:21" x14ac:dyDescent="0.25">
      <c r="A146" t="s">
        <v>180</v>
      </c>
      <c r="B146">
        <v>15.6</v>
      </c>
      <c r="C146">
        <v>15.48</v>
      </c>
      <c r="D146">
        <v>13.84</v>
      </c>
      <c r="E146">
        <v>10.54</v>
      </c>
      <c r="F146">
        <v>17.100000000000001</v>
      </c>
      <c r="G146">
        <v>16.420000000000002</v>
      </c>
      <c r="H146">
        <v>15.05</v>
      </c>
      <c r="I146">
        <v>15.57</v>
      </c>
      <c r="J146">
        <v>23.22</v>
      </c>
      <c r="K146">
        <v>25.53</v>
      </c>
      <c r="L146">
        <v>20.16</v>
      </c>
      <c r="M146">
        <v>17.03</v>
      </c>
      <c r="N146">
        <v>10.43</v>
      </c>
      <c r="O146">
        <v>11.19</v>
      </c>
      <c r="P146">
        <v>12.62</v>
      </c>
      <c r="Q146">
        <v>13.5</v>
      </c>
      <c r="R146">
        <v>12</v>
      </c>
      <c r="S146">
        <v>11.8</v>
      </c>
    </row>
    <row r="147" spans="1:21" x14ac:dyDescent="0.25">
      <c r="A147" t="s">
        <v>186</v>
      </c>
      <c r="B147">
        <v>1.21</v>
      </c>
      <c r="C147">
        <v>1.3</v>
      </c>
      <c r="D147">
        <v>1.1200000000000001</v>
      </c>
      <c r="E147">
        <v>1.1499999999999999</v>
      </c>
      <c r="F147">
        <v>1.22</v>
      </c>
      <c r="G147">
        <v>1.02</v>
      </c>
      <c r="H147">
        <v>0.96</v>
      </c>
      <c r="I147">
        <v>0.99</v>
      </c>
      <c r="J147">
        <v>1.3</v>
      </c>
      <c r="K147">
        <v>1.94</v>
      </c>
      <c r="L147">
        <v>2.0099999999999998</v>
      </c>
      <c r="M147">
        <v>1.57</v>
      </c>
      <c r="N147">
        <v>1.64</v>
      </c>
      <c r="O147">
        <v>1.84</v>
      </c>
      <c r="P147">
        <v>2.41</v>
      </c>
      <c r="Q147">
        <v>2.65</v>
      </c>
      <c r="R147">
        <v>2.92</v>
      </c>
      <c r="S147">
        <v>4.26</v>
      </c>
      <c r="T147">
        <v>6.47</v>
      </c>
      <c r="U147">
        <v>7.46</v>
      </c>
    </row>
    <row r="148" spans="1:21" x14ac:dyDescent="0.25">
      <c r="A148" t="s">
        <v>424</v>
      </c>
      <c r="B148">
        <v>12.45</v>
      </c>
      <c r="C148">
        <v>14.75</v>
      </c>
      <c r="D148">
        <v>17.02</v>
      </c>
      <c r="E148">
        <v>19.079999999999998</v>
      </c>
      <c r="F148">
        <v>22.8</v>
      </c>
      <c r="G148">
        <v>27.08</v>
      </c>
      <c r="H148">
        <v>31.43</v>
      </c>
      <c r="I148">
        <v>36.64</v>
      </c>
      <c r="J148">
        <v>46.34</v>
      </c>
      <c r="K148">
        <v>59.68</v>
      </c>
      <c r="L148">
        <v>73.13</v>
      </c>
      <c r="M148">
        <v>86.89</v>
      </c>
      <c r="N148">
        <v>96.74</v>
      </c>
      <c r="O148">
        <v>107.84</v>
      </c>
      <c r="P148">
        <v>117.96</v>
      </c>
      <c r="Q148">
        <v>131.93</v>
      </c>
    </row>
    <row r="149" spans="1:21" x14ac:dyDescent="0.25">
      <c r="A149" t="s">
        <v>333</v>
      </c>
      <c r="B149">
        <v>29.4</v>
      </c>
      <c r="C149">
        <v>39.700000000000003</v>
      </c>
      <c r="D149">
        <v>17.61</v>
      </c>
      <c r="E149">
        <v>21.54</v>
      </c>
      <c r="F149">
        <v>36.32</v>
      </c>
      <c r="G149">
        <v>4.0599999999999996</v>
      </c>
      <c r="H149">
        <v>-8.8699999999999992</v>
      </c>
      <c r="I149">
        <v>-4.0599999999999996</v>
      </c>
      <c r="J149">
        <v>94.91</v>
      </c>
      <c r="K149">
        <v>256.8</v>
      </c>
      <c r="L149">
        <v>326.64</v>
      </c>
      <c r="M149">
        <v>157.41</v>
      </c>
      <c r="N149">
        <v>169.17</v>
      </c>
      <c r="O149">
        <v>286.67</v>
      </c>
      <c r="P149">
        <v>476.55</v>
      </c>
      <c r="Q149">
        <v>630.87</v>
      </c>
      <c r="R149">
        <v>793.98</v>
      </c>
      <c r="S149" s="2">
        <v>1394.91</v>
      </c>
      <c r="T149" s="2">
        <v>2306.4699999999998</v>
      </c>
      <c r="U149" s="2">
        <v>2852.15</v>
      </c>
    </row>
    <row r="150" spans="1:21" x14ac:dyDescent="0.25">
      <c r="A150" t="s">
        <v>814</v>
      </c>
      <c r="B150">
        <v>12.09</v>
      </c>
      <c r="C150">
        <v>14.42</v>
      </c>
      <c r="D150">
        <v>15.95</v>
      </c>
      <c r="E150">
        <v>18.07</v>
      </c>
      <c r="F150">
        <v>21.86</v>
      </c>
      <c r="G150">
        <v>26.2</v>
      </c>
      <c r="H150">
        <v>30.6</v>
      </c>
      <c r="I150">
        <v>35.86</v>
      </c>
      <c r="J150">
        <v>45.61</v>
      </c>
      <c r="K150">
        <v>58.76</v>
      </c>
      <c r="L150">
        <v>72.48</v>
      </c>
      <c r="M150">
        <v>86.28</v>
      </c>
      <c r="N150">
        <v>96.16</v>
      </c>
      <c r="O150">
        <v>107.73</v>
      </c>
      <c r="P150">
        <v>114.9</v>
      </c>
      <c r="Q150">
        <v>138.6</v>
      </c>
    </row>
    <row r="151" spans="1:21" x14ac:dyDescent="0.25">
      <c r="A151" t="s">
        <v>611</v>
      </c>
      <c r="B151">
        <v>37.79</v>
      </c>
      <c r="C151">
        <v>36.83</v>
      </c>
      <c r="D151">
        <v>37.119999999999997</v>
      </c>
      <c r="E151">
        <v>40.58</v>
      </c>
      <c r="F151">
        <v>44.25</v>
      </c>
      <c r="G151">
        <v>40.08</v>
      </c>
      <c r="H151">
        <v>40.06</v>
      </c>
      <c r="I151">
        <v>43.56</v>
      </c>
      <c r="J151">
        <v>44.14</v>
      </c>
      <c r="K151">
        <v>37.950000000000003</v>
      </c>
      <c r="L151">
        <v>39.49</v>
      </c>
      <c r="M151">
        <v>36.840000000000003</v>
      </c>
      <c r="N151">
        <v>37.49</v>
      </c>
      <c r="O151">
        <v>38.659999999999997</v>
      </c>
      <c r="P151">
        <v>38.659999999999997</v>
      </c>
      <c r="Q151">
        <v>39.25</v>
      </c>
      <c r="R151">
        <v>41</v>
      </c>
      <c r="S151">
        <v>41</v>
      </c>
    </row>
    <row r="152" spans="1:21" x14ac:dyDescent="0.25">
      <c r="A152" t="s">
        <v>3071</v>
      </c>
      <c r="B152">
        <v>0.01</v>
      </c>
      <c r="C152">
        <v>0.18</v>
      </c>
      <c r="D152">
        <v>0</v>
      </c>
      <c r="E152">
        <v>0.06</v>
      </c>
      <c r="F152">
        <v>0.18</v>
      </c>
      <c r="G152">
        <v>0.09</v>
      </c>
      <c r="H152">
        <v>0.01</v>
      </c>
      <c r="I152">
        <v>0.96</v>
      </c>
      <c r="J152">
        <v>4.05</v>
      </c>
      <c r="K152">
        <v>7.08</v>
      </c>
      <c r="L152">
        <v>11.16</v>
      </c>
      <c r="M152">
        <v>0.73</v>
      </c>
      <c r="N152">
        <v>0.74</v>
      </c>
    </row>
    <row r="153" spans="1:21" x14ac:dyDescent="0.25">
      <c r="A153" t="s">
        <v>17</v>
      </c>
    </row>
    <row r="154" spans="1:21" x14ac:dyDescent="0.25">
      <c r="A154" t="s">
        <v>188</v>
      </c>
    </row>
    <row r="155" spans="1:21" x14ac:dyDescent="0.25">
      <c r="A155" t="s">
        <v>189</v>
      </c>
    </row>
    <row r="156" spans="1:21" x14ac:dyDescent="0.25">
      <c r="A156" t="s">
        <v>121</v>
      </c>
      <c r="B156">
        <v>43.63</v>
      </c>
      <c r="C156">
        <v>51.99</v>
      </c>
      <c r="D156">
        <v>55.02</v>
      </c>
      <c r="E156">
        <v>48.02</v>
      </c>
      <c r="F156">
        <v>91.16</v>
      </c>
      <c r="G156">
        <v>104.98</v>
      </c>
      <c r="H156">
        <v>113.72</v>
      </c>
      <c r="I156">
        <v>138.34</v>
      </c>
      <c r="J156">
        <v>253.24</v>
      </c>
      <c r="K156">
        <v>357.42</v>
      </c>
      <c r="L156">
        <v>354.86</v>
      </c>
      <c r="M156">
        <v>362.07</v>
      </c>
      <c r="N156">
        <v>255.04</v>
      </c>
      <c r="O156">
        <v>306.25</v>
      </c>
      <c r="P156">
        <v>384.13</v>
      </c>
      <c r="Q156">
        <v>456.1</v>
      </c>
      <c r="R156">
        <v>537.5</v>
      </c>
      <c r="S156">
        <v>586.66999999999996</v>
      </c>
      <c r="T156">
        <v>689</v>
      </c>
      <c r="U156">
        <v>710</v>
      </c>
    </row>
    <row r="157" spans="1:21" x14ac:dyDescent="0.25">
      <c r="A157" t="s">
        <v>190</v>
      </c>
      <c r="B157">
        <v>51.56</v>
      </c>
      <c r="C157">
        <v>59.02</v>
      </c>
      <c r="D157">
        <v>65.02</v>
      </c>
      <c r="E157">
        <v>76.239999999999995</v>
      </c>
      <c r="F157">
        <v>87.1</v>
      </c>
      <c r="G157">
        <v>102.15</v>
      </c>
      <c r="H157">
        <v>119.14</v>
      </c>
      <c r="I157">
        <v>134.66</v>
      </c>
      <c r="J157">
        <v>141.69999999999999</v>
      </c>
      <c r="K157">
        <v>157.19999999999999</v>
      </c>
      <c r="L157">
        <v>178.85</v>
      </c>
      <c r="M157">
        <v>210.11</v>
      </c>
      <c r="N157">
        <v>248.57</v>
      </c>
      <c r="O157">
        <v>258.98</v>
      </c>
      <c r="P157">
        <v>276.67</v>
      </c>
      <c r="Q157">
        <v>299.70999999999998</v>
      </c>
      <c r="R157">
        <v>331.76</v>
      </c>
      <c r="S157">
        <v>354.89</v>
      </c>
      <c r="T157">
        <v>438.19</v>
      </c>
      <c r="U157">
        <v>477.16</v>
      </c>
    </row>
    <row r="158" spans="1:21" x14ac:dyDescent="0.25">
      <c r="A158" t="s">
        <v>546</v>
      </c>
      <c r="B158">
        <v>12.1</v>
      </c>
      <c r="C158">
        <v>9.4600000000000009</v>
      </c>
      <c r="D158">
        <v>8.42</v>
      </c>
      <c r="E158">
        <v>12.78</v>
      </c>
      <c r="F158">
        <v>-20.78</v>
      </c>
      <c r="G158">
        <v>27.47</v>
      </c>
      <c r="H158">
        <v>24.66</v>
      </c>
      <c r="I158">
        <v>8.26</v>
      </c>
      <c r="J158">
        <v>4.32</v>
      </c>
      <c r="K158">
        <v>21.63</v>
      </c>
      <c r="L158">
        <v>10.07</v>
      </c>
      <c r="M158">
        <v>63.22</v>
      </c>
      <c r="N158">
        <v>65.31</v>
      </c>
      <c r="O158">
        <v>31.7</v>
      </c>
      <c r="P158">
        <v>35.61</v>
      </c>
      <c r="Q158">
        <v>8.68</v>
      </c>
    </row>
    <row r="159" spans="1:21" x14ac:dyDescent="0.25">
      <c r="A159" t="s">
        <v>1925</v>
      </c>
      <c r="B159">
        <v>2.23</v>
      </c>
      <c r="C159">
        <v>1.94</v>
      </c>
      <c r="D159">
        <v>1.46</v>
      </c>
      <c r="E159">
        <v>1.48</v>
      </c>
      <c r="F159">
        <v>2.63</v>
      </c>
      <c r="G159">
        <v>1.98</v>
      </c>
      <c r="H159">
        <v>2.8</v>
      </c>
      <c r="I159">
        <v>4.2699999999999996</v>
      </c>
      <c r="J159">
        <v>3.56</v>
      </c>
      <c r="K159">
        <v>3.07</v>
      </c>
      <c r="L159">
        <v>1.96</v>
      </c>
      <c r="M159">
        <v>3.41</v>
      </c>
      <c r="N159">
        <v>7.78</v>
      </c>
      <c r="O159">
        <v>6.01</v>
      </c>
      <c r="P159">
        <v>6.41</v>
      </c>
      <c r="Q159">
        <v>10.11</v>
      </c>
    </row>
    <row r="160" spans="1:21" x14ac:dyDescent="0.25">
      <c r="A160" t="s">
        <v>3054</v>
      </c>
      <c r="B160">
        <v>-1.01</v>
      </c>
      <c r="C160">
        <v>-1.51</v>
      </c>
      <c r="D160">
        <v>3.87</v>
      </c>
      <c r="E160">
        <v>20.53</v>
      </c>
      <c r="F160">
        <v>26.35</v>
      </c>
      <c r="G160">
        <v>18.59</v>
      </c>
      <c r="H160">
        <v>9.91</v>
      </c>
      <c r="I160">
        <v>3.55</v>
      </c>
      <c r="J160">
        <v>13.47</v>
      </c>
      <c r="K160">
        <v>3.12</v>
      </c>
      <c r="L160">
        <v>2.87</v>
      </c>
      <c r="M160">
        <v>7.89</v>
      </c>
      <c r="N160">
        <v>-4.68</v>
      </c>
      <c r="O160">
        <v>13.44</v>
      </c>
    </row>
    <row r="161" spans="1:21" x14ac:dyDescent="0.25">
      <c r="A161" t="s">
        <v>2869</v>
      </c>
      <c r="B161">
        <v>-7.87</v>
      </c>
      <c r="C161">
        <v>-20.96</v>
      </c>
      <c r="D161">
        <v>6.51</v>
      </c>
      <c r="E161">
        <v>-15.75</v>
      </c>
      <c r="F161">
        <v>-31.05</v>
      </c>
      <c r="G161">
        <v>-2.37</v>
      </c>
      <c r="H161">
        <v>-0.73</v>
      </c>
      <c r="I161">
        <v>16.8</v>
      </c>
      <c r="J161">
        <v>-38.840000000000003</v>
      </c>
      <c r="K161">
        <v>-75.180000000000007</v>
      </c>
      <c r="L161">
        <v>19.670000000000002</v>
      </c>
      <c r="M161">
        <v>-73.819999999999993</v>
      </c>
      <c r="N161">
        <v>13.34</v>
      </c>
      <c r="O161">
        <v>-8.26</v>
      </c>
      <c r="P161">
        <v>-16.87</v>
      </c>
      <c r="Q161">
        <v>-22.37</v>
      </c>
      <c r="R161">
        <v>-7.02</v>
      </c>
      <c r="S161">
        <v>-9.18</v>
      </c>
      <c r="T161">
        <v>-10.52</v>
      </c>
      <c r="U161">
        <v>-11.01</v>
      </c>
    </row>
    <row r="162" spans="1:21" x14ac:dyDescent="0.25">
      <c r="A162" t="s">
        <v>141</v>
      </c>
      <c r="B162">
        <v>-13.35</v>
      </c>
      <c r="C162">
        <v>-12.37</v>
      </c>
      <c r="D162">
        <v>6.9</v>
      </c>
      <c r="E162">
        <v>-12.34</v>
      </c>
      <c r="F162">
        <v>-37.99</v>
      </c>
      <c r="G162">
        <v>-12.98</v>
      </c>
      <c r="H162">
        <v>-16.98</v>
      </c>
      <c r="I162">
        <v>-25.05</v>
      </c>
      <c r="J162">
        <v>-63.42</v>
      </c>
      <c r="K162">
        <v>-16.62</v>
      </c>
      <c r="L162">
        <v>-23.39</v>
      </c>
      <c r="M162">
        <v>-14.66</v>
      </c>
      <c r="N162">
        <v>-16.989999999999998</v>
      </c>
      <c r="O162">
        <v>-42.82</v>
      </c>
      <c r="P162">
        <v>-28.39</v>
      </c>
      <c r="Q162">
        <v>-28.31</v>
      </c>
    </row>
    <row r="163" spans="1:21" x14ac:dyDescent="0.25">
      <c r="A163" t="s">
        <v>158</v>
      </c>
      <c r="B163">
        <v>5.48</v>
      </c>
      <c r="C163">
        <v>-8.59</v>
      </c>
      <c r="D163">
        <v>-0.38</v>
      </c>
      <c r="E163">
        <v>-3.41</v>
      </c>
      <c r="F163">
        <v>6.94</v>
      </c>
      <c r="G163">
        <v>10.61</v>
      </c>
      <c r="H163">
        <v>10.32</v>
      </c>
      <c r="I163">
        <v>5.77</v>
      </c>
      <c r="J163">
        <v>16.73</v>
      </c>
      <c r="K163">
        <v>-9.52</v>
      </c>
      <c r="L163">
        <v>10.75</v>
      </c>
      <c r="M163">
        <v>-0.82</v>
      </c>
      <c r="N163">
        <v>6.69</v>
      </c>
      <c r="O163">
        <v>13.94</v>
      </c>
      <c r="P163">
        <v>12.44</v>
      </c>
      <c r="Q163">
        <v>16.8</v>
      </c>
    </row>
    <row r="164" spans="1:21" x14ac:dyDescent="0.25">
      <c r="A164" t="s">
        <v>3072</v>
      </c>
      <c r="H164">
        <v>5.93</v>
      </c>
      <c r="I164">
        <v>36.08</v>
      </c>
      <c r="J164">
        <v>7.85</v>
      </c>
      <c r="K164">
        <v>-49.04</v>
      </c>
      <c r="L164">
        <v>32.31</v>
      </c>
      <c r="M164">
        <v>-58.34</v>
      </c>
      <c r="N164">
        <v>23.64</v>
      </c>
    </row>
    <row r="165" spans="1:21" x14ac:dyDescent="0.25">
      <c r="A165" t="s">
        <v>204</v>
      </c>
      <c r="B165">
        <v>101.31</v>
      </c>
      <c r="C165">
        <v>102.17</v>
      </c>
      <c r="D165">
        <v>142.71</v>
      </c>
      <c r="E165">
        <v>146.43</v>
      </c>
      <c r="F165">
        <v>157.85</v>
      </c>
      <c r="G165">
        <v>256.44</v>
      </c>
      <c r="H165">
        <v>272.88</v>
      </c>
      <c r="I165">
        <v>309.14999999999998</v>
      </c>
      <c r="J165">
        <v>382.59</v>
      </c>
      <c r="K165">
        <v>473.03</v>
      </c>
      <c r="L165">
        <v>577.95000000000005</v>
      </c>
      <c r="M165">
        <v>583.70000000000005</v>
      </c>
      <c r="N165">
        <v>594.97</v>
      </c>
      <c r="O165">
        <v>598.65</v>
      </c>
      <c r="P165">
        <v>683.57</v>
      </c>
      <c r="Q165">
        <v>760.78</v>
      </c>
      <c r="R165">
        <v>890.09</v>
      </c>
      <c r="S165">
        <v>970.85</v>
      </c>
      <c r="T165" s="2">
        <v>1116.67</v>
      </c>
      <c r="U165" s="2">
        <v>1175.79</v>
      </c>
    </row>
    <row r="166" spans="1:21" x14ac:dyDescent="0.25">
      <c r="A166" t="s">
        <v>17</v>
      </c>
    </row>
    <row r="167" spans="1:21" x14ac:dyDescent="0.25">
      <c r="A167" t="s">
        <v>205</v>
      </c>
    </row>
    <row r="168" spans="1:21" x14ac:dyDescent="0.25">
      <c r="A168" t="s">
        <v>3073</v>
      </c>
      <c r="B168">
        <v>-126.36</v>
      </c>
      <c r="C168">
        <v>-97.75</v>
      </c>
      <c r="D168">
        <v>-86.5</v>
      </c>
      <c r="E168">
        <v>-119.37</v>
      </c>
      <c r="F168">
        <v>-186.7</v>
      </c>
      <c r="G168">
        <v>-223.67</v>
      </c>
      <c r="H168">
        <v>-287.66000000000003</v>
      </c>
      <c r="I168">
        <v>-231.14</v>
      </c>
      <c r="J168">
        <v>-285.75</v>
      </c>
      <c r="K168">
        <v>-367.43</v>
      </c>
      <c r="L168">
        <v>-439.88</v>
      </c>
      <c r="M168" s="2">
        <v>-1043.56</v>
      </c>
      <c r="N168">
        <v>-567.64</v>
      </c>
      <c r="O168">
        <v>-373.7</v>
      </c>
      <c r="P168">
        <v>-462.31</v>
      </c>
      <c r="Q168">
        <v>-512.37</v>
      </c>
      <c r="R168">
        <v>-589.5</v>
      </c>
      <c r="S168">
        <v>-634.99</v>
      </c>
      <c r="T168">
        <v>-638.25</v>
      </c>
      <c r="U168">
        <v>-667.84</v>
      </c>
    </row>
    <row r="169" spans="1:21" x14ac:dyDescent="0.25">
      <c r="A169" t="s">
        <v>3074</v>
      </c>
      <c r="B169">
        <v>4.34</v>
      </c>
      <c r="C169">
        <v>2.91</v>
      </c>
      <c r="D169">
        <v>0.82</v>
      </c>
      <c r="E169">
        <v>1.68</v>
      </c>
      <c r="F169">
        <v>5.17</v>
      </c>
      <c r="G169">
        <v>1.0900000000000001</v>
      </c>
      <c r="H169">
        <v>6.62</v>
      </c>
      <c r="I169">
        <v>12.33</v>
      </c>
      <c r="J169">
        <v>8.4</v>
      </c>
      <c r="K169">
        <v>1.92</v>
      </c>
      <c r="L169">
        <v>2.73</v>
      </c>
      <c r="M169">
        <v>2.69</v>
      </c>
      <c r="N169">
        <v>23.51</v>
      </c>
      <c r="O169">
        <v>5.13</v>
      </c>
      <c r="P169">
        <v>8.67</v>
      </c>
      <c r="Q169">
        <v>8.17</v>
      </c>
      <c r="R169">
        <v>15.36</v>
      </c>
      <c r="S169">
        <v>16.09</v>
      </c>
      <c r="T169">
        <v>25.53</v>
      </c>
      <c r="U169">
        <v>26.71</v>
      </c>
    </row>
    <row r="170" spans="1:21" x14ac:dyDescent="0.25">
      <c r="A170" t="s">
        <v>212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-0.5</v>
      </c>
      <c r="K170">
        <v>0</v>
      </c>
      <c r="L170">
        <v>-11.54</v>
      </c>
      <c r="M170">
        <v>5</v>
      </c>
      <c r="N170">
        <v>-8.39</v>
      </c>
      <c r="O170">
        <v>0</v>
      </c>
      <c r="P170">
        <v>0</v>
      </c>
      <c r="Q170">
        <v>24.96</v>
      </c>
      <c r="R170">
        <v>1.22</v>
      </c>
      <c r="S170">
        <v>-7.74</v>
      </c>
      <c r="T170">
        <v>25.53</v>
      </c>
      <c r="U170">
        <v>26.71</v>
      </c>
    </row>
    <row r="171" spans="1:21" x14ac:dyDescent="0.25">
      <c r="A171" t="s">
        <v>213</v>
      </c>
      <c r="B171">
        <v>-122.02</v>
      </c>
      <c r="C171">
        <v>-94.85</v>
      </c>
      <c r="D171">
        <v>-107.92</v>
      </c>
      <c r="E171">
        <v>-117.68</v>
      </c>
      <c r="F171">
        <v>-181.52</v>
      </c>
      <c r="G171">
        <v>-222.58</v>
      </c>
      <c r="H171">
        <v>-281.02999999999997</v>
      </c>
      <c r="I171">
        <v>-218.82</v>
      </c>
      <c r="J171">
        <v>-277.85000000000002</v>
      </c>
      <c r="K171">
        <v>-365.51</v>
      </c>
      <c r="L171">
        <v>-448.7</v>
      </c>
      <c r="M171" s="2">
        <v>-1035.8599999999999</v>
      </c>
      <c r="N171">
        <v>-552.52</v>
      </c>
      <c r="O171">
        <v>-369.62</v>
      </c>
      <c r="P171">
        <v>-452.71</v>
      </c>
      <c r="Q171">
        <v>-505.95</v>
      </c>
      <c r="R171">
        <v>-579.26</v>
      </c>
      <c r="S171">
        <v>-618.9</v>
      </c>
      <c r="T171">
        <v>-612.72</v>
      </c>
      <c r="U171">
        <v>-641.13</v>
      </c>
    </row>
    <row r="172" spans="1:21" x14ac:dyDescent="0.25">
      <c r="A172" t="s">
        <v>17</v>
      </c>
    </row>
    <row r="173" spans="1:21" x14ac:dyDescent="0.25">
      <c r="A173" t="s">
        <v>214</v>
      </c>
    </row>
    <row r="174" spans="1:21" x14ac:dyDescent="0.25">
      <c r="A174" t="s">
        <v>3075</v>
      </c>
      <c r="B174">
        <v>-245.94</v>
      </c>
      <c r="C174">
        <v>-347.68</v>
      </c>
      <c r="D174">
        <v>-291.11</v>
      </c>
      <c r="E174">
        <v>-215.14</v>
      </c>
      <c r="F174">
        <v>-225.06</v>
      </c>
      <c r="G174">
        <v>-233.89</v>
      </c>
      <c r="H174">
        <v>-331.19</v>
      </c>
      <c r="I174">
        <v>-369</v>
      </c>
      <c r="J174">
        <v>-43.18</v>
      </c>
      <c r="K174">
        <v>-1</v>
      </c>
      <c r="L174">
        <v>0</v>
      </c>
      <c r="M174" s="2">
        <v>-1060.0999999999999</v>
      </c>
      <c r="N174" s="2">
        <v>-1023</v>
      </c>
      <c r="O174">
        <v>-297</v>
      </c>
    </row>
    <row r="175" spans="1:21" x14ac:dyDescent="0.25">
      <c r="A175" t="s">
        <v>3076</v>
      </c>
      <c r="B175">
        <v>262.13</v>
      </c>
      <c r="C175">
        <v>337.22</v>
      </c>
      <c r="D175">
        <v>249.99</v>
      </c>
      <c r="E175">
        <v>185.29</v>
      </c>
      <c r="F175">
        <v>260.91000000000003</v>
      </c>
      <c r="G175">
        <v>210.89</v>
      </c>
      <c r="H175">
        <v>357.12</v>
      </c>
      <c r="I175">
        <v>323.07</v>
      </c>
      <c r="J175">
        <v>43.18</v>
      </c>
      <c r="K175">
        <v>1</v>
      </c>
      <c r="L175">
        <v>0</v>
      </c>
      <c r="M175" s="2">
        <v>1254.0999999999999</v>
      </c>
      <c r="N175">
        <v>992</v>
      </c>
      <c r="O175">
        <v>104.33</v>
      </c>
      <c r="P175">
        <v>100</v>
      </c>
      <c r="Q175">
        <v>100</v>
      </c>
    </row>
    <row r="176" spans="1:21" x14ac:dyDescent="0.25">
      <c r="A176" t="s">
        <v>3077</v>
      </c>
      <c r="B176">
        <v>4.95</v>
      </c>
      <c r="C176">
        <v>7.62</v>
      </c>
      <c r="D176">
        <v>2.5299999999999998</v>
      </c>
      <c r="E176">
        <v>3.17</v>
      </c>
      <c r="F176">
        <v>4.4800000000000004</v>
      </c>
      <c r="G176">
        <v>4.17</v>
      </c>
      <c r="H176">
        <v>2.93</v>
      </c>
      <c r="I176">
        <v>3.79</v>
      </c>
      <c r="J176">
        <v>3.68</v>
      </c>
      <c r="K176">
        <v>4.51</v>
      </c>
      <c r="L176">
        <v>4.88</v>
      </c>
      <c r="M176">
        <v>2.57</v>
      </c>
      <c r="N176">
        <v>2.78</v>
      </c>
      <c r="O176">
        <v>1.04</v>
      </c>
      <c r="P176">
        <v>-10</v>
      </c>
      <c r="Q176">
        <v>-77.67</v>
      </c>
      <c r="R176">
        <v>-400</v>
      </c>
    </row>
    <row r="177" spans="1:21" x14ac:dyDescent="0.25">
      <c r="A177" t="s">
        <v>3078</v>
      </c>
      <c r="F177">
        <v>-1.25</v>
      </c>
      <c r="G177">
        <v>-1.4</v>
      </c>
      <c r="H177">
        <v>-3.47</v>
      </c>
      <c r="I177">
        <v>-3.6</v>
      </c>
      <c r="J177">
        <v>-6.57</v>
      </c>
      <c r="K177">
        <v>-11.75</v>
      </c>
      <c r="L177">
        <v>-9.2200000000000006</v>
      </c>
      <c r="M177">
        <v>-9.11</v>
      </c>
      <c r="N177">
        <v>-8.67</v>
      </c>
      <c r="O177">
        <v>-5.49</v>
      </c>
      <c r="P177">
        <v>0</v>
      </c>
    </row>
    <row r="178" spans="1:21" x14ac:dyDescent="0.25">
      <c r="A178" t="s">
        <v>3079</v>
      </c>
      <c r="B178">
        <v>16.18</v>
      </c>
      <c r="C178">
        <v>-10.46</v>
      </c>
      <c r="D178">
        <v>-41.12</v>
      </c>
      <c r="E178">
        <v>-29.85</v>
      </c>
      <c r="F178">
        <v>23.63</v>
      </c>
      <c r="G178">
        <v>-39.15</v>
      </c>
      <c r="H178">
        <v>7.4</v>
      </c>
      <c r="I178">
        <v>-65.45</v>
      </c>
      <c r="J178">
        <v>-20.57</v>
      </c>
      <c r="K178">
        <v>-19.47</v>
      </c>
      <c r="L178">
        <v>-14.52</v>
      </c>
      <c r="M178">
        <v>183.81</v>
      </c>
      <c r="N178">
        <v>-36.31</v>
      </c>
      <c r="O178">
        <v>-84.74</v>
      </c>
      <c r="P178">
        <v>-35</v>
      </c>
    </row>
    <row r="179" spans="1:21" x14ac:dyDescent="0.25">
      <c r="A179" t="s">
        <v>212</v>
      </c>
      <c r="B179">
        <v>-0.59</v>
      </c>
      <c r="C179">
        <v>-0.28000000000000003</v>
      </c>
      <c r="D179">
        <v>-0.45</v>
      </c>
      <c r="E179">
        <v>-0.65</v>
      </c>
      <c r="F179">
        <v>0</v>
      </c>
      <c r="G179">
        <v>-16.149999999999999</v>
      </c>
      <c r="H179">
        <v>-19.18</v>
      </c>
      <c r="I179">
        <v>-23.13</v>
      </c>
      <c r="J179">
        <v>-27.14</v>
      </c>
      <c r="K179">
        <v>-19.47</v>
      </c>
      <c r="L179">
        <v>-1.56</v>
      </c>
      <c r="M179">
        <v>-1.85</v>
      </c>
      <c r="N179">
        <v>0</v>
      </c>
      <c r="O179">
        <v>-5.49</v>
      </c>
    </row>
    <row r="180" spans="1:21" x14ac:dyDescent="0.25">
      <c r="A180" t="s">
        <v>218</v>
      </c>
      <c r="B180">
        <v>20.55</v>
      </c>
      <c r="C180">
        <v>-3.12</v>
      </c>
      <c r="D180">
        <v>-39.04</v>
      </c>
      <c r="E180">
        <v>-27.33</v>
      </c>
      <c r="F180">
        <v>26.86</v>
      </c>
      <c r="G180">
        <v>-36.380000000000003</v>
      </c>
      <c r="H180">
        <v>6.21</v>
      </c>
      <c r="I180">
        <v>-65.27</v>
      </c>
      <c r="J180">
        <v>-23.46</v>
      </c>
      <c r="K180">
        <v>-26.71</v>
      </c>
      <c r="L180">
        <v>-20.420000000000002</v>
      </c>
      <c r="M180">
        <v>175.42</v>
      </c>
      <c r="N180">
        <v>-42.2</v>
      </c>
      <c r="O180">
        <v>-85.5</v>
      </c>
      <c r="P180">
        <v>-52.93</v>
      </c>
      <c r="Q180">
        <v>-97.28</v>
      </c>
      <c r="R180">
        <v>-400</v>
      </c>
    </row>
    <row r="181" spans="1:21" x14ac:dyDescent="0.25">
      <c r="A181" t="s">
        <v>17</v>
      </c>
    </row>
    <row r="182" spans="1:21" x14ac:dyDescent="0.25">
      <c r="A182" t="s">
        <v>176</v>
      </c>
    </row>
    <row r="183" spans="1:21" x14ac:dyDescent="0.25">
      <c r="A183" t="s">
        <v>220</v>
      </c>
      <c r="B183">
        <v>-0.16</v>
      </c>
      <c r="C183">
        <v>4.21</v>
      </c>
      <c r="D183">
        <v>-4.24</v>
      </c>
      <c r="E183">
        <v>1.42</v>
      </c>
      <c r="F183">
        <v>3.18</v>
      </c>
      <c r="G183">
        <v>-2.5299999999999998</v>
      </c>
      <c r="H183">
        <v>-1.95</v>
      </c>
      <c r="I183">
        <v>25.06</v>
      </c>
      <c r="J183">
        <v>81.28</v>
      </c>
      <c r="K183">
        <v>80.8</v>
      </c>
      <c r="L183">
        <v>108.83</v>
      </c>
      <c r="M183">
        <v>-276.74</v>
      </c>
      <c r="N183">
        <v>0.25</v>
      </c>
      <c r="O183">
        <v>143.52000000000001</v>
      </c>
      <c r="P183">
        <v>192.36</v>
      </c>
      <c r="Q183">
        <v>185.33</v>
      </c>
      <c r="R183">
        <v>177.5</v>
      </c>
      <c r="S183">
        <v>351.95</v>
      </c>
      <c r="T183">
        <v>503.95</v>
      </c>
      <c r="U183">
        <v>534.66999999999996</v>
      </c>
    </row>
    <row r="184" spans="1:21" x14ac:dyDescent="0.25">
      <c r="A184" t="s">
        <v>221</v>
      </c>
      <c r="B184">
        <v>0.32</v>
      </c>
      <c r="C184">
        <v>0.16</v>
      </c>
      <c r="D184">
        <v>4.37</v>
      </c>
      <c r="E184">
        <v>0.12</v>
      </c>
      <c r="F184">
        <v>1.54</v>
      </c>
      <c r="G184">
        <v>4.72</v>
      </c>
      <c r="H184">
        <v>2.19</v>
      </c>
      <c r="I184">
        <v>0.25</v>
      </c>
      <c r="J184">
        <v>25.31</v>
      </c>
      <c r="K184">
        <v>106.59</v>
      </c>
      <c r="L184">
        <v>187.39</v>
      </c>
      <c r="M184">
        <v>296.22000000000003</v>
      </c>
      <c r="N184">
        <v>19.47</v>
      </c>
      <c r="O184">
        <v>22.11</v>
      </c>
      <c r="P184">
        <v>166.43</v>
      </c>
      <c r="Q184">
        <v>299.41000000000003</v>
      </c>
      <c r="R184">
        <v>442.93</v>
      </c>
      <c r="S184">
        <v>861.83</v>
      </c>
      <c r="T184" s="2">
        <v>1565.01</v>
      </c>
      <c r="U184" s="2">
        <v>2068.96</v>
      </c>
    </row>
    <row r="185" spans="1:21" x14ac:dyDescent="0.25">
      <c r="A185" t="s">
        <v>222</v>
      </c>
      <c r="B185">
        <v>0.16</v>
      </c>
      <c r="C185">
        <v>4.37</v>
      </c>
      <c r="D185">
        <v>0.12</v>
      </c>
      <c r="E185">
        <v>1.54</v>
      </c>
      <c r="F185">
        <v>4.72</v>
      </c>
      <c r="G185">
        <v>2.19</v>
      </c>
      <c r="H185">
        <v>0.25</v>
      </c>
      <c r="I185">
        <v>25.31</v>
      </c>
      <c r="J185">
        <v>106.59</v>
      </c>
      <c r="K185">
        <v>187.39</v>
      </c>
      <c r="L185">
        <v>296.22000000000003</v>
      </c>
      <c r="M185">
        <v>19.47</v>
      </c>
      <c r="N185">
        <v>19.72</v>
      </c>
      <c r="O185">
        <v>160.75</v>
      </c>
      <c r="P185">
        <v>357.64</v>
      </c>
      <c r="Q185">
        <v>501.49</v>
      </c>
      <c r="R185">
        <v>670.32</v>
      </c>
      <c r="S185" s="2">
        <v>1187.19</v>
      </c>
      <c r="T185" s="2">
        <v>2068.96</v>
      </c>
      <c r="U185" s="2">
        <v>2603.62</v>
      </c>
    </row>
    <row r="186" spans="1:21" x14ac:dyDescent="0.25">
      <c r="A186" t="s">
        <v>178</v>
      </c>
    </row>
    <row r="187" spans="1:21" x14ac:dyDescent="0.25">
      <c r="A187" t="s">
        <v>67</v>
      </c>
      <c r="B187">
        <v>2.9</v>
      </c>
      <c r="C187">
        <v>4.17</v>
      </c>
      <c r="D187">
        <v>3.88</v>
      </c>
      <c r="E187">
        <v>4.5999999999999996</v>
      </c>
      <c r="F187">
        <v>5.08</v>
      </c>
      <c r="G187">
        <v>5.62</v>
      </c>
      <c r="H187">
        <v>6.19</v>
      </c>
      <c r="I187">
        <v>7.54</v>
      </c>
      <c r="J187">
        <v>8.6999999999999993</v>
      </c>
      <c r="K187">
        <v>8.83</v>
      </c>
      <c r="L187">
        <v>11.64</v>
      </c>
      <c r="M187">
        <v>14.24</v>
      </c>
      <c r="N187">
        <v>17.399999999999999</v>
      </c>
      <c r="O187">
        <v>16.38</v>
      </c>
      <c r="P187">
        <v>17.02</v>
      </c>
      <c r="Q187">
        <v>16.579999999999998</v>
      </c>
    </row>
    <row r="188" spans="1:21" x14ac:dyDescent="0.25">
      <c r="A188" t="s">
        <v>3080</v>
      </c>
      <c r="B188">
        <v>-126.36</v>
      </c>
      <c r="C188">
        <v>-97.75</v>
      </c>
      <c r="D188">
        <v>-86.5</v>
      </c>
      <c r="E188">
        <v>-119.37</v>
      </c>
      <c r="F188">
        <v>-186.7</v>
      </c>
      <c r="G188">
        <v>-223.67</v>
      </c>
      <c r="H188">
        <v>-287.66000000000003</v>
      </c>
      <c r="I188">
        <v>-231.14</v>
      </c>
      <c r="J188">
        <v>-285.75</v>
      </c>
      <c r="K188">
        <v>-367.43</v>
      </c>
      <c r="L188">
        <v>-439.88</v>
      </c>
      <c r="M188" s="2">
        <v>-1043.56</v>
      </c>
      <c r="N188">
        <v>-567.64</v>
      </c>
      <c r="O188">
        <v>-379.64</v>
      </c>
      <c r="P188">
        <v>-451.1</v>
      </c>
      <c r="Q188">
        <v>-493.86</v>
      </c>
      <c r="R188">
        <v>-574</v>
      </c>
      <c r="S188">
        <v>-610</v>
      </c>
      <c r="T188">
        <v>-638</v>
      </c>
      <c r="U188">
        <v>-668</v>
      </c>
    </row>
    <row r="189" spans="1:21" x14ac:dyDescent="0.25">
      <c r="A189" t="s">
        <v>61</v>
      </c>
      <c r="B189">
        <v>11.09</v>
      </c>
      <c r="C189">
        <v>7.68</v>
      </c>
      <c r="D189">
        <v>7.08</v>
      </c>
      <c r="E189">
        <v>9.8000000000000007</v>
      </c>
      <c r="F189">
        <v>13.29</v>
      </c>
      <c r="G189">
        <v>13.52</v>
      </c>
      <c r="H189">
        <v>16.100000000000001</v>
      </c>
      <c r="I189">
        <v>12.68</v>
      </c>
      <c r="J189">
        <v>12.49</v>
      </c>
      <c r="K189">
        <v>13.16</v>
      </c>
      <c r="L189">
        <v>15.27</v>
      </c>
      <c r="M189">
        <v>32.520000000000003</v>
      </c>
      <c r="N189">
        <v>17.55</v>
      </c>
      <c r="O189">
        <v>10.75</v>
      </c>
      <c r="P189">
        <v>12.04</v>
      </c>
      <c r="Q189">
        <v>13.35</v>
      </c>
      <c r="R189">
        <v>13.29</v>
      </c>
      <c r="S189">
        <v>13.2</v>
      </c>
      <c r="T189">
        <v>12.66</v>
      </c>
      <c r="U189">
        <v>12.66</v>
      </c>
    </row>
    <row r="190" spans="1:21" x14ac:dyDescent="0.25">
      <c r="A190" t="s">
        <v>224</v>
      </c>
      <c r="B190">
        <v>4.1900000000000004</v>
      </c>
      <c r="C190">
        <v>4.17</v>
      </c>
      <c r="D190">
        <v>5.73</v>
      </c>
      <c r="E190">
        <v>5.85</v>
      </c>
      <c r="F190">
        <v>6.19</v>
      </c>
      <c r="G190">
        <v>9.9499999999999993</v>
      </c>
      <c r="H190">
        <v>10.51</v>
      </c>
      <c r="I190">
        <v>11.83</v>
      </c>
      <c r="J190">
        <v>14.54</v>
      </c>
      <c r="K190">
        <v>17.84</v>
      </c>
      <c r="L190">
        <v>21.7</v>
      </c>
      <c r="M190">
        <v>21.87</v>
      </c>
      <c r="N190">
        <v>22.25</v>
      </c>
      <c r="O190">
        <v>22.21</v>
      </c>
      <c r="P190">
        <v>25.78</v>
      </c>
      <c r="Q190">
        <v>29.17</v>
      </c>
    </row>
    <row r="191" spans="1:21" x14ac:dyDescent="0.25">
      <c r="A191" t="s">
        <v>225</v>
      </c>
      <c r="B191">
        <v>-25.05</v>
      </c>
      <c r="C191">
        <v>4.42</v>
      </c>
      <c r="D191">
        <v>56.22</v>
      </c>
      <c r="E191">
        <v>27.06</v>
      </c>
      <c r="F191">
        <v>-28.85</v>
      </c>
      <c r="G191">
        <v>32.76</v>
      </c>
      <c r="H191">
        <v>-14.78</v>
      </c>
      <c r="I191">
        <v>78</v>
      </c>
      <c r="J191">
        <v>96.85</v>
      </c>
      <c r="K191">
        <v>105.6</v>
      </c>
      <c r="L191">
        <v>138.07</v>
      </c>
      <c r="M191">
        <v>-459.86</v>
      </c>
      <c r="N191">
        <v>27.33</v>
      </c>
      <c r="O191">
        <v>226.89</v>
      </c>
      <c r="P191">
        <v>239.72</v>
      </c>
      <c r="Q191">
        <v>259.48</v>
      </c>
      <c r="R191">
        <v>309.37</v>
      </c>
      <c r="S191">
        <v>357.9</v>
      </c>
      <c r="T191">
        <v>503.95</v>
      </c>
      <c r="U191">
        <v>534.66999999999996</v>
      </c>
    </row>
    <row r="192" spans="1:21" x14ac:dyDescent="0.25">
      <c r="A192" t="s">
        <v>228</v>
      </c>
      <c r="B192">
        <v>-2.2000000000000002</v>
      </c>
      <c r="C192">
        <v>0.35</v>
      </c>
      <c r="D192">
        <v>4.5999999999999996</v>
      </c>
      <c r="E192">
        <v>2.2200000000000002</v>
      </c>
      <c r="F192">
        <v>-2.0499999999999998</v>
      </c>
      <c r="G192">
        <v>1.98</v>
      </c>
      <c r="H192">
        <v>-0.83</v>
      </c>
      <c r="I192">
        <v>4.28</v>
      </c>
      <c r="J192">
        <v>4.2300000000000004</v>
      </c>
      <c r="K192">
        <v>3.78</v>
      </c>
      <c r="L192">
        <v>4.79</v>
      </c>
      <c r="M192">
        <v>-14.33</v>
      </c>
      <c r="N192">
        <v>0.85</v>
      </c>
      <c r="O192">
        <v>6.19</v>
      </c>
      <c r="P192">
        <v>6.2</v>
      </c>
      <c r="Q192">
        <v>4.88</v>
      </c>
      <c r="R192">
        <v>5.67</v>
      </c>
      <c r="S192">
        <v>6.42</v>
      </c>
    </row>
    <row r="193" spans="1:21" x14ac:dyDescent="0.25">
      <c r="A193" t="s">
        <v>227</v>
      </c>
      <c r="B193">
        <v>-0.99</v>
      </c>
      <c r="C193">
        <v>0.17</v>
      </c>
      <c r="D193">
        <v>2.21</v>
      </c>
      <c r="E193">
        <v>1.05</v>
      </c>
      <c r="F193">
        <v>-1.1100000000000001</v>
      </c>
      <c r="G193">
        <v>1.25</v>
      </c>
      <c r="H193">
        <v>-0.56000000000000005</v>
      </c>
      <c r="I193">
        <v>2.93</v>
      </c>
      <c r="J193">
        <v>3.63</v>
      </c>
      <c r="K193">
        <v>3.96</v>
      </c>
      <c r="L193">
        <v>5.16</v>
      </c>
      <c r="M193">
        <v>-17.16</v>
      </c>
      <c r="N193">
        <v>1.02</v>
      </c>
      <c r="O193">
        <v>8.65</v>
      </c>
      <c r="P193">
        <v>9.34</v>
      </c>
      <c r="Q193">
        <v>10.72</v>
      </c>
      <c r="R193">
        <v>9.31</v>
      </c>
      <c r="S193">
        <v>11.25</v>
      </c>
    </row>
    <row r="194" spans="1:21" x14ac:dyDescent="0.25">
      <c r="A194" t="s">
        <v>3081</v>
      </c>
      <c r="B194">
        <v>-20.89</v>
      </c>
      <c r="C194">
        <v>7.34</v>
      </c>
      <c r="D194">
        <v>58.84</v>
      </c>
      <c r="E194">
        <v>29.88</v>
      </c>
      <c r="G194">
        <v>36.950000000000003</v>
      </c>
      <c r="H194">
        <v>-9.59</v>
      </c>
      <c r="I194">
        <v>82.07</v>
      </c>
      <c r="J194">
        <v>99.29</v>
      </c>
      <c r="K194">
        <v>107.59</v>
      </c>
      <c r="L194">
        <v>140</v>
      </c>
      <c r="M194">
        <v>-453.06</v>
      </c>
      <c r="N194">
        <v>39.76</v>
      </c>
      <c r="O194">
        <v>225.58</v>
      </c>
      <c r="P194">
        <v>244.37</v>
      </c>
      <c r="Q194">
        <v>285.97000000000003</v>
      </c>
      <c r="R194">
        <v>378.55</v>
      </c>
      <c r="S194">
        <v>423.35</v>
      </c>
      <c r="T194">
        <v>503.95</v>
      </c>
      <c r="U194">
        <v>534.66999999999996</v>
      </c>
    </row>
    <row r="195" spans="1:21" x14ac:dyDescent="0.25">
      <c r="A195" t="s">
        <v>17</v>
      </c>
    </row>
    <row r="196" spans="1:21" x14ac:dyDescent="0.25">
      <c r="A196" t="s">
        <v>231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2733-968C-49BD-88BB-313CD32EAD44}">
  <dimension ref="A1:U245"/>
  <sheetViews>
    <sheetView workbookViewId="0">
      <selection sqref="A1:U245"/>
    </sheetView>
  </sheetViews>
  <sheetFormatPr defaultRowHeight="15" x14ac:dyDescent="0.25"/>
  <sheetData>
    <row r="1" spans="1:21" x14ac:dyDescent="0.25">
      <c r="A1" t="s">
        <v>3082</v>
      </c>
    </row>
    <row r="2" spans="1:21" x14ac:dyDescent="0.25">
      <c r="A2" t="s">
        <v>3083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-0.28999999999999998</v>
      </c>
      <c r="C6">
        <v>0.22</v>
      </c>
      <c r="D6">
        <v>0.17</v>
      </c>
      <c r="E6">
        <v>0.26</v>
      </c>
      <c r="F6">
        <v>0.93</v>
      </c>
      <c r="G6">
        <v>1.43</v>
      </c>
      <c r="H6">
        <v>1.1499999999999999</v>
      </c>
      <c r="I6">
        <v>1.21</v>
      </c>
      <c r="J6">
        <v>2.16</v>
      </c>
      <c r="K6">
        <v>4.1900000000000004</v>
      </c>
      <c r="L6">
        <v>4.46</v>
      </c>
      <c r="M6">
        <v>1.66</v>
      </c>
      <c r="N6">
        <v>0.53</v>
      </c>
      <c r="O6">
        <v>1.36</v>
      </c>
      <c r="P6">
        <v>2.69</v>
      </c>
      <c r="Q6">
        <v>3.75</v>
      </c>
      <c r="R6">
        <v>4.5599999999999996</v>
      </c>
      <c r="S6">
        <v>5.63</v>
      </c>
      <c r="T6">
        <v>6.04</v>
      </c>
      <c r="U6">
        <v>5.89</v>
      </c>
    </row>
    <row r="7" spans="1:21" x14ac:dyDescent="0.25">
      <c r="A7" t="s">
        <v>16</v>
      </c>
      <c r="B7" s="2">
        <v>8050</v>
      </c>
      <c r="C7" s="2">
        <v>7335</v>
      </c>
      <c r="D7" s="2">
        <v>6897</v>
      </c>
      <c r="E7" s="2">
        <v>6973</v>
      </c>
      <c r="F7" s="2">
        <v>8347</v>
      </c>
      <c r="G7" s="2">
        <v>9664</v>
      </c>
      <c r="H7" s="2">
        <v>9556</v>
      </c>
      <c r="I7" s="2">
        <v>10219</v>
      </c>
      <c r="J7" s="2">
        <v>12761</v>
      </c>
      <c r="K7" s="2">
        <v>16128</v>
      </c>
      <c r="L7" s="2">
        <v>17286</v>
      </c>
      <c r="M7" s="2">
        <v>13269</v>
      </c>
      <c r="N7" s="2">
        <v>11800</v>
      </c>
      <c r="O7" s="2">
        <v>14406.54</v>
      </c>
      <c r="P7" s="2">
        <v>17140.5</v>
      </c>
      <c r="Q7" s="2">
        <v>19422.5</v>
      </c>
      <c r="R7" s="2">
        <v>20773.2</v>
      </c>
      <c r="S7" s="2">
        <v>23074.25</v>
      </c>
      <c r="T7" s="2">
        <v>21469</v>
      </c>
      <c r="U7" s="2">
        <v>21173</v>
      </c>
    </row>
    <row r="8" spans="1:21" x14ac:dyDescent="0.25">
      <c r="A8" t="s">
        <v>17</v>
      </c>
    </row>
    <row r="9" spans="1:21" x14ac:dyDescent="0.25">
      <c r="A9" t="s">
        <v>3084</v>
      </c>
    </row>
    <row r="10" spans="1:21" x14ac:dyDescent="0.25">
      <c r="A10" t="s">
        <v>3085</v>
      </c>
      <c r="M10" s="2">
        <v>7890</v>
      </c>
      <c r="N10" s="2">
        <v>6770</v>
      </c>
      <c r="O10" s="2">
        <v>7637.76</v>
      </c>
      <c r="P10" s="2">
        <v>8574.64</v>
      </c>
      <c r="Q10" s="2">
        <v>9337.44</v>
      </c>
      <c r="R10" s="2">
        <v>9887.51</v>
      </c>
      <c r="S10" s="2">
        <v>10713.41</v>
      </c>
      <c r="T10" s="2">
        <v>9703.58</v>
      </c>
      <c r="U10" s="2">
        <v>10031.780000000001</v>
      </c>
    </row>
    <row r="11" spans="1:21" x14ac:dyDescent="0.25">
      <c r="A11" t="s">
        <v>3086</v>
      </c>
      <c r="K11" s="2">
        <v>4911</v>
      </c>
      <c r="L11" s="2">
        <v>3991</v>
      </c>
      <c r="M11" s="2">
        <v>4764</v>
      </c>
      <c r="N11" s="2">
        <v>5085</v>
      </c>
      <c r="O11" s="2">
        <v>5735.38</v>
      </c>
      <c r="P11" s="2">
        <v>6419.05</v>
      </c>
      <c r="Q11" s="2">
        <v>7073.35</v>
      </c>
      <c r="R11" s="2">
        <v>7120.69</v>
      </c>
      <c r="S11" s="2">
        <v>7562.46</v>
      </c>
      <c r="T11" s="2">
        <v>6857.51</v>
      </c>
      <c r="U11" s="2">
        <v>6995.93</v>
      </c>
    </row>
    <row r="12" spans="1:21" x14ac:dyDescent="0.25">
      <c r="A12" t="s">
        <v>3087</v>
      </c>
      <c r="M12" s="2">
        <v>3126</v>
      </c>
      <c r="N12" s="2">
        <v>1685</v>
      </c>
      <c r="O12" s="2">
        <v>1847.67</v>
      </c>
      <c r="P12" s="2">
        <v>2158.5</v>
      </c>
      <c r="Q12" s="2">
        <v>2394.54</v>
      </c>
      <c r="R12" s="2">
        <v>2615.5</v>
      </c>
      <c r="S12" s="2">
        <v>2915.19</v>
      </c>
      <c r="T12" s="2">
        <v>2846.07</v>
      </c>
      <c r="U12" s="2">
        <v>3035.85</v>
      </c>
    </row>
    <row r="13" spans="1:21" x14ac:dyDescent="0.25">
      <c r="A13" t="s">
        <v>3088</v>
      </c>
      <c r="M13" s="2">
        <v>5364</v>
      </c>
      <c r="N13" s="2">
        <v>5016</v>
      </c>
      <c r="O13" s="2">
        <v>6665.26</v>
      </c>
      <c r="P13" s="2">
        <v>8378.52</v>
      </c>
      <c r="Q13" s="2">
        <v>9793.44</v>
      </c>
      <c r="R13" s="2">
        <v>10543.5</v>
      </c>
      <c r="S13" s="2">
        <v>11411.74</v>
      </c>
      <c r="T13" s="2">
        <v>11750.39</v>
      </c>
      <c r="U13" s="2">
        <v>11126.05</v>
      </c>
    </row>
    <row r="14" spans="1:21" x14ac:dyDescent="0.25">
      <c r="A14" t="s">
        <v>3089</v>
      </c>
      <c r="M14" s="2">
        <v>3466</v>
      </c>
      <c r="N14" s="2">
        <v>3580</v>
      </c>
      <c r="O14" s="2">
        <v>4632.8599999999997</v>
      </c>
      <c r="P14" s="2">
        <v>5460.72</v>
      </c>
      <c r="Q14" s="2">
        <v>6098.96</v>
      </c>
      <c r="R14" s="2">
        <v>6556.31</v>
      </c>
      <c r="S14" s="2">
        <v>7069.03</v>
      </c>
      <c r="T14" s="2">
        <v>6013.94</v>
      </c>
      <c r="U14" s="2">
        <v>6023.76</v>
      </c>
    </row>
    <row r="15" spans="1:21" x14ac:dyDescent="0.25">
      <c r="A15" t="s">
        <v>3090</v>
      </c>
      <c r="M15" s="2">
        <v>1898</v>
      </c>
      <c r="N15" s="2">
        <v>1436</v>
      </c>
      <c r="O15" s="2">
        <v>1995.75</v>
      </c>
      <c r="P15" s="2">
        <v>2719.77</v>
      </c>
      <c r="Q15" s="2">
        <v>3364.29</v>
      </c>
      <c r="R15" s="2">
        <v>3987.2</v>
      </c>
      <c r="S15" s="2">
        <v>4342.7</v>
      </c>
      <c r="T15" s="2">
        <v>5736.46</v>
      </c>
      <c r="U15" s="2">
        <v>5102.28</v>
      </c>
    </row>
    <row r="16" spans="1:21" x14ac:dyDescent="0.25">
      <c r="A16" t="s">
        <v>17</v>
      </c>
    </row>
    <row r="17" spans="1:21" x14ac:dyDescent="0.25">
      <c r="A17" t="s">
        <v>1072</v>
      </c>
      <c r="B17">
        <v>32.47</v>
      </c>
      <c r="C17">
        <v>34.06</v>
      </c>
      <c r="D17">
        <v>33.799999999999997</v>
      </c>
      <c r="E17">
        <v>35.200000000000003</v>
      </c>
      <c r="F17">
        <v>39.200000000000003</v>
      </c>
      <c r="G17">
        <v>39.950000000000003</v>
      </c>
      <c r="H17">
        <v>38.68</v>
      </c>
      <c r="I17">
        <v>37.1</v>
      </c>
      <c r="J17">
        <v>41.74</v>
      </c>
      <c r="K17">
        <v>47.3</v>
      </c>
      <c r="L17">
        <v>47.94</v>
      </c>
      <c r="M17">
        <v>39.299999999999997</v>
      </c>
      <c r="N17">
        <v>33.89</v>
      </c>
      <c r="O17">
        <v>36.229999999999997</v>
      </c>
      <c r="P17">
        <v>39.75</v>
      </c>
      <c r="Q17">
        <v>43.78</v>
      </c>
      <c r="R17">
        <v>45.96</v>
      </c>
      <c r="S17">
        <v>47.09</v>
      </c>
      <c r="T17">
        <v>50.14</v>
      </c>
      <c r="U17">
        <v>50.14</v>
      </c>
    </row>
    <row r="18" spans="1:21" x14ac:dyDescent="0.25">
      <c r="A18" t="s">
        <v>1299</v>
      </c>
      <c r="B18" s="2">
        <v>1816</v>
      </c>
      <c r="C18" s="2">
        <v>1520</v>
      </c>
      <c r="D18" s="2">
        <v>1425</v>
      </c>
      <c r="E18" s="2">
        <v>1336</v>
      </c>
      <c r="F18" s="2">
        <v>1302</v>
      </c>
      <c r="G18" s="2">
        <v>1398</v>
      </c>
      <c r="H18" s="2">
        <v>1498</v>
      </c>
      <c r="I18" s="2">
        <v>1548</v>
      </c>
      <c r="J18" s="2">
        <v>1723</v>
      </c>
      <c r="K18" s="2">
        <v>1901</v>
      </c>
      <c r="L18" s="2">
        <v>2100</v>
      </c>
      <c r="M18" s="2">
        <v>2077</v>
      </c>
      <c r="N18" s="2">
        <v>2044</v>
      </c>
      <c r="O18" s="2">
        <v>2189.9699999999998</v>
      </c>
      <c r="P18" s="2">
        <v>2300.7600000000002</v>
      </c>
      <c r="Q18" s="2">
        <v>2506.37</v>
      </c>
      <c r="R18" s="2">
        <v>2758.21</v>
      </c>
      <c r="S18" s="2">
        <v>2856.81</v>
      </c>
      <c r="T18" s="2">
        <v>3220.35</v>
      </c>
      <c r="U18" s="2">
        <v>3175.92</v>
      </c>
    </row>
    <row r="19" spans="1:21" x14ac:dyDescent="0.25">
      <c r="A19" t="s">
        <v>29</v>
      </c>
      <c r="B19">
        <v>-173</v>
      </c>
      <c r="C19">
        <v>258</v>
      </c>
      <c r="D19">
        <v>109</v>
      </c>
      <c r="E19">
        <v>214</v>
      </c>
      <c r="F19" s="2">
        <v>1038</v>
      </c>
      <c r="G19" s="2">
        <v>1423</v>
      </c>
      <c r="H19" s="2">
        <v>1208</v>
      </c>
      <c r="I19" s="2">
        <v>1324</v>
      </c>
      <c r="J19" s="2">
        <v>2419</v>
      </c>
      <c r="K19" s="2">
        <v>4439</v>
      </c>
      <c r="L19" s="2">
        <v>4611</v>
      </c>
      <c r="M19" s="2">
        <v>1676</v>
      </c>
      <c r="N19">
        <v>551</v>
      </c>
      <c r="O19" s="2">
        <v>1319.38</v>
      </c>
      <c r="P19" s="2">
        <v>2794.63</v>
      </c>
      <c r="Q19" s="2">
        <v>4237.4799999999996</v>
      </c>
      <c r="R19" s="2">
        <v>4750.2</v>
      </c>
      <c r="S19" s="2">
        <v>5615.25</v>
      </c>
      <c r="T19" s="2">
        <v>6350</v>
      </c>
      <c r="U19" s="2">
        <v>6157</v>
      </c>
    </row>
    <row r="20" spans="1:21" x14ac:dyDescent="0.25">
      <c r="A20" t="s">
        <v>17</v>
      </c>
    </row>
    <row r="21" spans="1:21" x14ac:dyDescent="0.25">
      <c r="A21" t="s">
        <v>242</v>
      </c>
      <c r="B21">
        <v>-543</v>
      </c>
      <c r="C21">
        <v>-505</v>
      </c>
      <c r="D21">
        <v>-529</v>
      </c>
      <c r="E21">
        <v>-611</v>
      </c>
      <c r="F21" s="2">
        <v>-1301</v>
      </c>
      <c r="G21" s="2">
        <v>-1263</v>
      </c>
      <c r="H21" s="2">
        <v>-1181</v>
      </c>
      <c r="I21" s="2">
        <v>-1283</v>
      </c>
      <c r="J21" s="2">
        <v>-1830</v>
      </c>
      <c r="K21" s="2">
        <v>-3528</v>
      </c>
      <c r="L21" s="2">
        <v>-4439</v>
      </c>
      <c r="M21" s="2">
        <v>-2642</v>
      </c>
      <c r="N21" s="2">
        <v>-2111</v>
      </c>
      <c r="O21" s="2">
        <v>-2122.2800000000002</v>
      </c>
      <c r="P21" s="2">
        <v>-2409.33</v>
      </c>
      <c r="Q21" s="2">
        <v>-2436</v>
      </c>
      <c r="R21" s="2">
        <v>-2818.6</v>
      </c>
      <c r="S21" s="2">
        <v>-3020</v>
      </c>
      <c r="T21" s="2">
        <v>-3220</v>
      </c>
      <c r="U21" s="2">
        <v>-3176</v>
      </c>
    </row>
    <row r="22" spans="1:21" x14ac:dyDescent="0.25">
      <c r="A22" t="s">
        <v>36</v>
      </c>
      <c r="C22">
        <v>327</v>
      </c>
      <c r="D22">
        <v>197</v>
      </c>
      <c r="E22">
        <v>316</v>
      </c>
      <c r="F22">
        <v>338</v>
      </c>
      <c r="G22">
        <v>533</v>
      </c>
      <c r="H22">
        <v>497</v>
      </c>
      <c r="I22">
        <v>497</v>
      </c>
      <c r="J22" s="2">
        <v>1120</v>
      </c>
      <c r="K22" s="2">
        <v>1591</v>
      </c>
      <c r="L22" s="2">
        <v>1774</v>
      </c>
      <c r="M22">
        <v>288</v>
      </c>
      <c r="N22">
        <v>265</v>
      </c>
      <c r="O22">
        <v>478.61</v>
      </c>
      <c r="P22" s="2">
        <v>1786.37</v>
      </c>
      <c r="Q22" s="2">
        <v>2734.49</v>
      </c>
      <c r="R22" s="2">
        <v>3871.84</v>
      </c>
      <c r="S22" s="2">
        <v>4583.12</v>
      </c>
      <c r="T22" s="2">
        <v>4308.32</v>
      </c>
      <c r="U22" s="2">
        <v>4328.07</v>
      </c>
    </row>
    <row r="23" spans="1:21" x14ac:dyDescent="0.25">
      <c r="A23" t="s">
        <v>17</v>
      </c>
    </row>
    <row r="24" spans="1:21" x14ac:dyDescent="0.25">
      <c r="A24" t="s">
        <v>37</v>
      </c>
    </row>
    <row r="25" spans="1:21" x14ac:dyDescent="0.25">
      <c r="A25" t="s">
        <v>17</v>
      </c>
    </row>
    <row r="26" spans="1:21" x14ac:dyDescent="0.25">
      <c r="A26" t="s">
        <v>252</v>
      </c>
    </row>
    <row r="27" spans="1:21" x14ac:dyDescent="0.25">
      <c r="A27" t="s">
        <v>3091</v>
      </c>
      <c r="B27">
        <v>89.18</v>
      </c>
      <c r="C27">
        <v>94.41</v>
      </c>
      <c r="D27">
        <v>100.03</v>
      </c>
      <c r="E27">
        <v>95.02</v>
      </c>
      <c r="F27">
        <v>95.94</v>
      </c>
      <c r="G27">
        <v>98.25</v>
      </c>
      <c r="H27">
        <v>105.45</v>
      </c>
      <c r="I27">
        <v>104.79</v>
      </c>
      <c r="J27">
        <v>96.81</v>
      </c>
      <c r="K27">
        <v>111.01</v>
      </c>
      <c r="L27">
        <v>109.43</v>
      </c>
      <c r="M27">
        <v>127.05</v>
      </c>
      <c r="N27">
        <v>146.72999999999999</v>
      </c>
      <c r="O27">
        <v>128.77000000000001</v>
      </c>
      <c r="P27">
        <v>114.01</v>
      </c>
      <c r="Q27">
        <v>113.88</v>
      </c>
      <c r="R27">
        <v>123.33</v>
      </c>
      <c r="S27">
        <v>123.33</v>
      </c>
    </row>
    <row r="28" spans="1:21" x14ac:dyDescent="0.25">
      <c r="A28" t="s">
        <v>3092</v>
      </c>
      <c r="B28">
        <v>47.06</v>
      </c>
      <c r="C28">
        <v>48.68</v>
      </c>
      <c r="D28">
        <v>45.86</v>
      </c>
      <c r="E28">
        <v>46.29</v>
      </c>
      <c r="F28">
        <v>45.87</v>
      </c>
      <c r="G28">
        <v>46.06</v>
      </c>
      <c r="H28">
        <v>50.88</v>
      </c>
      <c r="I28">
        <v>51</v>
      </c>
      <c r="J28">
        <v>46.16</v>
      </c>
      <c r="K28">
        <v>42.46</v>
      </c>
      <c r="L28">
        <v>39.590000000000003</v>
      </c>
      <c r="M28">
        <v>48.77</v>
      </c>
      <c r="N28">
        <v>55.03</v>
      </c>
      <c r="O28">
        <v>51.52</v>
      </c>
      <c r="P28">
        <v>51.02</v>
      </c>
      <c r="Q28">
        <v>51.02</v>
      </c>
      <c r="R28">
        <v>52.52</v>
      </c>
      <c r="S28">
        <v>52.52</v>
      </c>
      <c r="T28">
        <v>52.13</v>
      </c>
      <c r="U28">
        <v>52.13</v>
      </c>
    </row>
    <row r="29" spans="1:21" x14ac:dyDescent="0.25">
      <c r="A29" t="s">
        <v>17</v>
      </c>
    </row>
    <row r="30" spans="1:21" x14ac:dyDescent="0.25">
      <c r="A30" t="s">
        <v>58</v>
      </c>
    </row>
    <row r="31" spans="1:21" x14ac:dyDescent="0.25">
      <c r="A31" t="s">
        <v>17</v>
      </c>
    </row>
    <row r="32" spans="1:21" x14ac:dyDescent="0.25">
      <c r="A32" t="s">
        <v>3093</v>
      </c>
    </row>
    <row r="33" spans="1:21" x14ac:dyDescent="0.25">
      <c r="A33" t="s">
        <v>3085</v>
      </c>
    </row>
    <row r="34" spans="1:21" x14ac:dyDescent="0.25">
      <c r="A34" t="s">
        <v>944</v>
      </c>
      <c r="M34" s="2">
        <v>7890</v>
      </c>
      <c r="N34" s="2">
        <v>6770</v>
      </c>
      <c r="O34" s="2">
        <v>7637.76</v>
      </c>
      <c r="P34" s="2">
        <v>8574.64</v>
      </c>
      <c r="Q34" s="2">
        <v>9337.44</v>
      </c>
      <c r="R34" s="2">
        <v>9887.51</v>
      </c>
      <c r="S34" s="2">
        <v>10713.41</v>
      </c>
      <c r="T34" s="2">
        <v>9703.58</v>
      </c>
      <c r="U34" s="2">
        <v>10031.780000000001</v>
      </c>
    </row>
    <row r="35" spans="1:21" x14ac:dyDescent="0.25">
      <c r="A35" t="s">
        <v>2884</v>
      </c>
      <c r="M35" s="2">
        <v>1138</v>
      </c>
      <c r="N35">
        <v>348</v>
      </c>
      <c r="O35">
        <v>432</v>
      </c>
      <c r="P35">
        <v>968.8</v>
      </c>
      <c r="Q35" s="2">
        <v>1560.06</v>
      </c>
      <c r="R35" s="2">
        <v>1775.52</v>
      </c>
      <c r="S35" s="2">
        <v>1983.76</v>
      </c>
      <c r="T35" s="2">
        <v>1923.83</v>
      </c>
      <c r="U35" s="2">
        <v>2169.98</v>
      </c>
    </row>
    <row r="36" spans="1:21" x14ac:dyDescent="0.25">
      <c r="A36" t="s">
        <v>3094</v>
      </c>
      <c r="M36">
        <v>14.4</v>
      </c>
      <c r="N36">
        <v>14.4</v>
      </c>
      <c r="O36">
        <v>5.64</v>
      </c>
      <c r="P36">
        <v>11.23</v>
      </c>
      <c r="Q36">
        <v>16.38</v>
      </c>
      <c r="R36">
        <v>17.61</v>
      </c>
      <c r="S36">
        <v>18.350000000000001</v>
      </c>
      <c r="T36">
        <v>19.829999999999998</v>
      </c>
      <c r="U36">
        <v>21.63</v>
      </c>
    </row>
    <row r="37" spans="1:21" x14ac:dyDescent="0.25">
      <c r="A37" t="s">
        <v>3095</v>
      </c>
    </row>
    <row r="38" spans="1:21" x14ac:dyDescent="0.25">
      <c r="A38" t="s">
        <v>944</v>
      </c>
      <c r="K38" s="2">
        <v>4911</v>
      </c>
      <c r="L38" s="2">
        <v>3991</v>
      </c>
      <c r="M38" s="2">
        <v>4764</v>
      </c>
      <c r="N38" s="2">
        <v>5085</v>
      </c>
      <c r="O38" s="2">
        <v>5735.38</v>
      </c>
      <c r="P38" s="2">
        <v>6419.05</v>
      </c>
      <c r="Q38" s="2">
        <v>7073.35</v>
      </c>
      <c r="R38" s="2">
        <v>7120.69</v>
      </c>
      <c r="S38" s="2">
        <v>7562.46</v>
      </c>
      <c r="T38" s="2">
        <v>6857.51</v>
      </c>
      <c r="U38" s="2">
        <v>6995.93</v>
      </c>
    </row>
    <row r="39" spans="1:21" x14ac:dyDescent="0.25">
      <c r="A39" t="s">
        <v>2884</v>
      </c>
      <c r="K39" s="2">
        <v>1237</v>
      </c>
      <c r="L39">
        <v>690</v>
      </c>
      <c r="M39">
        <v>680</v>
      </c>
      <c r="N39">
        <v>623</v>
      </c>
      <c r="O39">
        <v>720.33</v>
      </c>
      <c r="P39">
        <v>989.91</v>
      </c>
      <c r="Q39" s="2">
        <v>1301.96</v>
      </c>
      <c r="R39" s="2">
        <v>1480.59</v>
      </c>
      <c r="S39" s="2">
        <v>1604.17</v>
      </c>
      <c r="T39" s="2">
        <v>1349.25</v>
      </c>
      <c r="U39" s="2">
        <v>1453.06</v>
      </c>
    </row>
    <row r="40" spans="1:21" x14ac:dyDescent="0.25">
      <c r="A40" t="s">
        <v>3094</v>
      </c>
      <c r="K40">
        <v>25.2</v>
      </c>
      <c r="L40">
        <v>17.3</v>
      </c>
      <c r="M40">
        <v>14.3</v>
      </c>
      <c r="N40">
        <v>14.3</v>
      </c>
      <c r="O40">
        <v>12.14</v>
      </c>
      <c r="P40">
        <v>14.47</v>
      </c>
      <c r="Q40">
        <v>18.399999999999999</v>
      </c>
      <c r="R40">
        <v>19.89</v>
      </c>
      <c r="S40">
        <v>20.28</v>
      </c>
      <c r="T40">
        <v>19.68</v>
      </c>
      <c r="U40">
        <v>20.77</v>
      </c>
    </row>
    <row r="41" spans="1:21" x14ac:dyDescent="0.25">
      <c r="A41" t="s">
        <v>3096</v>
      </c>
    </row>
    <row r="42" spans="1:21" x14ac:dyDescent="0.25">
      <c r="A42" t="s">
        <v>944</v>
      </c>
      <c r="M42" s="2">
        <v>3126</v>
      </c>
      <c r="N42" s="2">
        <v>1685</v>
      </c>
      <c r="O42" s="2">
        <v>1847.67</v>
      </c>
      <c r="P42" s="2">
        <v>2158.5</v>
      </c>
      <c r="Q42" s="2">
        <v>2394.54</v>
      </c>
      <c r="R42" s="2">
        <v>2615.5</v>
      </c>
      <c r="S42" s="2">
        <v>2915.19</v>
      </c>
      <c r="T42" s="2">
        <v>2846.07</v>
      </c>
      <c r="U42" s="2">
        <v>3035.85</v>
      </c>
    </row>
    <row r="43" spans="1:21" x14ac:dyDescent="0.25">
      <c r="A43" t="s">
        <v>2884</v>
      </c>
      <c r="L43" s="2">
        <v>1006</v>
      </c>
      <c r="M43">
        <v>458</v>
      </c>
      <c r="N43">
        <v>-275</v>
      </c>
      <c r="O43">
        <v>-298.16000000000003</v>
      </c>
      <c r="P43">
        <v>-80.66</v>
      </c>
      <c r="Q43">
        <v>268.02999999999997</v>
      </c>
      <c r="R43">
        <v>294.94</v>
      </c>
      <c r="S43">
        <v>379.6</v>
      </c>
      <c r="T43">
        <v>574.58000000000004</v>
      </c>
      <c r="U43">
        <v>716.91</v>
      </c>
    </row>
    <row r="44" spans="1:21" x14ac:dyDescent="0.25">
      <c r="A44" t="s">
        <v>3094</v>
      </c>
      <c r="M44">
        <v>14.7</v>
      </c>
      <c r="N44">
        <v>14.7</v>
      </c>
      <c r="O44">
        <v>-13.37</v>
      </c>
      <c r="P44">
        <v>-1.24</v>
      </c>
      <c r="Q44">
        <v>11.87</v>
      </c>
      <c r="R44">
        <v>15.24</v>
      </c>
      <c r="S44">
        <v>17.559999999999999</v>
      </c>
      <c r="T44">
        <v>20.190000000000001</v>
      </c>
      <c r="U44">
        <v>23.61</v>
      </c>
    </row>
    <row r="45" spans="1:21" x14ac:dyDescent="0.25">
      <c r="A45" t="s">
        <v>3088</v>
      </c>
    </row>
    <row r="46" spans="1:21" x14ac:dyDescent="0.25">
      <c r="A46" t="s">
        <v>944</v>
      </c>
      <c r="M46" s="2">
        <v>5364</v>
      </c>
      <c r="N46" s="2">
        <v>5016</v>
      </c>
      <c r="O46" s="2">
        <v>6665.26</v>
      </c>
      <c r="P46" s="2">
        <v>8378.52</v>
      </c>
      <c r="Q46" s="2">
        <v>9793.44</v>
      </c>
      <c r="R46" s="2">
        <v>10543.5</v>
      </c>
      <c r="S46" s="2">
        <v>11411.74</v>
      </c>
      <c r="T46" s="2">
        <v>11750.39</v>
      </c>
      <c r="U46" s="2">
        <v>11126.05</v>
      </c>
    </row>
    <row r="47" spans="1:21" x14ac:dyDescent="0.25">
      <c r="A47" t="s">
        <v>2884</v>
      </c>
      <c r="M47" s="2">
        <v>1063</v>
      </c>
      <c r="N47">
        <v>801</v>
      </c>
      <c r="O47" s="2">
        <v>1389.5</v>
      </c>
      <c r="P47" s="2">
        <v>2057.2199999999998</v>
      </c>
      <c r="Q47" s="2">
        <v>2851.46</v>
      </c>
      <c r="R47" s="2">
        <v>3910.69</v>
      </c>
      <c r="S47" s="2">
        <v>4472.45</v>
      </c>
      <c r="T47" s="2">
        <v>5010.42</v>
      </c>
      <c r="U47" s="2">
        <v>4542.16</v>
      </c>
    </row>
    <row r="48" spans="1:21" x14ac:dyDescent="0.25">
      <c r="A48" t="s">
        <v>3094</v>
      </c>
      <c r="M48">
        <v>19.8</v>
      </c>
      <c r="N48">
        <v>19.8</v>
      </c>
      <c r="O48">
        <v>20.72</v>
      </c>
      <c r="P48">
        <v>24.49</v>
      </c>
      <c r="Q48">
        <v>29.24</v>
      </c>
      <c r="R48">
        <v>36.78</v>
      </c>
      <c r="S48">
        <v>39.450000000000003</v>
      </c>
      <c r="T48">
        <v>42.64</v>
      </c>
      <c r="U48">
        <v>40.82</v>
      </c>
    </row>
    <row r="49" spans="1:21" x14ac:dyDescent="0.25">
      <c r="A49" t="s">
        <v>3097</v>
      </c>
    </row>
    <row r="50" spans="1:21" x14ac:dyDescent="0.25">
      <c r="A50" t="s">
        <v>944</v>
      </c>
      <c r="M50" s="2">
        <v>3466</v>
      </c>
      <c r="N50" s="2">
        <v>3580</v>
      </c>
      <c r="O50" s="2">
        <v>4632.8599999999997</v>
      </c>
      <c r="P50" s="2">
        <v>5460.72</v>
      </c>
      <c r="Q50" s="2">
        <v>6098.96</v>
      </c>
      <c r="R50" s="2">
        <v>6556.31</v>
      </c>
      <c r="S50" s="2">
        <v>7069.03</v>
      </c>
      <c r="T50" s="2">
        <v>6013.94</v>
      </c>
      <c r="U50" s="2">
        <v>6023.76</v>
      </c>
    </row>
    <row r="51" spans="1:21" x14ac:dyDescent="0.25">
      <c r="A51" t="s">
        <v>2884</v>
      </c>
      <c r="M51">
        <v>499</v>
      </c>
      <c r="N51">
        <v>536</v>
      </c>
      <c r="O51">
        <v>921.83</v>
      </c>
      <c r="P51" s="2">
        <v>1172.8800000000001</v>
      </c>
      <c r="Q51" s="2">
        <v>1692.74</v>
      </c>
      <c r="R51" s="2">
        <v>1926.06</v>
      </c>
      <c r="S51" s="2">
        <v>2095.25</v>
      </c>
      <c r="T51" s="2">
        <v>1954.41</v>
      </c>
      <c r="U51" s="2">
        <v>1961.78</v>
      </c>
    </row>
    <row r="52" spans="1:21" x14ac:dyDescent="0.25">
      <c r="A52" t="s">
        <v>3094</v>
      </c>
      <c r="M52">
        <v>14.4</v>
      </c>
      <c r="N52">
        <v>14.4</v>
      </c>
      <c r="O52">
        <v>19.829999999999998</v>
      </c>
      <c r="P52">
        <v>21.41</v>
      </c>
      <c r="Q52">
        <v>27.52</v>
      </c>
      <c r="R52">
        <v>31.7</v>
      </c>
      <c r="S52">
        <v>33.22</v>
      </c>
      <c r="T52">
        <v>32.5</v>
      </c>
      <c r="U52">
        <v>32.57</v>
      </c>
    </row>
    <row r="53" spans="1:21" x14ac:dyDescent="0.25">
      <c r="A53" t="s">
        <v>3098</v>
      </c>
    </row>
    <row r="54" spans="1:21" x14ac:dyDescent="0.25">
      <c r="A54" t="s">
        <v>944</v>
      </c>
      <c r="M54" s="2">
        <v>1898</v>
      </c>
      <c r="N54" s="2">
        <v>1436</v>
      </c>
      <c r="O54" s="2">
        <v>1995.75</v>
      </c>
      <c r="P54" s="2">
        <v>2719.77</v>
      </c>
      <c r="Q54" s="2">
        <v>3364.29</v>
      </c>
      <c r="R54" s="2">
        <v>3987.2</v>
      </c>
      <c r="S54" s="2">
        <v>4342.7</v>
      </c>
      <c r="T54" s="2">
        <v>5736.46</v>
      </c>
      <c r="U54" s="2">
        <v>5102.28</v>
      </c>
    </row>
    <row r="55" spans="1:21" x14ac:dyDescent="0.25">
      <c r="A55" t="s">
        <v>2884</v>
      </c>
      <c r="M55">
        <v>564</v>
      </c>
      <c r="N55">
        <v>265</v>
      </c>
      <c r="O55">
        <v>293.66000000000003</v>
      </c>
      <c r="P55">
        <v>677.5</v>
      </c>
      <c r="Q55" s="2">
        <v>1019.56</v>
      </c>
      <c r="R55" s="2">
        <v>1984.63</v>
      </c>
      <c r="S55" s="2">
        <v>2377.19</v>
      </c>
      <c r="T55" s="2">
        <v>3056.01</v>
      </c>
      <c r="U55" s="2">
        <v>2580.39</v>
      </c>
    </row>
    <row r="56" spans="1:21" x14ac:dyDescent="0.25">
      <c r="A56" t="s">
        <v>3094</v>
      </c>
      <c r="M56">
        <v>29.7</v>
      </c>
      <c r="N56">
        <v>29.7</v>
      </c>
      <c r="O56">
        <v>21.13</v>
      </c>
      <c r="P56">
        <v>28.93</v>
      </c>
      <c r="Q56">
        <v>31.88</v>
      </c>
      <c r="R56">
        <v>42.86</v>
      </c>
      <c r="S56">
        <v>46.58</v>
      </c>
      <c r="T56">
        <v>53.27</v>
      </c>
      <c r="U56">
        <v>50.57</v>
      </c>
    </row>
    <row r="57" spans="1:21" x14ac:dyDescent="0.25">
      <c r="A57" t="s">
        <v>2241</v>
      </c>
    </row>
    <row r="58" spans="1:21" x14ac:dyDescent="0.25">
      <c r="A58" t="s">
        <v>944</v>
      </c>
      <c r="B58">
        <v>38</v>
      </c>
      <c r="C58">
        <v>22</v>
      </c>
      <c r="D58">
        <v>23</v>
      </c>
      <c r="E58">
        <v>291</v>
      </c>
      <c r="F58">
        <v>12</v>
      </c>
      <c r="G58">
        <v>14</v>
      </c>
      <c r="H58">
        <v>13</v>
      </c>
      <c r="I58">
        <v>13</v>
      </c>
      <c r="J58">
        <v>22</v>
      </c>
      <c r="K58">
        <v>20</v>
      </c>
      <c r="L58">
        <v>16</v>
      </c>
      <c r="M58">
        <v>15</v>
      </c>
      <c r="N58">
        <v>14</v>
      </c>
      <c r="O58">
        <v>17.38</v>
      </c>
      <c r="P58">
        <v>17.55</v>
      </c>
      <c r="Q58">
        <v>17</v>
      </c>
      <c r="R58">
        <v>16.5</v>
      </c>
      <c r="S58">
        <v>16.5</v>
      </c>
      <c r="T58">
        <v>15</v>
      </c>
      <c r="U58">
        <v>15</v>
      </c>
    </row>
    <row r="59" spans="1:21" x14ac:dyDescent="0.25">
      <c r="A59" t="s">
        <v>2884</v>
      </c>
      <c r="B59">
        <v>-336</v>
      </c>
      <c r="C59">
        <v>-123</v>
      </c>
      <c r="D59">
        <v>-67</v>
      </c>
      <c r="E59">
        <v>-172</v>
      </c>
      <c r="F59">
        <v>-55</v>
      </c>
      <c r="G59">
        <v>-66</v>
      </c>
      <c r="H59">
        <v>-104</v>
      </c>
      <c r="I59">
        <v>-173</v>
      </c>
      <c r="J59">
        <v>-23</v>
      </c>
      <c r="K59">
        <v>-97</v>
      </c>
      <c r="L59" s="2">
        <v>-1420</v>
      </c>
      <c r="M59">
        <v>-525</v>
      </c>
      <c r="N59">
        <v>-974</v>
      </c>
      <c r="O59">
        <v>-671.78</v>
      </c>
      <c r="P59">
        <v>-530.66</v>
      </c>
      <c r="Q59">
        <v>-382.16</v>
      </c>
      <c r="R59">
        <v>-704.7</v>
      </c>
      <c r="S59">
        <v>-722.8</v>
      </c>
      <c r="T59">
        <v>-931.55</v>
      </c>
      <c r="U59">
        <v>-901.71</v>
      </c>
    </row>
    <row r="60" spans="1:21" x14ac:dyDescent="0.25">
      <c r="A60" t="s">
        <v>17</v>
      </c>
    </row>
    <row r="61" spans="1:21" x14ac:dyDescent="0.25">
      <c r="A61" t="s">
        <v>3099</v>
      </c>
    </row>
    <row r="62" spans="1:21" x14ac:dyDescent="0.25">
      <c r="A62" t="s">
        <v>3085</v>
      </c>
      <c r="M62" s="2">
        <v>1138</v>
      </c>
      <c r="N62">
        <v>348</v>
      </c>
      <c r="O62">
        <v>432</v>
      </c>
      <c r="P62">
        <v>968.8</v>
      </c>
      <c r="Q62" s="2">
        <v>1560.06</v>
      </c>
      <c r="R62" s="2">
        <v>1775.52</v>
      </c>
      <c r="S62" s="2">
        <v>1983.76</v>
      </c>
      <c r="T62" s="2">
        <v>1923.83</v>
      </c>
      <c r="U62" s="2">
        <v>2169.98</v>
      </c>
    </row>
    <row r="63" spans="1:21" x14ac:dyDescent="0.25">
      <c r="A63" t="s">
        <v>3086</v>
      </c>
      <c r="K63" s="2">
        <v>1237</v>
      </c>
      <c r="L63">
        <v>690</v>
      </c>
      <c r="M63">
        <v>680</v>
      </c>
      <c r="N63">
        <v>623</v>
      </c>
      <c r="O63">
        <v>720.33</v>
      </c>
      <c r="P63">
        <v>989.91</v>
      </c>
      <c r="Q63" s="2">
        <v>1301.96</v>
      </c>
      <c r="R63" s="2">
        <v>1480.59</v>
      </c>
      <c r="S63" s="2">
        <v>1604.17</v>
      </c>
      <c r="T63" s="2">
        <v>1349.25</v>
      </c>
      <c r="U63" s="2">
        <v>1453.06</v>
      </c>
    </row>
    <row r="64" spans="1:21" x14ac:dyDescent="0.25">
      <c r="A64" t="s">
        <v>3087</v>
      </c>
      <c r="L64" s="2">
        <v>1006</v>
      </c>
      <c r="M64">
        <v>458</v>
      </c>
      <c r="N64">
        <v>-275</v>
      </c>
      <c r="O64">
        <v>-298.16000000000003</v>
      </c>
      <c r="P64">
        <v>-80.66</v>
      </c>
      <c r="Q64">
        <v>268.02999999999997</v>
      </c>
      <c r="R64">
        <v>294.94</v>
      </c>
      <c r="S64">
        <v>379.6</v>
      </c>
      <c r="T64">
        <v>574.58000000000004</v>
      </c>
      <c r="U64">
        <v>716.91</v>
      </c>
    </row>
    <row r="65" spans="1:21" x14ac:dyDescent="0.25">
      <c r="A65" t="s">
        <v>3088</v>
      </c>
      <c r="M65" s="2">
        <v>1063</v>
      </c>
      <c r="N65">
        <v>801</v>
      </c>
      <c r="O65" s="2">
        <v>1389.5</v>
      </c>
      <c r="P65" s="2">
        <v>2057.2199999999998</v>
      </c>
      <c r="Q65" s="2">
        <v>2851.46</v>
      </c>
      <c r="R65" s="2">
        <v>3910.69</v>
      </c>
      <c r="S65" s="2">
        <v>4472.45</v>
      </c>
      <c r="T65" s="2">
        <v>5010.42</v>
      </c>
      <c r="U65" s="2">
        <v>4542.16</v>
      </c>
    </row>
    <row r="66" spans="1:21" x14ac:dyDescent="0.25">
      <c r="A66" t="s">
        <v>3089</v>
      </c>
      <c r="M66">
        <v>499</v>
      </c>
      <c r="N66">
        <v>536</v>
      </c>
      <c r="O66">
        <v>921.83</v>
      </c>
      <c r="P66" s="2">
        <v>1172.8800000000001</v>
      </c>
      <c r="Q66" s="2">
        <v>1692.74</v>
      </c>
      <c r="R66" s="2">
        <v>1926.06</v>
      </c>
      <c r="S66" s="2">
        <v>2095.25</v>
      </c>
      <c r="T66" s="2">
        <v>1954.41</v>
      </c>
      <c r="U66" s="2">
        <v>1961.78</v>
      </c>
    </row>
    <row r="67" spans="1:21" x14ac:dyDescent="0.25">
      <c r="A67" t="s">
        <v>3090</v>
      </c>
      <c r="M67">
        <v>564</v>
      </c>
      <c r="N67">
        <v>265</v>
      </c>
      <c r="O67">
        <v>293.66000000000003</v>
      </c>
      <c r="P67">
        <v>677.5</v>
      </c>
      <c r="Q67" s="2">
        <v>1019.56</v>
      </c>
      <c r="R67" s="2">
        <v>1984.63</v>
      </c>
      <c r="S67" s="2">
        <v>2377.19</v>
      </c>
      <c r="T67" s="2">
        <v>3056.01</v>
      </c>
      <c r="U67" s="2">
        <v>2580.39</v>
      </c>
    </row>
    <row r="68" spans="1:21" x14ac:dyDescent="0.25">
      <c r="A68" t="s">
        <v>17</v>
      </c>
    </row>
    <row r="69" spans="1:21" x14ac:dyDescent="0.25">
      <c r="A69" t="s">
        <v>3100</v>
      </c>
    </row>
    <row r="70" spans="1:21" x14ac:dyDescent="0.25">
      <c r="A70" t="s">
        <v>3101</v>
      </c>
    </row>
    <row r="71" spans="1:21" x14ac:dyDescent="0.25">
      <c r="A71" t="s">
        <v>944</v>
      </c>
      <c r="E71" s="2">
        <v>2813</v>
      </c>
      <c r="F71" s="2">
        <v>3059</v>
      </c>
      <c r="G71" s="2">
        <v>3556</v>
      </c>
      <c r="H71" s="2">
        <v>3606</v>
      </c>
      <c r="I71" s="2">
        <v>3284</v>
      </c>
      <c r="J71" s="2">
        <v>4350</v>
      </c>
      <c r="K71" s="2">
        <v>5969</v>
      </c>
      <c r="L71" s="2">
        <v>7848</v>
      </c>
      <c r="O71" s="2">
        <v>9738.65</v>
      </c>
      <c r="P71" s="2">
        <v>10741.72</v>
      </c>
      <c r="Q71" s="2">
        <v>11638.77</v>
      </c>
      <c r="R71" s="2">
        <v>15544.1</v>
      </c>
      <c r="S71" s="2">
        <v>17024.18</v>
      </c>
    </row>
    <row r="72" spans="1:21" x14ac:dyDescent="0.25">
      <c r="A72" t="s">
        <v>2884</v>
      </c>
      <c r="E72">
        <v>211</v>
      </c>
      <c r="F72">
        <v>291</v>
      </c>
      <c r="G72">
        <v>431</v>
      </c>
      <c r="H72">
        <v>357</v>
      </c>
      <c r="I72">
        <v>182</v>
      </c>
      <c r="J72">
        <v>512</v>
      </c>
      <c r="K72" s="2">
        <v>1469</v>
      </c>
      <c r="L72" s="2">
        <v>2497</v>
      </c>
      <c r="O72" s="2">
        <v>2965.28</v>
      </c>
      <c r="P72" s="2">
        <v>3264.78</v>
      </c>
      <c r="Q72" s="2">
        <v>3370</v>
      </c>
    </row>
    <row r="73" spans="1:21" x14ac:dyDescent="0.25">
      <c r="A73" t="s">
        <v>3094</v>
      </c>
      <c r="E73">
        <v>7.5</v>
      </c>
      <c r="F73">
        <v>9.5</v>
      </c>
      <c r="G73">
        <v>12.1</v>
      </c>
      <c r="H73">
        <v>9.9</v>
      </c>
      <c r="I73">
        <v>5.5</v>
      </c>
      <c r="K73">
        <v>24.6</v>
      </c>
      <c r="L73">
        <v>31.8</v>
      </c>
      <c r="O73">
        <v>28.82</v>
      </c>
      <c r="P73">
        <v>29.08</v>
      </c>
      <c r="Q73">
        <v>28.71</v>
      </c>
    </row>
    <row r="74" spans="1:21" x14ac:dyDescent="0.25">
      <c r="A74" t="s">
        <v>3095</v>
      </c>
    </row>
    <row r="75" spans="1:21" x14ac:dyDescent="0.25">
      <c r="A75" t="s">
        <v>944</v>
      </c>
      <c r="F75" s="2">
        <v>2630</v>
      </c>
      <c r="G75" s="2">
        <v>3154</v>
      </c>
      <c r="H75" s="2">
        <v>3299</v>
      </c>
      <c r="I75" s="2">
        <v>3892</v>
      </c>
      <c r="J75" s="2">
        <v>4623</v>
      </c>
      <c r="O75" s="2">
        <v>3949.99</v>
      </c>
      <c r="P75" s="2">
        <v>4162.2</v>
      </c>
      <c r="Q75" s="2">
        <v>4481.33</v>
      </c>
    </row>
    <row r="76" spans="1:21" x14ac:dyDescent="0.25">
      <c r="A76" t="s">
        <v>2884</v>
      </c>
      <c r="F76">
        <v>364</v>
      </c>
      <c r="G76">
        <v>488</v>
      </c>
      <c r="H76">
        <v>596</v>
      </c>
      <c r="I76">
        <v>810</v>
      </c>
      <c r="J76" s="2">
        <v>1015</v>
      </c>
      <c r="O76">
        <v>758.96</v>
      </c>
      <c r="P76">
        <v>846.73</v>
      </c>
      <c r="Q76" s="2">
        <v>1047.1099999999999</v>
      </c>
      <c r="R76">
        <v>957.19</v>
      </c>
      <c r="S76">
        <v>972.46</v>
      </c>
    </row>
    <row r="77" spans="1:21" x14ac:dyDescent="0.25">
      <c r="A77" t="s">
        <v>3094</v>
      </c>
      <c r="F77">
        <v>14</v>
      </c>
      <c r="G77">
        <v>15.5</v>
      </c>
      <c r="H77">
        <v>18.100000000000001</v>
      </c>
      <c r="I77">
        <v>20.8</v>
      </c>
      <c r="O77">
        <v>16.7</v>
      </c>
      <c r="P77">
        <v>16.7</v>
      </c>
      <c r="Q77">
        <v>15.23</v>
      </c>
      <c r="R77">
        <v>14.69</v>
      </c>
      <c r="S77">
        <v>14.69</v>
      </c>
    </row>
    <row r="78" spans="1:21" x14ac:dyDescent="0.25">
      <c r="A78" t="s">
        <v>3102</v>
      </c>
    </row>
    <row r="79" spans="1:21" x14ac:dyDescent="0.25">
      <c r="A79" t="s">
        <v>944</v>
      </c>
      <c r="E79" s="2">
        <v>2285</v>
      </c>
      <c r="F79" s="2">
        <v>2646</v>
      </c>
      <c r="G79" s="2">
        <v>2940</v>
      </c>
      <c r="H79" s="2">
        <v>2638</v>
      </c>
      <c r="I79" s="2">
        <v>3030</v>
      </c>
      <c r="J79" s="2">
        <v>3766</v>
      </c>
      <c r="K79" s="2">
        <v>5228</v>
      </c>
      <c r="L79" s="2">
        <v>5431</v>
      </c>
      <c r="O79" s="2">
        <v>5725.18</v>
      </c>
      <c r="P79" s="2">
        <v>6095.62</v>
      </c>
      <c r="Q79" s="2">
        <v>6347.19</v>
      </c>
    </row>
    <row r="80" spans="1:21" x14ac:dyDescent="0.25">
      <c r="A80" t="s">
        <v>2884</v>
      </c>
      <c r="E80">
        <v>108</v>
      </c>
      <c r="F80">
        <v>405</v>
      </c>
      <c r="G80">
        <v>547</v>
      </c>
      <c r="H80">
        <v>354</v>
      </c>
      <c r="I80">
        <v>504</v>
      </c>
      <c r="J80">
        <v>915</v>
      </c>
      <c r="K80" s="2">
        <v>1830</v>
      </c>
      <c r="L80" s="2">
        <v>1838</v>
      </c>
      <c r="O80" s="2">
        <v>1466.32</v>
      </c>
      <c r="P80" s="2">
        <v>1644.82</v>
      </c>
      <c r="Q80" s="2">
        <v>1765.79</v>
      </c>
    </row>
    <row r="81" spans="1:19" x14ac:dyDescent="0.25">
      <c r="A81" t="s">
        <v>3094</v>
      </c>
      <c r="E81">
        <v>4.7</v>
      </c>
      <c r="F81">
        <v>15.2</v>
      </c>
      <c r="G81">
        <v>18.600000000000001</v>
      </c>
      <c r="H81">
        <v>13.4</v>
      </c>
      <c r="I81">
        <v>16.600000000000001</v>
      </c>
      <c r="K81">
        <v>35</v>
      </c>
      <c r="L81">
        <v>33.799999999999997</v>
      </c>
      <c r="O81">
        <v>9.26</v>
      </c>
      <c r="P81">
        <v>15.38</v>
      </c>
      <c r="Q81">
        <v>20.440000000000001</v>
      </c>
      <c r="R81">
        <v>15.65</v>
      </c>
      <c r="S81">
        <v>15.6</v>
      </c>
    </row>
    <row r="82" spans="1:19" x14ac:dyDescent="0.25">
      <c r="A82" t="s">
        <v>17</v>
      </c>
    </row>
    <row r="83" spans="1:19" x14ac:dyDescent="0.25">
      <c r="A83" t="s">
        <v>72</v>
      </c>
    </row>
    <row r="84" spans="1:19" x14ac:dyDescent="0.25">
      <c r="A84" t="s">
        <v>16</v>
      </c>
    </row>
    <row r="85" spans="1:19" x14ac:dyDescent="0.25">
      <c r="A85" t="s">
        <v>644</v>
      </c>
      <c r="B85" s="2">
        <v>1958</v>
      </c>
      <c r="C85" s="2">
        <v>1938</v>
      </c>
      <c r="D85" s="2">
        <v>1807</v>
      </c>
      <c r="E85" s="2">
        <v>1874</v>
      </c>
      <c r="F85" s="2">
        <v>2142</v>
      </c>
      <c r="G85" s="2">
        <v>2478</v>
      </c>
      <c r="H85" s="2">
        <v>2265</v>
      </c>
      <c r="I85" s="2">
        <v>1966</v>
      </c>
      <c r="J85" s="2">
        <v>2557</v>
      </c>
      <c r="K85" s="2">
        <v>3619</v>
      </c>
      <c r="L85" s="2">
        <v>4836</v>
      </c>
      <c r="M85" s="2">
        <v>3329</v>
      </c>
      <c r="N85" s="2">
        <v>3068</v>
      </c>
      <c r="O85" s="2">
        <v>4729.5600000000004</v>
      </c>
      <c r="P85" s="2">
        <v>5647.95</v>
      </c>
      <c r="Q85" s="2">
        <v>6347.55</v>
      </c>
    </row>
    <row r="86" spans="1:19" x14ac:dyDescent="0.25">
      <c r="A86" t="s">
        <v>1774</v>
      </c>
      <c r="E86" s="2">
        <v>4047</v>
      </c>
      <c r="F86" s="2">
        <v>5120</v>
      </c>
      <c r="G86" s="2">
        <v>5922</v>
      </c>
      <c r="H86" s="2">
        <v>5940</v>
      </c>
      <c r="I86" s="2">
        <v>7088</v>
      </c>
      <c r="J86" s="2">
        <v>8679</v>
      </c>
      <c r="K86" s="2">
        <v>10199</v>
      </c>
      <c r="L86" s="2">
        <v>9726</v>
      </c>
      <c r="M86" s="2">
        <v>7834</v>
      </c>
      <c r="N86" s="2">
        <v>3658</v>
      </c>
      <c r="O86" s="2">
        <v>4299.6000000000004</v>
      </c>
      <c r="P86" s="2">
        <v>5134.5</v>
      </c>
      <c r="Q86" s="2">
        <v>5770.5</v>
      </c>
    </row>
    <row r="87" spans="1:19" x14ac:dyDescent="0.25">
      <c r="A87" t="s">
        <v>472</v>
      </c>
      <c r="B87" s="2">
        <v>1221</v>
      </c>
      <c r="C87" s="2">
        <v>1128</v>
      </c>
      <c r="D87" s="2">
        <v>1121</v>
      </c>
      <c r="E87" s="2">
        <v>1052</v>
      </c>
      <c r="F87" s="2">
        <v>1085</v>
      </c>
      <c r="G87" s="2">
        <v>1264</v>
      </c>
      <c r="H87" s="2">
        <v>1351</v>
      </c>
      <c r="I87" s="2">
        <v>1165</v>
      </c>
      <c r="J87" s="2">
        <v>1525</v>
      </c>
      <c r="K87" s="2">
        <v>2310</v>
      </c>
      <c r="L87" s="2">
        <v>2724</v>
      </c>
      <c r="M87" s="2">
        <v>2106</v>
      </c>
      <c r="N87" s="2">
        <v>5074</v>
      </c>
      <c r="O87" s="2">
        <v>5302.84</v>
      </c>
      <c r="P87" s="2">
        <v>6332.55</v>
      </c>
      <c r="Q87" s="2">
        <v>7116.95</v>
      </c>
    </row>
    <row r="88" spans="1:19" x14ac:dyDescent="0.25">
      <c r="A88" t="s">
        <v>17</v>
      </c>
    </row>
    <row r="89" spans="1:19" x14ac:dyDescent="0.25">
      <c r="A89" t="s">
        <v>570</v>
      </c>
    </row>
    <row r="90" spans="1:19" x14ac:dyDescent="0.25">
      <c r="A90" t="s">
        <v>16</v>
      </c>
    </row>
    <row r="91" spans="1:19" x14ac:dyDescent="0.25">
      <c r="A91" t="s">
        <v>780</v>
      </c>
      <c r="M91" s="2">
        <v>6104</v>
      </c>
      <c r="O91" s="2">
        <v>5159.93</v>
      </c>
      <c r="P91" s="2">
        <v>5587.63</v>
      </c>
      <c r="Q91" s="2">
        <v>5979.71</v>
      </c>
      <c r="R91" s="2">
        <v>6238.79</v>
      </c>
      <c r="S91" s="2">
        <v>6737.9</v>
      </c>
    </row>
    <row r="92" spans="1:19" x14ac:dyDescent="0.25">
      <c r="A92" t="s">
        <v>3103</v>
      </c>
      <c r="M92" s="2">
        <v>2786</v>
      </c>
      <c r="O92" s="2">
        <v>3070.13</v>
      </c>
      <c r="P92" s="2">
        <v>3132.87</v>
      </c>
      <c r="Q92" s="2">
        <v>3187.81</v>
      </c>
      <c r="R92" s="2">
        <v>3454.45</v>
      </c>
      <c r="S92" s="2">
        <v>3627.17</v>
      </c>
    </row>
    <row r="93" spans="1:19" x14ac:dyDescent="0.25">
      <c r="A93" t="s">
        <v>566</v>
      </c>
      <c r="M93" s="2">
        <v>2653</v>
      </c>
      <c r="O93" s="2">
        <v>3319.58</v>
      </c>
      <c r="P93" s="2">
        <v>3884.7</v>
      </c>
      <c r="Q93" s="2">
        <v>4059.35</v>
      </c>
      <c r="R93" s="2">
        <v>4794.37</v>
      </c>
      <c r="S93" s="2">
        <v>5129.9799999999996</v>
      </c>
    </row>
    <row r="94" spans="1:19" x14ac:dyDescent="0.25">
      <c r="A94" t="s">
        <v>3104</v>
      </c>
      <c r="M94" s="2">
        <v>1725</v>
      </c>
      <c r="O94" s="2">
        <v>2865.39</v>
      </c>
      <c r="P94" s="2">
        <v>4517.3</v>
      </c>
      <c r="Q94" s="2">
        <v>5326.47</v>
      </c>
      <c r="R94" s="2">
        <v>6629.78</v>
      </c>
      <c r="S94" s="2">
        <v>7593.35</v>
      </c>
    </row>
    <row r="95" spans="1:19" x14ac:dyDescent="0.25">
      <c r="A95" t="s">
        <v>17</v>
      </c>
    </row>
    <row r="96" spans="1:19" x14ac:dyDescent="0.25">
      <c r="A96" t="s">
        <v>79</v>
      </c>
    </row>
    <row r="97" spans="1:21" x14ac:dyDescent="0.25">
      <c r="A97" t="s">
        <v>3105</v>
      </c>
      <c r="B97" s="2">
        <v>8050</v>
      </c>
      <c r="C97" s="2">
        <v>7335</v>
      </c>
      <c r="D97" s="2">
        <v>6866</v>
      </c>
      <c r="E97" s="2">
        <v>6944</v>
      </c>
      <c r="F97" s="2">
        <v>8308</v>
      </c>
      <c r="G97" s="2">
        <v>9612</v>
      </c>
      <c r="H97" s="2">
        <v>9529</v>
      </c>
      <c r="I97" s="2">
        <v>10181</v>
      </c>
      <c r="J97" s="2">
        <v>12729</v>
      </c>
      <c r="K97" s="2">
        <v>16083</v>
      </c>
      <c r="L97" s="2">
        <v>17239</v>
      </c>
      <c r="M97" s="2">
        <v>13217</v>
      </c>
      <c r="N97" s="2">
        <v>11754</v>
      </c>
      <c r="O97" s="2">
        <v>14195.85</v>
      </c>
      <c r="P97" s="2">
        <v>16564.12</v>
      </c>
      <c r="Q97" s="2">
        <v>18711.37</v>
      </c>
      <c r="R97" s="2">
        <v>18863.73</v>
      </c>
      <c r="S97" s="2">
        <v>20246.68</v>
      </c>
      <c r="T97" s="2">
        <v>17060</v>
      </c>
      <c r="U97" s="2">
        <v>17740</v>
      </c>
    </row>
    <row r="98" spans="1:21" x14ac:dyDescent="0.25">
      <c r="A98" t="s">
        <v>3106</v>
      </c>
      <c r="B98">
        <v>32</v>
      </c>
      <c r="C98">
        <v>69</v>
      </c>
      <c r="D98">
        <v>31</v>
      </c>
      <c r="E98">
        <v>29</v>
      </c>
      <c r="F98">
        <v>39</v>
      </c>
      <c r="G98">
        <v>52</v>
      </c>
      <c r="H98">
        <v>27</v>
      </c>
      <c r="I98">
        <v>38</v>
      </c>
      <c r="J98">
        <v>32</v>
      </c>
      <c r="K98">
        <v>45</v>
      </c>
      <c r="L98">
        <v>47</v>
      </c>
      <c r="M98">
        <v>52</v>
      </c>
      <c r="N98">
        <v>46</v>
      </c>
    </row>
    <row r="99" spans="1:21" x14ac:dyDescent="0.25">
      <c r="A99" t="s">
        <v>80</v>
      </c>
      <c r="B99" s="2">
        <v>8050</v>
      </c>
      <c r="C99" s="2">
        <v>7335</v>
      </c>
      <c r="D99" s="2">
        <v>6897</v>
      </c>
      <c r="E99" s="2">
        <v>6973</v>
      </c>
      <c r="F99" s="2">
        <v>8347</v>
      </c>
      <c r="G99" s="2">
        <v>9664</v>
      </c>
      <c r="H99" s="2">
        <v>9556</v>
      </c>
      <c r="I99" s="2">
        <v>10219</v>
      </c>
      <c r="J99" s="2">
        <v>12761</v>
      </c>
      <c r="K99" s="2">
        <v>16128</v>
      </c>
      <c r="L99" s="2">
        <v>17286</v>
      </c>
      <c r="M99" s="2">
        <v>13269</v>
      </c>
      <c r="N99" s="2">
        <v>11800</v>
      </c>
      <c r="O99" s="2">
        <v>14406.54</v>
      </c>
      <c r="P99" s="2">
        <v>17140.5</v>
      </c>
      <c r="Q99" s="2">
        <v>19422.5</v>
      </c>
      <c r="R99" s="2">
        <v>20773.2</v>
      </c>
      <c r="S99" s="2">
        <v>23074.25</v>
      </c>
      <c r="T99" s="2">
        <v>21469</v>
      </c>
      <c r="U99" s="2">
        <v>21173</v>
      </c>
    </row>
    <row r="100" spans="1:21" x14ac:dyDescent="0.25">
      <c r="A100" t="s">
        <v>17</v>
      </c>
    </row>
    <row r="101" spans="1:21" x14ac:dyDescent="0.25">
      <c r="A101" t="s">
        <v>82</v>
      </c>
      <c r="B101" s="2">
        <v>5468</v>
      </c>
      <c r="C101" s="2">
        <v>4906</v>
      </c>
      <c r="D101" s="2">
        <v>4565</v>
      </c>
      <c r="E101" s="2">
        <v>4518</v>
      </c>
      <c r="F101" s="2">
        <v>5079</v>
      </c>
      <c r="G101" s="2">
        <v>5803</v>
      </c>
      <c r="H101" s="2">
        <v>5860</v>
      </c>
      <c r="I101" s="2">
        <v>6430</v>
      </c>
      <c r="J101" s="2">
        <v>7435</v>
      </c>
      <c r="K101" s="2">
        <v>8493</v>
      </c>
      <c r="L101" s="2">
        <v>8999</v>
      </c>
      <c r="M101" s="2">
        <v>8049</v>
      </c>
      <c r="N101" s="2">
        <v>7801</v>
      </c>
      <c r="O101" s="2">
        <v>9187.9500000000007</v>
      </c>
      <c r="P101" s="2">
        <v>10332.209999999999</v>
      </c>
      <c r="Q101" s="2">
        <v>10968.35</v>
      </c>
      <c r="R101" s="2">
        <v>11402.37</v>
      </c>
      <c r="S101" s="2">
        <v>12085.46</v>
      </c>
      <c r="T101" s="2">
        <v>10704.4</v>
      </c>
      <c r="U101" s="2">
        <v>10557.66</v>
      </c>
    </row>
    <row r="102" spans="1:21" x14ac:dyDescent="0.25">
      <c r="A102" t="s">
        <v>83</v>
      </c>
      <c r="B102">
        <v>67.66</v>
      </c>
      <c r="C102">
        <v>66.260000000000005</v>
      </c>
      <c r="D102">
        <v>66.19</v>
      </c>
      <c r="E102">
        <v>64.790000000000006</v>
      </c>
      <c r="F102">
        <v>60.85</v>
      </c>
      <c r="G102">
        <v>60.05</v>
      </c>
      <c r="H102">
        <v>61.32</v>
      </c>
      <c r="I102">
        <v>62.92</v>
      </c>
      <c r="J102">
        <v>58.26</v>
      </c>
      <c r="K102">
        <v>52.66</v>
      </c>
      <c r="L102">
        <v>52.06</v>
      </c>
      <c r="M102">
        <v>60.66</v>
      </c>
      <c r="N102">
        <v>66.11</v>
      </c>
      <c r="O102">
        <v>63.91</v>
      </c>
      <c r="P102">
        <v>60.91</v>
      </c>
      <c r="Q102">
        <v>56.75</v>
      </c>
      <c r="R102">
        <v>53.19</v>
      </c>
      <c r="S102">
        <v>51.87</v>
      </c>
      <c r="T102">
        <v>49.86</v>
      </c>
      <c r="U102">
        <v>49.86</v>
      </c>
    </row>
    <row r="103" spans="1:21" x14ac:dyDescent="0.25">
      <c r="A103" t="s">
        <v>17</v>
      </c>
    </row>
    <row r="104" spans="1:21" x14ac:dyDescent="0.25">
      <c r="A104" t="s">
        <v>84</v>
      </c>
      <c r="B104" s="2">
        <v>2614</v>
      </c>
      <c r="C104" s="2">
        <v>2498</v>
      </c>
      <c r="D104" s="2">
        <v>2332</v>
      </c>
      <c r="E104" s="2">
        <v>2455</v>
      </c>
      <c r="F104" s="2">
        <v>3268</v>
      </c>
      <c r="G104" s="2">
        <v>3861</v>
      </c>
      <c r="H104" s="2">
        <v>3696</v>
      </c>
      <c r="I104" s="2">
        <v>3789</v>
      </c>
      <c r="J104" s="2">
        <v>5326</v>
      </c>
      <c r="K104" s="2">
        <v>7635</v>
      </c>
      <c r="L104" s="2">
        <v>8287</v>
      </c>
      <c r="M104" s="2">
        <v>5220</v>
      </c>
      <c r="N104" s="2">
        <v>3999</v>
      </c>
      <c r="O104" s="2">
        <v>5213.96</v>
      </c>
      <c r="P104" s="2">
        <v>6753.06</v>
      </c>
      <c r="Q104" s="2">
        <v>8394.9699999999993</v>
      </c>
      <c r="R104" s="2">
        <v>9460.83</v>
      </c>
      <c r="S104" s="2">
        <v>10514.04</v>
      </c>
      <c r="T104" s="2">
        <v>10764.58</v>
      </c>
      <c r="U104" s="2">
        <v>10615.17</v>
      </c>
    </row>
    <row r="105" spans="1:21" x14ac:dyDescent="0.25">
      <c r="A105" t="s">
        <v>85</v>
      </c>
      <c r="B105">
        <v>32.47</v>
      </c>
      <c r="C105">
        <v>34.06</v>
      </c>
      <c r="D105">
        <v>33.799999999999997</v>
      </c>
      <c r="E105">
        <v>35.200000000000003</v>
      </c>
      <c r="F105">
        <v>39.200000000000003</v>
      </c>
      <c r="G105">
        <v>39.950000000000003</v>
      </c>
      <c r="H105">
        <v>38.68</v>
      </c>
      <c r="I105">
        <v>37.1</v>
      </c>
      <c r="J105">
        <v>41.74</v>
      </c>
      <c r="K105">
        <v>47.3</v>
      </c>
      <c r="L105">
        <v>47.94</v>
      </c>
      <c r="M105">
        <v>39.299999999999997</v>
      </c>
      <c r="N105">
        <v>33.89</v>
      </c>
      <c r="O105">
        <v>36.229999999999997</v>
      </c>
      <c r="P105">
        <v>39.75</v>
      </c>
      <c r="Q105">
        <v>43.78</v>
      </c>
      <c r="R105">
        <v>45.96</v>
      </c>
      <c r="S105">
        <v>47.09</v>
      </c>
      <c r="T105">
        <v>50.14</v>
      </c>
      <c r="U105">
        <v>50.14</v>
      </c>
    </row>
    <row r="106" spans="1:21" x14ac:dyDescent="0.25">
      <c r="A106" t="s">
        <v>17</v>
      </c>
    </row>
    <row r="107" spans="1:21" x14ac:dyDescent="0.25">
      <c r="A107" t="s">
        <v>275</v>
      </c>
      <c r="B107" s="2">
        <v>3079</v>
      </c>
      <c r="C107" s="2">
        <v>2330</v>
      </c>
      <c r="D107" s="2">
        <v>2223</v>
      </c>
      <c r="E107" s="2">
        <v>2241</v>
      </c>
      <c r="F107" s="2">
        <v>2275</v>
      </c>
      <c r="G107" s="2">
        <v>2461</v>
      </c>
      <c r="H107" s="2">
        <v>2493</v>
      </c>
      <c r="I107" s="2">
        <v>2466</v>
      </c>
      <c r="J107" s="2">
        <v>2907</v>
      </c>
      <c r="K107" s="2">
        <v>3196</v>
      </c>
      <c r="L107" s="2">
        <v>3676</v>
      </c>
      <c r="M107" s="2">
        <v>3544</v>
      </c>
      <c r="N107" s="2">
        <v>3824</v>
      </c>
      <c r="O107" s="2">
        <v>3941.06</v>
      </c>
      <c r="P107" s="2">
        <v>4079.18</v>
      </c>
      <c r="Q107" s="2">
        <v>4328.7</v>
      </c>
      <c r="R107" s="2">
        <v>4630.01</v>
      </c>
      <c r="S107" s="2">
        <v>4844.09</v>
      </c>
      <c r="T107" s="2">
        <v>4414.88</v>
      </c>
      <c r="U107" s="2">
        <v>4457.74</v>
      </c>
    </row>
    <row r="108" spans="1:21" x14ac:dyDescent="0.25">
      <c r="A108" t="s">
        <v>276</v>
      </c>
      <c r="B108" s="2">
        <v>1066</v>
      </c>
      <c r="C108">
        <v>927</v>
      </c>
      <c r="D108">
        <v>897</v>
      </c>
      <c r="E108">
        <v>911</v>
      </c>
      <c r="F108">
        <v>983</v>
      </c>
      <c r="G108" s="2">
        <v>1095</v>
      </c>
      <c r="H108" s="2">
        <v>1093</v>
      </c>
      <c r="I108" s="2">
        <v>1109</v>
      </c>
      <c r="J108" s="2">
        <v>1323</v>
      </c>
      <c r="K108" s="2">
        <v>1454</v>
      </c>
      <c r="L108" s="2">
        <v>1631</v>
      </c>
      <c r="M108" s="2">
        <v>1649</v>
      </c>
      <c r="N108" s="2">
        <v>1632</v>
      </c>
      <c r="O108" s="2">
        <v>1791.49</v>
      </c>
      <c r="P108" s="2">
        <v>1835.19</v>
      </c>
      <c r="Q108" s="2">
        <v>1899.78</v>
      </c>
      <c r="R108" s="2">
        <v>1903.26</v>
      </c>
      <c r="S108" s="2">
        <v>2019.85</v>
      </c>
      <c r="T108" s="2">
        <v>1530.03</v>
      </c>
      <c r="U108" s="2">
        <v>1617.47</v>
      </c>
    </row>
    <row r="109" spans="1:21" x14ac:dyDescent="0.25">
      <c r="A109" t="s">
        <v>61</v>
      </c>
      <c r="B109">
        <v>13.19</v>
      </c>
      <c r="C109">
        <v>12.52</v>
      </c>
      <c r="D109">
        <v>13.01</v>
      </c>
      <c r="E109">
        <v>13.06</v>
      </c>
      <c r="F109">
        <v>11.78</v>
      </c>
      <c r="G109">
        <v>11.33</v>
      </c>
      <c r="H109">
        <v>11.44</v>
      </c>
      <c r="I109">
        <v>10.85</v>
      </c>
      <c r="J109">
        <v>10.37</v>
      </c>
      <c r="K109">
        <v>9.02</v>
      </c>
      <c r="L109">
        <v>9.44</v>
      </c>
      <c r="M109">
        <v>12.43</v>
      </c>
      <c r="N109">
        <v>13.83</v>
      </c>
      <c r="O109">
        <v>12.49</v>
      </c>
      <c r="P109">
        <v>10.78</v>
      </c>
      <c r="Q109">
        <v>9.75</v>
      </c>
      <c r="R109">
        <v>9.25</v>
      </c>
      <c r="S109">
        <v>9.24</v>
      </c>
      <c r="T109">
        <v>7.13</v>
      </c>
      <c r="U109">
        <v>7.64</v>
      </c>
    </row>
    <row r="110" spans="1:21" x14ac:dyDescent="0.25">
      <c r="A110" t="s">
        <v>89</v>
      </c>
      <c r="B110" s="2">
        <v>1816</v>
      </c>
      <c r="C110" s="2">
        <v>1520</v>
      </c>
      <c r="D110" s="2">
        <v>1425</v>
      </c>
      <c r="E110" s="2">
        <v>1336</v>
      </c>
      <c r="F110" s="2">
        <v>1302</v>
      </c>
      <c r="G110" s="2">
        <v>1398</v>
      </c>
      <c r="H110" s="2">
        <v>1498</v>
      </c>
      <c r="I110" s="2">
        <v>1548</v>
      </c>
      <c r="J110" s="2">
        <v>1723</v>
      </c>
      <c r="K110" s="2">
        <v>1901</v>
      </c>
      <c r="L110" s="2">
        <v>2100</v>
      </c>
      <c r="M110" s="2">
        <v>2077</v>
      </c>
      <c r="N110" s="2">
        <v>2044</v>
      </c>
      <c r="O110" s="2">
        <v>2189.9699999999998</v>
      </c>
      <c r="P110" s="2">
        <v>2300.7600000000002</v>
      </c>
      <c r="Q110" s="2">
        <v>2506.37</v>
      </c>
      <c r="R110" s="2">
        <v>2758.21</v>
      </c>
      <c r="S110" s="2">
        <v>2856.81</v>
      </c>
      <c r="T110" s="2">
        <v>3220.35</v>
      </c>
      <c r="U110" s="2">
        <v>3175.92</v>
      </c>
    </row>
    <row r="111" spans="1:21" x14ac:dyDescent="0.25">
      <c r="A111" t="s">
        <v>61</v>
      </c>
      <c r="B111">
        <v>22.47</v>
      </c>
      <c r="C111">
        <v>20.53</v>
      </c>
      <c r="D111">
        <v>20.66</v>
      </c>
      <c r="E111">
        <v>19.16</v>
      </c>
      <c r="F111">
        <v>15.6</v>
      </c>
      <c r="G111">
        <v>14.47</v>
      </c>
      <c r="H111">
        <v>15.68</v>
      </c>
      <c r="I111">
        <v>15.15</v>
      </c>
      <c r="J111">
        <v>13.5</v>
      </c>
      <c r="K111">
        <v>11.79</v>
      </c>
      <c r="L111">
        <v>12.15</v>
      </c>
      <c r="M111">
        <v>15.65</v>
      </c>
      <c r="N111">
        <v>17.32</v>
      </c>
      <c r="O111">
        <v>15.23</v>
      </c>
      <c r="P111">
        <v>13.5</v>
      </c>
      <c r="Q111">
        <v>13.02</v>
      </c>
      <c r="R111">
        <v>13.74</v>
      </c>
      <c r="S111">
        <v>13.29</v>
      </c>
      <c r="T111">
        <v>15</v>
      </c>
      <c r="U111">
        <v>15</v>
      </c>
    </row>
    <row r="112" spans="1:21" x14ac:dyDescent="0.25">
      <c r="A112" t="s">
        <v>3107</v>
      </c>
      <c r="B112">
        <v>183</v>
      </c>
      <c r="C112">
        <v>90</v>
      </c>
      <c r="D112">
        <v>65</v>
      </c>
      <c r="E112">
        <v>85</v>
      </c>
      <c r="F112">
        <v>45</v>
      </c>
      <c r="G112">
        <v>19</v>
      </c>
      <c r="H112">
        <v>5</v>
      </c>
      <c r="I112">
        <v>11</v>
      </c>
      <c r="J112">
        <v>2</v>
      </c>
      <c r="M112">
        <v>0</v>
      </c>
      <c r="N112">
        <v>376</v>
      </c>
      <c r="O112">
        <v>206.27</v>
      </c>
      <c r="P112">
        <v>86.69</v>
      </c>
      <c r="Q112">
        <v>106.55</v>
      </c>
      <c r="R112">
        <v>347</v>
      </c>
      <c r="S112">
        <v>347</v>
      </c>
      <c r="T112">
        <v>347</v>
      </c>
      <c r="U112">
        <v>347</v>
      </c>
    </row>
    <row r="113" spans="1:21" x14ac:dyDescent="0.25">
      <c r="A113" t="s">
        <v>212</v>
      </c>
      <c r="B113">
        <v>95</v>
      </c>
      <c r="C113">
        <v>207</v>
      </c>
      <c r="D113">
        <v>164</v>
      </c>
      <c r="E113">
        <v>99</v>
      </c>
      <c r="F113">
        <v>55</v>
      </c>
      <c r="G113">
        <v>53</v>
      </c>
      <c r="H113">
        <v>103</v>
      </c>
      <c r="I113">
        <v>202</v>
      </c>
      <c r="J113">
        <v>141</v>
      </c>
      <c r="K113">
        <v>159</v>
      </c>
      <c r="L113">
        <v>55</v>
      </c>
      <c r="M113">
        <v>182</v>
      </c>
      <c r="N113">
        <v>228</v>
      </c>
      <c r="O113">
        <v>111.31</v>
      </c>
      <c r="P113">
        <v>131.49</v>
      </c>
      <c r="Q113">
        <v>141.78</v>
      </c>
      <c r="R113">
        <v>157.80000000000001</v>
      </c>
      <c r="S113">
        <v>165.69</v>
      </c>
    </row>
    <row r="114" spans="1:21" x14ac:dyDescent="0.25">
      <c r="A114" t="s">
        <v>17</v>
      </c>
    </row>
    <row r="115" spans="1:21" x14ac:dyDescent="0.25">
      <c r="A115" t="s">
        <v>91</v>
      </c>
      <c r="B115">
        <v>-473</v>
      </c>
      <c r="C115">
        <v>168</v>
      </c>
      <c r="D115">
        <v>109</v>
      </c>
      <c r="E115">
        <v>214</v>
      </c>
      <c r="F115">
        <v>997</v>
      </c>
      <c r="G115" s="2">
        <v>1404</v>
      </c>
      <c r="H115" s="2">
        <v>1203</v>
      </c>
      <c r="I115" s="2">
        <v>1323</v>
      </c>
      <c r="J115" s="2">
        <v>2419</v>
      </c>
      <c r="K115" s="2">
        <v>4439</v>
      </c>
      <c r="L115" s="2">
        <v>4611</v>
      </c>
      <c r="M115" s="2">
        <v>1676</v>
      </c>
      <c r="N115">
        <v>175</v>
      </c>
      <c r="O115" s="2">
        <v>1149.56</v>
      </c>
      <c r="P115" s="2">
        <v>2763.93</v>
      </c>
      <c r="Q115" s="2">
        <v>4089.3</v>
      </c>
      <c r="R115" s="2">
        <v>4773.3900000000003</v>
      </c>
      <c r="S115" s="2">
        <v>5568.71</v>
      </c>
      <c r="T115" s="2">
        <v>6002.7</v>
      </c>
      <c r="U115" s="2">
        <v>5810.43</v>
      </c>
    </row>
    <row r="116" spans="1:21" x14ac:dyDescent="0.25">
      <c r="A116" t="s">
        <v>92</v>
      </c>
      <c r="B116">
        <v>-5.85</v>
      </c>
      <c r="C116">
        <v>2.27</v>
      </c>
      <c r="D116">
        <v>1.58</v>
      </c>
      <c r="E116">
        <v>3.07</v>
      </c>
      <c r="F116">
        <v>11.94</v>
      </c>
      <c r="G116">
        <v>14.53</v>
      </c>
      <c r="H116">
        <v>12.59</v>
      </c>
      <c r="I116">
        <v>12.95</v>
      </c>
      <c r="J116">
        <v>18.96</v>
      </c>
      <c r="K116">
        <v>27.52</v>
      </c>
      <c r="L116">
        <v>26.67</v>
      </c>
      <c r="M116">
        <v>12.63</v>
      </c>
      <c r="N116">
        <v>1.48</v>
      </c>
      <c r="O116">
        <v>7.99</v>
      </c>
      <c r="P116">
        <v>15.7</v>
      </c>
      <c r="Q116">
        <v>21.35</v>
      </c>
      <c r="R116">
        <v>23.01</v>
      </c>
      <c r="S116">
        <v>24.27</v>
      </c>
      <c r="T116">
        <v>27.96</v>
      </c>
      <c r="U116">
        <v>27.44</v>
      </c>
    </row>
    <row r="117" spans="1:21" x14ac:dyDescent="0.25">
      <c r="A117" t="s">
        <v>17</v>
      </c>
    </row>
    <row r="118" spans="1:21" x14ac:dyDescent="0.25">
      <c r="A118" t="s">
        <v>93</v>
      </c>
      <c r="B118">
        <v>910</v>
      </c>
      <c r="C118">
        <v>811</v>
      </c>
      <c r="D118">
        <v>736</v>
      </c>
      <c r="E118">
        <v>696</v>
      </c>
      <c r="F118">
        <v>650</v>
      </c>
      <c r="G118">
        <v>791</v>
      </c>
      <c r="H118">
        <v>854</v>
      </c>
      <c r="I118">
        <v>923</v>
      </c>
      <c r="J118" s="2">
        <v>1045</v>
      </c>
      <c r="K118" s="2">
        <v>1216</v>
      </c>
      <c r="L118" s="2">
        <v>1561</v>
      </c>
      <c r="M118" s="2">
        <v>1760</v>
      </c>
      <c r="N118" s="2">
        <v>1854</v>
      </c>
      <c r="O118" s="2">
        <v>1959.46</v>
      </c>
      <c r="P118" s="2">
        <v>2109.14</v>
      </c>
      <c r="Q118" s="2">
        <v>2274.84</v>
      </c>
      <c r="R118" s="2">
        <v>2365.5100000000002</v>
      </c>
      <c r="S118" s="2">
        <v>2419.2199999999998</v>
      </c>
      <c r="T118" s="2">
        <v>1831.33</v>
      </c>
      <c r="U118" s="2">
        <v>1806.99</v>
      </c>
    </row>
    <row r="119" spans="1:21" x14ac:dyDescent="0.25">
      <c r="A119" t="s">
        <v>83</v>
      </c>
      <c r="B119">
        <v>11.26</v>
      </c>
      <c r="C119">
        <v>10.95</v>
      </c>
      <c r="D119">
        <v>10.67</v>
      </c>
      <c r="E119">
        <v>9.98</v>
      </c>
      <c r="F119">
        <v>7.79</v>
      </c>
      <c r="G119">
        <v>8.19</v>
      </c>
      <c r="H119">
        <v>8.94</v>
      </c>
      <c r="I119">
        <v>9.0299999999999994</v>
      </c>
      <c r="J119">
        <v>8.19</v>
      </c>
      <c r="K119">
        <v>7.54</v>
      </c>
      <c r="L119">
        <v>9.0299999999999994</v>
      </c>
      <c r="M119">
        <v>13.26</v>
      </c>
      <c r="N119">
        <v>15.71</v>
      </c>
      <c r="O119">
        <v>13.75</v>
      </c>
      <c r="P119">
        <v>13.38</v>
      </c>
      <c r="Q119">
        <v>13.73</v>
      </c>
      <c r="R119">
        <v>11.19</v>
      </c>
      <c r="S119">
        <v>11.01</v>
      </c>
      <c r="T119">
        <v>9.27</v>
      </c>
      <c r="U119">
        <v>9.27</v>
      </c>
    </row>
    <row r="120" spans="1:21" x14ac:dyDescent="0.25">
      <c r="A120" t="s">
        <v>1415</v>
      </c>
      <c r="B120">
        <v>72</v>
      </c>
      <c r="C120">
        <v>61</v>
      </c>
      <c r="D120">
        <v>60</v>
      </c>
      <c r="E120">
        <v>61</v>
      </c>
      <c r="F120">
        <v>58</v>
      </c>
      <c r="G120">
        <v>64</v>
      </c>
      <c r="H120">
        <v>69</v>
      </c>
      <c r="I120">
        <v>79</v>
      </c>
      <c r="J120">
        <v>93</v>
      </c>
      <c r="K120">
        <v>103</v>
      </c>
      <c r="L120">
        <v>97</v>
      </c>
      <c r="M120">
        <v>102</v>
      </c>
      <c r="N120">
        <v>101</v>
      </c>
    </row>
    <row r="121" spans="1:21" x14ac:dyDescent="0.25">
      <c r="A121" t="s">
        <v>277</v>
      </c>
      <c r="B121">
        <v>437</v>
      </c>
      <c r="C121">
        <v>979</v>
      </c>
      <c r="D121">
        <v>845</v>
      </c>
      <c r="E121">
        <v>910</v>
      </c>
      <c r="F121" s="2">
        <v>1647</v>
      </c>
      <c r="G121" s="2">
        <v>2195</v>
      </c>
      <c r="H121" s="2">
        <v>2057</v>
      </c>
      <c r="I121" s="2">
        <v>2246</v>
      </c>
      <c r="J121" s="2">
        <v>3532</v>
      </c>
      <c r="K121" s="2">
        <v>5717</v>
      </c>
      <c r="L121" s="2">
        <v>6243</v>
      </c>
      <c r="M121" s="2">
        <v>3511</v>
      </c>
      <c r="N121" s="2">
        <v>2102</v>
      </c>
    </row>
    <row r="122" spans="1:21" x14ac:dyDescent="0.25">
      <c r="A122" t="s">
        <v>481</v>
      </c>
      <c r="B122">
        <v>5.41</v>
      </c>
      <c r="C122">
        <v>13.22</v>
      </c>
      <c r="D122">
        <v>12.25</v>
      </c>
      <c r="E122">
        <v>13.05</v>
      </c>
      <c r="F122">
        <v>19.73</v>
      </c>
      <c r="G122">
        <v>22.71</v>
      </c>
      <c r="H122">
        <v>21.53</v>
      </c>
      <c r="I122">
        <v>21.98</v>
      </c>
      <c r="J122">
        <v>27.68</v>
      </c>
      <c r="K122">
        <v>35.450000000000003</v>
      </c>
      <c r="L122">
        <v>36.119999999999997</v>
      </c>
      <c r="M122">
        <v>26.46</v>
      </c>
      <c r="N122">
        <v>17.809999999999999</v>
      </c>
      <c r="O122">
        <v>22.39</v>
      </c>
      <c r="P122">
        <v>28.56</v>
      </c>
      <c r="Q122">
        <v>32.81</v>
      </c>
      <c r="R122">
        <v>34.909999999999997</v>
      </c>
      <c r="S122">
        <v>36.1</v>
      </c>
    </row>
    <row r="123" spans="1:21" x14ac:dyDescent="0.25">
      <c r="A123" t="s">
        <v>17</v>
      </c>
    </row>
    <row r="124" spans="1:21" x14ac:dyDescent="0.25">
      <c r="A124" t="s">
        <v>2943</v>
      </c>
      <c r="B124">
        <v>5</v>
      </c>
      <c r="C124">
        <v>18</v>
      </c>
      <c r="D124">
        <v>22</v>
      </c>
      <c r="E124">
        <v>20</v>
      </c>
      <c r="F124">
        <v>22</v>
      </c>
      <c r="G124">
        <v>7</v>
      </c>
      <c r="H124">
        <v>-1</v>
      </c>
      <c r="I124">
        <v>20</v>
      </c>
      <c r="J124">
        <v>29</v>
      </c>
      <c r="K124">
        <v>-57</v>
      </c>
      <c r="L124">
        <v>-168</v>
      </c>
      <c r="M124">
        <v>-215</v>
      </c>
      <c r="N124">
        <v>-165</v>
      </c>
      <c r="O124">
        <v>-114.21</v>
      </c>
      <c r="P124">
        <v>-115.7</v>
      </c>
      <c r="Q124">
        <v>-87.65</v>
      </c>
      <c r="R124">
        <v>-40.54</v>
      </c>
      <c r="S124">
        <v>-69.040000000000006</v>
      </c>
      <c r="T124">
        <v>-77.260000000000005</v>
      </c>
      <c r="U124">
        <v>-114.01</v>
      </c>
    </row>
    <row r="125" spans="1:21" x14ac:dyDescent="0.25">
      <c r="A125" t="s">
        <v>100</v>
      </c>
      <c r="B125">
        <v>-300</v>
      </c>
      <c r="C125">
        <v>106</v>
      </c>
      <c r="D125">
        <v>89</v>
      </c>
      <c r="E125">
        <v>201</v>
      </c>
      <c r="F125">
        <v>953</v>
      </c>
      <c r="G125" s="2">
        <v>1412</v>
      </c>
      <c r="H125" s="2">
        <v>1189</v>
      </c>
      <c r="I125" s="2">
        <v>1267</v>
      </c>
      <c r="K125" s="2">
        <v>4486</v>
      </c>
      <c r="L125" s="2">
        <v>4611</v>
      </c>
      <c r="M125" s="2">
        <v>1878</v>
      </c>
      <c r="N125">
        <v>400</v>
      </c>
      <c r="O125" s="2">
        <v>1325.32</v>
      </c>
      <c r="P125" s="2">
        <v>2911.74</v>
      </c>
      <c r="Q125" s="2">
        <v>4255.3</v>
      </c>
      <c r="R125" s="2">
        <v>4726.2</v>
      </c>
      <c r="S125" s="2">
        <v>5589.5</v>
      </c>
      <c r="T125" s="2">
        <v>6069</v>
      </c>
      <c r="U125" s="2">
        <v>5913</v>
      </c>
    </row>
    <row r="126" spans="1:21" x14ac:dyDescent="0.25">
      <c r="A126" t="s">
        <v>588</v>
      </c>
      <c r="B126">
        <v>-7.32</v>
      </c>
      <c r="C126">
        <v>1.43</v>
      </c>
      <c r="D126">
        <v>1.29</v>
      </c>
      <c r="E126">
        <v>2.88</v>
      </c>
      <c r="F126">
        <v>11.42</v>
      </c>
      <c r="G126">
        <v>14.37</v>
      </c>
      <c r="H126">
        <v>12.44</v>
      </c>
      <c r="I126">
        <v>12.4</v>
      </c>
      <c r="J126">
        <v>18.309999999999999</v>
      </c>
      <c r="K126">
        <v>27.81</v>
      </c>
      <c r="L126">
        <v>27.55</v>
      </c>
      <c r="M126">
        <v>14.15</v>
      </c>
      <c r="N126">
        <v>3.39</v>
      </c>
      <c r="O126">
        <v>8.9499999999999993</v>
      </c>
      <c r="P126">
        <v>16.87</v>
      </c>
      <c r="Q126">
        <v>21.56</v>
      </c>
      <c r="R126">
        <v>20.41</v>
      </c>
      <c r="S126">
        <v>21.95</v>
      </c>
    </row>
    <row r="127" spans="1:21" x14ac:dyDescent="0.25">
      <c r="A127" t="s">
        <v>17</v>
      </c>
    </row>
    <row r="128" spans="1:21" x14ac:dyDescent="0.25">
      <c r="A128" t="s">
        <v>101</v>
      </c>
      <c r="B128">
        <v>37</v>
      </c>
      <c r="C128">
        <v>-23</v>
      </c>
      <c r="D128">
        <v>-21</v>
      </c>
      <c r="E128">
        <v>31</v>
      </c>
      <c r="F128">
        <v>143</v>
      </c>
      <c r="G128">
        <v>96</v>
      </c>
      <c r="H128">
        <v>156</v>
      </c>
      <c r="I128">
        <v>159</v>
      </c>
      <c r="J128">
        <v>331</v>
      </c>
      <c r="K128">
        <v>520</v>
      </c>
      <c r="L128">
        <v>541</v>
      </c>
      <c r="M128">
        <v>313</v>
      </c>
      <c r="N128">
        <v>220</v>
      </c>
      <c r="O128">
        <v>207.9</v>
      </c>
      <c r="P128">
        <v>459.51</v>
      </c>
      <c r="Q128">
        <v>702.21</v>
      </c>
      <c r="R128">
        <v>783.36</v>
      </c>
      <c r="S128">
        <v>920.45</v>
      </c>
      <c r="T128">
        <v>910.34</v>
      </c>
      <c r="U128">
        <v>887.02</v>
      </c>
    </row>
    <row r="129" spans="1:21" x14ac:dyDescent="0.25">
      <c r="A129" t="s">
        <v>102</v>
      </c>
      <c r="E129">
        <v>15.42</v>
      </c>
      <c r="F129">
        <v>15.01</v>
      </c>
      <c r="G129">
        <v>6.91</v>
      </c>
      <c r="H129">
        <v>13.12</v>
      </c>
      <c r="I129">
        <v>12.55</v>
      </c>
      <c r="J129">
        <v>14.16</v>
      </c>
      <c r="K129">
        <v>11.59</v>
      </c>
      <c r="L129">
        <v>11.36</v>
      </c>
      <c r="M129">
        <v>16.670000000000002</v>
      </c>
      <c r="N129">
        <v>55</v>
      </c>
      <c r="O129">
        <v>16.12</v>
      </c>
      <c r="P129">
        <v>16.66</v>
      </c>
      <c r="Q129">
        <v>16.77</v>
      </c>
      <c r="R129">
        <v>16</v>
      </c>
      <c r="S129">
        <v>16</v>
      </c>
      <c r="T129">
        <v>15</v>
      </c>
      <c r="U129">
        <v>15</v>
      </c>
    </row>
    <row r="130" spans="1:21" x14ac:dyDescent="0.25">
      <c r="A130" t="s">
        <v>17</v>
      </c>
    </row>
    <row r="131" spans="1:21" x14ac:dyDescent="0.25">
      <c r="A131" t="s">
        <v>106</v>
      </c>
      <c r="B131">
        <v>-500</v>
      </c>
      <c r="C131">
        <v>128</v>
      </c>
      <c r="D131">
        <v>104</v>
      </c>
      <c r="E131">
        <v>165</v>
      </c>
      <c r="F131">
        <v>802</v>
      </c>
      <c r="G131" s="2">
        <v>1287</v>
      </c>
      <c r="H131" s="2">
        <v>1032</v>
      </c>
      <c r="I131" s="2">
        <v>1106</v>
      </c>
      <c r="J131" s="2">
        <v>2000</v>
      </c>
      <c r="K131" s="2">
        <v>3960</v>
      </c>
      <c r="L131" s="2">
        <v>4211</v>
      </c>
      <c r="M131" s="2">
        <v>1557</v>
      </c>
      <c r="N131">
        <v>166</v>
      </c>
      <c r="O131" s="2">
        <v>1080.44</v>
      </c>
      <c r="P131" s="2">
        <v>2343.56</v>
      </c>
      <c r="Q131" s="2">
        <v>3472.43</v>
      </c>
      <c r="R131" s="2">
        <v>4270.5</v>
      </c>
      <c r="S131" s="2">
        <v>5137.25</v>
      </c>
      <c r="T131" s="2">
        <v>5115</v>
      </c>
      <c r="U131" s="2">
        <v>4977</v>
      </c>
    </row>
    <row r="132" spans="1:21" x14ac:dyDescent="0.25">
      <c r="A132" t="s">
        <v>280</v>
      </c>
      <c r="B132">
        <v>-6.19</v>
      </c>
      <c r="C132">
        <v>1.73</v>
      </c>
      <c r="D132">
        <v>1.51</v>
      </c>
      <c r="E132">
        <v>2.37</v>
      </c>
      <c r="F132">
        <v>9.61</v>
      </c>
      <c r="G132">
        <v>13.32</v>
      </c>
      <c r="H132">
        <v>10.8</v>
      </c>
      <c r="I132">
        <v>10.82</v>
      </c>
      <c r="J132">
        <v>15.67</v>
      </c>
      <c r="K132">
        <v>24.55</v>
      </c>
      <c r="L132">
        <v>24.36</v>
      </c>
      <c r="M132">
        <v>11.73</v>
      </c>
      <c r="N132">
        <v>1.41</v>
      </c>
      <c r="O132">
        <v>7.72</v>
      </c>
      <c r="P132">
        <v>13.88</v>
      </c>
      <c r="Q132">
        <v>18.170000000000002</v>
      </c>
      <c r="R132">
        <v>18.89</v>
      </c>
      <c r="S132">
        <v>20.2</v>
      </c>
      <c r="T132">
        <v>23.83</v>
      </c>
      <c r="U132">
        <v>23.51</v>
      </c>
    </row>
    <row r="133" spans="1:21" x14ac:dyDescent="0.25">
      <c r="A133" t="s">
        <v>3108</v>
      </c>
      <c r="B133">
        <v>-129</v>
      </c>
      <c r="C133">
        <v>1</v>
      </c>
      <c r="D133">
        <v>6</v>
      </c>
      <c r="E133">
        <v>5</v>
      </c>
      <c r="F133">
        <v>8</v>
      </c>
      <c r="G133">
        <v>6</v>
      </c>
      <c r="H133">
        <v>1</v>
      </c>
      <c r="I133">
        <v>2</v>
      </c>
      <c r="J133">
        <v>6</v>
      </c>
      <c r="K133">
        <v>6</v>
      </c>
      <c r="L133">
        <v>11</v>
      </c>
      <c r="M133">
        <v>8</v>
      </c>
      <c r="N133">
        <v>14</v>
      </c>
      <c r="O133">
        <v>10.65</v>
      </c>
      <c r="P133">
        <v>10.7</v>
      </c>
      <c r="Q133">
        <v>14.19</v>
      </c>
      <c r="R133">
        <v>1.6</v>
      </c>
      <c r="S133">
        <v>2.6</v>
      </c>
      <c r="T133">
        <v>44</v>
      </c>
      <c r="U133">
        <v>49</v>
      </c>
    </row>
    <row r="134" spans="1:21" x14ac:dyDescent="0.25">
      <c r="A134" t="s">
        <v>17</v>
      </c>
    </row>
    <row r="135" spans="1:21" x14ac:dyDescent="0.25">
      <c r="A135" t="s">
        <v>108</v>
      </c>
      <c r="B135">
        <v>889.54</v>
      </c>
      <c r="C135">
        <v>886.53</v>
      </c>
      <c r="D135">
        <v>876.51</v>
      </c>
      <c r="E135">
        <v>881.25</v>
      </c>
      <c r="F135">
        <v>884.71</v>
      </c>
      <c r="G135">
        <v>899.36</v>
      </c>
      <c r="H135">
        <v>894.3</v>
      </c>
      <c r="I135">
        <v>894.6</v>
      </c>
      <c r="J135">
        <v>904.3</v>
      </c>
      <c r="K135">
        <v>905.6</v>
      </c>
      <c r="L135">
        <v>903.51</v>
      </c>
      <c r="M135">
        <v>901.21</v>
      </c>
      <c r="N135">
        <v>893.29</v>
      </c>
      <c r="O135">
        <v>911.99</v>
      </c>
      <c r="P135">
        <v>914.5</v>
      </c>
      <c r="Q135">
        <v>911.91</v>
      </c>
      <c r="R135">
        <v>892.8</v>
      </c>
      <c r="S135">
        <v>887.43</v>
      </c>
      <c r="T135">
        <v>863.8</v>
      </c>
      <c r="U135">
        <v>863.8</v>
      </c>
    </row>
    <row r="136" spans="1:21" x14ac:dyDescent="0.25">
      <c r="A136" t="s">
        <v>17</v>
      </c>
    </row>
    <row r="137" spans="1:21" x14ac:dyDescent="0.25">
      <c r="A137" t="s">
        <v>109</v>
      </c>
      <c r="B137">
        <v>889.54</v>
      </c>
      <c r="C137">
        <v>889.81</v>
      </c>
      <c r="D137">
        <v>880.55</v>
      </c>
      <c r="E137">
        <v>886.25</v>
      </c>
      <c r="F137">
        <v>906.09</v>
      </c>
      <c r="G137">
        <v>910.96</v>
      </c>
      <c r="H137">
        <v>903.6</v>
      </c>
      <c r="I137">
        <v>919.7</v>
      </c>
      <c r="J137">
        <v>924.8</v>
      </c>
      <c r="K137">
        <v>946.2</v>
      </c>
      <c r="L137">
        <v>944.2</v>
      </c>
      <c r="M137">
        <v>939.35</v>
      </c>
      <c r="N137">
        <v>923.05</v>
      </c>
      <c r="O137">
        <v>924.03</v>
      </c>
      <c r="P137">
        <v>923.84</v>
      </c>
      <c r="Q137">
        <v>921.7</v>
      </c>
      <c r="R137">
        <v>910.52</v>
      </c>
      <c r="S137">
        <v>907.4</v>
      </c>
      <c r="T137">
        <v>904.5</v>
      </c>
      <c r="U137">
        <v>904.5</v>
      </c>
    </row>
    <row r="138" spans="1:21" x14ac:dyDescent="0.25">
      <c r="A138" t="s">
        <v>110</v>
      </c>
      <c r="B138">
        <v>-0.56000000000000005</v>
      </c>
      <c r="C138">
        <v>0.14000000000000001</v>
      </c>
      <c r="D138">
        <v>0.12</v>
      </c>
      <c r="E138">
        <v>0.19</v>
      </c>
      <c r="F138">
        <v>0.89</v>
      </c>
      <c r="G138">
        <v>1.41</v>
      </c>
      <c r="H138">
        <v>1.1399999999999999</v>
      </c>
      <c r="I138">
        <v>1.2</v>
      </c>
      <c r="J138">
        <v>2.16</v>
      </c>
      <c r="K138">
        <v>4.1900000000000004</v>
      </c>
      <c r="L138">
        <v>4.46</v>
      </c>
      <c r="M138">
        <v>1.66</v>
      </c>
      <c r="N138">
        <v>0.18</v>
      </c>
      <c r="O138">
        <v>1.18</v>
      </c>
      <c r="P138">
        <v>2.6</v>
      </c>
      <c r="Q138">
        <v>3.88</v>
      </c>
      <c r="R138">
        <v>4.45</v>
      </c>
      <c r="S138">
        <v>5.41</v>
      </c>
      <c r="T138">
        <v>5.65</v>
      </c>
      <c r="U138">
        <v>5.5</v>
      </c>
    </row>
    <row r="139" spans="1:21" x14ac:dyDescent="0.25">
      <c r="A139" t="s">
        <v>17</v>
      </c>
    </row>
    <row r="140" spans="1:21" x14ac:dyDescent="0.25">
      <c r="A140" t="s">
        <v>281</v>
      </c>
      <c r="B140">
        <v>0.4</v>
      </c>
      <c r="C140">
        <v>0.4</v>
      </c>
      <c r="D140">
        <v>0.4</v>
      </c>
      <c r="E140">
        <v>0.24</v>
      </c>
      <c r="F140">
        <v>0.24</v>
      </c>
      <c r="G140">
        <v>0.24</v>
      </c>
      <c r="H140">
        <v>0.24</v>
      </c>
      <c r="I140">
        <v>0.17</v>
      </c>
      <c r="J140">
        <v>0.24</v>
      </c>
      <c r="K140">
        <v>0.24</v>
      </c>
      <c r="L140">
        <v>0.24</v>
      </c>
      <c r="M140">
        <v>0.36</v>
      </c>
      <c r="N140">
        <v>0.36</v>
      </c>
      <c r="O140">
        <v>0.36</v>
      </c>
      <c r="P140">
        <v>0.37</v>
      </c>
      <c r="Q140">
        <v>0.39</v>
      </c>
      <c r="R140">
        <v>0.39</v>
      </c>
      <c r="S140">
        <v>0.41</v>
      </c>
      <c r="T140">
        <v>0.36</v>
      </c>
      <c r="U140">
        <v>0.36</v>
      </c>
    </row>
    <row r="141" spans="1:21" x14ac:dyDescent="0.25">
      <c r="A141" t="s">
        <v>1123</v>
      </c>
      <c r="C141">
        <v>273.11</v>
      </c>
      <c r="D141">
        <v>337.9</v>
      </c>
      <c r="E141">
        <v>128.5</v>
      </c>
      <c r="F141">
        <v>26.83</v>
      </c>
      <c r="G141">
        <v>16.75</v>
      </c>
      <c r="H141">
        <v>20.73</v>
      </c>
      <c r="I141">
        <v>13.29</v>
      </c>
      <c r="J141">
        <v>10.9</v>
      </c>
      <c r="K141">
        <v>5.33</v>
      </c>
      <c r="L141">
        <v>5.27</v>
      </c>
      <c r="M141">
        <v>18.5</v>
      </c>
      <c r="N141">
        <v>193.37</v>
      </c>
      <c r="O141">
        <v>27.54</v>
      </c>
      <c r="P141">
        <v>14.82</v>
      </c>
      <c r="Q141">
        <v>12.74</v>
      </c>
      <c r="R141">
        <v>9.8000000000000007</v>
      </c>
      <c r="S141">
        <v>9.1</v>
      </c>
    </row>
    <row r="142" spans="1:21" x14ac:dyDescent="0.25">
      <c r="A142" t="s">
        <v>17</v>
      </c>
    </row>
    <row r="143" spans="1:21" x14ac:dyDescent="0.25">
      <c r="A143" t="s">
        <v>111</v>
      </c>
    </row>
    <row r="144" spans="1:21" x14ac:dyDescent="0.25">
      <c r="A144" t="s">
        <v>87</v>
      </c>
      <c r="B144" s="2">
        <v>3087</v>
      </c>
      <c r="C144" s="2">
        <v>2330</v>
      </c>
      <c r="D144" s="2">
        <v>2223</v>
      </c>
      <c r="E144" s="2">
        <v>2241</v>
      </c>
      <c r="F144" s="2">
        <v>2271</v>
      </c>
      <c r="G144" s="2">
        <v>2457</v>
      </c>
      <c r="H144" s="2">
        <v>2493</v>
      </c>
      <c r="I144" s="2">
        <v>2466</v>
      </c>
      <c r="J144" s="2">
        <v>2907</v>
      </c>
      <c r="K144" s="2">
        <v>3196</v>
      </c>
      <c r="L144" s="2">
        <v>3731</v>
      </c>
      <c r="M144" s="2">
        <v>3726</v>
      </c>
      <c r="N144" s="2">
        <v>4052</v>
      </c>
      <c r="O144" s="2">
        <v>3883.73</v>
      </c>
      <c r="P144" s="2">
        <v>4014.82</v>
      </c>
      <c r="Q144" s="2">
        <v>4270.07</v>
      </c>
      <c r="R144" s="2">
        <v>4672.3500000000004</v>
      </c>
      <c r="S144" s="2">
        <v>4886.42</v>
      </c>
      <c r="T144" s="2">
        <v>4761.88</v>
      </c>
      <c r="U144" s="2">
        <v>4804.74</v>
      </c>
    </row>
    <row r="145" spans="1:21" x14ac:dyDescent="0.25">
      <c r="A145" t="s">
        <v>116</v>
      </c>
      <c r="B145">
        <v>-173</v>
      </c>
      <c r="C145">
        <v>258</v>
      </c>
      <c r="D145">
        <v>109</v>
      </c>
      <c r="E145">
        <v>214</v>
      </c>
      <c r="F145" s="2">
        <v>1038</v>
      </c>
      <c r="G145" s="2">
        <v>1423</v>
      </c>
      <c r="H145" s="2">
        <v>1208</v>
      </c>
      <c r="I145" s="2">
        <v>1324</v>
      </c>
      <c r="J145" s="2">
        <v>2419</v>
      </c>
      <c r="K145" s="2">
        <v>4439</v>
      </c>
      <c r="L145" s="2">
        <v>4611</v>
      </c>
      <c r="M145" s="2">
        <v>1676</v>
      </c>
      <c r="N145">
        <v>551</v>
      </c>
      <c r="O145" s="2">
        <v>1319.38</v>
      </c>
      <c r="P145" s="2">
        <v>2794.63</v>
      </c>
      <c r="Q145" s="2">
        <v>4237.4799999999996</v>
      </c>
      <c r="R145" s="2">
        <v>4750.2</v>
      </c>
      <c r="S145" s="2">
        <v>5615.25</v>
      </c>
      <c r="T145" s="2">
        <v>6350</v>
      </c>
      <c r="U145" s="2">
        <v>6157</v>
      </c>
    </row>
    <row r="146" spans="1:21" x14ac:dyDescent="0.25">
      <c r="A146" t="s">
        <v>269</v>
      </c>
      <c r="D146">
        <v>2.52</v>
      </c>
      <c r="E146">
        <v>4.4000000000000004</v>
      </c>
      <c r="F146">
        <v>12.44</v>
      </c>
      <c r="G146">
        <v>14.7</v>
      </c>
      <c r="H146">
        <v>12.59</v>
      </c>
      <c r="I146">
        <v>12.95</v>
      </c>
      <c r="J146">
        <v>18.96</v>
      </c>
      <c r="K146">
        <v>27.52</v>
      </c>
      <c r="L146">
        <v>26.67</v>
      </c>
      <c r="M146">
        <v>12.63</v>
      </c>
      <c r="N146">
        <v>4.67</v>
      </c>
      <c r="O146">
        <v>9.26</v>
      </c>
      <c r="P146">
        <v>15.86</v>
      </c>
      <c r="Q146">
        <v>21.23</v>
      </c>
      <c r="R146">
        <v>24.16</v>
      </c>
      <c r="S146">
        <v>26.24</v>
      </c>
      <c r="T146">
        <v>29.58</v>
      </c>
      <c r="U146">
        <v>29.08</v>
      </c>
    </row>
    <row r="147" spans="1:21" x14ac:dyDescent="0.25">
      <c r="A147" t="s">
        <v>117</v>
      </c>
      <c r="D147">
        <v>845</v>
      </c>
      <c r="E147">
        <v>910</v>
      </c>
      <c r="F147" s="2">
        <v>1688</v>
      </c>
      <c r="G147" s="2">
        <v>2214</v>
      </c>
      <c r="H147" s="2">
        <v>2062</v>
      </c>
      <c r="I147" s="2">
        <v>2257</v>
      </c>
      <c r="J147" s="2">
        <v>2684</v>
      </c>
      <c r="K147" s="2">
        <v>5655</v>
      </c>
      <c r="L147" s="2">
        <v>6239.22</v>
      </c>
      <c r="M147" s="2">
        <v>3436</v>
      </c>
      <c r="N147" s="2">
        <v>2170</v>
      </c>
      <c r="O147" s="2">
        <v>3279.89</v>
      </c>
      <c r="P147" s="2">
        <v>4952.8900000000003</v>
      </c>
      <c r="Q147" s="2">
        <v>6366.5</v>
      </c>
      <c r="R147" s="2">
        <v>7071.83</v>
      </c>
      <c r="S147" s="2">
        <v>8153.8</v>
      </c>
      <c r="T147" s="2">
        <v>7834</v>
      </c>
      <c r="U147" s="2">
        <v>7617</v>
      </c>
    </row>
    <row r="148" spans="1:21" x14ac:dyDescent="0.25">
      <c r="A148" t="s">
        <v>121</v>
      </c>
      <c r="B148">
        <v>-260.58999999999997</v>
      </c>
      <c r="C148">
        <v>201.87</v>
      </c>
      <c r="D148">
        <v>150.94</v>
      </c>
      <c r="E148">
        <v>227</v>
      </c>
      <c r="F148">
        <v>839</v>
      </c>
      <c r="G148" s="2">
        <v>1306</v>
      </c>
      <c r="H148" s="2">
        <v>1036</v>
      </c>
      <c r="I148" s="2">
        <v>1115.3699999999999</v>
      </c>
      <c r="J148" s="2">
        <v>2000</v>
      </c>
      <c r="K148" s="2">
        <v>3960</v>
      </c>
      <c r="L148" s="2">
        <v>4211</v>
      </c>
      <c r="M148" s="2">
        <v>1557</v>
      </c>
      <c r="N148">
        <v>486</v>
      </c>
      <c r="O148" s="2">
        <v>1178.54</v>
      </c>
      <c r="P148" s="2">
        <v>2426.96</v>
      </c>
      <c r="Q148" s="2">
        <v>3594.43</v>
      </c>
      <c r="R148" s="2">
        <v>4057</v>
      </c>
      <c r="S148" s="2">
        <v>4917.3999999999996</v>
      </c>
      <c r="T148" s="2">
        <v>5115</v>
      </c>
      <c r="U148" s="2">
        <v>4977</v>
      </c>
    </row>
    <row r="149" spans="1:21" x14ac:dyDescent="0.25">
      <c r="A149" t="s">
        <v>124</v>
      </c>
      <c r="B149">
        <v>-0.28999999999999998</v>
      </c>
      <c r="C149">
        <v>0.22</v>
      </c>
      <c r="D149">
        <v>0.17</v>
      </c>
      <c r="E149">
        <v>0.26</v>
      </c>
      <c r="F149">
        <v>0.93</v>
      </c>
      <c r="G149">
        <v>1.43</v>
      </c>
      <c r="H149">
        <v>1.1499999999999999</v>
      </c>
      <c r="I149">
        <v>1.21</v>
      </c>
      <c r="J149">
        <v>2.16</v>
      </c>
      <c r="K149">
        <v>4.1900000000000004</v>
      </c>
      <c r="L149">
        <v>4.46</v>
      </c>
      <c r="M149">
        <v>1.66</v>
      </c>
      <c r="N149">
        <v>0.53</v>
      </c>
      <c r="O149">
        <v>1.36</v>
      </c>
      <c r="P149">
        <v>2.69</v>
      </c>
      <c r="Q149">
        <v>3.75</v>
      </c>
      <c r="R149">
        <v>4.5599999999999996</v>
      </c>
      <c r="S149">
        <v>5.63</v>
      </c>
      <c r="T149">
        <v>6.04</v>
      </c>
      <c r="U149">
        <v>5.89</v>
      </c>
    </row>
    <row r="150" spans="1:21" x14ac:dyDescent="0.25">
      <c r="A150" t="s">
        <v>17</v>
      </c>
    </row>
    <row r="151" spans="1:21" x14ac:dyDescent="0.25">
      <c r="A151" t="s">
        <v>134</v>
      </c>
    </row>
    <row r="152" spans="1:21" x14ac:dyDescent="0.25">
      <c r="A152" t="s">
        <v>135</v>
      </c>
    </row>
    <row r="153" spans="1:21" x14ac:dyDescent="0.25">
      <c r="A153" t="s">
        <v>136</v>
      </c>
      <c r="B153" s="2">
        <v>4807</v>
      </c>
      <c r="C153" s="2">
        <v>5051</v>
      </c>
      <c r="D153" s="2">
        <v>4680</v>
      </c>
      <c r="E153" s="2">
        <v>4482</v>
      </c>
      <c r="F153" s="2">
        <v>5099</v>
      </c>
      <c r="G153" s="2">
        <v>5854</v>
      </c>
      <c r="H153" s="2">
        <v>6274</v>
      </c>
      <c r="I153" s="2">
        <v>7610</v>
      </c>
      <c r="J153" s="2">
        <v>7828</v>
      </c>
      <c r="K153" s="2">
        <v>9805</v>
      </c>
      <c r="L153" s="2">
        <v>11807</v>
      </c>
      <c r="M153" s="2">
        <v>11734</v>
      </c>
      <c r="N153" s="2">
        <v>11271</v>
      </c>
      <c r="O153" s="2">
        <v>12347.43</v>
      </c>
      <c r="P153" s="2">
        <v>14128.12</v>
      </c>
      <c r="Q153" s="2">
        <v>17036.78</v>
      </c>
      <c r="R153" s="2">
        <v>20449.87</v>
      </c>
      <c r="S153" s="2">
        <v>24294.95</v>
      </c>
      <c r="T153" s="2">
        <v>27805.72</v>
      </c>
      <c r="U153" s="2">
        <v>31403.64</v>
      </c>
    </row>
    <row r="154" spans="1:21" x14ac:dyDescent="0.25">
      <c r="A154" t="s">
        <v>493</v>
      </c>
      <c r="B154" s="2">
        <v>1894</v>
      </c>
      <c r="C154" s="2">
        <v>2351</v>
      </c>
      <c r="D154" s="2">
        <v>2106</v>
      </c>
      <c r="E154" s="2">
        <v>1964</v>
      </c>
      <c r="F154" s="2">
        <v>2190</v>
      </c>
      <c r="G154" s="2">
        <v>2596</v>
      </c>
      <c r="H154" s="2">
        <v>2734</v>
      </c>
      <c r="I154" s="2">
        <v>3720</v>
      </c>
      <c r="J154" s="2">
        <v>3516</v>
      </c>
      <c r="K154" s="2">
        <v>4518</v>
      </c>
      <c r="L154" s="2">
        <v>6083</v>
      </c>
      <c r="M154" s="2">
        <v>6184</v>
      </c>
      <c r="N154" s="2">
        <v>4922</v>
      </c>
      <c r="O154" s="2">
        <v>4906</v>
      </c>
      <c r="P154" s="2">
        <v>6420.48</v>
      </c>
      <c r="Q154" s="2">
        <v>8712.27</v>
      </c>
      <c r="R154" s="2">
        <v>11241.64</v>
      </c>
      <c r="S154" s="2">
        <v>14976.15</v>
      </c>
      <c r="T154" s="2">
        <v>19370.560000000001</v>
      </c>
      <c r="U154" s="2">
        <v>23064.75</v>
      </c>
    </row>
    <row r="155" spans="1:21" x14ac:dyDescent="0.25">
      <c r="A155" t="s">
        <v>536</v>
      </c>
      <c r="B155" s="2">
        <v>1836</v>
      </c>
      <c r="C155" s="2">
        <v>2017</v>
      </c>
      <c r="D155" s="2">
        <v>1771</v>
      </c>
      <c r="E155" s="2">
        <v>1629</v>
      </c>
      <c r="F155" s="2">
        <v>1759</v>
      </c>
      <c r="G155" s="2">
        <v>2266</v>
      </c>
      <c r="H155" s="2">
        <v>2597</v>
      </c>
      <c r="I155" s="2">
        <v>3006</v>
      </c>
      <c r="J155" s="2">
        <v>3225</v>
      </c>
      <c r="K155" s="2">
        <v>3258</v>
      </c>
      <c r="L155" s="2">
        <v>3222</v>
      </c>
      <c r="M155" s="2">
        <v>2282</v>
      </c>
      <c r="N155" s="2">
        <v>2837</v>
      </c>
      <c r="O155" s="2">
        <v>2908.12</v>
      </c>
      <c r="P155" s="2">
        <v>4012.31</v>
      </c>
      <c r="Q155" s="2">
        <v>6284.14</v>
      </c>
      <c r="R155" s="2">
        <v>8696.26</v>
      </c>
      <c r="S155" s="2">
        <v>12028.08</v>
      </c>
      <c r="T155" s="2">
        <v>16434.560000000001</v>
      </c>
      <c r="U155" s="2">
        <v>20128.75</v>
      </c>
    </row>
    <row r="156" spans="1:21" x14ac:dyDescent="0.25">
      <c r="A156" t="s">
        <v>1385</v>
      </c>
      <c r="B156">
        <v>57</v>
      </c>
      <c r="C156">
        <v>334</v>
      </c>
      <c r="D156">
        <v>335</v>
      </c>
      <c r="E156">
        <v>335</v>
      </c>
      <c r="F156">
        <v>431</v>
      </c>
      <c r="G156">
        <v>330</v>
      </c>
      <c r="H156">
        <v>133</v>
      </c>
      <c r="I156">
        <v>133</v>
      </c>
      <c r="J156">
        <v>0</v>
      </c>
      <c r="K156">
        <v>679</v>
      </c>
      <c r="L156" s="2">
        <v>1635</v>
      </c>
      <c r="M156" s="2">
        <v>2452</v>
      </c>
      <c r="N156">
        <v>985</v>
      </c>
      <c r="O156" s="2">
        <v>1075.5999999999999</v>
      </c>
      <c r="P156" s="2">
        <v>1075.5999999999999</v>
      </c>
      <c r="Q156" s="2">
        <v>1075.5999999999999</v>
      </c>
      <c r="R156" s="2">
        <v>1085.67</v>
      </c>
      <c r="S156" s="2">
        <v>1085.67</v>
      </c>
      <c r="T156" s="2">
        <v>1136</v>
      </c>
      <c r="U156" s="2">
        <v>1136</v>
      </c>
    </row>
    <row r="157" spans="1:21" x14ac:dyDescent="0.25">
      <c r="A157" t="s">
        <v>656</v>
      </c>
      <c r="B157" s="2">
        <v>1049</v>
      </c>
      <c r="C157">
        <v>911</v>
      </c>
      <c r="D157">
        <v>820</v>
      </c>
      <c r="E157">
        <v>939</v>
      </c>
      <c r="F157" s="2">
        <v>1149</v>
      </c>
      <c r="G157" s="2">
        <v>1277</v>
      </c>
      <c r="H157" s="2">
        <v>1380</v>
      </c>
      <c r="I157" s="2">
        <v>1465</v>
      </c>
      <c r="J157" s="2">
        <v>1759</v>
      </c>
      <c r="K157" s="2">
        <v>1970</v>
      </c>
      <c r="L157" s="2">
        <v>1731</v>
      </c>
      <c r="M157" s="2">
        <v>1749</v>
      </c>
      <c r="N157" s="2">
        <v>1745</v>
      </c>
      <c r="O157" s="2">
        <v>2060.5</v>
      </c>
      <c r="P157" s="2">
        <v>2286.62</v>
      </c>
      <c r="Q157" s="2">
        <v>2609.2600000000002</v>
      </c>
      <c r="R157" s="2">
        <v>3036.97</v>
      </c>
      <c r="S157" s="2">
        <v>3289.89</v>
      </c>
      <c r="T157" s="2">
        <v>3066</v>
      </c>
      <c r="U157" s="2">
        <v>3024</v>
      </c>
    </row>
    <row r="158" spans="1:21" x14ac:dyDescent="0.25">
      <c r="A158" t="s">
        <v>340</v>
      </c>
      <c r="B158" s="2">
        <v>1336</v>
      </c>
      <c r="C158" s="2">
        <v>1269</v>
      </c>
      <c r="D158" s="2">
        <v>1251</v>
      </c>
      <c r="E158" s="2">
        <v>1173</v>
      </c>
      <c r="F158" s="2">
        <v>1335</v>
      </c>
      <c r="G158" s="2">
        <v>1562</v>
      </c>
      <c r="H158" s="2">
        <v>1693</v>
      </c>
      <c r="I158" s="2">
        <v>1841</v>
      </c>
      <c r="J158" s="2">
        <v>1972</v>
      </c>
      <c r="K158" s="2">
        <v>2583</v>
      </c>
      <c r="L158" s="2">
        <v>2698</v>
      </c>
      <c r="M158" s="2">
        <v>2794</v>
      </c>
      <c r="N158" s="2">
        <v>3136</v>
      </c>
      <c r="O158" s="2">
        <v>3397.56</v>
      </c>
      <c r="P158" s="2">
        <v>3458.73</v>
      </c>
      <c r="Q158" s="2">
        <v>3622.65</v>
      </c>
      <c r="R158" s="2">
        <v>3850.04</v>
      </c>
      <c r="S158" s="2">
        <v>4068.54</v>
      </c>
      <c r="T158" s="2">
        <v>3959.16</v>
      </c>
      <c r="U158" s="2">
        <v>3904.89</v>
      </c>
    </row>
    <row r="159" spans="1:21" x14ac:dyDescent="0.25">
      <c r="A159" t="s">
        <v>76</v>
      </c>
      <c r="B159">
        <v>17.309999999999999</v>
      </c>
      <c r="C159">
        <v>17.670000000000002</v>
      </c>
      <c r="D159">
        <v>18.54</v>
      </c>
      <c r="E159">
        <v>15.85</v>
      </c>
      <c r="F159">
        <v>14.68</v>
      </c>
      <c r="G159">
        <v>16.579999999999998</v>
      </c>
      <c r="H159">
        <v>17.59</v>
      </c>
      <c r="I159">
        <v>15.46</v>
      </c>
      <c r="J159">
        <v>13.95</v>
      </c>
      <c r="K159">
        <v>14.92</v>
      </c>
      <c r="L159">
        <v>17.510000000000002</v>
      </c>
      <c r="M159">
        <v>23.57</v>
      </c>
      <c r="N159">
        <v>23.94</v>
      </c>
      <c r="O159">
        <v>17.78</v>
      </c>
      <c r="P159">
        <v>13.09</v>
      </c>
      <c r="Q159">
        <v>12.53</v>
      </c>
    </row>
    <row r="160" spans="1:21" x14ac:dyDescent="0.25">
      <c r="A160" t="s">
        <v>3109</v>
      </c>
      <c r="B160">
        <v>1</v>
      </c>
      <c r="C160">
        <v>0</v>
      </c>
      <c r="G160">
        <v>0</v>
      </c>
      <c r="H160">
        <v>4</v>
      </c>
      <c r="I160">
        <v>581</v>
      </c>
      <c r="J160">
        <v>291</v>
      </c>
      <c r="K160">
        <v>581</v>
      </c>
      <c r="L160" s="2">
        <v>1226</v>
      </c>
      <c r="M160" s="2">
        <v>1450</v>
      </c>
      <c r="N160" s="2">
        <v>1100</v>
      </c>
      <c r="O160" s="2">
        <v>1800</v>
      </c>
      <c r="P160" s="2">
        <v>1800</v>
      </c>
      <c r="Q160" s="2">
        <v>1800</v>
      </c>
      <c r="R160" s="2">
        <v>1800</v>
      </c>
      <c r="S160" s="2">
        <v>1800</v>
      </c>
      <c r="T160" s="2">
        <v>1800</v>
      </c>
      <c r="U160" s="2">
        <v>1800</v>
      </c>
    </row>
    <row r="161" spans="1:21" x14ac:dyDescent="0.25">
      <c r="A161" t="s">
        <v>145</v>
      </c>
      <c r="B161">
        <v>389</v>
      </c>
      <c r="C161">
        <v>390</v>
      </c>
      <c r="D161">
        <v>407</v>
      </c>
      <c r="E161">
        <v>311</v>
      </c>
      <c r="F161">
        <v>425</v>
      </c>
      <c r="G161">
        <v>419</v>
      </c>
      <c r="H161">
        <v>434</v>
      </c>
      <c r="I161">
        <v>584</v>
      </c>
      <c r="J161">
        <v>581</v>
      </c>
      <c r="K161">
        <v>734</v>
      </c>
      <c r="L161" s="2">
        <v>1295</v>
      </c>
      <c r="M161" s="2">
        <v>1007</v>
      </c>
      <c r="N161" s="2">
        <v>1468</v>
      </c>
      <c r="O161" s="2">
        <v>1600.61</v>
      </c>
      <c r="P161" s="2">
        <v>1594.59</v>
      </c>
      <c r="Q161" s="2">
        <v>1655.76</v>
      </c>
      <c r="R161" s="2">
        <v>1439.4</v>
      </c>
      <c r="S161" s="2">
        <v>1443.22</v>
      </c>
      <c r="T161" s="2">
        <v>1410</v>
      </c>
      <c r="U161" s="2">
        <v>1410</v>
      </c>
    </row>
    <row r="162" spans="1:21" x14ac:dyDescent="0.25">
      <c r="A162" t="s">
        <v>146</v>
      </c>
      <c r="B162" s="2">
        <v>4366</v>
      </c>
      <c r="C162" s="2">
        <v>3953</v>
      </c>
      <c r="D162" s="2">
        <v>3515</v>
      </c>
      <c r="E162" s="2">
        <v>3526</v>
      </c>
      <c r="F162" s="2">
        <v>4582</v>
      </c>
      <c r="G162" s="2">
        <v>5013</v>
      </c>
      <c r="H162" s="2">
        <v>6412</v>
      </c>
      <c r="I162" s="2">
        <v>6844</v>
      </c>
      <c r="J162" s="2">
        <v>7712</v>
      </c>
      <c r="K162" s="2">
        <v>10177</v>
      </c>
      <c r="L162" s="2">
        <v>12646</v>
      </c>
      <c r="M162" s="2">
        <v>13009</v>
      </c>
      <c r="N162" s="2">
        <v>13529</v>
      </c>
      <c r="O162" s="2">
        <v>14393.41</v>
      </c>
      <c r="P162" s="2">
        <v>14794.92</v>
      </c>
      <c r="Q162" s="2">
        <v>15162.88</v>
      </c>
      <c r="R162" s="2">
        <v>15963.54</v>
      </c>
      <c r="S162" s="2">
        <v>16617.14</v>
      </c>
    </row>
    <row r="163" spans="1:21" x14ac:dyDescent="0.25">
      <c r="A163" t="s">
        <v>409</v>
      </c>
      <c r="B163" s="2">
        <v>3156</v>
      </c>
      <c r="C163" s="2">
        <v>2647</v>
      </c>
      <c r="D163" s="2">
        <v>2321</v>
      </c>
      <c r="E163" s="2">
        <v>2287</v>
      </c>
      <c r="F163" s="2">
        <v>3094</v>
      </c>
      <c r="G163" s="2">
        <v>3495</v>
      </c>
      <c r="H163" s="2">
        <v>4219</v>
      </c>
      <c r="I163" s="2">
        <v>4596</v>
      </c>
      <c r="J163" s="2">
        <v>5660</v>
      </c>
      <c r="K163" s="2">
        <v>8201</v>
      </c>
      <c r="L163" s="2">
        <v>10554</v>
      </c>
      <c r="M163" s="2">
        <v>10877</v>
      </c>
      <c r="N163" s="2">
        <v>11058</v>
      </c>
      <c r="O163" s="2">
        <v>11210.37</v>
      </c>
      <c r="P163" s="2">
        <v>11563.05</v>
      </c>
      <c r="Q163" s="2">
        <v>12051.68</v>
      </c>
      <c r="R163" s="2">
        <v>13110.02</v>
      </c>
      <c r="S163" s="2">
        <v>14094.62</v>
      </c>
      <c r="T163" s="2">
        <v>16801.13</v>
      </c>
      <c r="U163" s="2">
        <v>18200.060000000001</v>
      </c>
    </row>
    <row r="164" spans="1:21" x14ac:dyDescent="0.25">
      <c r="A164" t="s">
        <v>413</v>
      </c>
      <c r="I164">
        <v>775</v>
      </c>
      <c r="J164">
        <v>751</v>
      </c>
      <c r="K164">
        <v>702</v>
      </c>
      <c r="L164">
        <v>367</v>
      </c>
      <c r="M164">
        <v>346</v>
      </c>
      <c r="N164">
        <v>639</v>
      </c>
      <c r="O164">
        <v>904.78</v>
      </c>
      <c r="P164">
        <v>840.78</v>
      </c>
      <c r="Q164">
        <v>792.78</v>
      </c>
      <c r="R164" s="2">
        <v>1189.9000000000001</v>
      </c>
      <c r="S164" s="2">
        <v>1229.9000000000001</v>
      </c>
    </row>
    <row r="165" spans="1:21" x14ac:dyDescent="0.25">
      <c r="A165" t="s">
        <v>152</v>
      </c>
      <c r="B165">
        <v>90</v>
      </c>
      <c r="C165">
        <v>82</v>
      </c>
      <c r="D165">
        <v>76</v>
      </c>
      <c r="E165">
        <v>116</v>
      </c>
      <c r="F165">
        <v>123</v>
      </c>
      <c r="G165">
        <v>121</v>
      </c>
      <c r="H165">
        <v>144</v>
      </c>
      <c r="I165">
        <v>330</v>
      </c>
      <c r="J165">
        <v>313</v>
      </c>
      <c r="K165">
        <v>297</v>
      </c>
      <c r="L165">
        <v>303</v>
      </c>
      <c r="M165">
        <v>290</v>
      </c>
      <c r="N165">
        <v>315</v>
      </c>
      <c r="O165">
        <v>510</v>
      </c>
      <c r="P165">
        <v>510</v>
      </c>
      <c r="Q165">
        <v>537.86</v>
      </c>
      <c r="R165">
        <v>607.5</v>
      </c>
      <c r="S165">
        <v>607.5</v>
      </c>
      <c r="T165">
        <v>705</v>
      </c>
      <c r="U165">
        <v>705</v>
      </c>
    </row>
    <row r="166" spans="1:21" x14ac:dyDescent="0.25">
      <c r="A166" t="s">
        <v>1609</v>
      </c>
      <c r="B166">
        <v>217</v>
      </c>
      <c r="C166">
        <v>193</v>
      </c>
      <c r="D166">
        <v>166</v>
      </c>
      <c r="E166">
        <v>195</v>
      </c>
      <c r="F166">
        <v>209</v>
      </c>
      <c r="G166">
        <v>212</v>
      </c>
      <c r="H166" s="2">
        <v>1191</v>
      </c>
      <c r="I166">
        <v>445</v>
      </c>
      <c r="J166">
        <v>438</v>
      </c>
      <c r="K166">
        <v>405</v>
      </c>
      <c r="L166">
        <v>367</v>
      </c>
      <c r="M166">
        <v>346</v>
      </c>
      <c r="N166">
        <v>324</v>
      </c>
      <c r="O166">
        <v>561.92999999999995</v>
      </c>
      <c r="P166">
        <v>562.27</v>
      </c>
      <c r="Q166">
        <v>602.91</v>
      </c>
      <c r="R166">
        <v>800.44</v>
      </c>
      <c r="S166">
        <v>819.7</v>
      </c>
      <c r="T166" s="2">
        <v>1025.54</v>
      </c>
      <c r="U166" s="2">
        <v>1088.67</v>
      </c>
    </row>
    <row r="167" spans="1:21" x14ac:dyDescent="0.25">
      <c r="A167" t="s">
        <v>1708</v>
      </c>
      <c r="B167">
        <v>76</v>
      </c>
      <c r="C167">
        <v>69</v>
      </c>
      <c r="D167">
        <v>57</v>
      </c>
      <c r="E167">
        <v>57</v>
      </c>
      <c r="F167">
        <v>57</v>
      </c>
      <c r="G167">
        <v>61</v>
      </c>
      <c r="H167">
        <v>35</v>
      </c>
      <c r="I167">
        <v>10</v>
      </c>
      <c r="J167">
        <v>10</v>
      </c>
      <c r="K167">
        <v>11</v>
      </c>
      <c r="L167">
        <v>22</v>
      </c>
      <c r="M167">
        <v>71</v>
      </c>
      <c r="N167">
        <v>152</v>
      </c>
      <c r="O167">
        <v>154.93</v>
      </c>
      <c r="P167">
        <v>162.76</v>
      </c>
      <c r="Q167">
        <v>168.49</v>
      </c>
      <c r="R167">
        <v>190.33</v>
      </c>
      <c r="S167">
        <v>202.67</v>
      </c>
      <c r="T167">
        <v>144</v>
      </c>
      <c r="U167">
        <v>144</v>
      </c>
    </row>
    <row r="168" spans="1:21" x14ac:dyDescent="0.25">
      <c r="A168" t="s">
        <v>3110</v>
      </c>
      <c r="B168">
        <v>227</v>
      </c>
      <c r="C168">
        <v>386</v>
      </c>
      <c r="D168">
        <v>436</v>
      </c>
      <c r="E168">
        <v>437</v>
      </c>
      <c r="F168">
        <v>624</v>
      </c>
      <c r="G168">
        <v>672</v>
      </c>
      <c r="H168">
        <v>387</v>
      </c>
      <c r="I168">
        <v>739</v>
      </c>
      <c r="J168">
        <v>652</v>
      </c>
      <c r="K168">
        <v>602</v>
      </c>
      <c r="L168">
        <v>592</v>
      </c>
      <c r="M168">
        <v>464</v>
      </c>
      <c r="N168">
        <v>408</v>
      </c>
      <c r="O168">
        <v>433.68</v>
      </c>
      <c r="P168">
        <v>437.96</v>
      </c>
      <c r="Q168">
        <v>442.46</v>
      </c>
      <c r="R168">
        <v>435</v>
      </c>
      <c r="S168">
        <v>435</v>
      </c>
      <c r="T168">
        <v>435</v>
      </c>
      <c r="U168">
        <v>435</v>
      </c>
    </row>
    <row r="169" spans="1:21" x14ac:dyDescent="0.25">
      <c r="A169" t="s">
        <v>155</v>
      </c>
      <c r="B169" s="2">
        <v>9173</v>
      </c>
      <c r="C169" s="2">
        <v>9004</v>
      </c>
      <c r="D169" s="2">
        <v>8195</v>
      </c>
      <c r="E169" s="2">
        <v>8008</v>
      </c>
      <c r="F169" s="2">
        <v>9681</v>
      </c>
      <c r="G169" s="2">
        <v>10867</v>
      </c>
      <c r="H169" s="2">
        <v>12686</v>
      </c>
      <c r="I169" s="2">
        <v>14454</v>
      </c>
      <c r="J169" s="2">
        <v>15540</v>
      </c>
      <c r="K169" s="2">
        <v>19982</v>
      </c>
      <c r="L169" s="2">
        <v>24453</v>
      </c>
      <c r="M169" s="2">
        <v>24743</v>
      </c>
      <c r="N169" s="2">
        <v>24800</v>
      </c>
      <c r="O169" s="2">
        <v>26512.41</v>
      </c>
      <c r="P169" s="2">
        <v>28671.29</v>
      </c>
      <c r="Q169" s="2">
        <v>31828.400000000001</v>
      </c>
      <c r="R169" s="2">
        <v>35953.699999999997</v>
      </c>
      <c r="S169" s="2">
        <v>40710.53</v>
      </c>
      <c r="T169" s="2">
        <v>48324.98</v>
      </c>
      <c r="U169" s="2">
        <v>53384.97</v>
      </c>
    </row>
    <row r="170" spans="1:21" x14ac:dyDescent="0.25">
      <c r="A170" t="s">
        <v>17</v>
      </c>
    </row>
    <row r="171" spans="1:21" x14ac:dyDescent="0.25">
      <c r="A171" t="s">
        <v>156</v>
      </c>
    </row>
    <row r="172" spans="1:21" x14ac:dyDescent="0.25">
      <c r="A172" t="s">
        <v>157</v>
      </c>
      <c r="B172" s="2">
        <v>1993</v>
      </c>
      <c r="C172" s="2">
        <v>1766</v>
      </c>
      <c r="D172" s="2">
        <v>1560</v>
      </c>
      <c r="E172" s="2">
        <v>1588</v>
      </c>
      <c r="F172" s="2">
        <v>2020</v>
      </c>
      <c r="G172" s="2">
        <v>2120</v>
      </c>
      <c r="H172" s="2">
        <v>3108</v>
      </c>
      <c r="I172" s="2">
        <v>3053</v>
      </c>
      <c r="J172" s="2">
        <v>2949</v>
      </c>
      <c r="K172" s="2">
        <v>3837</v>
      </c>
      <c r="L172" s="2">
        <v>3730</v>
      </c>
      <c r="M172" s="2">
        <v>3773</v>
      </c>
      <c r="N172" s="2">
        <v>3351</v>
      </c>
      <c r="O172" s="2">
        <v>4384.72</v>
      </c>
      <c r="P172" s="2">
        <v>4460.08</v>
      </c>
      <c r="Q172" s="2">
        <v>4614.3500000000004</v>
      </c>
      <c r="R172" s="2">
        <v>4718.92</v>
      </c>
      <c r="S172" s="2">
        <v>4859.47</v>
      </c>
      <c r="T172" s="2">
        <v>5266.4</v>
      </c>
      <c r="U172" s="2">
        <v>5232.33</v>
      </c>
    </row>
    <row r="173" spans="1:21" x14ac:dyDescent="0.25">
      <c r="A173" t="s">
        <v>658</v>
      </c>
      <c r="B173">
        <v>694</v>
      </c>
      <c r="C173">
        <v>597</v>
      </c>
      <c r="D173">
        <v>525</v>
      </c>
      <c r="E173">
        <v>620</v>
      </c>
      <c r="F173">
        <v>893</v>
      </c>
      <c r="G173">
        <v>981</v>
      </c>
      <c r="H173">
        <v>950</v>
      </c>
      <c r="I173" s="2">
        <v>1166</v>
      </c>
      <c r="J173" s="2">
        <v>1582</v>
      </c>
      <c r="K173" s="2">
        <v>2122</v>
      </c>
      <c r="L173" s="2">
        <v>1856</v>
      </c>
      <c r="M173" s="2">
        <v>1323</v>
      </c>
      <c r="N173" s="2">
        <v>1487</v>
      </c>
      <c r="O173" s="2">
        <v>1701.2</v>
      </c>
      <c r="P173" s="2">
        <v>1878.78</v>
      </c>
      <c r="Q173" s="2">
        <v>1991.3</v>
      </c>
      <c r="R173" s="2">
        <v>2169.9899999999998</v>
      </c>
      <c r="S173" s="2">
        <v>2323.39</v>
      </c>
      <c r="T173" s="2">
        <v>2470.4</v>
      </c>
      <c r="U173" s="2">
        <v>2436.33</v>
      </c>
    </row>
    <row r="174" spans="1:21" x14ac:dyDescent="0.25">
      <c r="A174" t="s">
        <v>313</v>
      </c>
      <c r="B174">
        <v>225</v>
      </c>
      <c r="C174">
        <v>0</v>
      </c>
      <c r="D174">
        <v>0</v>
      </c>
      <c r="E174">
        <v>117</v>
      </c>
      <c r="F174">
        <v>118</v>
      </c>
      <c r="G174">
        <v>146</v>
      </c>
      <c r="H174">
        <v>869</v>
      </c>
      <c r="I174">
        <v>795</v>
      </c>
      <c r="J174">
        <v>143</v>
      </c>
      <c r="K174">
        <v>175</v>
      </c>
      <c r="L174">
        <v>217</v>
      </c>
      <c r="M174">
        <v>990</v>
      </c>
      <c r="N174">
        <v>298</v>
      </c>
      <c r="O174">
        <v>723</v>
      </c>
      <c r="P174">
        <v>723</v>
      </c>
      <c r="Q174">
        <v>723</v>
      </c>
      <c r="R174">
        <v>871.75</v>
      </c>
      <c r="S174">
        <v>871.75</v>
      </c>
      <c r="T174" s="2">
        <v>1063</v>
      </c>
      <c r="U174" s="2">
        <v>1063</v>
      </c>
    </row>
    <row r="175" spans="1:21" x14ac:dyDescent="0.25">
      <c r="A175" t="s">
        <v>3111</v>
      </c>
      <c r="B175">
        <v>89</v>
      </c>
      <c r="C175">
        <v>87</v>
      </c>
      <c r="D175">
        <v>97</v>
      </c>
      <c r="E175">
        <v>59</v>
      </c>
      <c r="F175">
        <v>60</v>
      </c>
      <c r="G175">
        <v>60</v>
      </c>
      <c r="H175">
        <v>58</v>
      </c>
      <c r="I175">
        <v>42</v>
      </c>
      <c r="J175">
        <v>55</v>
      </c>
      <c r="K175">
        <v>60</v>
      </c>
      <c r="L175">
        <v>54</v>
      </c>
      <c r="M175">
        <v>88</v>
      </c>
      <c r="N175">
        <v>89</v>
      </c>
      <c r="O175">
        <v>265</v>
      </c>
      <c r="P175">
        <v>265</v>
      </c>
      <c r="Q175">
        <v>265</v>
      </c>
      <c r="R175">
        <v>265</v>
      </c>
      <c r="S175">
        <v>265</v>
      </c>
      <c r="T175">
        <v>265</v>
      </c>
      <c r="U175">
        <v>265</v>
      </c>
    </row>
    <row r="176" spans="1:21" x14ac:dyDescent="0.25">
      <c r="A176" t="s">
        <v>3112</v>
      </c>
      <c r="B176">
        <v>48</v>
      </c>
      <c r="C176">
        <v>39</v>
      </c>
      <c r="D176">
        <v>42</v>
      </c>
      <c r="E176">
        <v>42</v>
      </c>
      <c r="F176">
        <v>52</v>
      </c>
      <c r="G176">
        <v>59</v>
      </c>
      <c r="H176">
        <v>52</v>
      </c>
      <c r="I176">
        <v>84</v>
      </c>
      <c r="J176">
        <v>68</v>
      </c>
      <c r="K176">
        <v>95</v>
      </c>
      <c r="L176">
        <v>78</v>
      </c>
      <c r="M176">
        <v>66</v>
      </c>
      <c r="N176">
        <v>37</v>
      </c>
      <c r="O176">
        <v>53.67</v>
      </c>
      <c r="P176">
        <v>53.67</v>
      </c>
      <c r="Q176">
        <v>53.67</v>
      </c>
      <c r="R176">
        <v>55.75</v>
      </c>
      <c r="S176">
        <v>55.75</v>
      </c>
      <c r="T176">
        <v>62</v>
      </c>
      <c r="U176">
        <v>62</v>
      </c>
    </row>
    <row r="177" spans="1:21" x14ac:dyDescent="0.25">
      <c r="A177" t="s">
        <v>164</v>
      </c>
      <c r="B177" s="2">
        <v>1463</v>
      </c>
      <c r="C177" s="2">
        <v>2183</v>
      </c>
      <c r="D177" s="2">
        <v>1942</v>
      </c>
      <c r="E177" s="2">
        <v>1824</v>
      </c>
      <c r="F177" s="2">
        <v>2194</v>
      </c>
      <c r="G177" s="2">
        <v>2323</v>
      </c>
      <c r="H177" s="2">
        <v>2424</v>
      </c>
      <c r="I177" s="2">
        <v>2895</v>
      </c>
      <c r="J177" s="2">
        <v>3318</v>
      </c>
      <c r="K177" s="2">
        <v>3387</v>
      </c>
      <c r="L177" s="2">
        <v>3871</v>
      </c>
      <c r="M177" s="2">
        <v>3291</v>
      </c>
      <c r="N177" s="2">
        <v>3224</v>
      </c>
      <c r="O177" s="2">
        <v>4409.75</v>
      </c>
      <c r="P177" s="2">
        <v>4409.75</v>
      </c>
      <c r="Q177" s="2">
        <v>4409.75</v>
      </c>
      <c r="R177" s="2">
        <v>4407.5</v>
      </c>
      <c r="S177" s="2">
        <v>4407.5</v>
      </c>
    </row>
    <row r="178" spans="1:21" x14ac:dyDescent="0.25">
      <c r="A178" t="s">
        <v>315</v>
      </c>
      <c r="B178">
        <v>928</v>
      </c>
      <c r="C178" s="2">
        <v>1599</v>
      </c>
      <c r="D178" s="2">
        <v>1421</v>
      </c>
      <c r="E178" s="2">
        <v>1334</v>
      </c>
      <c r="F178" s="2">
        <v>1583</v>
      </c>
      <c r="G178" s="2">
        <v>1764</v>
      </c>
      <c r="H178">
        <v>993</v>
      </c>
      <c r="I178" s="2">
        <v>1684</v>
      </c>
      <c r="J178" s="2">
        <v>2248</v>
      </c>
      <c r="K178" s="2">
        <v>2351</v>
      </c>
      <c r="L178" s="2">
        <v>2467</v>
      </c>
      <c r="M178" s="2">
        <v>1753</v>
      </c>
      <c r="N178" s="2">
        <v>1612</v>
      </c>
      <c r="O178" s="2">
        <v>2438.89</v>
      </c>
      <c r="P178" s="2">
        <v>2416.67</v>
      </c>
      <c r="Q178" s="2">
        <v>2394.44</v>
      </c>
      <c r="R178" s="2">
        <v>2480.25</v>
      </c>
      <c r="S178" s="2">
        <v>2430.25</v>
      </c>
      <c r="T178" s="2">
        <v>2962</v>
      </c>
      <c r="U178" s="2">
        <v>2962</v>
      </c>
    </row>
    <row r="179" spans="1:21" x14ac:dyDescent="0.25">
      <c r="A179" t="s">
        <v>2815</v>
      </c>
      <c r="B179">
        <v>366</v>
      </c>
      <c r="C179">
        <v>392</v>
      </c>
      <c r="D179">
        <v>351</v>
      </c>
      <c r="E179">
        <v>347</v>
      </c>
      <c r="F179">
        <v>385</v>
      </c>
      <c r="G179">
        <v>385</v>
      </c>
      <c r="H179">
        <v>566</v>
      </c>
      <c r="I179">
        <v>506</v>
      </c>
      <c r="J179">
        <v>442</v>
      </c>
      <c r="K179">
        <v>331</v>
      </c>
      <c r="L179">
        <v>372</v>
      </c>
      <c r="M179">
        <v>377</v>
      </c>
      <c r="N179">
        <v>403</v>
      </c>
      <c r="O179">
        <v>417.91</v>
      </c>
      <c r="P179">
        <v>430.93</v>
      </c>
      <c r="Q179">
        <v>440.08</v>
      </c>
      <c r="R179">
        <v>489.95</v>
      </c>
      <c r="S179">
        <v>515.61</v>
      </c>
      <c r="T179">
        <v>382</v>
      </c>
      <c r="U179">
        <v>382</v>
      </c>
    </row>
    <row r="180" spans="1:21" x14ac:dyDescent="0.25">
      <c r="A180" t="s">
        <v>3110</v>
      </c>
      <c r="B180">
        <v>11</v>
      </c>
      <c r="C180">
        <v>10</v>
      </c>
      <c r="D180">
        <v>12</v>
      </c>
      <c r="E180">
        <v>9</v>
      </c>
      <c r="F180">
        <v>11</v>
      </c>
      <c r="G180">
        <v>14</v>
      </c>
      <c r="H180">
        <v>31</v>
      </c>
      <c r="I180">
        <v>75</v>
      </c>
      <c r="J180">
        <v>64</v>
      </c>
      <c r="K180">
        <v>60</v>
      </c>
      <c r="L180">
        <v>54</v>
      </c>
      <c r="M180">
        <v>47</v>
      </c>
      <c r="N180">
        <v>60</v>
      </c>
      <c r="O180">
        <v>58.7</v>
      </c>
      <c r="P180">
        <v>59.01</v>
      </c>
      <c r="Q180">
        <v>59.32</v>
      </c>
      <c r="R180">
        <v>60.06</v>
      </c>
      <c r="S180">
        <v>60.47</v>
      </c>
      <c r="T180">
        <v>58</v>
      </c>
      <c r="U180">
        <v>58</v>
      </c>
    </row>
    <row r="181" spans="1:21" x14ac:dyDescent="0.25">
      <c r="A181" t="s">
        <v>3113</v>
      </c>
      <c r="B181">
        <v>600</v>
      </c>
      <c r="C181">
        <v>576</v>
      </c>
      <c r="D181">
        <v>459</v>
      </c>
      <c r="E181">
        <v>434</v>
      </c>
      <c r="F181">
        <v>475</v>
      </c>
      <c r="G181">
        <v>452</v>
      </c>
      <c r="H181">
        <v>414</v>
      </c>
      <c r="I181">
        <v>724</v>
      </c>
      <c r="J181">
        <v>639</v>
      </c>
      <c r="K181">
        <v>661</v>
      </c>
      <c r="L181">
        <v>808</v>
      </c>
      <c r="M181">
        <v>961</v>
      </c>
      <c r="N181" s="2">
        <v>1272</v>
      </c>
      <c r="O181" s="2">
        <v>1390.65</v>
      </c>
      <c r="P181" s="2">
        <v>1407.35</v>
      </c>
      <c r="Q181" s="2">
        <v>1424.87</v>
      </c>
      <c r="R181" s="2">
        <v>1409</v>
      </c>
      <c r="S181" s="2">
        <v>1409</v>
      </c>
      <c r="T181" s="2">
        <v>1409</v>
      </c>
      <c r="U181" s="2">
        <v>1409</v>
      </c>
    </row>
    <row r="182" spans="1:21" x14ac:dyDescent="0.25">
      <c r="A182" t="s">
        <v>3114</v>
      </c>
      <c r="B182">
        <v>937</v>
      </c>
      <c r="C182">
        <v>841</v>
      </c>
      <c r="D182">
        <v>703</v>
      </c>
      <c r="E182">
        <v>750</v>
      </c>
      <c r="F182">
        <v>897</v>
      </c>
      <c r="G182">
        <v>874</v>
      </c>
      <c r="H182">
        <v>260</v>
      </c>
      <c r="I182">
        <v>966</v>
      </c>
      <c r="J182" s="2">
        <v>1101</v>
      </c>
      <c r="K182" s="2">
        <v>1385</v>
      </c>
      <c r="L182" s="2">
        <v>1525</v>
      </c>
      <c r="M182" s="2">
        <v>1306</v>
      </c>
      <c r="N182" s="2">
        <v>1440</v>
      </c>
      <c r="O182" s="2">
        <v>1600.75</v>
      </c>
      <c r="P182" s="2">
        <v>1508.48</v>
      </c>
      <c r="Q182" s="2">
        <v>1597.6</v>
      </c>
      <c r="R182" s="2">
        <v>1403</v>
      </c>
      <c r="S182" s="2">
        <v>1403</v>
      </c>
      <c r="T182" s="2">
        <v>1406</v>
      </c>
      <c r="U182" s="2">
        <v>1406</v>
      </c>
    </row>
    <row r="183" spans="1:21" x14ac:dyDescent="0.25">
      <c r="A183" t="s">
        <v>3115</v>
      </c>
      <c r="B183">
        <v>535</v>
      </c>
      <c r="C183">
        <v>584</v>
      </c>
      <c r="D183">
        <v>521</v>
      </c>
      <c r="E183">
        <v>490</v>
      </c>
      <c r="F183">
        <v>611</v>
      </c>
      <c r="G183">
        <v>559</v>
      </c>
      <c r="H183" s="2">
        <v>1224</v>
      </c>
      <c r="I183" s="2">
        <v>1069</v>
      </c>
      <c r="J183">
        <v>922</v>
      </c>
      <c r="K183">
        <v>845</v>
      </c>
      <c r="L183" s="2">
        <v>1161</v>
      </c>
      <c r="M183" s="2">
        <v>1328</v>
      </c>
      <c r="N183" s="2">
        <v>1389</v>
      </c>
      <c r="O183" s="2">
        <v>1420.35</v>
      </c>
      <c r="P183" s="2">
        <v>1427.46</v>
      </c>
      <c r="Q183" s="2">
        <v>1430.95</v>
      </c>
      <c r="R183" s="2">
        <v>1491.6</v>
      </c>
      <c r="S183" s="2">
        <v>1510.76</v>
      </c>
      <c r="T183">
        <v>440</v>
      </c>
      <c r="U183">
        <v>440</v>
      </c>
    </row>
    <row r="184" spans="1:21" x14ac:dyDescent="0.25">
      <c r="A184" t="s">
        <v>502</v>
      </c>
      <c r="B184">
        <v>158</v>
      </c>
      <c r="C184">
        <v>182</v>
      </c>
      <c r="D184">
        <v>158</v>
      </c>
      <c r="E184">
        <v>134</v>
      </c>
      <c r="F184">
        <v>215</v>
      </c>
      <c r="G184">
        <v>160</v>
      </c>
      <c r="H184">
        <v>626</v>
      </c>
      <c r="I184">
        <v>488</v>
      </c>
      <c r="J184">
        <v>416</v>
      </c>
      <c r="K184">
        <v>454</v>
      </c>
      <c r="L184">
        <v>735</v>
      </c>
      <c r="M184">
        <v>904</v>
      </c>
      <c r="N184">
        <v>926</v>
      </c>
      <c r="O184" s="2">
        <v>1007.75</v>
      </c>
      <c r="P184" s="2">
        <v>1007.75</v>
      </c>
      <c r="Q184" s="2">
        <v>1007.75</v>
      </c>
      <c r="R184" s="2">
        <v>1007</v>
      </c>
      <c r="S184" s="2">
        <v>1007</v>
      </c>
      <c r="T184" s="2">
        <v>1010</v>
      </c>
      <c r="U184" s="2">
        <v>1010</v>
      </c>
    </row>
    <row r="185" spans="1:21" x14ac:dyDescent="0.25">
      <c r="A185" t="s">
        <v>167</v>
      </c>
      <c r="B185" s="2">
        <v>3456</v>
      </c>
      <c r="C185" s="2">
        <v>3949</v>
      </c>
      <c r="D185" s="2">
        <v>3502</v>
      </c>
      <c r="E185" s="2">
        <v>3412</v>
      </c>
      <c r="F185" s="2">
        <v>4214</v>
      </c>
      <c r="G185" s="2">
        <v>4443</v>
      </c>
      <c r="H185" s="2">
        <v>5532</v>
      </c>
      <c r="I185" s="2">
        <v>5948</v>
      </c>
      <c r="J185" s="2">
        <v>6267</v>
      </c>
      <c r="K185" s="2">
        <v>7224</v>
      </c>
      <c r="L185" s="2">
        <v>7601</v>
      </c>
      <c r="M185" s="2">
        <v>7064</v>
      </c>
      <c r="N185" s="2">
        <v>6575</v>
      </c>
      <c r="O185" s="2">
        <v>8392.14</v>
      </c>
      <c r="P185" s="2">
        <v>8533.01</v>
      </c>
      <c r="Q185" s="2">
        <v>8607.35</v>
      </c>
      <c r="R185" s="2">
        <v>8471.77</v>
      </c>
      <c r="S185" s="2">
        <v>8748.2800000000007</v>
      </c>
      <c r="T185" s="2">
        <v>9678.4</v>
      </c>
      <c r="U185" s="2">
        <v>9644.33</v>
      </c>
    </row>
    <row r="186" spans="1:21" x14ac:dyDescent="0.25">
      <c r="A186" t="s">
        <v>170</v>
      </c>
      <c r="B186" s="2">
        <v>5717</v>
      </c>
      <c r="C186" s="2">
        <v>5055</v>
      </c>
      <c r="D186" s="2">
        <v>4693</v>
      </c>
      <c r="E186" s="2">
        <v>4596</v>
      </c>
      <c r="F186" s="2">
        <v>5467</v>
      </c>
      <c r="G186" s="2">
        <v>6424</v>
      </c>
      <c r="H186" s="2">
        <v>7154</v>
      </c>
      <c r="I186" s="2">
        <v>8506</v>
      </c>
      <c r="J186" s="2">
        <v>9273</v>
      </c>
      <c r="K186" s="2">
        <v>12758</v>
      </c>
      <c r="L186" s="2">
        <v>16852</v>
      </c>
      <c r="M186" s="2">
        <v>17679</v>
      </c>
      <c r="N186" s="2">
        <v>18225</v>
      </c>
      <c r="O186" s="2">
        <v>18914.23</v>
      </c>
      <c r="P186" s="2">
        <v>20935.45</v>
      </c>
      <c r="Q186" s="2">
        <v>24056.02</v>
      </c>
      <c r="R186" s="2">
        <v>28116.16</v>
      </c>
      <c r="S186" s="2">
        <v>32906.44</v>
      </c>
      <c r="T186" s="2">
        <v>38646.58</v>
      </c>
      <c r="U186" s="2">
        <v>43740.639999999999</v>
      </c>
    </row>
    <row r="187" spans="1:21" x14ac:dyDescent="0.25">
      <c r="A187" t="s">
        <v>3116</v>
      </c>
      <c r="B187" s="2">
        <v>5643</v>
      </c>
      <c r="C187" s="2">
        <v>4994</v>
      </c>
      <c r="D187" s="2">
        <v>4632</v>
      </c>
      <c r="E187" s="2">
        <v>4535</v>
      </c>
      <c r="F187" s="2">
        <v>5404</v>
      </c>
      <c r="G187" s="2">
        <v>6359</v>
      </c>
      <c r="H187" s="2">
        <v>7086</v>
      </c>
      <c r="I187" s="2">
        <v>8448</v>
      </c>
      <c r="J187" s="2">
        <v>9209</v>
      </c>
      <c r="K187" s="2">
        <v>12693</v>
      </c>
      <c r="L187" s="2">
        <v>16729</v>
      </c>
      <c r="M187" s="2">
        <v>17449</v>
      </c>
      <c r="N187" s="2">
        <v>17828</v>
      </c>
      <c r="O187" s="2">
        <v>18207.86</v>
      </c>
      <c r="P187" s="2">
        <v>20014.43</v>
      </c>
      <c r="Q187" s="2">
        <v>23286.17</v>
      </c>
      <c r="R187" s="2">
        <v>26992</v>
      </c>
      <c r="S187" s="2">
        <v>31681.75</v>
      </c>
      <c r="T187" s="2">
        <v>38097</v>
      </c>
      <c r="U187" s="2">
        <v>43148</v>
      </c>
    </row>
    <row r="188" spans="1:21" x14ac:dyDescent="0.25">
      <c r="A188" t="s">
        <v>2121</v>
      </c>
      <c r="B188" s="2">
        <v>1156</v>
      </c>
      <c r="C188" s="2">
        <v>1157</v>
      </c>
      <c r="D188" s="2">
        <v>1157</v>
      </c>
      <c r="E188" s="2">
        <v>1157</v>
      </c>
      <c r="F188" s="2">
        <v>1157</v>
      </c>
      <c r="G188" s="2">
        <v>1157</v>
      </c>
      <c r="H188" s="2">
        <v>1157</v>
      </c>
      <c r="I188" s="2">
        <v>1157</v>
      </c>
      <c r="J188" s="2">
        <v>1157</v>
      </c>
      <c r="K188" s="2">
        <v>1157</v>
      </c>
      <c r="L188" s="2">
        <v>1157</v>
      </c>
      <c r="M188" s="2">
        <v>1157</v>
      </c>
      <c r="N188" s="2">
        <v>1157</v>
      </c>
      <c r="O188" s="2">
        <v>1157</v>
      </c>
      <c r="P188" s="2">
        <v>1157</v>
      </c>
      <c r="Q188" s="2">
        <v>1157</v>
      </c>
      <c r="R188" s="2">
        <v>1157</v>
      </c>
      <c r="S188" s="2">
        <v>1157</v>
      </c>
      <c r="T188" s="2">
        <v>1157</v>
      </c>
      <c r="U188" s="2">
        <v>1157</v>
      </c>
    </row>
    <row r="189" spans="1:21" x14ac:dyDescent="0.25">
      <c r="A189" t="s">
        <v>3117</v>
      </c>
      <c r="B189" s="2">
        <v>1076</v>
      </c>
      <c r="C189">
        <v>817</v>
      </c>
      <c r="D189">
        <v>525</v>
      </c>
      <c r="E189">
        <v>431</v>
      </c>
      <c r="F189">
        <v>973</v>
      </c>
      <c r="G189" s="2">
        <v>1991</v>
      </c>
      <c r="H189" s="2">
        <v>2751</v>
      </c>
      <c r="I189" s="2">
        <v>3599</v>
      </c>
      <c r="J189" s="2">
        <v>5223</v>
      </c>
      <c r="K189" s="2">
        <v>8713</v>
      </c>
      <c r="L189" s="2">
        <v>12470</v>
      </c>
      <c r="M189" s="2">
        <v>13459</v>
      </c>
      <c r="N189" s="2">
        <v>13082</v>
      </c>
      <c r="O189" s="2">
        <v>13200.81</v>
      </c>
      <c r="P189" s="2">
        <v>15112.69</v>
      </c>
      <c r="Q189" s="2">
        <v>18117.89</v>
      </c>
      <c r="R189" s="2">
        <v>21874.54</v>
      </c>
      <c r="S189" s="2">
        <v>26309.37</v>
      </c>
      <c r="T189" s="2">
        <v>30302.16</v>
      </c>
      <c r="U189" s="2">
        <v>34644.15</v>
      </c>
    </row>
    <row r="190" spans="1:21" x14ac:dyDescent="0.25">
      <c r="A190" t="s">
        <v>3118</v>
      </c>
      <c r="B190" s="2">
        <v>2581</v>
      </c>
      <c r="C190" s="2">
        <v>2741</v>
      </c>
      <c r="D190" s="2">
        <v>2779</v>
      </c>
      <c r="E190" s="2">
        <v>2818</v>
      </c>
      <c r="F190" s="2">
        <v>2718</v>
      </c>
      <c r="G190" s="2">
        <v>2843</v>
      </c>
      <c r="H190" s="2">
        <v>2189</v>
      </c>
      <c r="I190" s="2">
        <v>3062</v>
      </c>
      <c r="J190" s="2">
        <v>2533</v>
      </c>
      <c r="K190" s="2">
        <v>2631</v>
      </c>
      <c r="L190" s="2">
        <v>2866</v>
      </c>
      <c r="M190" s="2">
        <v>3088</v>
      </c>
      <c r="N190" s="2">
        <v>3281</v>
      </c>
      <c r="O190" s="2">
        <v>3357.67</v>
      </c>
      <c r="P190" s="2">
        <v>3402.25</v>
      </c>
      <c r="Q190" s="2">
        <v>3449.95</v>
      </c>
      <c r="R190" s="2">
        <v>3659.66</v>
      </c>
      <c r="S190" s="2">
        <v>3766.85</v>
      </c>
      <c r="T190" s="2">
        <v>4892.21</v>
      </c>
      <c r="U190" s="2">
        <v>5246.75</v>
      </c>
    </row>
    <row r="191" spans="1:21" x14ac:dyDescent="0.25">
      <c r="A191" t="s">
        <v>2122</v>
      </c>
      <c r="B191">
        <v>212</v>
      </c>
      <c r="C191">
        <v>334</v>
      </c>
      <c r="D191">
        <v>289</v>
      </c>
      <c r="E191">
        <v>242</v>
      </c>
      <c r="F191">
        <v>132</v>
      </c>
      <c r="G191">
        <v>141</v>
      </c>
      <c r="H191">
        <v>328</v>
      </c>
      <c r="I191">
        <v>93</v>
      </c>
      <c r="J191">
        <v>200</v>
      </c>
      <c r="K191">
        <v>268</v>
      </c>
      <c r="L191">
        <v>377</v>
      </c>
      <c r="M191">
        <v>491</v>
      </c>
      <c r="N191">
        <v>637</v>
      </c>
      <c r="O191">
        <v>588.5</v>
      </c>
      <c r="P191">
        <v>671.92</v>
      </c>
      <c r="Q191">
        <v>768.88</v>
      </c>
      <c r="R191">
        <v>746</v>
      </c>
      <c r="S191">
        <v>805.48</v>
      </c>
      <c r="T191" s="2">
        <v>-1013.21</v>
      </c>
      <c r="U191" s="2">
        <v>-1367.75</v>
      </c>
    </row>
    <row r="192" spans="1:21" x14ac:dyDescent="0.25">
      <c r="A192" t="s">
        <v>2526</v>
      </c>
      <c r="B192" s="2">
        <v>1042</v>
      </c>
      <c r="C192">
        <v>613</v>
      </c>
      <c r="D192">
        <v>460</v>
      </c>
      <c r="E192">
        <v>371</v>
      </c>
      <c r="F192">
        <v>688</v>
      </c>
      <c r="G192">
        <v>509</v>
      </c>
      <c r="H192">
        <v>475</v>
      </c>
      <c r="I192">
        <v>723</v>
      </c>
      <c r="J192">
        <v>496</v>
      </c>
      <c r="K192">
        <v>460</v>
      </c>
      <c r="L192">
        <v>613</v>
      </c>
      <c r="M192">
        <v>236</v>
      </c>
      <c r="N192">
        <v>945</v>
      </c>
      <c r="O192">
        <v>767.5</v>
      </c>
      <c r="P192">
        <v>767.5</v>
      </c>
      <c r="Q192">
        <v>767.5</v>
      </c>
      <c r="R192">
        <v>732</v>
      </c>
      <c r="S192">
        <v>732</v>
      </c>
      <c r="T192">
        <v>732</v>
      </c>
      <c r="U192">
        <v>732</v>
      </c>
    </row>
    <row r="193" spans="1:21" x14ac:dyDescent="0.25">
      <c r="A193" t="s">
        <v>1235</v>
      </c>
      <c r="B193">
        <v>74</v>
      </c>
      <c r="C193">
        <v>61</v>
      </c>
      <c r="D193">
        <v>61</v>
      </c>
      <c r="E193">
        <v>61</v>
      </c>
      <c r="F193">
        <v>63</v>
      </c>
      <c r="G193">
        <v>65</v>
      </c>
      <c r="H193">
        <v>68</v>
      </c>
      <c r="I193">
        <v>58</v>
      </c>
      <c r="J193">
        <v>64</v>
      </c>
      <c r="K193">
        <v>65</v>
      </c>
      <c r="L193">
        <v>123</v>
      </c>
      <c r="M193">
        <v>230</v>
      </c>
      <c r="N193">
        <v>397</v>
      </c>
      <c r="O193">
        <v>404.45</v>
      </c>
      <c r="P193">
        <v>408.61</v>
      </c>
      <c r="Q193">
        <v>413.33</v>
      </c>
      <c r="R193">
        <v>427.75</v>
      </c>
      <c r="S193">
        <v>438</v>
      </c>
      <c r="T193">
        <v>550</v>
      </c>
      <c r="U193">
        <v>593</v>
      </c>
    </row>
    <row r="194" spans="1:21" x14ac:dyDescent="0.25">
      <c r="A194" t="s">
        <v>326</v>
      </c>
      <c r="B194" s="2">
        <v>9173</v>
      </c>
      <c r="C194" s="2">
        <v>9004</v>
      </c>
      <c r="D194" s="2">
        <v>8195</v>
      </c>
      <c r="E194" s="2">
        <v>8008</v>
      </c>
      <c r="F194" s="2">
        <v>9681</v>
      </c>
      <c r="G194" s="2">
        <v>10867</v>
      </c>
      <c r="H194" s="2">
        <v>12686</v>
      </c>
      <c r="I194" s="2">
        <v>14454</v>
      </c>
      <c r="J194" s="2">
        <v>15540</v>
      </c>
      <c r="K194" s="2">
        <v>19982</v>
      </c>
      <c r="L194" s="2">
        <v>24453</v>
      </c>
      <c r="M194" s="2">
        <v>24743</v>
      </c>
      <c r="N194" s="2">
        <v>24800</v>
      </c>
      <c r="O194" s="2">
        <v>26512.41</v>
      </c>
      <c r="P194" s="2">
        <v>28671.29</v>
      </c>
      <c r="Q194" s="2">
        <v>31828.400000000001</v>
      </c>
      <c r="R194" s="2">
        <v>35953.699999999997</v>
      </c>
      <c r="S194" s="2">
        <v>40710.53</v>
      </c>
      <c r="T194" s="2">
        <v>48324.98</v>
      </c>
      <c r="U194" s="2">
        <v>53384.97</v>
      </c>
    </row>
    <row r="195" spans="1:21" x14ac:dyDescent="0.25">
      <c r="A195" t="s">
        <v>17</v>
      </c>
    </row>
    <row r="196" spans="1:21" x14ac:dyDescent="0.25">
      <c r="A196" t="s">
        <v>176</v>
      </c>
    </row>
    <row r="197" spans="1:21" x14ac:dyDescent="0.25">
      <c r="A197" t="s">
        <v>505</v>
      </c>
      <c r="B197">
        <v>-741</v>
      </c>
      <c r="C197">
        <v>-546</v>
      </c>
      <c r="D197">
        <v>-494</v>
      </c>
      <c r="E197" s="2">
        <v>-1525</v>
      </c>
      <c r="F197">
        <v>-489</v>
      </c>
      <c r="G197">
        <v>-686</v>
      </c>
      <c r="H197">
        <v>-672</v>
      </c>
      <c r="I197" s="2">
        <v>-1099</v>
      </c>
      <c r="J197">
        <v>-977</v>
      </c>
      <c r="K197" s="2">
        <v>-1801</v>
      </c>
      <c r="L197" s="2">
        <v>-3156</v>
      </c>
      <c r="M197" s="2">
        <v>-3231</v>
      </c>
      <c r="N197" s="2">
        <v>-2789</v>
      </c>
      <c r="O197" s="2">
        <v>-2109.92</v>
      </c>
      <c r="P197" s="2">
        <v>-3463.31</v>
      </c>
      <c r="Q197" s="2">
        <v>-5839.54</v>
      </c>
      <c r="R197" s="2">
        <v>-7399</v>
      </c>
      <c r="S197" s="2">
        <v>-10939</v>
      </c>
      <c r="T197" s="2">
        <v>-15346</v>
      </c>
      <c r="U197" s="2">
        <v>-19040</v>
      </c>
    </row>
    <row r="198" spans="1:21" x14ac:dyDescent="0.25">
      <c r="A198" t="s">
        <v>609</v>
      </c>
      <c r="B198" s="2">
        <v>1153</v>
      </c>
      <c r="C198" s="2">
        <v>1801</v>
      </c>
      <c r="D198" s="2">
        <v>1612</v>
      </c>
      <c r="E198" s="2">
        <v>1451</v>
      </c>
      <c r="F198" s="2">
        <v>1701</v>
      </c>
      <c r="G198" s="2">
        <v>1910</v>
      </c>
      <c r="H198" s="2">
        <v>2069</v>
      </c>
      <c r="I198" s="2">
        <v>2675</v>
      </c>
      <c r="J198" s="2">
        <v>2594</v>
      </c>
      <c r="K198" s="2">
        <v>2769</v>
      </c>
      <c r="L198" s="2">
        <v>2995</v>
      </c>
      <c r="M198" s="2">
        <v>3023</v>
      </c>
      <c r="N198" s="2">
        <v>2234</v>
      </c>
      <c r="O198" s="2">
        <v>2254.67</v>
      </c>
      <c r="P198" s="2">
        <v>2501.33</v>
      </c>
      <c r="Q198" s="2">
        <v>2310.17</v>
      </c>
      <c r="R198" s="2">
        <v>2299.25</v>
      </c>
      <c r="S198" s="2">
        <v>2249.25</v>
      </c>
    </row>
    <row r="199" spans="1:21" x14ac:dyDescent="0.25">
      <c r="A199" t="s">
        <v>178</v>
      </c>
    </row>
    <row r="200" spans="1:21" x14ac:dyDescent="0.25">
      <c r="A200" t="s">
        <v>179</v>
      </c>
      <c r="B200">
        <v>-5.0999999999999996</v>
      </c>
      <c r="C200">
        <v>1.41</v>
      </c>
      <c r="D200">
        <v>1.21</v>
      </c>
      <c r="E200">
        <v>2.04</v>
      </c>
      <c r="F200">
        <v>9.07</v>
      </c>
      <c r="G200">
        <v>12.53</v>
      </c>
      <c r="H200">
        <v>8.76</v>
      </c>
      <c r="I200">
        <v>8.15</v>
      </c>
      <c r="J200">
        <v>13.34</v>
      </c>
      <c r="K200">
        <v>22.3</v>
      </c>
      <c r="L200">
        <v>18.95</v>
      </c>
      <c r="M200">
        <v>6.33</v>
      </c>
      <c r="N200">
        <v>0.67</v>
      </c>
      <c r="O200">
        <v>4.4800000000000004</v>
      </c>
      <c r="P200">
        <v>8.73</v>
      </c>
      <c r="Q200">
        <v>11.55</v>
      </c>
      <c r="R200">
        <v>12.5</v>
      </c>
      <c r="S200">
        <v>13.7</v>
      </c>
    </row>
    <row r="201" spans="1:21" x14ac:dyDescent="0.25">
      <c r="A201" t="s">
        <v>180</v>
      </c>
      <c r="B201">
        <v>-8.43</v>
      </c>
      <c r="C201">
        <v>2.41</v>
      </c>
      <c r="D201">
        <v>2.16</v>
      </c>
      <c r="E201">
        <v>3.6</v>
      </c>
      <c r="F201">
        <v>16.14</v>
      </c>
      <c r="G201">
        <v>21.88</v>
      </c>
      <c r="H201">
        <v>15.35</v>
      </c>
      <c r="I201">
        <v>14.24</v>
      </c>
      <c r="J201">
        <v>22.65</v>
      </c>
      <c r="K201">
        <v>36.159999999999997</v>
      </c>
      <c r="L201">
        <v>28.62</v>
      </c>
      <c r="M201">
        <v>9.11</v>
      </c>
      <c r="N201">
        <v>0.94</v>
      </c>
      <c r="O201">
        <v>6.48</v>
      </c>
      <c r="P201">
        <v>11.8</v>
      </c>
      <c r="Q201">
        <v>15.17</v>
      </c>
      <c r="R201">
        <v>15.56</v>
      </c>
      <c r="S201">
        <v>16.54</v>
      </c>
    </row>
    <row r="202" spans="1:21" x14ac:dyDescent="0.25">
      <c r="A202" t="s">
        <v>621</v>
      </c>
      <c r="B202">
        <v>4.07</v>
      </c>
      <c r="C202">
        <v>3.77</v>
      </c>
      <c r="D202">
        <v>3.62</v>
      </c>
      <c r="E202">
        <v>3.73</v>
      </c>
      <c r="F202">
        <v>4.05</v>
      </c>
      <c r="G202">
        <v>4.01</v>
      </c>
      <c r="H202">
        <v>3.6</v>
      </c>
      <c r="I202">
        <v>3.64</v>
      </c>
      <c r="J202">
        <v>3.9</v>
      </c>
      <c r="K202">
        <v>3.73</v>
      </c>
      <c r="L202">
        <v>3.41</v>
      </c>
      <c r="M202">
        <v>2.93</v>
      </c>
      <c r="N202">
        <v>2.63</v>
      </c>
      <c r="O202">
        <v>2.72</v>
      </c>
      <c r="P202">
        <v>3.13</v>
      </c>
      <c r="Q202">
        <v>3.08</v>
      </c>
      <c r="R202">
        <v>3</v>
      </c>
      <c r="S202">
        <v>3</v>
      </c>
    </row>
    <row r="203" spans="1:21" x14ac:dyDescent="0.25">
      <c r="A203" t="s">
        <v>424</v>
      </c>
      <c r="B203">
        <v>6.34</v>
      </c>
      <c r="C203">
        <v>5.71</v>
      </c>
      <c r="D203">
        <v>5.27</v>
      </c>
      <c r="E203">
        <v>5.13</v>
      </c>
      <c r="F203">
        <v>6.03</v>
      </c>
      <c r="G203">
        <v>7.08</v>
      </c>
      <c r="H203">
        <v>7.95</v>
      </c>
      <c r="I203">
        <v>9.33</v>
      </c>
      <c r="J203">
        <v>10.16</v>
      </c>
      <c r="K203">
        <v>14.04</v>
      </c>
      <c r="L203">
        <v>18.53</v>
      </c>
      <c r="M203">
        <v>19.43</v>
      </c>
      <c r="N203">
        <v>20.059999999999999</v>
      </c>
      <c r="O203">
        <v>20.149999999999999</v>
      </c>
      <c r="P203">
        <v>22.38</v>
      </c>
      <c r="Q203">
        <v>25.76</v>
      </c>
      <c r="R203">
        <v>28.05</v>
      </c>
      <c r="S203">
        <v>32.33</v>
      </c>
    </row>
    <row r="204" spans="1:21" x14ac:dyDescent="0.25">
      <c r="A204" t="s">
        <v>3119</v>
      </c>
      <c r="B204">
        <v>-12.96</v>
      </c>
      <c r="C204">
        <v>-10.88</v>
      </c>
      <c r="D204">
        <v>-10.53</v>
      </c>
      <c r="E204">
        <v>-11.16</v>
      </c>
      <c r="F204">
        <v>-8.94</v>
      </c>
      <c r="G204">
        <v>-10.68</v>
      </c>
      <c r="H204">
        <v>-9.3000000000000007</v>
      </c>
      <c r="I204">
        <v>-12.29</v>
      </c>
      <c r="J204">
        <v>-9.94</v>
      </c>
      <c r="K204">
        <v>-13.71</v>
      </c>
      <c r="L204">
        <v>-18.32</v>
      </c>
      <c r="M204">
        <v>-17.88</v>
      </c>
      <c r="N204">
        <v>-14.75</v>
      </c>
      <c r="O204">
        <v>-11.06</v>
      </c>
      <c r="P204">
        <v>-15.56</v>
      </c>
      <c r="Q204">
        <v>-23.32</v>
      </c>
      <c r="R204">
        <v>-23.36</v>
      </c>
      <c r="S204">
        <v>-28.28</v>
      </c>
    </row>
    <row r="205" spans="1:21" x14ac:dyDescent="0.25">
      <c r="A205" t="s">
        <v>17</v>
      </c>
    </row>
    <row r="206" spans="1:21" x14ac:dyDescent="0.25">
      <c r="A206" t="s">
        <v>188</v>
      </c>
    </row>
    <row r="207" spans="1:21" x14ac:dyDescent="0.25">
      <c r="A207" t="s">
        <v>189</v>
      </c>
    </row>
    <row r="208" spans="1:21" x14ac:dyDescent="0.25">
      <c r="A208" t="s">
        <v>121</v>
      </c>
      <c r="B208">
        <v>-500</v>
      </c>
      <c r="C208">
        <v>128</v>
      </c>
      <c r="D208">
        <v>104</v>
      </c>
      <c r="E208">
        <v>165</v>
      </c>
      <c r="F208">
        <v>802</v>
      </c>
      <c r="G208" s="2">
        <v>1287</v>
      </c>
      <c r="H208" s="2">
        <v>1032</v>
      </c>
      <c r="I208" s="2">
        <v>1106</v>
      </c>
      <c r="J208" s="2">
        <v>2000</v>
      </c>
      <c r="K208" s="2">
        <v>3960</v>
      </c>
      <c r="L208" s="2">
        <v>4211</v>
      </c>
      <c r="M208" s="2">
        <v>1557</v>
      </c>
      <c r="N208">
        <v>166</v>
      </c>
      <c r="O208" s="2">
        <v>1080.44</v>
      </c>
      <c r="P208" s="2">
        <v>2343.56</v>
      </c>
      <c r="Q208" s="2">
        <v>3472.43</v>
      </c>
      <c r="R208" s="2">
        <v>4270.5</v>
      </c>
      <c r="S208" s="2">
        <v>5137.25</v>
      </c>
      <c r="T208" s="2">
        <v>5115</v>
      </c>
      <c r="U208" s="2">
        <v>4977</v>
      </c>
    </row>
    <row r="209" spans="1:21" x14ac:dyDescent="0.25">
      <c r="A209" t="s">
        <v>190</v>
      </c>
      <c r="B209">
        <v>910</v>
      </c>
      <c r="C209">
        <v>811</v>
      </c>
      <c r="D209">
        <v>736</v>
      </c>
      <c r="E209">
        <v>696</v>
      </c>
      <c r="F209">
        <v>650</v>
      </c>
      <c r="G209">
        <v>791</v>
      </c>
      <c r="H209">
        <v>854</v>
      </c>
      <c r="I209">
        <v>923</v>
      </c>
      <c r="J209" s="2">
        <v>1045</v>
      </c>
      <c r="K209" s="2">
        <v>1216</v>
      </c>
      <c r="L209" s="2">
        <v>1561</v>
      </c>
      <c r="M209" s="2">
        <v>1760</v>
      </c>
      <c r="N209" s="2">
        <v>1854</v>
      </c>
      <c r="O209" s="2">
        <v>1959.46</v>
      </c>
      <c r="P209" s="2">
        <v>2109.14</v>
      </c>
      <c r="Q209" s="2">
        <v>2274.84</v>
      </c>
      <c r="R209" s="2">
        <v>2365.5100000000002</v>
      </c>
      <c r="S209" s="2">
        <v>2419.2199999999998</v>
      </c>
      <c r="T209" s="2">
        <v>1831.33</v>
      </c>
      <c r="U209" s="2">
        <v>1806.99</v>
      </c>
    </row>
    <row r="210" spans="1:21" x14ac:dyDescent="0.25">
      <c r="A210" t="s">
        <v>546</v>
      </c>
      <c r="B210">
        <v>-48</v>
      </c>
      <c r="C210">
        <v>-143</v>
      </c>
      <c r="D210">
        <v>-93</v>
      </c>
      <c r="E210">
        <v>-34</v>
      </c>
      <c r="F210">
        <v>60</v>
      </c>
      <c r="G210">
        <v>20</v>
      </c>
      <c r="H210">
        <v>25</v>
      </c>
      <c r="I210">
        <v>-8</v>
      </c>
      <c r="J210">
        <v>45</v>
      </c>
      <c r="K210">
        <v>3</v>
      </c>
      <c r="L210">
        <v>19</v>
      </c>
      <c r="O210">
        <v>-11.15</v>
      </c>
      <c r="P210">
        <v>13.95</v>
      </c>
      <c r="Q210">
        <v>20.309999999999999</v>
      </c>
      <c r="R210">
        <v>25.72</v>
      </c>
      <c r="S210">
        <v>30.93</v>
      </c>
    </row>
    <row r="211" spans="1:21" x14ac:dyDescent="0.25">
      <c r="A211" t="s">
        <v>3120</v>
      </c>
      <c r="B211">
        <v>122</v>
      </c>
      <c r="C211">
        <v>43</v>
      </c>
      <c r="D211">
        <v>-2</v>
      </c>
      <c r="E211">
        <v>-7</v>
      </c>
      <c r="F211">
        <v>2</v>
      </c>
      <c r="G211">
        <v>-8</v>
      </c>
      <c r="H211">
        <v>-1</v>
      </c>
      <c r="I211">
        <v>-2</v>
      </c>
      <c r="J211">
        <v>0</v>
      </c>
      <c r="K211">
        <v>0</v>
      </c>
      <c r="L211">
        <v>0</v>
      </c>
      <c r="M211">
        <v>0</v>
      </c>
    </row>
    <row r="212" spans="1:21" x14ac:dyDescent="0.25">
      <c r="A212" t="s">
        <v>3107</v>
      </c>
      <c r="B212">
        <v>145</v>
      </c>
      <c r="C212">
        <v>4</v>
      </c>
      <c r="D212">
        <v>20</v>
      </c>
      <c r="E212">
        <v>34</v>
      </c>
      <c r="F212">
        <v>-6</v>
      </c>
      <c r="G212">
        <v>-12</v>
      </c>
      <c r="H212">
        <v>-16</v>
      </c>
      <c r="I212">
        <v>-3</v>
      </c>
      <c r="J212">
        <v>0</v>
      </c>
      <c r="O212">
        <v>180.17</v>
      </c>
      <c r="P212">
        <v>47</v>
      </c>
      <c r="Q212">
        <v>32.67</v>
      </c>
    </row>
    <row r="213" spans="1:21" x14ac:dyDescent="0.25">
      <c r="A213" t="s">
        <v>338</v>
      </c>
      <c r="B213">
        <v>33</v>
      </c>
      <c r="C213">
        <v>-76</v>
      </c>
      <c r="D213">
        <v>120</v>
      </c>
      <c r="E213">
        <v>205</v>
      </c>
      <c r="F213">
        <v>165</v>
      </c>
      <c r="G213">
        <v>-285</v>
      </c>
      <c r="H213">
        <v>-99</v>
      </c>
      <c r="I213">
        <v>21</v>
      </c>
      <c r="J213">
        <v>-145</v>
      </c>
      <c r="K213">
        <v>-130</v>
      </c>
      <c r="L213">
        <v>78</v>
      </c>
      <c r="M213">
        <v>-495</v>
      </c>
      <c r="N213">
        <v>-143</v>
      </c>
      <c r="O213">
        <v>-342.69</v>
      </c>
      <c r="P213">
        <v>-126.44</v>
      </c>
      <c r="Q213">
        <v>-144.25</v>
      </c>
      <c r="R213">
        <v>-173.17</v>
      </c>
      <c r="S213">
        <v>-26.54</v>
      </c>
      <c r="T213">
        <v>-55.52</v>
      </c>
      <c r="U213">
        <v>62.2</v>
      </c>
    </row>
    <row r="214" spans="1:21" x14ac:dyDescent="0.25">
      <c r="A214" t="s">
        <v>3121</v>
      </c>
      <c r="B214">
        <v>-139</v>
      </c>
      <c r="C214">
        <v>-70</v>
      </c>
      <c r="D214">
        <v>-46</v>
      </c>
      <c r="E214">
        <v>68</v>
      </c>
      <c r="F214">
        <v>141</v>
      </c>
      <c r="G214">
        <v>4</v>
      </c>
      <c r="H214">
        <v>-14</v>
      </c>
      <c r="I214">
        <v>161</v>
      </c>
      <c r="J214">
        <v>95</v>
      </c>
      <c r="K214">
        <v>240</v>
      </c>
      <c r="L214">
        <v>-238</v>
      </c>
      <c r="M214">
        <v>-35</v>
      </c>
      <c r="N214">
        <v>83</v>
      </c>
      <c r="O214">
        <v>377.43</v>
      </c>
      <c r="P214">
        <v>185.23</v>
      </c>
      <c r="Q214">
        <v>88.79</v>
      </c>
      <c r="R214">
        <v>86.72</v>
      </c>
      <c r="S214">
        <v>111.8</v>
      </c>
    </row>
    <row r="215" spans="1:21" x14ac:dyDescent="0.25">
      <c r="A215" t="s">
        <v>3122</v>
      </c>
      <c r="B215">
        <v>-57</v>
      </c>
      <c r="C215">
        <v>119</v>
      </c>
      <c r="D215">
        <v>81</v>
      </c>
      <c r="E215">
        <v>-121</v>
      </c>
      <c r="F215">
        <v>-206</v>
      </c>
      <c r="G215">
        <v>-155</v>
      </c>
      <c r="H215">
        <v>-103</v>
      </c>
      <c r="I215">
        <v>-72</v>
      </c>
      <c r="J215">
        <v>-307</v>
      </c>
      <c r="K215">
        <v>-231</v>
      </c>
      <c r="L215">
        <v>229</v>
      </c>
      <c r="M215">
        <v>-32</v>
      </c>
      <c r="N215">
        <v>5</v>
      </c>
      <c r="O215">
        <v>-428.84</v>
      </c>
      <c r="P215">
        <v>-350.54</v>
      </c>
      <c r="Q215">
        <v>-322.63</v>
      </c>
      <c r="R215">
        <v>-279.97000000000003</v>
      </c>
      <c r="S215">
        <v>-277.41000000000003</v>
      </c>
    </row>
    <row r="216" spans="1:21" x14ac:dyDescent="0.25">
      <c r="A216" t="s">
        <v>340</v>
      </c>
      <c r="B216">
        <v>-22</v>
      </c>
      <c r="C216">
        <v>0</v>
      </c>
      <c r="D216">
        <v>-39</v>
      </c>
      <c r="E216">
        <v>63</v>
      </c>
      <c r="F216">
        <v>-94</v>
      </c>
      <c r="G216">
        <v>-254</v>
      </c>
      <c r="H216">
        <v>-142</v>
      </c>
      <c r="I216">
        <v>-84</v>
      </c>
      <c r="J216">
        <v>-188</v>
      </c>
      <c r="K216">
        <v>-650</v>
      </c>
      <c r="L216">
        <v>-72</v>
      </c>
      <c r="M216">
        <v>-167</v>
      </c>
      <c r="N216">
        <v>-172</v>
      </c>
      <c r="O216">
        <v>-208.54</v>
      </c>
      <c r="P216">
        <v>-247.39</v>
      </c>
      <c r="Q216">
        <v>-94.73</v>
      </c>
      <c r="R216">
        <v>-195.2</v>
      </c>
      <c r="S216">
        <v>-176.33</v>
      </c>
      <c r="T216">
        <v>-46.04</v>
      </c>
      <c r="U216">
        <v>54.27</v>
      </c>
    </row>
    <row r="217" spans="1:21" x14ac:dyDescent="0.25">
      <c r="A217" t="s">
        <v>204</v>
      </c>
      <c r="B217">
        <v>366</v>
      </c>
      <c r="C217">
        <v>715</v>
      </c>
      <c r="D217">
        <v>842</v>
      </c>
      <c r="E217" s="2">
        <v>1039</v>
      </c>
      <c r="F217" s="2">
        <v>1707</v>
      </c>
      <c r="G217" s="2">
        <v>1845</v>
      </c>
      <c r="H217" s="2">
        <v>1869</v>
      </c>
      <c r="I217" s="2">
        <v>2093</v>
      </c>
      <c r="J217" s="2">
        <v>3060</v>
      </c>
      <c r="K217" s="2">
        <v>5202</v>
      </c>
      <c r="L217" s="2">
        <v>5992</v>
      </c>
      <c r="M217" s="2">
        <v>2965</v>
      </c>
      <c r="N217" s="2">
        <v>2152</v>
      </c>
      <c r="O217" s="2">
        <v>2712.58</v>
      </c>
      <c r="P217" s="2">
        <v>4223.1499999999996</v>
      </c>
      <c r="Q217" s="2">
        <v>5401.1</v>
      </c>
      <c r="R217" s="2">
        <v>6304.65</v>
      </c>
      <c r="S217" s="2">
        <v>7004</v>
      </c>
      <c r="T217" s="2">
        <v>7272.09</v>
      </c>
      <c r="U217" s="2">
        <v>7250.14</v>
      </c>
    </row>
    <row r="218" spans="1:21" x14ac:dyDescent="0.25">
      <c r="A218" t="s">
        <v>17</v>
      </c>
    </row>
    <row r="219" spans="1:21" x14ac:dyDescent="0.25">
      <c r="A219" t="s">
        <v>205</v>
      </c>
    </row>
    <row r="220" spans="1:21" x14ac:dyDescent="0.25">
      <c r="A220" t="s">
        <v>206</v>
      </c>
      <c r="B220">
        <v>-543</v>
      </c>
      <c r="C220">
        <v>-505</v>
      </c>
      <c r="D220">
        <v>-529</v>
      </c>
      <c r="E220">
        <v>-611</v>
      </c>
      <c r="F220" s="2">
        <v>-1301</v>
      </c>
      <c r="G220" s="2">
        <v>-1263</v>
      </c>
      <c r="H220" s="2">
        <v>-1181</v>
      </c>
      <c r="I220" s="2">
        <v>-1283</v>
      </c>
      <c r="J220" s="2">
        <v>-1830</v>
      </c>
      <c r="K220" s="2">
        <v>-3528</v>
      </c>
      <c r="L220" s="2">
        <v>-4439</v>
      </c>
      <c r="M220" s="2">
        <v>-2642</v>
      </c>
      <c r="N220" s="2">
        <v>-2111</v>
      </c>
      <c r="O220" s="2">
        <v>-2122.2800000000002</v>
      </c>
      <c r="P220" s="2">
        <v>-2409.33</v>
      </c>
      <c r="Q220" s="2">
        <v>-2436</v>
      </c>
      <c r="R220" s="2">
        <v>-2818.6</v>
      </c>
      <c r="S220" s="2">
        <v>-3020</v>
      </c>
      <c r="T220" s="2">
        <v>-3220</v>
      </c>
      <c r="U220" s="2">
        <v>-3176</v>
      </c>
    </row>
    <row r="221" spans="1:21" x14ac:dyDescent="0.25">
      <c r="A221" t="s">
        <v>3123</v>
      </c>
      <c r="B221">
        <v>6.72</v>
      </c>
      <c r="C221">
        <v>6.82</v>
      </c>
      <c r="D221">
        <v>7.67</v>
      </c>
      <c r="E221">
        <v>8.76</v>
      </c>
      <c r="F221">
        <v>15.59</v>
      </c>
      <c r="G221">
        <v>13.07</v>
      </c>
      <c r="H221">
        <v>12.36</v>
      </c>
      <c r="I221">
        <v>12.56</v>
      </c>
      <c r="J221">
        <v>14.34</v>
      </c>
      <c r="K221">
        <v>21.88</v>
      </c>
      <c r="L221">
        <v>25.68</v>
      </c>
      <c r="M221">
        <v>23.27</v>
      </c>
      <c r="N221">
        <v>17.89</v>
      </c>
      <c r="O221">
        <v>14.48</v>
      </c>
      <c r="P221">
        <v>13.8</v>
      </c>
      <c r="Q221">
        <v>12.6</v>
      </c>
      <c r="R221">
        <v>13.11</v>
      </c>
      <c r="S221">
        <v>12.9</v>
      </c>
      <c r="T221">
        <v>15</v>
      </c>
      <c r="U221">
        <v>15</v>
      </c>
    </row>
    <row r="222" spans="1:21" x14ac:dyDescent="0.25">
      <c r="A222" t="s">
        <v>3124</v>
      </c>
      <c r="B222">
        <v>0</v>
      </c>
      <c r="C222">
        <v>-58</v>
      </c>
      <c r="D222">
        <v>-36</v>
      </c>
      <c r="E222">
        <v>-42</v>
      </c>
      <c r="F222">
        <v>-71</v>
      </c>
      <c r="G222">
        <v>-50</v>
      </c>
      <c r="H222">
        <v>-69</v>
      </c>
      <c r="I222">
        <v>-75</v>
      </c>
      <c r="J222">
        <v>-97</v>
      </c>
      <c r="K222">
        <v>-87</v>
      </c>
      <c r="L222">
        <v>-97</v>
      </c>
      <c r="M222">
        <v>-93</v>
      </c>
      <c r="N222">
        <v>-93</v>
      </c>
      <c r="O222">
        <v>-354.33</v>
      </c>
      <c r="P222">
        <v>-56</v>
      </c>
      <c r="Q222">
        <v>-89.33</v>
      </c>
      <c r="R222">
        <v>-125</v>
      </c>
      <c r="S222">
        <v>-150</v>
      </c>
    </row>
    <row r="223" spans="1:21" x14ac:dyDescent="0.25">
      <c r="A223" t="s">
        <v>213</v>
      </c>
      <c r="B223">
        <v>-379</v>
      </c>
      <c r="C223">
        <v>-784</v>
      </c>
      <c r="D223">
        <v>-516</v>
      </c>
      <c r="E223">
        <v>-727</v>
      </c>
      <c r="F223" s="2">
        <v>-1468</v>
      </c>
      <c r="G223" s="2">
        <v>-1212</v>
      </c>
      <c r="H223" s="2">
        <v>-1172</v>
      </c>
      <c r="I223" s="2">
        <v>-2043</v>
      </c>
      <c r="J223" s="2">
        <v>-1518</v>
      </c>
      <c r="K223" s="2">
        <v>-4591</v>
      </c>
      <c r="L223" s="2">
        <v>-5766</v>
      </c>
      <c r="M223" s="2">
        <v>-3742</v>
      </c>
      <c r="N223">
        <v>-43</v>
      </c>
      <c r="O223" s="2">
        <v>-3509.49</v>
      </c>
      <c r="P223" s="2">
        <v>-2425.56</v>
      </c>
      <c r="Q223" s="2">
        <v>-2387.08</v>
      </c>
      <c r="R223" s="2">
        <v>-2784.41</v>
      </c>
      <c r="S223" s="2">
        <v>-2939.34</v>
      </c>
      <c r="T223" s="2">
        <v>-3310.77</v>
      </c>
      <c r="U223" s="2">
        <v>-3269.06</v>
      </c>
    </row>
    <row r="224" spans="1:21" x14ac:dyDescent="0.25">
      <c r="A224" t="s">
        <v>17</v>
      </c>
    </row>
    <row r="225" spans="1:21" x14ac:dyDescent="0.25">
      <c r="A225" t="s">
        <v>214</v>
      </c>
    </row>
    <row r="226" spans="1:21" x14ac:dyDescent="0.25">
      <c r="A226" t="s">
        <v>347</v>
      </c>
      <c r="B226">
        <v>-346</v>
      </c>
      <c r="C226">
        <v>-354</v>
      </c>
      <c r="D226">
        <v>-350</v>
      </c>
      <c r="E226">
        <v>-251</v>
      </c>
      <c r="F226">
        <v>-214</v>
      </c>
      <c r="G226">
        <v>-216</v>
      </c>
      <c r="H226">
        <v>-214</v>
      </c>
      <c r="I226">
        <v>-168</v>
      </c>
      <c r="J226">
        <v>-205</v>
      </c>
      <c r="K226">
        <v>-212</v>
      </c>
      <c r="L226">
        <v>-171</v>
      </c>
      <c r="M226">
        <v>-184</v>
      </c>
      <c r="N226">
        <v>-165</v>
      </c>
      <c r="O226">
        <v>-343.02</v>
      </c>
      <c r="P226">
        <v>-378.58</v>
      </c>
      <c r="Q226">
        <v>-413.88</v>
      </c>
      <c r="R226">
        <v>-333.85</v>
      </c>
      <c r="S226">
        <v>-353.92</v>
      </c>
      <c r="T226">
        <v>-286.89</v>
      </c>
      <c r="U226">
        <v>-286.89</v>
      </c>
    </row>
    <row r="227" spans="1:21" x14ac:dyDescent="0.25">
      <c r="A227" t="s">
        <v>713</v>
      </c>
      <c r="B227">
        <v>-621</v>
      </c>
      <c r="C227">
        <v>-223</v>
      </c>
      <c r="D227">
        <v>-200</v>
      </c>
      <c r="E227">
        <v>-191</v>
      </c>
      <c r="F227" s="2">
        <v>-1119</v>
      </c>
      <c r="G227">
        <v>-103</v>
      </c>
      <c r="H227">
        <v>-144</v>
      </c>
      <c r="I227">
        <v>-893</v>
      </c>
      <c r="J227">
        <v>-134</v>
      </c>
      <c r="K227">
        <v>-134</v>
      </c>
      <c r="L227">
        <v>-169</v>
      </c>
      <c r="M227">
        <v>-203</v>
      </c>
      <c r="N227">
        <v>-989</v>
      </c>
    </row>
    <row r="228" spans="1:21" x14ac:dyDescent="0.25">
      <c r="A228" t="s">
        <v>3125</v>
      </c>
      <c r="B228">
        <v>-34</v>
      </c>
      <c r="C228">
        <v>774</v>
      </c>
      <c r="D228">
        <v>-200</v>
      </c>
      <c r="E228">
        <v>-178</v>
      </c>
      <c r="F228">
        <v>390</v>
      </c>
      <c r="G228">
        <v>178</v>
      </c>
      <c r="H228">
        <v>140</v>
      </c>
      <c r="I228">
        <v>678</v>
      </c>
      <c r="J228">
        <v>-569</v>
      </c>
      <c r="K228">
        <v>66</v>
      </c>
      <c r="L228">
        <v>160</v>
      </c>
      <c r="M228">
        <v>97</v>
      </c>
      <c r="N228">
        <v>-989</v>
      </c>
    </row>
    <row r="229" spans="1:21" x14ac:dyDescent="0.25">
      <c r="A229" t="s">
        <v>1155</v>
      </c>
      <c r="B229">
        <v>0</v>
      </c>
      <c r="C229">
        <v>-156</v>
      </c>
      <c r="D229">
        <v>0</v>
      </c>
      <c r="E229">
        <v>0</v>
      </c>
      <c r="F229">
        <v>-297</v>
      </c>
      <c r="G229">
        <v>-62</v>
      </c>
      <c r="H229">
        <v>-250</v>
      </c>
      <c r="I229">
        <v>-125</v>
      </c>
      <c r="J229">
        <v>-485</v>
      </c>
      <c r="K229">
        <v>-346</v>
      </c>
      <c r="L229">
        <v>-346</v>
      </c>
      <c r="M229">
        <v>-359</v>
      </c>
      <c r="N229">
        <v>-367</v>
      </c>
      <c r="O229">
        <v>-204.23</v>
      </c>
      <c r="P229">
        <v>-252.33</v>
      </c>
      <c r="Q229">
        <v>-249.2</v>
      </c>
      <c r="R229">
        <v>-423</v>
      </c>
      <c r="S229">
        <v>-423</v>
      </c>
    </row>
    <row r="230" spans="1:21" x14ac:dyDescent="0.25">
      <c r="A230" t="s">
        <v>218</v>
      </c>
      <c r="B230">
        <v>-388</v>
      </c>
      <c r="C230">
        <v>262</v>
      </c>
      <c r="D230">
        <v>-556</v>
      </c>
      <c r="E230">
        <v>-436</v>
      </c>
      <c r="F230">
        <v>-136</v>
      </c>
      <c r="G230">
        <v>-122</v>
      </c>
      <c r="H230">
        <v>-343</v>
      </c>
      <c r="I230">
        <v>348</v>
      </c>
      <c r="J230" s="2">
        <v>-1314</v>
      </c>
      <c r="K230">
        <v>-567</v>
      </c>
      <c r="L230">
        <v>-267</v>
      </c>
      <c r="M230">
        <v>-155</v>
      </c>
      <c r="N230" s="2">
        <v>-1560</v>
      </c>
      <c r="O230" s="2">
        <v>1102.47</v>
      </c>
      <c r="P230">
        <v>-557.98</v>
      </c>
      <c r="Q230">
        <v>-564.04999999999995</v>
      </c>
      <c r="R230">
        <v>-595.35</v>
      </c>
      <c r="S230">
        <v>-615.41999999999996</v>
      </c>
      <c r="T230">
        <v>-286.89</v>
      </c>
      <c r="U230">
        <v>-286.89</v>
      </c>
    </row>
    <row r="231" spans="1:21" x14ac:dyDescent="0.25">
      <c r="A231" t="s">
        <v>17</v>
      </c>
    </row>
    <row r="232" spans="1:21" x14ac:dyDescent="0.25">
      <c r="A232" t="s">
        <v>651</v>
      </c>
    </row>
    <row r="233" spans="1:21" x14ac:dyDescent="0.25">
      <c r="A233" t="s">
        <v>3126</v>
      </c>
      <c r="B233">
        <v>26</v>
      </c>
      <c r="C233">
        <v>36</v>
      </c>
      <c r="D233">
        <v>38</v>
      </c>
      <c r="E233">
        <v>38</v>
      </c>
      <c r="F233">
        <v>61</v>
      </c>
      <c r="G233">
        <v>125</v>
      </c>
      <c r="H233">
        <v>145</v>
      </c>
      <c r="I233">
        <v>155</v>
      </c>
      <c r="J233">
        <v>221</v>
      </c>
      <c r="K233">
        <v>215</v>
      </c>
      <c r="L233">
        <v>236</v>
      </c>
      <c r="M233">
        <v>222</v>
      </c>
      <c r="N233">
        <v>193</v>
      </c>
      <c r="O233">
        <v>218.01</v>
      </c>
      <c r="P233">
        <v>240.43</v>
      </c>
      <c r="Q233">
        <v>245.05</v>
      </c>
      <c r="R233">
        <v>265</v>
      </c>
      <c r="S233">
        <v>275</v>
      </c>
    </row>
    <row r="234" spans="1:21" x14ac:dyDescent="0.25">
      <c r="A234" t="s">
        <v>17</v>
      </c>
    </row>
    <row r="235" spans="1:21" x14ac:dyDescent="0.25">
      <c r="A235" t="s">
        <v>176</v>
      </c>
    </row>
    <row r="236" spans="1:21" x14ac:dyDescent="0.25">
      <c r="A236" t="s">
        <v>3127</v>
      </c>
      <c r="B236">
        <v>-13</v>
      </c>
      <c r="C236">
        <v>-12</v>
      </c>
      <c r="D236">
        <v>-16</v>
      </c>
      <c r="E236">
        <v>-18</v>
      </c>
      <c r="F236">
        <v>27</v>
      </c>
      <c r="G236">
        <v>-4</v>
      </c>
      <c r="H236">
        <v>-13</v>
      </c>
      <c r="I236">
        <v>1</v>
      </c>
      <c r="J236">
        <v>-9</v>
      </c>
      <c r="K236">
        <v>-11</v>
      </c>
      <c r="L236">
        <v>5</v>
      </c>
      <c r="M236">
        <v>-8</v>
      </c>
      <c r="N236">
        <v>6</v>
      </c>
      <c r="O236">
        <v>-5.5</v>
      </c>
      <c r="P236">
        <v>0</v>
      </c>
    </row>
    <row r="237" spans="1:21" x14ac:dyDescent="0.25">
      <c r="A237" t="s">
        <v>220</v>
      </c>
      <c r="B237">
        <v>-414</v>
      </c>
      <c r="C237">
        <v>181</v>
      </c>
      <c r="D237">
        <v>-246</v>
      </c>
      <c r="E237">
        <v>-142</v>
      </c>
      <c r="F237">
        <v>130</v>
      </c>
      <c r="G237">
        <v>507</v>
      </c>
      <c r="H237">
        <v>341</v>
      </c>
      <c r="I237">
        <v>399</v>
      </c>
      <c r="J237">
        <v>219</v>
      </c>
      <c r="K237">
        <v>33</v>
      </c>
      <c r="L237">
        <v>77</v>
      </c>
      <c r="M237">
        <v>-940</v>
      </c>
      <c r="N237">
        <v>555</v>
      </c>
      <c r="O237">
        <v>335.55</v>
      </c>
      <c r="P237" s="2">
        <v>1329.14</v>
      </c>
      <c r="Q237" s="2">
        <v>2545.27</v>
      </c>
      <c r="R237" s="2">
        <v>2924.9</v>
      </c>
      <c r="S237" s="2">
        <v>3449.25</v>
      </c>
      <c r="T237" s="2">
        <v>3674.42</v>
      </c>
      <c r="U237" s="2">
        <v>3694.19</v>
      </c>
    </row>
    <row r="238" spans="1:21" x14ac:dyDescent="0.25">
      <c r="A238" t="s">
        <v>221</v>
      </c>
      <c r="B238" s="2">
        <v>2250</v>
      </c>
      <c r="C238" s="2">
        <v>1836</v>
      </c>
      <c r="D238" s="2">
        <v>2017</v>
      </c>
      <c r="E238" s="2">
        <v>1771</v>
      </c>
      <c r="F238" s="2">
        <v>1629</v>
      </c>
      <c r="G238" s="2">
        <v>1759</v>
      </c>
      <c r="H238" s="2">
        <v>2266</v>
      </c>
      <c r="I238" s="2">
        <v>2607</v>
      </c>
      <c r="J238" s="2">
        <v>3006</v>
      </c>
      <c r="K238" s="2">
        <v>3225</v>
      </c>
      <c r="L238" s="2">
        <v>3258</v>
      </c>
      <c r="M238" s="2">
        <v>3222</v>
      </c>
      <c r="N238" s="2">
        <v>2282</v>
      </c>
      <c r="O238" s="2">
        <v>2838.29</v>
      </c>
      <c r="P238" s="2">
        <v>3110.21</v>
      </c>
      <c r="Q238" s="2">
        <v>4825.3100000000004</v>
      </c>
      <c r="R238" s="2">
        <v>5962.5</v>
      </c>
      <c r="S238" s="2">
        <v>8695.93</v>
      </c>
      <c r="T238" s="2">
        <v>12760.14</v>
      </c>
      <c r="U238" s="2">
        <v>16434.560000000001</v>
      </c>
    </row>
    <row r="239" spans="1:21" x14ac:dyDescent="0.25">
      <c r="A239" t="s">
        <v>222</v>
      </c>
      <c r="B239" s="2">
        <v>1837</v>
      </c>
      <c r="C239" s="2">
        <v>2017</v>
      </c>
      <c r="D239" s="2">
        <v>1771</v>
      </c>
      <c r="E239" s="2">
        <v>1629</v>
      </c>
      <c r="F239" s="2">
        <v>1759</v>
      </c>
      <c r="G239" s="2">
        <v>2266</v>
      </c>
      <c r="H239" s="2">
        <v>2601</v>
      </c>
      <c r="I239" s="2">
        <v>3587</v>
      </c>
      <c r="J239" s="2">
        <v>3516</v>
      </c>
      <c r="K239" s="2">
        <v>3839</v>
      </c>
      <c r="L239" s="2">
        <v>4448</v>
      </c>
      <c r="M239" s="2">
        <v>3732</v>
      </c>
      <c r="N239" s="2">
        <v>3937</v>
      </c>
    </row>
    <row r="240" spans="1:21" x14ac:dyDescent="0.25">
      <c r="A240" t="s">
        <v>178</v>
      </c>
    </row>
    <row r="241" spans="1:21" x14ac:dyDescent="0.25">
      <c r="A241" t="s">
        <v>225</v>
      </c>
      <c r="C241">
        <v>327</v>
      </c>
      <c r="D241">
        <v>197</v>
      </c>
      <c r="E241">
        <v>316</v>
      </c>
      <c r="F241">
        <v>338</v>
      </c>
      <c r="G241">
        <v>533</v>
      </c>
      <c r="H241">
        <v>497</v>
      </c>
      <c r="I241">
        <v>497</v>
      </c>
      <c r="J241" s="2">
        <v>1120</v>
      </c>
      <c r="K241" s="2">
        <v>1591</v>
      </c>
      <c r="L241" s="2">
        <v>1774</v>
      </c>
      <c r="M241">
        <v>288</v>
      </c>
      <c r="N241">
        <v>265</v>
      </c>
      <c r="O241">
        <v>478.61</v>
      </c>
      <c r="P241" s="2">
        <v>1786.37</v>
      </c>
      <c r="Q241" s="2">
        <v>2734.49</v>
      </c>
      <c r="R241" s="2">
        <v>3871.84</v>
      </c>
      <c r="S241" s="2">
        <v>4583.12</v>
      </c>
      <c r="T241" s="2">
        <v>4308.32</v>
      </c>
      <c r="U241" s="2">
        <v>4328.07</v>
      </c>
    </row>
    <row r="242" spans="1:21" x14ac:dyDescent="0.25">
      <c r="A242" t="s">
        <v>438</v>
      </c>
      <c r="B242">
        <v>-0.2</v>
      </c>
      <c r="C242">
        <v>0.24</v>
      </c>
      <c r="D242">
        <v>0.36</v>
      </c>
      <c r="E242">
        <v>0.48</v>
      </c>
      <c r="F242">
        <v>0.45</v>
      </c>
      <c r="G242">
        <v>0.64</v>
      </c>
      <c r="H242">
        <v>0.76</v>
      </c>
      <c r="I242">
        <v>0.88</v>
      </c>
      <c r="J242">
        <v>1.33</v>
      </c>
      <c r="K242">
        <v>1.77</v>
      </c>
      <c r="L242">
        <v>1.76</v>
      </c>
      <c r="M242">
        <v>-0.13</v>
      </c>
      <c r="N242">
        <v>0.04</v>
      </c>
      <c r="O242">
        <v>0.74</v>
      </c>
      <c r="P242">
        <v>1.95</v>
      </c>
      <c r="Q242">
        <v>3.13</v>
      </c>
      <c r="R242">
        <v>3</v>
      </c>
      <c r="S242">
        <v>3.56</v>
      </c>
    </row>
    <row r="243" spans="1:21" x14ac:dyDescent="0.25">
      <c r="A243" t="s">
        <v>1058</v>
      </c>
      <c r="B243">
        <v>0.41</v>
      </c>
      <c r="C243">
        <v>0.8</v>
      </c>
      <c r="D243">
        <v>0.96</v>
      </c>
      <c r="E243">
        <v>1.17</v>
      </c>
      <c r="F243">
        <v>1.88</v>
      </c>
      <c r="G243">
        <v>2.0299999999999998</v>
      </c>
      <c r="H243">
        <v>2.0699999999999998</v>
      </c>
      <c r="I243">
        <v>2.2799999999999998</v>
      </c>
      <c r="J243">
        <v>3.31</v>
      </c>
      <c r="K243">
        <v>5.5</v>
      </c>
      <c r="L243">
        <v>6.47</v>
      </c>
      <c r="M243">
        <v>3.16</v>
      </c>
      <c r="N243">
        <v>2.33</v>
      </c>
      <c r="O243">
        <v>3.14</v>
      </c>
      <c r="P243">
        <v>4.54</v>
      </c>
      <c r="Q243">
        <v>5.78</v>
      </c>
    </row>
    <row r="244" spans="1:21" x14ac:dyDescent="0.25">
      <c r="A244" t="s">
        <v>17</v>
      </c>
    </row>
    <row r="245" spans="1:21" x14ac:dyDescent="0.25">
      <c r="A245" t="s">
        <v>231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5332-3F43-4B77-B2A2-9C3E554C80F5}">
  <dimension ref="A1:U252"/>
  <sheetViews>
    <sheetView workbookViewId="0">
      <selection sqref="A1:U252"/>
    </sheetView>
  </sheetViews>
  <sheetFormatPr defaultRowHeight="15" x14ac:dyDescent="0.25"/>
  <sheetData>
    <row r="1" spans="1:21" x14ac:dyDescent="0.25">
      <c r="A1" t="s">
        <v>3128</v>
      </c>
    </row>
    <row r="2" spans="1:21" x14ac:dyDescent="0.25">
      <c r="A2" t="s">
        <v>3129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L6">
        <v>-1.68</v>
      </c>
      <c r="M6">
        <v>0.08</v>
      </c>
      <c r="N6">
        <v>-1.69</v>
      </c>
      <c r="O6">
        <v>0</v>
      </c>
      <c r="P6">
        <v>1.83</v>
      </c>
      <c r="Q6">
        <v>4.6399999999999997</v>
      </c>
      <c r="R6">
        <v>6.65</v>
      </c>
      <c r="S6">
        <v>9.9499999999999993</v>
      </c>
      <c r="T6">
        <v>22.92</v>
      </c>
      <c r="U6">
        <v>23.74</v>
      </c>
    </row>
    <row r="7" spans="1:21" x14ac:dyDescent="0.25">
      <c r="A7" t="s">
        <v>16</v>
      </c>
      <c r="L7" s="2">
        <v>10387</v>
      </c>
      <c r="M7" s="2">
        <v>14015</v>
      </c>
      <c r="N7" s="2">
        <v>18674</v>
      </c>
      <c r="O7" s="2">
        <v>44280.02</v>
      </c>
      <c r="P7" s="2">
        <v>106142.95</v>
      </c>
      <c r="Q7" s="2">
        <v>184039.93</v>
      </c>
      <c r="R7" s="2">
        <v>285745.93</v>
      </c>
      <c r="S7" s="2">
        <v>421954.96</v>
      </c>
      <c r="T7" s="2">
        <v>759593</v>
      </c>
      <c r="U7" s="2">
        <v>853396</v>
      </c>
    </row>
    <row r="8" spans="1:21" x14ac:dyDescent="0.25">
      <c r="A8" t="s">
        <v>17</v>
      </c>
    </row>
    <row r="9" spans="1:21" x14ac:dyDescent="0.25">
      <c r="A9" t="s">
        <v>3130</v>
      </c>
    </row>
    <row r="10" spans="1:21" x14ac:dyDescent="0.25">
      <c r="A10" t="s">
        <v>3131</v>
      </c>
      <c r="L10">
        <v>98</v>
      </c>
      <c r="M10">
        <v>138</v>
      </c>
      <c r="N10">
        <v>170</v>
      </c>
      <c r="O10">
        <v>163.72999999999999</v>
      </c>
      <c r="P10">
        <v>204.13</v>
      </c>
      <c r="Q10">
        <v>260</v>
      </c>
      <c r="R10">
        <v>625.58000000000004</v>
      </c>
      <c r="S10">
        <v>987.46</v>
      </c>
      <c r="T10" s="2">
        <v>1822.89</v>
      </c>
      <c r="U10" s="2">
        <v>1365.79</v>
      </c>
    </row>
    <row r="11" spans="1:21" x14ac:dyDescent="0.25">
      <c r="A11" t="s">
        <v>3132</v>
      </c>
      <c r="L11" s="2">
        <v>1210</v>
      </c>
      <c r="M11" s="2">
        <v>1699</v>
      </c>
      <c r="N11" s="2">
        <v>2213</v>
      </c>
      <c r="O11" s="2">
        <v>2312.4499999999998</v>
      </c>
      <c r="P11" s="2">
        <v>8612.5</v>
      </c>
      <c r="Q11" s="2">
        <v>15114.5</v>
      </c>
      <c r="R11" s="2">
        <v>47329.71</v>
      </c>
      <c r="S11" s="2">
        <v>73458.97</v>
      </c>
      <c r="T11" s="2">
        <v>155205.10999999999</v>
      </c>
      <c r="U11" s="2">
        <v>158862.51999999999</v>
      </c>
    </row>
    <row r="12" spans="1:21" x14ac:dyDescent="0.25">
      <c r="A12" t="s">
        <v>3133</v>
      </c>
    </row>
    <row r="13" spans="1:21" x14ac:dyDescent="0.25">
      <c r="A13" t="s">
        <v>3134</v>
      </c>
      <c r="L13" s="2">
        <v>2300</v>
      </c>
      <c r="M13" s="2">
        <v>4400</v>
      </c>
      <c r="N13" s="2">
        <v>8900</v>
      </c>
      <c r="O13" s="2">
        <v>16638.650000000001</v>
      </c>
      <c r="P13" s="2">
        <v>28232.39</v>
      </c>
      <c r="Q13" s="2">
        <v>45706.78</v>
      </c>
      <c r="R13" s="2">
        <v>66359.199999999997</v>
      </c>
      <c r="S13" s="2">
        <v>91632.17</v>
      </c>
      <c r="T13" s="2">
        <v>127160.07</v>
      </c>
      <c r="U13" s="2">
        <v>145969.42000000001</v>
      </c>
    </row>
    <row r="14" spans="1:21" x14ac:dyDescent="0.25">
      <c r="A14" t="s">
        <v>3135</v>
      </c>
      <c r="L14">
        <v>99</v>
      </c>
      <c r="M14">
        <v>91</v>
      </c>
      <c r="N14">
        <v>81</v>
      </c>
      <c r="O14">
        <v>64.11</v>
      </c>
      <c r="P14">
        <v>56.77</v>
      </c>
      <c r="Q14">
        <v>51.73</v>
      </c>
      <c r="R14">
        <v>48.1</v>
      </c>
      <c r="S14">
        <v>45.33</v>
      </c>
      <c r="T14">
        <v>42.34</v>
      </c>
      <c r="U14">
        <v>45.59</v>
      </c>
    </row>
    <row r="15" spans="1:21" x14ac:dyDescent="0.25">
      <c r="A15" t="s">
        <v>3136</v>
      </c>
      <c r="N15" s="2">
        <v>9600</v>
      </c>
      <c r="O15" s="2">
        <v>11069</v>
      </c>
      <c r="P15" s="2">
        <v>13889</v>
      </c>
      <c r="Q15" s="2">
        <v>17202</v>
      </c>
      <c r="R15" s="2">
        <v>20600</v>
      </c>
      <c r="S15" s="2">
        <v>25728</v>
      </c>
      <c r="T15" s="2">
        <v>31160</v>
      </c>
      <c r="U15" s="2">
        <v>29479</v>
      </c>
    </row>
    <row r="16" spans="1:21" x14ac:dyDescent="0.25">
      <c r="A16" t="s">
        <v>17</v>
      </c>
    </row>
    <row r="17" spans="1:21" x14ac:dyDescent="0.25">
      <c r="A17" t="s">
        <v>3130</v>
      </c>
    </row>
    <row r="18" spans="1:21" x14ac:dyDescent="0.25">
      <c r="A18" t="s">
        <v>60</v>
      </c>
      <c r="L18" s="2">
        <v>3557</v>
      </c>
      <c r="M18" s="2">
        <v>3796</v>
      </c>
      <c r="N18" s="2">
        <v>4086</v>
      </c>
      <c r="O18" s="2">
        <v>4455.9399999999996</v>
      </c>
      <c r="P18" s="2">
        <v>6535.4</v>
      </c>
      <c r="Q18" s="2">
        <v>7776.21</v>
      </c>
      <c r="R18" s="2">
        <v>9960.7800000000007</v>
      </c>
      <c r="S18" s="2">
        <v>14005.77</v>
      </c>
      <c r="T18" s="2">
        <v>22830.5</v>
      </c>
      <c r="U18" s="2">
        <v>42827.87</v>
      </c>
    </row>
    <row r="19" spans="1:21" x14ac:dyDescent="0.25">
      <c r="A19" t="s">
        <v>116</v>
      </c>
      <c r="L19">
        <v>-1</v>
      </c>
      <c r="M19">
        <v>21</v>
      </c>
      <c r="N19">
        <v>-657</v>
      </c>
      <c r="O19" s="2">
        <v>-1904.57</v>
      </c>
      <c r="P19">
        <v>-219.99</v>
      </c>
      <c r="Q19">
        <v>31.91</v>
      </c>
      <c r="R19">
        <v>34.799999999999997</v>
      </c>
      <c r="S19" s="2">
        <v>1512.15</v>
      </c>
      <c r="T19" s="2">
        <v>3729.9</v>
      </c>
      <c r="U19" s="2">
        <v>12449.29</v>
      </c>
    </row>
    <row r="20" spans="1:21" x14ac:dyDescent="0.25">
      <c r="A20" t="s">
        <v>2101</v>
      </c>
      <c r="L20">
        <v>997</v>
      </c>
      <c r="M20" s="2">
        <v>1154</v>
      </c>
      <c r="N20">
        <v>653</v>
      </c>
      <c r="O20">
        <v>-355.6</v>
      </c>
      <c r="P20" s="2">
        <v>1838.49</v>
      </c>
      <c r="Q20" s="2">
        <v>2680.03</v>
      </c>
      <c r="R20" s="2">
        <v>3505.77</v>
      </c>
      <c r="S20" s="2">
        <v>5641.95</v>
      </c>
      <c r="T20" s="2">
        <v>9403.0400000000009</v>
      </c>
      <c r="U20" s="2">
        <v>23954.26</v>
      </c>
    </row>
    <row r="21" spans="1:21" x14ac:dyDescent="0.25">
      <c r="A21" t="s">
        <v>206</v>
      </c>
      <c r="L21" s="2">
        <v>1497</v>
      </c>
      <c r="M21" s="2">
        <v>2032</v>
      </c>
      <c r="N21" s="2">
        <v>3832</v>
      </c>
      <c r="O21" s="2">
        <v>5314.07</v>
      </c>
      <c r="P21" s="2">
        <v>9982.65</v>
      </c>
      <c r="Q21" s="2">
        <v>8528.64</v>
      </c>
      <c r="R21" s="2">
        <v>10506.89</v>
      </c>
      <c r="S21" s="2">
        <v>8309.2999999999993</v>
      </c>
      <c r="T21" s="2">
        <v>8431.19</v>
      </c>
      <c r="U21" s="2">
        <v>9262.25</v>
      </c>
    </row>
    <row r="22" spans="1:21" x14ac:dyDescent="0.25">
      <c r="A22" t="s">
        <v>3137</v>
      </c>
    </row>
    <row r="23" spans="1:21" x14ac:dyDescent="0.25">
      <c r="A23" t="s">
        <v>60</v>
      </c>
      <c r="L23" s="2">
        <v>3869</v>
      </c>
      <c r="M23" s="2">
        <v>7599</v>
      </c>
      <c r="N23" s="2">
        <v>11387</v>
      </c>
      <c r="O23" s="2">
        <v>18134.400000000001</v>
      </c>
      <c r="P23" s="2">
        <v>28572.9</v>
      </c>
      <c r="Q23" s="2">
        <v>47517.34</v>
      </c>
      <c r="R23" s="2">
        <v>75597.429999999993</v>
      </c>
      <c r="S23" s="2">
        <v>115712.64</v>
      </c>
      <c r="T23" s="2">
        <v>184172.23</v>
      </c>
      <c r="U23" s="2">
        <v>209301.41</v>
      </c>
    </row>
    <row r="24" spans="1:21" x14ac:dyDescent="0.25">
      <c r="A24" t="s">
        <v>116</v>
      </c>
      <c r="L24">
        <v>469</v>
      </c>
      <c r="M24" s="2">
        <v>2006</v>
      </c>
      <c r="N24" s="2">
        <v>4423</v>
      </c>
      <c r="O24" s="2">
        <v>7114.96</v>
      </c>
      <c r="P24" s="2">
        <v>12421.44</v>
      </c>
      <c r="Q24" s="2">
        <v>22249.85</v>
      </c>
      <c r="R24" s="2">
        <v>36746.74</v>
      </c>
      <c r="S24" s="2">
        <v>57043.76</v>
      </c>
      <c r="T24" s="2">
        <v>99949.6</v>
      </c>
      <c r="U24" s="2">
        <v>116571.59</v>
      </c>
    </row>
    <row r="25" spans="1:21" x14ac:dyDescent="0.25">
      <c r="A25" t="s">
        <v>2101</v>
      </c>
      <c r="L25" s="2">
        <v>1602</v>
      </c>
      <c r="M25" s="2">
        <v>3849</v>
      </c>
      <c r="N25" s="2">
        <v>7168</v>
      </c>
      <c r="O25" s="2">
        <v>11244.48</v>
      </c>
      <c r="P25" s="2">
        <v>18256.419999999998</v>
      </c>
      <c r="Q25" s="2">
        <v>30274.400000000001</v>
      </c>
      <c r="R25" s="2">
        <v>47659.81</v>
      </c>
      <c r="S25" s="2">
        <v>71505.679999999993</v>
      </c>
      <c r="T25" s="2">
        <v>117855.85</v>
      </c>
      <c r="U25" s="2">
        <v>134380.21</v>
      </c>
    </row>
    <row r="26" spans="1:21" x14ac:dyDescent="0.25">
      <c r="A26" t="s">
        <v>206</v>
      </c>
      <c r="L26" s="2">
        <v>2455</v>
      </c>
      <c r="M26" s="2">
        <v>3498</v>
      </c>
      <c r="N26" s="2">
        <v>4178</v>
      </c>
      <c r="O26" s="2">
        <v>6307.96</v>
      </c>
      <c r="P26" s="2">
        <v>17712.77</v>
      </c>
      <c r="Q26" s="2">
        <v>21654.75</v>
      </c>
      <c r="R26" s="2">
        <v>27856.46</v>
      </c>
      <c r="S26" s="2">
        <v>34163.379999999997</v>
      </c>
      <c r="T26" s="2">
        <v>44132.37</v>
      </c>
      <c r="U26" s="2">
        <v>38887.089999999997</v>
      </c>
    </row>
    <row r="27" spans="1:21" x14ac:dyDescent="0.25">
      <c r="A27" t="s">
        <v>3138</v>
      </c>
    </row>
    <row r="28" spans="1:21" x14ac:dyDescent="0.25">
      <c r="A28" t="s">
        <v>60</v>
      </c>
      <c r="L28" s="2">
        <v>2961</v>
      </c>
      <c r="M28" s="2">
        <v>2620</v>
      </c>
      <c r="N28" s="2">
        <v>3201</v>
      </c>
      <c r="O28" s="2">
        <v>23075.22</v>
      </c>
      <c r="P28" s="2">
        <v>74385.19</v>
      </c>
      <c r="Q28" s="2">
        <v>140702.43</v>
      </c>
      <c r="R28" s="2">
        <v>222484.1</v>
      </c>
      <c r="S28" s="2">
        <v>325934.93</v>
      </c>
      <c r="T28" s="2">
        <v>566726.31999999995</v>
      </c>
      <c r="U28" s="2">
        <v>604519.22</v>
      </c>
    </row>
    <row r="29" spans="1:21" x14ac:dyDescent="0.25">
      <c r="A29" t="s">
        <v>116</v>
      </c>
      <c r="L29" s="2">
        <v>3973</v>
      </c>
      <c r="M29" s="2">
        <v>-1561</v>
      </c>
      <c r="N29" s="2">
        <v>-6355</v>
      </c>
      <c r="O29" s="2">
        <v>-1507.85</v>
      </c>
      <c r="P29" s="2">
        <v>17983.43</v>
      </c>
      <c r="Q29" s="2">
        <v>51362.37</v>
      </c>
      <c r="R29" s="2">
        <v>86608.93</v>
      </c>
      <c r="S29" s="2">
        <v>139432.45000000001</v>
      </c>
      <c r="T29" s="2">
        <v>300684.17</v>
      </c>
      <c r="U29" s="2">
        <v>201653.24</v>
      </c>
    </row>
    <row r="30" spans="1:21" x14ac:dyDescent="0.25">
      <c r="A30" t="s">
        <v>2101</v>
      </c>
      <c r="L30" s="2">
        <v>1222</v>
      </c>
      <c r="M30">
        <v>347</v>
      </c>
      <c r="N30" s="2">
        <v>-1237</v>
      </c>
      <c r="O30" s="2">
        <v>10509.96</v>
      </c>
      <c r="P30" s="2">
        <v>48897.47</v>
      </c>
      <c r="Q30" s="2">
        <v>105472.81</v>
      </c>
      <c r="R30" s="2">
        <v>168460.44</v>
      </c>
      <c r="S30" s="2">
        <v>259434.13</v>
      </c>
      <c r="T30" s="2">
        <v>511301.2</v>
      </c>
      <c r="U30" s="2">
        <v>374561.47</v>
      </c>
    </row>
    <row r="31" spans="1:21" x14ac:dyDescent="0.25">
      <c r="A31" t="s">
        <v>206</v>
      </c>
      <c r="L31">
        <v>463</v>
      </c>
      <c r="M31" s="2">
        <v>5633</v>
      </c>
      <c r="N31" s="2">
        <v>12727</v>
      </c>
      <c r="O31" s="2">
        <v>57793.02</v>
      </c>
      <c r="P31" s="2">
        <v>166059.72</v>
      </c>
      <c r="Q31" s="2">
        <v>170417</v>
      </c>
      <c r="R31" s="2">
        <v>219658.47</v>
      </c>
      <c r="S31" s="2">
        <v>272798.48</v>
      </c>
      <c r="T31" s="2">
        <v>469193.37</v>
      </c>
      <c r="U31" s="2">
        <v>365848.42</v>
      </c>
    </row>
    <row r="32" spans="1:21" x14ac:dyDescent="0.25">
      <c r="A32" t="s">
        <v>17</v>
      </c>
    </row>
    <row r="33" spans="1:21" x14ac:dyDescent="0.25">
      <c r="A33" t="s">
        <v>82</v>
      </c>
      <c r="L33" s="2">
        <v>6110</v>
      </c>
      <c r="M33" s="2">
        <v>7996</v>
      </c>
      <c r="N33" s="2">
        <v>9451</v>
      </c>
      <c r="O33" s="2">
        <v>20106.05</v>
      </c>
      <c r="P33" s="2">
        <v>43602.73</v>
      </c>
      <c r="Q33" s="2">
        <v>73970.78</v>
      </c>
      <c r="R33" s="2">
        <v>105776.04</v>
      </c>
      <c r="S33" s="2">
        <v>145553.46</v>
      </c>
      <c r="T33" s="2">
        <v>245338.72</v>
      </c>
      <c r="U33" s="2">
        <v>331535.64</v>
      </c>
    </row>
    <row r="34" spans="1:21" x14ac:dyDescent="0.25">
      <c r="A34" t="s">
        <v>1299</v>
      </c>
      <c r="L34" s="2">
        <v>2105</v>
      </c>
      <c r="M34" s="2">
        <v>3464</v>
      </c>
      <c r="N34" s="2">
        <v>8643</v>
      </c>
      <c r="O34" s="2">
        <v>18107.34</v>
      </c>
      <c r="P34" s="2">
        <v>32034.91</v>
      </c>
      <c r="Q34" s="2">
        <v>39182.69</v>
      </c>
      <c r="R34" s="2">
        <v>55578.83</v>
      </c>
      <c r="S34" s="2">
        <v>76275.820000000007</v>
      </c>
      <c r="T34" s="2">
        <v>101513.14</v>
      </c>
      <c r="U34" s="2">
        <v>124768.28</v>
      </c>
    </row>
    <row r="35" spans="1:21" x14ac:dyDescent="0.25">
      <c r="A35" t="s">
        <v>29</v>
      </c>
      <c r="L35" s="2">
        <v>-3505</v>
      </c>
      <c r="M35">
        <v>466</v>
      </c>
      <c r="N35" s="2">
        <v>-2589</v>
      </c>
      <c r="O35" s="2">
        <v>4117.58</v>
      </c>
      <c r="P35" s="2">
        <v>30323.03</v>
      </c>
      <c r="Q35" s="2">
        <v>71516.210000000006</v>
      </c>
      <c r="R35" s="2">
        <v>114287.35</v>
      </c>
      <c r="S35" s="2">
        <v>183859.83</v>
      </c>
      <c r="T35" s="2">
        <v>408769.53</v>
      </c>
      <c r="U35" s="2">
        <v>346393.67</v>
      </c>
    </row>
    <row r="36" spans="1:21" x14ac:dyDescent="0.25">
      <c r="A36" t="s">
        <v>680</v>
      </c>
      <c r="L36" s="2">
        <v>3821</v>
      </c>
      <c r="M36" s="2">
        <v>5350</v>
      </c>
      <c r="N36" s="2">
        <v>6584</v>
      </c>
      <c r="O36" s="2">
        <v>22077.34</v>
      </c>
      <c r="P36" s="2">
        <v>63466.95</v>
      </c>
      <c r="Q36" s="2">
        <v>125697.77</v>
      </c>
      <c r="R36" s="2">
        <v>202321.56</v>
      </c>
      <c r="S36" s="2">
        <v>309570.78999999998</v>
      </c>
      <c r="T36" s="2">
        <v>601521.56000000006</v>
      </c>
      <c r="U36" s="2">
        <v>612434.29</v>
      </c>
    </row>
    <row r="37" spans="1:21" x14ac:dyDescent="0.25">
      <c r="A37" t="s">
        <v>17</v>
      </c>
    </row>
    <row r="38" spans="1:21" x14ac:dyDescent="0.25">
      <c r="A38" t="s">
        <v>204</v>
      </c>
      <c r="L38" s="2">
        <v>4520</v>
      </c>
      <c r="M38" s="2">
        <v>5776</v>
      </c>
      <c r="N38" s="2">
        <v>6785</v>
      </c>
      <c r="O38" s="2">
        <v>25654.12</v>
      </c>
      <c r="P38" s="2">
        <v>65505</v>
      </c>
      <c r="Q38" s="2">
        <v>118965.01</v>
      </c>
      <c r="R38" s="2">
        <v>188066.27</v>
      </c>
      <c r="S38" s="2">
        <v>278065.27</v>
      </c>
      <c r="T38" s="2">
        <v>510913.59</v>
      </c>
      <c r="U38" s="2">
        <v>511847.79</v>
      </c>
    </row>
    <row r="39" spans="1:21" x14ac:dyDescent="0.25">
      <c r="A39" t="s">
        <v>242</v>
      </c>
      <c r="L39" s="2">
        <v>-4415</v>
      </c>
      <c r="M39" s="2">
        <v>-11163</v>
      </c>
      <c r="N39" s="2">
        <v>-20737</v>
      </c>
      <c r="O39" s="2">
        <v>-66923.100000000006</v>
      </c>
      <c r="P39" s="2">
        <v>-170714.21</v>
      </c>
      <c r="Q39" s="2">
        <v>-184369.63</v>
      </c>
      <c r="R39" s="2">
        <v>-239540.82</v>
      </c>
      <c r="S39" s="2">
        <v>-286860</v>
      </c>
      <c r="T39" s="2">
        <v>-496212.88</v>
      </c>
      <c r="U39" s="2">
        <v>-389363.14</v>
      </c>
    </row>
    <row r="40" spans="1:21" x14ac:dyDescent="0.25">
      <c r="A40" t="s">
        <v>17</v>
      </c>
    </row>
    <row r="41" spans="1:21" x14ac:dyDescent="0.25">
      <c r="A41" t="s">
        <v>37</v>
      </c>
    </row>
    <row r="42" spans="1:21" x14ac:dyDescent="0.25">
      <c r="A42" t="s">
        <v>17</v>
      </c>
    </row>
    <row r="43" spans="1:21" x14ac:dyDescent="0.25">
      <c r="A43" t="s">
        <v>38</v>
      </c>
    </row>
    <row r="44" spans="1:21" x14ac:dyDescent="0.25">
      <c r="A44" t="s">
        <v>3130</v>
      </c>
    </row>
    <row r="45" spans="1:21" x14ac:dyDescent="0.25">
      <c r="A45" t="s">
        <v>3139</v>
      </c>
      <c r="L45">
        <v>98</v>
      </c>
      <c r="M45">
        <v>138</v>
      </c>
      <c r="N45">
        <v>170</v>
      </c>
      <c r="O45">
        <v>163.72999999999999</v>
      </c>
      <c r="P45">
        <v>204.13</v>
      </c>
      <c r="Q45">
        <v>260</v>
      </c>
      <c r="R45">
        <v>625.58000000000004</v>
      </c>
      <c r="S45">
        <v>987.46</v>
      </c>
      <c r="T45" s="2">
        <v>1822.89</v>
      </c>
      <c r="U45" s="2">
        <v>1365.79</v>
      </c>
    </row>
    <row r="46" spans="1:21" x14ac:dyDescent="0.25">
      <c r="A46" t="s">
        <v>3140</v>
      </c>
      <c r="L46">
        <v>96</v>
      </c>
      <c r="M46">
        <v>134</v>
      </c>
      <c r="N46">
        <v>165</v>
      </c>
      <c r="O46">
        <v>151.96</v>
      </c>
      <c r="P46">
        <v>127.79</v>
      </c>
      <c r="Q46">
        <v>129.63</v>
      </c>
      <c r="R46">
        <v>80.2</v>
      </c>
      <c r="S46">
        <v>70.2</v>
      </c>
      <c r="T46">
        <v>53.2</v>
      </c>
      <c r="U46">
        <v>51.67</v>
      </c>
    </row>
    <row r="47" spans="1:21" x14ac:dyDescent="0.25">
      <c r="A47" t="s">
        <v>3141</v>
      </c>
      <c r="L47">
        <v>33</v>
      </c>
      <c r="M47">
        <v>45</v>
      </c>
      <c r="N47">
        <v>43</v>
      </c>
      <c r="O47">
        <v>43.05</v>
      </c>
      <c r="P47">
        <v>54.41</v>
      </c>
      <c r="Q47">
        <v>61.34</v>
      </c>
      <c r="R47">
        <v>61.14</v>
      </c>
      <c r="S47">
        <v>65.290000000000006</v>
      </c>
      <c r="T47">
        <v>75.25</v>
      </c>
      <c r="U47">
        <v>74.5</v>
      </c>
    </row>
    <row r="48" spans="1:21" x14ac:dyDescent="0.25">
      <c r="A48" t="s">
        <v>3142</v>
      </c>
      <c r="O48">
        <v>117.5</v>
      </c>
      <c r="P48">
        <v>101.4</v>
      </c>
      <c r="Q48">
        <v>130.25</v>
      </c>
      <c r="R48">
        <v>291.69</v>
      </c>
      <c r="S48">
        <v>557.83000000000004</v>
      </c>
      <c r="T48" s="2">
        <v>1569.02</v>
      </c>
      <c r="U48">
        <v>45</v>
      </c>
    </row>
    <row r="49" spans="1:21" x14ac:dyDescent="0.25">
      <c r="A49" t="s">
        <v>3143</v>
      </c>
      <c r="L49">
        <v>2</v>
      </c>
      <c r="M49">
        <v>4</v>
      </c>
      <c r="N49">
        <v>5</v>
      </c>
      <c r="O49">
        <v>6.38</v>
      </c>
      <c r="P49">
        <v>46.28</v>
      </c>
      <c r="Q49">
        <v>88.66</v>
      </c>
      <c r="R49">
        <v>395.06</v>
      </c>
      <c r="S49">
        <v>861.41</v>
      </c>
      <c r="T49" s="2">
        <v>2020.66</v>
      </c>
      <c r="U49">
        <v>640.63</v>
      </c>
    </row>
    <row r="50" spans="1:21" x14ac:dyDescent="0.25">
      <c r="A50" t="s">
        <v>3132</v>
      </c>
      <c r="L50" s="2">
        <v>1210</v>
      </c>
      <c r="M50" s="2">
        <v>1699</v>
      </c>
      <c r="N50" s="2">
        <v>2213</v>
      </c>
      <c r="O50" s="2">
        <v>2312.4499999999998</v>
      </c>
      <c r="P50" s="2">
        <v>8612.5</v>
      </c>
      <c r="Q50" s="2">
        <v>15114.5</v>
      </c>
      <c r="R50" s="2">
        <v>47329.71</v>
      </c>
      <c r="S50" s="2">
        <v>73458.97</v>
      </c>
      <c r="T50" s="2">
        <v>155205.10999999999</v>
      </c>
      <c r="U50" s="2">
        <v>158862.51999999999</v>
      </c>
    </row>
    <row r="51" spans="1:21" x14ac:dyDescent="0.25">
      <c r="A51" t="s">
        <v>3144</v>
      </c>
      <c r="L51" s="2">
        <v>1005</v>
      </c>
      <c r="M51" s="2">
        <v>1418</v>
      </c>
      <c r="N51" s="2">
        <v>1901</v>
      </c>
      <c r="O51" s="2">
        <v>1911.5</v>
      </c>
      <c r="P51" s="2">
        <v>2659.75</v>
      </c>
      <c r="Q51" s="2">
        <v>6778.96</v>
      </c>
      <c r="R51" s="2">
        <v>8895.06</v>
      </c>
      <c r="S51" s="2">
        <v>21405.46</v>
      </c>
      <c r="T51" s="2">
        <v>61093.95</v>
      </c>
      <c r="U51" s="2">
        <v>85695.35</v>
      </c>
    </row>
    <row r="52" spans="1:21" x14ac:dyDescent="0.25">
      <c r="A52" t="s">
        <v>3145</v>
      </c>
      <c r="L52">
        <v>205</v>
      </c>
      <c r="M52">
        <v>282</v>
      </c>
      <c r="N52">
        <v>312</v>
      </c>
      <c r="O52">
        <v>329.4</v>
      </c>
      <c r="P52">
        <v>487.43</v>
      </c>
      <c r="Q52">
        <v>764.04</v>
      </c>
      <c r="R52" s="2">
        <v>1145.33</v>
      </c>
      <c r="S52" s="2">
        <v>2014.25</v>
      </c>
      <c r="T52" s="2">
        <v>3830.27</v>
      </c>
      <c r="U52" s="2">
        <v>8927.68</v>
      </c>
    </row>
    <row r="53" spans="1:21" x14ac:dyDescent="0.25">
      <c r="A53" t="s">
        <v>3146</v>
      </c>
      <c r="L53">
        <v>4</v>
      </c>
      <c r="M53">
        <v>4</v>
      </c>
      <c r="N53">
        <v>4</v>
      </c>
    </row>
    <row r="54" spans="1:21" x14ac:dyDescent="0.25">
      <c r="A54" t="s">
        <v>17</v>
      </c>
    </row>
    <row r="55" spans="1:21" x14ac:dyDescent="0.25">
      <c r="A55" t="s">
        <v>3133</v>
      </c>
    </row>
    <row r="56" spans="1:21" x14ac:dyDescent="0.25">
      <c r="A56" t="s">
        <v>3134</v>
      </c>
      <c r="L56" s="2">
        <v>2300</v>
      </c>
      <c r="M56" s="2">
        <v>4400</v>
      </c>
      <c r="N56" s="2">
        <v>8900</v>
      </c>
      <c r="O56" s="2">
        <v>16638.650000000001</v>
      </c>
      <c r="P56" s="2">
        <v>28232.39</v>
      </c>
      <c r="Q56" s="2">
        <v>45706.78</v>
      </c>
      <c r="R56" s="2">
        <v>66359.199999999997</v>
      </c>
      <c r="S56" s="2">
        <v>91632.17</v>
      </c>
      <c r="T56" s="2">
        <v>127160.07</v>
      </c>
      <c r="U56" s="2">
        <v>145969.42000000001</v>
      </c>
    </row>
    <row r="57" spans="1:21" x14ac:dyDescent="0.25">
      <c r="A57" t="s">
        <v>3135</v>
      </c>
      <c r="L57">
        <v>99</v>
      </c>
      <c r="M57">
        <v>91</v>
      </c>
      <c r="N57">
        <v>81</v>
      </c>
      <c r="O57">
        <v>64.11</v>
      </c>
      <c r="P57">
        <v>56.77</v>
      </c>
      <c r="Q57">
        <v>51.73</v>
      </c>
      <c r="R57">
        <v>48.1</v>
      </c>
      <c r="S57">
        <v>45.33</v>
      </c>
      <c r="T57">
        <v>42.34</v>
      </c>
      <c r="U57">
        <v>45.59</v>
      </c>
    </row>
    <row r="58" spans="1:21" x14ac:dyDescent="0.25">
      <c r="A58" t="s">
        <v>3136</v>
      </c>
      <c r="N58" s="2">
        <v>9600</v>
      </c>
      <c r="O58" s="2">
        <v>11069</v>
      </c>
      <c r="P58" s="2">
        <v>13889</v>
      </c>
      <c r="Q58" s="2">
        <v>17202</v>
      </c>
      <c r="R58" s="2">
        <v>20600</v>
      </c>
      <c r="S58" s="2">
        <v>25728</v>
      </c>
      <c r="T58" s="2">
        <v>31160</v>
      </c>
      <c r="U58" s="2">
        <v>29479</v>
      </c>
    </row>
    <row r="59" spans="1:21" x14ac:dyDescent="0.25">
      <c r="A59" t="s">
        <v>3147</v>
      </c>
      <c r="O59">
        <v>14.12</v>
      </c>
      <c r="P59">
        <v>31.37</v>
      </c>
      <c r="Q59">
        <v>155.38999999999999</v>
      </c>
      <c r="R59">
        <v>394.3</v>
      </c>
      <c r="S59">
        <v>804.54</v>
      </c>
      <c r="T59" s="2">
        <v>1645.04</v>
      </c>
      <c r="U59">
        <v>457.15</v>
      </c>
    </row>
    <row r="60" spans="1:21" x14ac:dyDescent="0.25">
      <c r="A60" t="s">
        <v>17</v>
      </c>
    </row>
    <row r="61" spans="1:21" x14ac:dyDescent="0.25">
      <c r="A61" t="s">
        <v>3138</v>
      </c>
    </row>
    <row r="62" spans="1:21" x14ac:dyDescent="0.25">
      <c r="A62" t="s">
        <v>3148</v>
      </c>
      <c r="L62">
        <v>0</v>
      </c>
      <c r="M62" s="2">
        <v>300000</v>
      </c>
      <c r="N62" s="2">
        <v>800000</v>
      </c>
      <c r="O62" s="2">
        <v>2162891.85</v>
      </c>
      <c r="P62" s="2">
        <v>5874440.1699999999</v>
      </c>
      <c r="Q62" s="2">
        <v>9497607.0500000007</v>
      </c>
      <c r="R62" s="2">
        <v>14047269.279999999</v>
      </c>
      <c r="S62" s="2">
        <v>23419414.52</v>
      </c>
      <c r="T62" s="2">
        <v>46122437.640000001</v>
      </c>
      <c r="U62" s="2">
        <v>41366719.640000001</v>
      </c>
    </row>
    <row r="63" spans="1:21" x14ac:dyDescent="0.25">
      <c r="A63" t="s">
        <v>17</v>
      </c>
    </row>
    <row r="64" spans="1:21" x14ac:dyDescent="0.25">
      <c r="A64" t="s">
        <v>58</v>
      </c>
    </row>
    <row r="65" spans="1:21" x14ac:dyDescent="0.25">
      <c r="A65" t="s">
        <v>3130</v>
      </c>
    </row>
    <row r="66" spans="1:21" x14ac:dyDescent="0.25">
      <c r="A66" t="s">
        <v>60</v>
      </c>
      <c r="L66" s="2">
        <v>3557</v>
      </c>
      <c r="M66" s="2">
        <v>3796</v>
      </c>
      <c r="N66" s="2">
        <v>4086</v>
      </c>
      <c r="O66" s="2">
        <v>4455.9399999999996</v>
      </c>
      <c r="P66" s="2">
        <v>6535.4</v>
      </c>
      <c r="Q66" s="2">
        <v>7776.21</v>
      </c>
      <c r="R66" s="2">
        <v>9960.7800000000007</v>
      </c>
      <c r="S66" s="2">
        <v>14005.77</v>
      </c>
      <c r="T66" s="2">
        <v>22830.5</v>
      </c>
      <c r="U66" s="2">
        <v>42827.87</v>
      </c>
    </row>
    <row r="67" spans="1:21" x14ac:dyDescent="0.25">
      <c r="A67" t="s">
        <v>3149</v>
      </c>
      <c r="L67" s="2">
        <v>1964</v>
      </c>
      <c r="M67" s="2">
        <v>2584</v>
      </c>
      <c r="N67" s="2">
        <v>2576</v>
      </c>
      <c r="O67" s="2">
        <v>2527.39</v>
      </c>
      <c r="P67" s="2">
        <v>3597.81</v>
      </c>
      <c r="Q67" s="2">
        <v>4428.79</v>
      </c>
      <c r="R67" s="2">
        <v>6570.22</v>
      </c>
      <c r="S67" s="2">
        <v>11209.23</v>
      </c>
      <c r="T67" s="2">
        <v>23379.23</v>
      </c>
      <c r="U67" s="2">
        <v>42590.84</v>
      </c>
    </row>
    <row r="68" spans="1:21" x14ac:dyDescent="0.25">
      <c r="A68" t="s">
        <v>3150</v>
      </c>
      <c r="L68" s="2">
        <v>1593</v>
      </c>
      <c r="M68" s="2">
        <v>1212</v>
      </c>
      <c r="N68" s="2">
        <v>1510</v>
      </c>
      <c r="O68" s="2">
        <v>1745.42</v>
      </c>
      <c r="P68" s="2">
        <v>2588</v>
      </c>
      <c r="Q68" s="2">
        <v>3193.13</v>
      </c>
      <c r="R68" s="2">
        <v>3795.82</v>
      </c>
      <c r="S68" s="2">
        <v>4459.07</v>
      </c>
      <c r="T68" s="2">
        <v>4946.13</v>
      </c>
      <c r="U68" s="2">
        <v>8060.74</v>
      </c>
    </row>
    <row r="69" spans="1:21" x14ac:dyDescent="0.25">
      <c r="A69" t="s">
        <v>87</v>
      </c>
      <c r="L69" s="2">
        <v>3558</v>
      </c>
      <c r="M69" s="2">
        <v>3775</v>
      </c>
      <c r="N69" s="2">
        <v>4743</v>
      </c>
      <c r="O69" s="2">
        <v>6318.78</v>
      </c>
      <c r="P69" s="2">
        <v>6990.37</v>
      </c>
      <c r="Q69" s="2">
        <v>8234.6200000000008</v>
      </c>
      <c r="R69" s="2">
        <v>10913.28</v>
      </c>
      <c r="S69" s="2">
        <v>15389.59</v>
      </c>
      <c r="T69" s="2">
        <v>32684.720000000001</v>
      </c>
      <c r="U69" s="2">
        <v>63827.65</v>
      </c>
    </row>
    <row r="70" spans="1:21" x14ac:dyDescent="0.25">
      <c r="A70" t="s">
        <v>126</v>
      </c>
      <c r="L70" s="2">
        <v>1669</v>
      </c>
      <c r="M70" s="2">
        <v>1541</v>
      </c>
      <c r="N70" s="2">
        <v>1352</v>
      </c>
      <c r="O70" s="2">
        <v>1638.16</v>
      </c>
      <c r="P70" s="2">
        <v>2609.4299999999998</v>
      </c>
      <c r="Q70" s="2">
        <v>2793.14</v>
      </c>
      <c r="R70" s="2">
        <v>3608.96</v>
      </c>
      <c r="S70" s="2">
        <v>4623.28</v>
      </c>
      <c r="T70" s="2">
        <v>8685.66</v>
      </c>
      <c r="U70" s="2">
        <v>19288.46</v>
      </c>
    </row>
    <row r="71" spans="1:21" x14ac:dyDescent="0.25">
      <c r="A71" t="s">
        <v>3151</v>
      </c>
      <c r="L71" s="2">
        <v>1538</v>
      </c>
      <c r="M71" s="2">
        <v>1835</v>
      </c>
      <c r="N71" s="2">
        <v>3004</v>
      </c>
      <c r="O71" s="2">
        <v>4413.6099999999997</v>
      </c>
      <c r="P71" s="2">
        <v>3615.09</v>
      </c>
      <c r="Q71" s="2">
        <v>3836.93</v>
      </c>
      <c r="R71" s="2">
        <v>4250.87</v>
      </c>
      <c r="S71" s="2">
        <v>5202.74</v>
      </c>
      <c r="T71" s="2">
        <v>8756.59</v>
      </c>
      <c r="U71" s="2">
        <v>13516.82</v>
      </c>
    </row>
    <row r="72" spans="1:21" x14ac:dyDescent="0.25">
      <c r="A72" t="s">
        <v>1377</v>
      </c>
      <c r="L72">
        <v>351</v>
      </c>
      <c r="M72">
        <v>375</v>
      </c>
      <c r="N72">
        <v>349</v>
      </c>
      <c r="O72">
        <v>371.24</v>
      </c>
      <c r="P72">
        <v>463.9</v>
      </c>
      <c r="Q72">
        <v>538.20000000000005</v>
      </c>
      <c r="R72">
        <v>669</v>
      </c>
      <c r="S72">
        <v>979.8</v>
      </c>
      <c r="T72" s="2">
        <v>1885.04</v>
      </c>
      <c r="U72" s="2">
        <v>4344.25</v>
      </c>
    </row>
    <row r="73" spans="1:21" x14ac:dyDescent="0.25">
      <c r="A73" t="s">
        <v>3152</v>
      </c>
      <c r="L73">
        <v>0</v>
      </c>
      <c r="M73">
        <v>24</v>
      </c>
      <c r="N73">
        <v>38</v>
      </c>
      <c r="O73">
        <v>105.83</v>
      </c>
      <c r="P73">
        <v>0</v>
      </c>
      <c r="Q73">
        <v>0</v>
      </c>
      <c r="R73">
        <v>0</v>
      </c>
      <c r="S73">
        <v>0</v>
      </c>
    </row>
    <row r="74" spans="1:21" x14ac:dyDescent="0.25">
      <c r="A74" t="s">
        <v>116</v>
      </c>
      <c r="L74">
        <v>-1</v>
      </c>
      <c r="M74">
        <v>21</v>
      </c>
      <c r="N74">
        <v>-657</v>
      </c>
      <c r="O74" s="2">
        <v>-1904.57</v>
      </c>
      <c r="P74">
        <v>-219.99</v>
      </c>
      <c r="Q74">
        <v>31.91</v>
      </c>
      <c r="R74">
        <v>34.799999999999997</v>
      </c>
      <c r="S74" s="2">
        <v>1512.15</v>
      </c>
      <c r="T74" s="2">
        <v>3729.9</v>
      </c>
      <c r="U74" s="2">
        <v>12449.29</v>
      </c>
    </row>
    <row r="75" spans="1:21" x14ac:dyDescent="0.25">
      <c r="A75" t="s">
        <v>190</v>
      </c>
      <c r="L75">
        <v>571</v>
      </c>
      <c r="M75">
        <v>637</v>
      </c>
      <c r="N75">
        <v>757</v>
      </c>
      <c r="O75">
        <v>784</v>
      </c>
      <c r="P75" s="2">
        <v>1086.28</v>
      </c>
      <c r="Q75" s="2">
        <v>1641.87</v>
      </c>
      <c r="R75" s="2">
        <v>2331.9299999999998</v>
      </c>
      <c r="S75" s="2">
        <v>2755.52</v>
      </c>
      <c r="T75" s="2">
        <v>3471.31</v>
      </c>
      <c r="U75" s="2">
        <v>4689.33</v>
      </c>
    </row>
    <row r="76" spans="1:21" x14ac:dyDescent="0.25">
      <c r="A76" t="s">
        <v>2101</v>
      </c>
      <c r="L76">
        <v>997</v>
      </c>
      <c r="M76" s="2">
        <v>1154</v>
      </c>
      <c r="N76">
        <v>653</v>
      </c>
      <c r="O76">
        <v>-355.6</v>
      </c>
      <c r="P76" s="2">
        <v>1838.49</v>
      </c>
      <c r="Q76" s="2">
        <v>2680.03</v>
      </c>
      <c r="R76" s="2">
        <v>3505.77</v>
      </c>
      <c r="S76" s="2">
        <v>5641.95</v>
      </c>
      <c r="T76" s="2">
        <v>9403.0400000000009</v>
      </c>
      <c r="U76" s="2">
        <v>23954.26</v>
      </c>
    </row>
    <row r="77" spans="1:21" x14ac:dyDescent="0.25">
      <c r="A77" t="s">
        <v>206</v>
      </c>
      <c r="L77" s="2">
        <v>1497</v>
      </c>
      <c r="M77" s="2">
        <v>2032</v>
      </c>
      <c r="N77" s="2">
        <v>3832</v>
      </c>
      <c r="O77" s="2">
        <v>5314.07</v>
      </c>
      <c r="P77" s="2">
        <v>9982.65</v>
      </c>
      <c r="Q77" s="2">
        <v>8528.64</v>
      </c>
      <c r="R77" s="2">
        <v>10506.89</v>
      </c>
      <c r="S77" s="2">
        <v>8309.2999999999993</v>
      </c>
      <c r="T77" s="2">
        <v>8431.19</v>
      </c>
      <c r="U77" s="2">
        <v>9262.25</v>
      </c>
    </row>
    <row r="78" spans="1:21" x14ac:dyDescent="0.25">
      <c r="A78" t="s">
        <v>17</v>
      </c>
    </row>
    <row r="79" spans="1:21" x14ac:dyDescent="0.25">
      <c r="A79" t="s">
        <v>3137</v>
      </c>
    </row>
    <row r="80" spans="1:21" x14ac:dyDescent="0.25">
      <c r="A80" t="s">
        <v>60</v>
      </c>
      <c r="L80" s="2">
        <v>3869</v>
      </c>
      <c r="M80" s="2">
        <v>7599</v>
      </c>
      <c r="N80" s="2">
        <v>11387</v>
      </c>
      <c r="O80" s="2">
        <v>18134.400000000001</v>
      </c>
      <c r="P80" s="2">
        <v>28572.9</v>
      </c>
      <c r="Q80" s="2">
        <v>47517.34</v>
      </c>
      <c r="R80" s="2">
        <v>75597.429999999993</v>
      </c>
      <c r="S80" s="2">
        <v>115712.64</v>
      </c>
      <c r="T80" s="2">
        <v>184172.23</v>
      </c>
      <c r="U80" s="2">
        <v>209301.41</v>
      </c>
    </row>
    <row r="81" spans="1:21" x14ac:dyDescent="0.25">
      <c r="A81" t="s">
        <v>1582</v>
      </c>
      <c r="L81" s="2">
        <v>2817</v>
      </c>
      <c r="M81" s="2">
        <v>4830</v>
      </c>
      <c r="N81" s="2">
        <v>7208</v>
      </c>
      <c r="O81" s="2">
        <v>10748.67</v>
      </c>
      <c r="P81" s="2">
        <v>16413.07</v>
      </c>
      <c r="Q81" s="2">
        <v>25007.78</v>
      </c>
      <c r="R81" s="2">
        <v>34521.870000000003</v>
      </c>
      <c r="S81" s="2">
        <v>45369.01</v>
      </c>
      <c r="T81" s="2">
        <v>57925.36</v>
      </c>
      <c r="U81" s="2">
        <v>72603.02</v>
      </c>
    </row>
    <row r="82" spans="1:21" x14ac:dyDescent="0.25">
      <c r="A82" t="s">
        <v>3153</v>
      </c>
      <c r="L82" s="2">
        <v>1052</v>
      </c>
      <c r="M82" s="2">
        <v>2769</v>
      </c>
      <c r="N82" s="2">
        <v>4179</v>
      </c>
      <c r="O82" s="2">
        <v>7256.9</v>
      </c>
      <c r="P82" s="2">
        <v>12407.68</v>
      </c>
      <c r="Q82" s="2">
        <v>21948.48</v>
      </c>
      <c r="R82" s="2">
        <v>35412.47</v>
      </c>
      <c r="S82" s="2">
        <v>55460.87</v>
      </c>
      <c r="T82" s="2">
        <v>97990.73</v>
      </c>
      <c r="U82" s="2">
        <v>93580.72</v>
      </c>
    </row>
    <row r="83" spans="1:21" x14ac:dyDescent="0.25">
      <c r="A83" t="s">
        <v>87</v>
      </c>
      <c r="L83" s="2">
        <v>3400</v>
      </c>
      <c r="M83" s="2">
        <v>5593</v>
      </c>
      <c r="N83" s="2">
        <v>6964</v>
      </c>
      <c r="O83" s="2">
        <v>11146.94</v>
      </c>
      <c r="P83" s="2">
        <v>16093.56</v>
      </c>
      <c r="Q83" s="2">
        <v>24138.240000000002</v>
      </c>
      <c r="R83" s="2">
        <v>37032.83</v>
      </c>
      <c r="S83" s="2">
        <v>55433.97</v>
      </c>
      <c r="T83" s="2">
        <v>88638.95</v>
      </c>
      <c r="U83" s="2">
        <v>80485.100000000006</v>
      </c>
    </row>
    <row r="84" spans="1:21" x14ac:dyDescent="0.25">
      <c r="A84" t="s">
        <v>126</v>
      </c>
      <c r="L84" s="2">
        <v>2786</v>
      </c>
      <c r="M84" s="2">
        <v>4768</v>
      </c>
      <c r="N84" s="2">
        <v>5921</v>
      </c>
      <c r="O84" s="2">
        <v>8856.44</v>
      </c>
      <c r="P84" s="2">
        <v>13309.07</v>
      </c>
      <c r="Q84" s="2">
        <v>21194.37</v>
      </c>
      <c r="R84" s="2">
        <v>33024.879999999997</v>
      </c>
      <c r="S84" s="2">
        <v>49433</v>
      </c>
      <c r="T84" s="2">
        <v>74207.44</v>
      </c>
      <c r="U84" s="2">
        <v>82390.460000000006</v>
      </c>
    </row>
    <row r="85" spans="1:21" x14ac:dyDescent="0.25">
      <c r="A85" t="s">
        <v>1370</v>
      </c>
      <c r="L85">
        <v>381</v>
      </c>
      <c r="M85">
        <v>453</v>
      </c>
      <c r="N85">
        <v>575</v>
      </c>
      <c r="O85" s="2">
        <v>1052.1600000000001</v>
      </c>
      <c r="P85" s="2">
        <v>1341.13</v>
      </c>
      <c r="Q85" s="2">
        <v>1783.26</v>
      </c>
      <c r="R85" s="2">
        <v>2390.62</v>
      </c>
      <c r="S85" s="2">
        <v>3171.7</v>
      </c>
      <c r="T85" s="2">
        <v>4769.99</v>
      </c>
      <c r="U85" s="2">
        <v>5751.1</v>
      </c>
    </row>
    <row r="86" spans="1:21" x14ac:dyDescent="0.25">
      <c r="A86" t="s">
        <v>1377</v>
      </c>
      <c r="L86">
        <v>233</v>
      </c>
      <c r="M86">
        <v>333</v>
      </c>
      <c r="N86">
        <v>468</v>
      </c>
      <c r="O86" s="2">
        <v>1175.27</v>
      </c>
      <c r="P86" s="2">
        <v>1718.97</v>
      </c>
      <c r="Q86" s="2">
        <v>2766.33</v>
      </c>
      <c r="R86" s="2">
        <v>4361.8500000000004</v>
      </c>
      <c r="S86" s="2">
        <v>7168.25</v>
      </c>
      <c r="T86" s="2">
        <v>11436.96</v>
      </c>
      <c r="U86" s="2">
        <v>7867.05</v>
      </c>
    </row>
    <row r="87" spans="1:21" x14ac:dyDescent="0.25">
      <c r="A87" t="s">
        <v>3152</v>
      </c>
      <c r="L87">
        <v>0</v>
      </c>
      <c r="M87">
        <v>39</v>
      </c>
      <c r="N87">
        <v>0</v>
      </c>
    </row>
    <row r="88" spans="1:21" x14ac:dyDescent="0.25">
      <c r="A88" t="s">
        <v>116</v>
      </c>
      <c r="L88">
        <v>469</v>
      </c>
      <c r="M88" s="2">
        <v>2006</v>
      </c>
      <c r="N88" s="2">
        <v>4423</v>
      </c>
      <c r="O88" s="2">
        <v>7114.96</v>
      </c>
      <c r="P88" s="2">
        <v>12421.44</v>
      </c>
      <c r="Q88" s="2">
        <v>22249.85</v>
      </c>
      <c r="R88" s="2">
        <v>36746.74</v>
      </c>
      <c r="S88" s="2">
        <v>57043.76</v>
      </c>
      <c r="T88" s="2">
        <v>99949.6</v>
      </c>
      <c r="U88" s="2">
        <v>116571.59</v>
      </c>
    </row>
    <row r="89" spans="1:21" x14ac:dyDescent="0.25">
      <c r="A89" t="s">
        <v>190</v>
      </c>
      <c r="L89">
        <v>884</v>
      </c>
      <c r="M89" s="2">
        <v>1508</v>
      </c>
      <c r="N89" s="2">
        <v>2376</v>
      </c>
      <c r="O89" s="2">
        <v>3557.32</v>
      </c>
      <c r="P89" s="2">
        <v>5043.21</v>
      </c>
      <c r="Q89" s="2">
        <v>6789.9</v>
      </c>
      <c r="R89" s="2">
        <v>8971.14</v>
      </c>
      <c r="S89" s="2">
        <v>11812.37</v>
      </c>
      <c r="T89" s="2">
        <v>13912.11</v>
      </c>
      <c r="U89" s="2">
        <v>16361.49</v>
      </c>
    </row>
    <row r="90" spans="1:21" x14ac:dyDescent="0.25">
      <c r="A90" t="s">
        <v>2101</v>
      </c>
      <c r="L90" s="2">
        <v>1602</v>
      </c>
      <c r="M90" s="2">
        <v>3849</v>
      </c>
      <c r="N90" s="2">
        <v>7168</v>
      </c>
      <c r="O90" s="2">
        <v>11244.48</v>
      </c>
      <c r="P90" s="2">
        <v>18256.419999999998</v>
      </c>
      <c r="Q90" s="2">
        <v>30274.400000000001</v>
      </c>
      <c r="R90" s="2">
        <v>47659.81</v>
      </c>
      <c r="S90" s="2">
        <v>71505.679999999993</v>
      </c>
      <c r="T90" s="2">
        <v>117855.85</v>
      </c>
      <c r="U90" s="2">
        <v>134380.21</v>
      </c>
    </row>
    <row r="91" spans="1:21" x14ac:dyDescent="0.25">
      <c r="A91" t="s">
        <v>206</v>
      </c>
      <c r="L91" s="2">
        <v>2455</v>
      </c>
      <c r="M91" s="2">
        <v>3498</v>
      </c>
      <c r="N91" s="2">
        <v>4178</v>
      </c>
      <c r="O91" s="2">
        <v>6307.96</v>
      </c>
      <c r="P91" s="2">
        <v>17712.77</v>
      </c>
      <c r="Q91" s="2">
        <v>21654.75</v>
      </c>
      <c r="R91" s="2">
        <v>27856.46</v>
      </c>
      <c r="S91" s="2">
        <v>34163.379999999997</v>
      </c>
      <c r="T91" s="2">
        <v>44132.37</v>
      </c>
      <c r="U91" s="2">
        <v>38887.089999999997</v>
      </c>
    </row>
    <row r="92" spans="1:21" x14ac:dyDescent="0.25">
      <c r="A92" t="s">
        <v>17</v>
      </c>
    </row>
    <row r="93" spans="1:21" x14ac:dyDescent="0.25">
      <c r="A93" t="s">
        <v>3138</v>
      </c>
    </row>
    <row r="94" spans="1:21" x14ac:dyDescent="0.25">
      <c r="A94" t="s">
        <v>60</v>
      </c>
      <c r="L94" s="2">
        <v>2961</v>
      </c>
      <c r="M94" s="2">
        <v>2620</v>
      </c>
      <c r="N94" s="2">
        <v>3201</v>
      </c>
      <c r="O94" s="2">
        <v>23075.22</v>
      </c>
      <c r="P94" s="2">
        <v>74385.19</v>
      </c>
      <c r="Q94" s="2">
        <v>140702.43</v>
      </c>
      <c r="R94" s="2">
        <v>222484.1</v>
      </c>
      <c r="S94" s="2">
        <v>325934.93</v>
      </c>
      <c r="T94" s="2">
        <v>566726.31999999995</v>
      </c>
      <c r="U94" s="2">
        <v>604519.22</v>
      </c>
    </row>
    <row r="95" spans="1:21" x14ac:dyDescent="0.25">
      <c r="A95" t="s">
        <v>833</v>
      </c>
      <c r="L95" s="2">
        <v>2323</v>
      </c>
      <c r="M95" s="2">
        <v>1728</v>
      </c>
      <c r="N95" s="2">
        <v>1844</v>
      </c>
      <c r="O95" s="2">
        <v>2224.36</v>
      </c>
      <c r="P95" s="2">
        <v>4600.1499999999996</v>
      </c>
      <c r="Q95" s="2">
        <v>7210.63</v>
      </c>
      <c r="R95" s="2">
        <v>11145.92</v>
      </c>
      <c r="S95" s="2">
        <v>17184.099999999999</v>
      </c>
      <c r="T95" s="2">
        <v>26663.69</v>
      </c>
      <c r="U95" s="2">
        <v>27712.11</v>
      </c>
    </row>
    <row r="96" spans="1:21" x14ac:dyDescent="0.25">
      <c r="A96" t="s">
        <v>3154</v>
      </c>
      <c r="L96">
        <v>638</v>
      </c>
      <c r="M96">
        <v>892</v>
      </c>
      <c r="N96" s="2">
        <v>1357</v>
      </c>
      <c r="O96" s="2">
        <v>22035.74</v>
      </c>
      <c r="P96" s="2">
        <v>76683.360000000001</v>
      </c>
      <c r="Q96" s="2">
        <v>140424.35999999999</v>
      </c>
      <c r="R96" s="2">
        <v>209397.71</v>
      </c>
      <c r="S96" s="2">
        <v>302604.7</v>
      </c>
      <c r="T96" s="2">
        <v>536424.52</v>
      </c>
      <c r="U96" s="2">
        <v>584864.63</v>
      </c>
    </row>
    <row r="97" spans="1:21" x14ac:dyDescent="0.25">
      <c r="A97" t="s">
        <v>87</v>
      </c>
      <c r="L97" s="2">
        <v>6934</v>
      </c>
      <c r="M97" s="2">
        <v>4181</v>
      </c>
      <c r="N97" s="2">
        <v>9556</v>
      </c>
      <c r="O97" s="2">
        <v>21825.360000000001</v>
      </c>
      <c r="P97" s="2">
        <v>51609.51</v>
      </c>
      <c r="Q97" s="2">
        <v>83210.98</v>
      </c>
      <c r="R97" s="2">
        <v>123449.11</v>
      </c>
      <c r="S97" s="2">
        <v>171850.35</v>
      </c>
      <c r="T97" s="2">
        <v>251823.82</v>
      </c>
      <c r="U97" s="2">
        <v>427527.42</v>
      </c>
    </row>
    <row r="98" spans="1:21" x14ac:dyDescent="0.25">
      <c r="A98" t="s">
        <v>126</v>
      </c>
      <c r="L98" s="2">
        <v>1655</v>
      </c>
      <c r="M98" s="2">
        <v>1687</v>
      </c>
      <c r="N98" s="2">
        <v>2178</v>
      </c>
      <c r="O98" s="2">
        <v>10044.040000000001</v>
      </c>
      <c r="P98" s="2">
        <v>28784.51</v>
      </c>
      <c r="Q98" s="2">
        <v>50626.83</v>
      </c>
      <c r="R98" s="2">
        <v>68696.97</v>
      </c>
      <c r="S98" s="2">
        <v>89871.31</v>
      </c>
      <c r="T98" s="2">
        <v>141964.1</v>
      </c>
      <c r="U98" s="2">
        <v>181328.36</v>
      </c>
    </row>
    <row r="99" spans="1:21" x14ac:dyDescent="0.25">
      <c r="A99" t="s">
        <v>3151</v>
      </c>
      <c r="L99">
        <v>186</v>
      </c>
      <c r="M99" s="2">
        <v>1176</v>
      </c>
      <c r="N99" s="2">
        <v>5064</v>
      </c>
      <c r="O99" s="2">
        <v>11755.93</v>
      </c>
      <c r="P99" s="2">
        <v>27611.08</v>
      </c>
      <c r="Q99" s="2">
        <v>33009.65</v>
      </c>
      <c r="R99" s="2">
        <v>48214.02</v>
      </c>
      <c r="S99" s="2">
        <v>67206.25</v>
      </c>
      <c r="T99" s="2">
        <v>79870.17</v>
      </c>
      <c r="U99" s="2">
        <v>80799.73</v>
      </c>
    </row>
    <row r="100" spans="1:21" x14ac:dyDescent="0.25">
      <c r="A100" t="s">
        <v>1377</v>
      </c>
      <c r="L100" s="2">
        <v>1081</v>
      </c>
      <c r="M100" s="2">
        <v>1105</v>
      </c>
      <c r="N100" s="2">
        <v>1827</v>
      </c>
      <c r="O100" s="2">
        <v>2514.6</v>
      </c>
      <c r="P100" s="2">
        <v>4537.1000000000004</v>
      </c>
      <c r="Q100" s="2">
        <v>7257.5</v>
      </c>
      <c r="R100" s="2">
        <v>9442.19</v>
      </c>
      <c r="S100" s="2">
        <v>12548.35</v>
      </c>
      <c r="T100" s="2">
        <v>17869.46</v>
      </c>
      <c r="U100" s="2">
        <v>16324.6</v>
      </c>
    </row>
    <row r="101" spans="1:21" x14ac:dyDescent="0.25">
      <c r="A101" t="s">
        <v>3155</v>
      </c>
      <c r="L101">
        <v>237</v>
      </c>
      <c r="M101">
        <v>213</v>
      </c>
      <c r="N101">
        <v>487</v>
      </c>
      <c r="O101">
        <v>-8.44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1" x14ac:dyDescent="0.25">
      <c r="A102" t="s">
        <v>116</v>
      </c>
      <c r="L102" s="2">
        <v>3973</v>
      </c>
      <c r="M102" s="2">
        <v>-1561</v>
      </c>
      <c r="N102" s="2">
        <v>-6355</v>
      </c>
      <c r="O102" s="2">
        <v>-1507.85</v>
      </c>
      <c r="P102" s="2">
        <v>17983.43</v>
      </c>
      <c r="Q102" s="2">
        <v>51362.37</v>
      </c>
      <c r="R102" s="2">
        <v>86608.93</v>
      </c>
      <c r="S102" s="2">
        <v>139432.45000000001</v>
      </c>
      <c r="T102" s="2">
        <v>300684.17</v>
      </c>
      <c r="U102" s="2">
        <v>201653.24</v>
      </c>
    </row>
    <row r="103" spans="1:21" x14ac:dyDescent="0.25">
      <c r="A103" t="s">
        <v>190</v>
      </c>
      <c r="L103" s="2">
        <v>1180</v>
      </c>
      <c r="M103" s="2">
        <v>1679</v>
      </c>
      <c r="N103" s="2">
        <v>3568</v>
      </c>
      <c r="O103" s="2">
        <v>9647.6299999999992</v>
      </c>
      <c r="P103" s="2">
        <v>24708.7</v>
      </c>
      <c r="Q103" s="2">
        <v>41886.699999999997</v>
      </c>
      <c r="R103" s="2">
        <v>62091.16</v>
      </c>
      <c r="S103" s="2">
        <v>87843.12</v>
      </c>
      <c r="T103" s="2">
        <v>133795.06</v>
      </c>
      <c r="U103" s="2">
        <v>129245.36</v>
      </c>
    </row>
    <row r="104" spans="1:21" x14ac:dyDescent="0.25">
      <c r="A104" t="s">
        <v>2101</v>
      </c>
      <c r="L104" s="2">
        <v>1222</v>
      </c>
      <c r="M104">
        <v>347</v>
      </c>
      <c r="N104" s="2">
        <v>-1237</v>
      </c>
      <c r="O104" s="2">
        <v>10509.96</v>
      </c>
      <c r="P104" s="2">
        <v>48897.47</v>
      </c>
      <c r="Q104" s="2">
        <v>105472.81</v>
      </c>
      <c r="R104" s="2">
        <v>168460.44</v>
      </c>
      <c r="S104" s="2">
        <v>259434.13</v>
      </c>
      <c r="T104" s="2">
        <v>511301.2</v>
      </c>
      <c r="U104" s="2">
        <v>374561.47</v>
      </c>
    </row>
    <row r="105" spans="1:21" x14ac:dyDescent="0.25">
      <c r="A105" t="s">
        <v>206</v>
      </c>
      <c r="L105">
        <v>463</v>
      </c>
      <c r="M105" s="2">
        <v>5633</v>
      </c>
      <c r="N105" s="2">
        <v>12727</v>
      </c>
      <c r="O105" s="2">
        <v>57793.02</v>
      </c>
      <c r="P105" s="2">
        <v>166059.72</v>
      </c>
      <c r="Q105" s="2">
        <v>170417</v>
      </c>
      <c r="R105" s="2">
        <v>219658.47</v>
      </c>
      <c r="S105" s="2">
        <v>272798.48</v>
      </c>
      <c r="T105" s="2">
        <v>469193.37</v>
      </c>
      <c r="U105" s="2">
        <v>365848.42</v>
      </c>
    </row>
    <row r="106" spans="1:21" x14ac:dyDescent="0.25">
      <c r="A106" t="s">
        <v>17</v>
      </c>
    </row>
    <row r="107" spans="1:21" x14ac:dyDescent="0.25">
      <c r="A107" t="s">
        <v>79</v>
      </c>
    </row>
    <row r="108" spans="1:21" x14ac:dyDescent="0.25">
      <c r="A108" t="s">
        <v>80</v>
      </c>
      <c r="L108" s="2">
        <v>10387</v>
      </c>
      <c r="M108" s="2">
        <v>14015</v>
      </c>
      <c r="N108" s="2">
        <v>18674</v>
      </c>
      <c r="O108" s="2">
        <v>44280.02</v>
      </c>
      <c r="P108" s="2">
        <v>106142.95</v>
      </c>
      <c r="Q108" s="2">
        <v>184039.93</v>
      </c>
      <c r="R108" s="2">
        <v>285745.93</v>
      </c>
      <c r="S108" s="2">
        <v>421954.96</v>
      </c>
      <c r="T108" s="2">
        <v>759593</v>
      </c>
      <c r="U108" s="2">
        <v>853396</v>
      </c>
    </row>
    <row r="109" spans="1:21" x14ac:dyDescent="0.25">
      <c r="A109" t="s">
        <v>477</v>
      </c>
      <c r="L109" s="2">
        <v>1093</v>
      </c>
      <c r="M109" s="2">
        <v>1470</v>
      </c>
      <c r="N109" s="2">
        <v>1510</v>
      </c>
      <c r="O109" s="2">
        <v>2285.83</v>
      </c>
      <c r="P109" s="2">
        <v>4527.67</v>
      </c>
      <c r="Q109" s="2">
        <v>7232.42</v>
      </c>
      <c r="R109" s="2">
        <v>7574.31</v>
      </c>
      <c r="S109" s="2">
        <v>9229.9699999999993</v>
      </c>
      <c r="T109" s="2">
        <v>10528.94</v>
      </c>
      <c r="U109" s="2">
        <v>11636.65</v>
      </c>
    </row>
    <row r="110" spans="1:21" x14ac:dyDescent="0.25">
      <c r="A110" t="s">
        <v>17</v>
      </c>
    </row>
    <row r="111" spans="1:21" x14ac:dyDescent="0.25">
      <c r="A111" t="s">
        <v>84</v>
      </c>
      <c r="L111" s="2">
        <v>4277</v>
      </c>
      <c r="M111" s="2">
        <v>6019</v>
      </c>
      <c r="N111" s="2">
        <v>9223</v>
      </c>
      <c r="O111" s="2">
        <v>24586.52</v>
      </c>
      <c r="P111" s="2">
        <v>64350.05</v>
      </c>
      <c r="Q111" s="2">
        <v>116070.9</v>
      </c>
      <c r="R111" s="2">
        <v>182686.99</v>
      </c>
      <c r="S111" s="2">
        <v>283971.51</v>
      </c>
      <c r="T111" s="2">
        <v>524589.74</v>
      </c>
      <c r="U111" s="2">
        <v>505778.79</v>
      </c>
    </row>
    <row r="112" spans="1:21" x14ac:dyDescent="0.25">
      <c r="A112" t="s">
        <v>85</v>
      </c>
      <c r="L112">
        <v>41.18</v>
      </c>
      <c r="M112">
        <v>42.95</v>
      </c>
      <c r="N112">
        <v>49.39</v>
      </c>
      <c r="O112">
        <v>57.36</v>
      </c>
      <c r="P112">
        <v>59.96</v>
      </c>
      <c r="Q112">
        <v>60.41</v>
      </c>
      <c r="R112">
        <v>63.7</v>
      </c>
      <c r="S112">
        <v>65.69</v>
      </c>
      <c r="T112">
        <v>67.23</v>
      </c>
      <c r="U112">
        <v>64.69</v>
      </c>
    </row>
    <row r="113" spans="1:21" x14ac:dyDescent="0.25">
      <c r="A113" t="s">
        <v>17</v>
      </c>
    </row>
    <row r="114" spans="1:21" x14ac:dyDescent="0.25">
      <c r="A114" t="s">
        <v>840</v>
      </c>
      <c r="L114" s="2">
        <v>13892</v>
      </c>
      <c r="M114" s="2">
        <v>13549</v>
      </c>
      <c r="N114" s="2">
        <v>21263</v>
      </c>
      <c r="O114" s="2">
        <v>39533.17</v>
      </c>
      <c r="P114" s="2">
        <v>77748.81</v>
      </c>
      <c r="Q114" s="2">
        <v>114147.9</v>
      </c>
      <c r="R114" s="2">
        <v>165213.95000000001</v>
      </c>
      <c r="S114" s="2">
        <v>226554.01</v>
      </c>
      <c r="T114" s="2">
        <v>354147.43</v>
      </c>
      <c r="U114" s="2">
        <v>507061.45</v>
      </c>
    </row>
    <row r="115" spans="1:21" x14ac:dyDescent="0.25">
      <c r="A115" t="s">
        <v>62</v>
      </c>
      <c r="L115" s="2">
        <v>6110</v>
      </c>
      <c r="M115" s="2">
        <v>7996</v>
      </c>
      <c r="N115" s="2">
        <v>9451</v>
      </c>
      <c r="O115" s="2">
        <v>20106.05</v>
      </c>
      <c r="P115" s="2">
        <v>43602.73</v>
      </c>
      <c r="Q115" s="2">
        <v>73970.78</v>
      </c>
      <c r="R115" s="2">
        <v>105776.04</v>
      </c>
      <c r="S115" s="2">
        <v>145553.46</v>
      </c>
      <c r="T115" s="2">
        <v>245338.72</v>
      </c>
      <c r="U115" s="2">
        <v>331535.64</v>
      </c>
    </row>
    <row r="116" spans="1:21" x14ac:dyDescent="0.25">
      <c r="A116" t="s">
        <v>61</v>
      </c>
      <c r="L116">
        <v>58.82</v>
      </c>
      <c r="M116">
        <v>57.05</v>
      </c>
      <c r="N116">
        <v>50.61</v>
      </c>
      <c r="O116">
        <v>42.7</v>
      </c>
      <c r="P116">
        <v>39.03</v>
      </c>
      <c r="Q116">
        <v>37.21</v>
      </c>
      <c r="R116">
        <v>35.96</v>
      </c>
      <c r="S116">
        <v>33.4</v>
      </c>
      <c r="T116">
        <v>31.18</v>
      </c>
      <c r="U116">
        <v>39.07</v>
      </c>
    </row>
    <row r="117" spans="1:21" x14ac:dyDescent="0.25">
      <c r="A117" t="s">
        <v>89</v>
      </c>
      <c r="L117" s="2">
        <v>2105</v>
      </c>
      <c r="M117" s="2">
        <v>3464</v>
      </c>
      <c r="N117" s="2">
        <v>8643</v>
      </c>
      <c r="O117" s="2">
        <v>18107.34</v>
      </c>
      <c r="P117" s="2">
        <v>32034.91</v>
      </c>
      <c r="Q117" s="2">
        <v>39182.69</v>
      </c>
      <c r="R117" s="2">
        <v>55578.83</v>
      </c>
      <c r="S117" s="2">
        <v>76275.820000000007</v>
      </c>
      <c r="T117" s="2">
        <v>101513.14</v>
      </c>
      <c r="U117" s="2">
        <v>124768.28</v>
      </c>
    </row>
    <row r="118" spans="1:21" x14ac:dyDescent="0.25">
      <c r="A118" t="s">
        <v>61</v>
      </c>
      <c r="L118">
        <v>20.27</v>
      </c>
      <c r="M118">
        <v>24.72</v>
      </c>
      <c r="N118">
        <v>46.28</v>
      </c>
      <c r="O118">
        <v>39.31</v>
      </c>
      <c r="P118">
        <v>28.22</v>
      </c>
      <c r="Q118">
        <v>19.32</v>
      </c>
      <c r="R118">
        <v>18.53</v>
      </c>
      <c r="S118">
        <v>17.63</v>
      </c>
      <c r="T118">
        <v>14.29</v>
      </c>
      <c r="U118">
        <v>16.09</v>
      </c>
    </row>
    <row r="119" spans="1:21" x14ac:dyDescent="0.25">
      <c r="A119" t="s">
        <v>276</v>
      </c>
      <c r="L119" s="2">
        <v>1665</v>
      </c>
      <c r="M119" s="2">
        <v>1813</v>
      </c>
      <c r="N119" s="2">
        <v>2644</v>
      </c>
      <c r="O119" s="2">
        <v>4048.36</v>
      </c>
      <c r="P119" s="2">
        <v>6927.23</v>
      </c>
      <c r="Q119" s="2">
        <v>11083.84</v>
      </c>
      <c r="R119" s="2">
        <v>15910.39</v>
      </c>
      <c r="S119" s="2">
        <v>22367.93</v>
      </c>
      <c r="T119" s="2">
        <v>35338.54</v>
      </c>
      <c r="U119" s="2">
        <v>43957.34</v>
      </c>
    </row>
    <row r="120" spans="1:21" x14ac:dyDescent="0.25">
      <c r="A120" t="s">
        <v>61</v>
      </c>
      <c r="L120">
        <v>16.03</v>
      </c>
      <c r="M120">
        <v>12.94</v>
      </c>
      <c r="N120">
        <v>14.16</v>
      </c>
      <c r="O120">
        <v>8.8800000000000008</v>
      </c>
      <c r="P120">
        <v>6.14</v>
      </c>
      <c r="Q120">
        <v>5.7</v>
      </c>
      <c r="R120">
        <v>5.42</v>
      </c>
      <c r="S120">
        <v>5.34</v>
      </c>
      <c r="T120">
        <v>4.75</v>
      </c>
      <c r="U120">
        <v>5.21</v>
      </c>
    </row>
    <row r="121" spans="1:21" x14ac:dyDescent="0.25">
      <c r="A121" t="s">
        <v>1606</v>
      </c>
      <c r="L121">
        <v>237</v>
      </c>
      <c r="M121">
        <v>213</v>
      </c>
      <c r="N121">
        <v>487</v>
      </c>
    </row>
    <row r="122" spans="1:21" x14ac:dyDescent="0.25">
      <c r="A122" t="s">
        <v>1142</v>
      </c>
      <c r="L122" s="2">
        <v>3775</v>
      </c>
      <c r="M122">
        <v>63</v>
      </c>
      <c r="N122">
        <v>38</v>
      </c>
    </row>
    <row r="123" spans="1:21" x14ac:dyDescent="0.25">
      <c r="A123" t="s">
        <v>17</v>
      </c>
    </row>
    <row r="124" spans="1:21" x14ac:dyDescent="0.25">
      <c r="A124" t="s">
        <v>91</v>
      </c>
      <c r="L124" s="2">
        <v>-3505</v>
      </c>
      <c r="M124">
        <v>466</v>
      </c>
      <c r="N124" s="2">
        <v>-2589</v>
      </c>
      <c r="O124" s="2">
        <v>3306.63</v>
      </c>
      <c r="P124" s="2">
        <v>28957.919999999998</v>
      </c>
      <c r="Q124" s="2">
        <v>71018.14</v>
      </c>
      <c r="R124" s="2">
        <v>119574.44</v>
      </c>
      <c r="S124" s="2">
        <v>191545.16</v>
      </c>
      <c r="T124" s="2">
        <v>423294.26</v>
      </c>
      <c r="U124" s="2">
        <v>392604.09</v>
      </c>
    </row>
    <row r="125" spans="1:21" x14ac:dyDescent="0.25">
      <c r="A125" t="s">
        <v>92</v>
      </c>
      <c r="L125">
        <v>-33.74</v>
      </c>
      <c r="M125">
        <v>3.33</v>
      </c>
      <c r="N125">
        <v>-13.86</v>
      </c>
      <c r="O125">
        <v>7.17</v>
      </c>
      <c r="P125">
        <v>23.21</v>
      </c>
      <c r="Q125">
        <v>35.18</v>
      </c>
      <c r="R125">
        <v>41.09</v>
      </c>
      <c r="S125">
        <v>43.95</v>
      </c>
      <c r="T125">
        <v>50.72</v>
      </c>
      <c r="U125">
        <v>44.9</v>
      </c>
    </row>
    <row r="126" spans="1:21" x14ac:dyDescent="0.25">
      <c r="A126" t="s">
        <v>17</v>
      </c>
    </row>
    <row r="127" spans="1:21" x14ac:dyDescent="0.25">
      <c r="A127" t="s">
        <v>95</v>
      </c>
      <c r="L127" s="2">
        <v>1486</v>
      </c>
      <c r="M127">
        <v>224</v>
      </c>
      <c r="N127" s="2">
        <v>1630</v>
      </c>
      <c r="O127" s="2">
        <v>2487.27</v>
      </c>
      <c r="P127" s="2">
        <v>2530.77</v>
      </c>
      <c r="Q127" s="2">
        <v>7069.35</v>
      </c>
      <c r="R127" s="2">
        <v>11453.84</v>
      </c>
      <c r="S127" s="2">
        <v>15458.66</v>
      </c>
      <c r="T127" s="2">
        <v>22140.17</v>
      </c>
      <c r="U127" s="2">
        <v>24292.92</v>
      </c>
    </row>
    <row r="128" spans="1:21" x14ac:dyDescent="0.25">
      <c r="A128" t="s">
        <v>397</v>
      </c>
      <c r="L128" s="2">
        <v>1444</v>
      </c>
      <c r="M128" s="2">
        <v>1209</v>
      </c>
      <c r="N128" s="2">
        <v>1453</v>
      </c>
      <c r="O128" s="2">
        <v>1168.8800000000001</v>
      </c>
      <c r="P128" s="2">
        <v>3803.74</v>
      </c>
      <c r="Q128" s="2">
        <v>6634.53</v>
      </c>
      <c r="R128" s="2">
        <v>11166.18</v>
      </c>
      <c r="S128" s="2">
        <v>14722.19</v>
      </c>
      <c r="T128" s="2">
        <v>15966.51</v>
      </c>
      <c r="U128" s="2">
        <v>14295.67</v>
      </c>
    </row>
    <row r="129" spans="1:21" x14ac:dyDescent="0.25">
      <c r="A129" t="s">
        <v>289</v>
      </c>
      <c r="L129" s="2">
        <v>1693</v>
      </c>
      <c r="M129" s="2">
        <v>1580</v>
      </c>
      <c r="N129" s="2">
        <v>1945</v>
      </c>
      <c r="O129" s="2">
        <v>2572.84</v>
      </c>
      <c r="P129" s="2">
        <v>4252.5600000000004</v>
      </c>
      <c r="Q129" s="2">
        <v>7341.39</v>
      </c>
      <c r="R129" s="2">
        <v>10714.33</v>
      </c>
      <c r="S129" s="2">
        <v>12984.29</v>
      </c>
      <c r="T129" s="2">
        <v>16732.689999999999</v>
      </c>
      <c r="U129" s="2">
        <v>18921.48</v>
      </c>
    </row>
    <row r="130" spans="1:21" x14ac:dyDescent="0.25">
      <c r="A130" t="s">
        <v>290</v>
      </c>
      <c r="L130">
        <v>249</v>
      </c>
      <c r="M130">
        <v>371</v>
      </c>
      <c r="N130">
        <v>492</v>
      </c>
      <c r="O130" s="2">
        <v>1523.99</v>
      </c>
      <c r="P130" s="2">
        <v>1872.29</v>
      </c>
      <c r="Q130" s="2">
        <v>1457.41</v>
      </c>
      <c r="R130" s="2">
        <v>1538.39</v>
      </c>
      <c r="S130" s="2">
        <v>2294.11</v>
      </c>
      <c r="T130" s="2">
        <v>3814.05</v>
      </c>
      <c r="U130" s="2">
        <v>5467.99</v>
      </c>
    </row>
    <row r="131" spans="1:21" x14ac:dyDescent="0.25">
      <c r="A131" t="s">
        <v>399</v>
      </c>
      <c r="L131">
        <v>42</v>
      </c>
      <c r="M131">
        <v>-985</v>
      </c>
      <c r="N131">
        <v>177</v>
      </c>
      <c r="O131" s="2">
        <v>1912.62</v>
      </c>
      <c r="P131">
        <v>160</v>
      </c>
      <c r="Q131">
        <v>177.78</v>
      </c>
      <c r="R131">
        <v>266.67</v>
      </c>
      <c r="S131">
        <v>266.67</v>
      </c>
      <c r="T131">
        <v>533.33000000000004</v>
      </c>
      <c r="U131">
        <v>800</v>
      </c>
    </row>
    <row r="132" spans="1:21" x14ac:dyDescent="0.25">
      <c r="A132" t="s">
        <v>17</v>
      </c>
    </row>
    <row r="133" spans="1:21" x14ac:dyDescent="0.25">
      <c r="A133" t="s">
        <v>277</v>
      </c>
      <c r="L133" s="2">
        <v>3821</v>
      </c>
      <c r="M133" s="2">
        <v>5350</v>
      </c>
      <c r="N133" s="2">
        <v>6584</v>
      </c>
      <c r="O133" s="2">
        <v>22077.34</v>
      </c>
      <c r="P133" s="2">
        <v>63466.95</v>
      </c>
      <c r="Q133" s="2">
        <v>125697.77</v>
      </c>
      <c r="R133" s="2">
        <v>202321.56</v>
      </c>
      <c r="S133" s="2">
        <v>309570.78999999998</v>
      </c>
      <c r="T133" s="2">
        <v>601521.56000000006</v>
      </c>
      <c r="U133" s="2">
        <v>612434.29</v>
      </c>
    </row>
    <row r="134" spans="1:21" x14ac:dyDescent="0.25">
      <c r="A134" t="s">
        <v>17</v>
      </c>
    </row>
    <row r="135" spans="1:21" x14ac:dyDescent="0.25">
      <c r="A135" t="s">
        <v>100</v>
      </c>
      <c r="L135" s="2">
        <v>-4991</v>
      </c>
      <c r="M135">
        <v>242</v>
      </c>
      <c r="N135" s="2">
        <v>-4219</v>
      </c>
      <c r="O135" s="2">
        <v>1951.69</v>
      </c>
      <c r="P135" s="2">
        <v>25414.33</v>
      </c>
      <c r="Q135" s="2">
        <v>60789.03</v>
      </c>
      <c r="R135" s="2">
        <v>103258.43</v>
      </c>
      <c r="S135" s="2">
        <v>172543.04</v>
      </c>
      <c r="T135" s="2">
        <v>411997.81</v>
      </c>
      <c r="U135" s="2">
        <v>344233.8</v>
      </c>
    </row>
    <row r="136" spans="1:21" x14ac:dyDescent="0.25">
      <c r="A136" t="s">
        <v>101</v>
      </c>
      <c r="L136">
        <v>-363</v>
      </c>
      <c r="M136">
        <v>-549</v>
      </c>
      <c r="N136">
        <v>718</v>
      </c>
      <c r="O136">
        <v>124.07</v>
      </c>
      <c r="P136" s="2">
        <v>1013.64</v>
      </c>
      <c r="Q136">
        <v>-441.92</v>
      </c>
      <c r="R136" s="2">
        <v>8014.73</v>
      </c>
      <c r="S136" s="2">
        <v>26698.69</v>
      </c>
      <c r="T136" s="2">
        <v>70529.41</v>
      </c>
      <c r="U136" s="2">
        <v>68211.19</v>
      </c>
    </row>
    <row r="137" spans="1:21" x14ac:dyDescent="0.25">
      <c r="A137" t="s">
        <v>17</v>
      </c>
    </row>
    <row r="138" spans="1:21" x14ac:dyDescent="0.25">
      <c r="A138" t="s">
        <v>106</v>
      </c>
      <c r="L138" s="2">
        <v>-4628</v>
      </c>
      <c r="M138">
        <v>791</v>
      </c>
      <c r="N138" s="2">
        <v>-4937</v>
      </c>
      <c r="O138" s="2">
        <v>-1062.08</v>
      </c>
      <c r="P138" s="2">
        <v>21284.87</v>
      </c>
      <c r="Q138" s="2">
        <v>62958.64</v>
      </c>
      <c r="R138" s="2">
        <v>92570.19</v>
      </c>
      <c r="S138" s="2">
        <v>119154.06</v>
      </c>
      <c r="T138" s="2">
        <v>310766.40000000002</v>
      </c>
      <c r="U138" s="2">
        <v>363994.4</v>
      </c>
    </row>
    <row r="139" spans="1:21" x14ac:dyDescent="0.25">
      <c r="A139" t="s">
        <v>589</v>
      </c>
      <c r="L139" s="2">
        <v>-4628</v>
      </c>
      <c r="M139">
        <v>791</v>
      </c>
      <c r="N139" s="2">
        <v>-4937</v>
      </c>
      <c r="O139">
        <v>300.77999999999997</v>
      </c>
      <c r="P139" s="2">
        <v>22692.03</v>
      </c>
      <c r="Q139" s="2">
        <v>61967.89</v>
      </c>
      <c r="R139" s="2">
        <v>98073.68</v>
      </c>
      <c r="S139" s="2">
        <v>146380.16</v>
      </c>
      <c r="T139" s="2">
        <v>301564.13</v>
      </c>
      <c r="U139" s="2">
        <v>251856.83</v>
      </c>
    </row>
    <row r="140" spans="1:21" x14ac:dyDescent="0.25">
      <c r="A140" t="s">
        <v>17</v>
      </c>
    </row>
    <row r="141" spans="1:21" x14ac:dyDescent="0.25">
      <c r="A141" t="s">
        <v>110</v>
      </c>
      <c r="L141">
        <v>-1.68</v>
      </c>
      <c r="M141">
        <v>0.08</v>
      </c>
      <c r="N141">
        <v>-1.69</v>
      </c>
      <c r="O141">
        <v>-0.05</v>
      </c>
      <c r="P141">
        <v>1.74</v>
      </c>
      <c r="Q141">
        <v>5.18</v>
      </c>
      <c r="R141">
        <v>8.09</v>
      </c>
      <c r="S141">
        <v>12.14</v>
      </c>
      <c r="T141">
        <v>31.85</v>
      </c>
      <c r="U141">
        <v>18.86</v>
      </c>
    </row>
    <row r="142" spans="1:21" x14ac:dyDescent="0.25">
      <c r="A142" t="s">
        <v>17</v>
      </c>
    </row>
    <row r="143" spans="1:21" x14ac:dyDescent="0.25">
      <c r="A143" t="s">
        <v>108</v>
      </c>
      <c r="L143" s="2">
        <v>2759</v>
      </c>
      <c r="M143" s="2">
        <v>2848</v>
      </c>
      <c r="N143" s="2">
        <v>2926</v>
      </c>
      <c r="O143" s="2">
        <v>9146.73</v>
      </c>
      <c r="P143" s="2">
        <v>12723.2</v>
      </c>
      <c r="Q143" s="2">
        <v>12879</v>
      </c>
      <c r="R143" s="2">
        <v>12911.5</v>
      </c>
      <c r="S143" s="2">
        <v>13009.91</v>
      </c>
      <c r="T143" s="2">
        <v>12949.49</v>
      </c>
      <c r="U143" s="2">
        <v>12468.53</v>
      </c>
    </row>
    <row r="144" spans="1:21" x14ac:dyDescent="0.25">
      <c r="A144" t="s">
        <v>109</v>
      </c>
      <c r="L144" s="2">
        <v>2759</v>
      </c>
      <c r="M144" s="2">
        <v>9956</v>
      </c>
      <c r="N144" s="2">
        <v>2926</v>
      </c>
      <c r="O144" s="2">
        <v>9591.0400000000009</v>
      </c>
      <c r="P144" s="2">
        <v>13150.51</v>
      </c>
      <c r="Q144" s="2">
        <v>13315.53</v>
      </c>
      <c r="R144" s="2">
        <v>13421.87</v>
      </c>
      <c r="S144" s="2">
        <v>13543.87</v>
      </c>
      <c r="T144" s="2">
        <v>13740.83</v>
      </c>
      <c r="U144" s="2">
        <v>13371.19</v>
      </c>
    </row>
    <row r="145" spans="1:21" x14ac:dyDescent="0.25">
      <c r="A145" t="s">
        <v>17</v>
      </c>
    </row>
    <row r="146" spans="1:21" x14ac:dyDescent="0.25">
      <c r="A146" t="s">
        <v>111</v>
      </c>
    </row>
    <row r="147" spans="1:21" x14ac:dyDescent="0.25">
      <c r="A147" t="s">
        <v>116</v>
      </c>
      <c r="L147" s="2">
        <v>-3505</v>
      </c>
      <c r="M147">
        <v>466</v>
      </c>
      <c r="N147" s="2">
        <v>-2589</v>
      </c>
      <c r="O147" s="2">
        <v>4117.58</v>
      </c>
      <c r="P147" s="2">
        <v>30323.03</v>
      </c>
      <c r="Q147" s="2">
        <v>71516.210000000006</v>
      </c>
      <c r="R147" s="2">
        <v>114287.35</v>
      </c>
      <c r="S147" s="2">
        <v>183859.83</v>
      </c>
      <c r="T147" s="2">
        <v>408769.53</v>
      </c>
      <c r="U147" s="2">
        <v>346393.67</v>
      </c>
    </row>
    <row r="148" spans="1:21" x14ac:dyDescent="0.25">
      <c r="A148" t="s">
        <v>121</v>
      </c>
      <c r="L148" s="2">
        <v>-4628</v>
      </c>
      <c r="M148">
        <v>791</v>
      </c>
      <c r="N148" s="2">
        <v>-4937</v>
      </c>
      <c r="O148">
        <v>916.2</v>
      </c>
      <c r="P148" s="2">
        <v>22688.48</v>
      </c>
      <c r="Q148" s="2">
        <v>59815.89</v>
      </c>
      <c r="R148" s="2">
        <v>95421.440000000002</v>
      </c>
      <c r="S148" s="2">
        <v>145778.64000000001</v>
      </c>
      <c r="T148" s="2">
        <v>298730.59000000003</v>
      </c>
      <c r="U148" s="2">
        <v>271609.28999999998</v>
      </c>
    </row>
    <row r="149" spans="1:21" x14ac:dyDescent="0.25">
      <c r="A149" t="s">
        <v>122</v>
      </c>
      <c r="L149">
        <v>-44.56</v>
      </c>
      <c r="M149">
        <v>5.64</v>
      </c>
      <c r="N149">
        <v>-26.44</v>
      </c>
      <c r="O149">
        <v>0.59</v>
      </c>
      <c r="P149">
        <v>20.079999999999998</v>
      </c>
      <c r="Q149">
        <v>35.03</v>
      </c>
      <c r="R149">
        <v>35.4</v>
      </c>
      <c r="S149">
        <v>35.99</v>
      </c>
      <c r="T149">
        <v>43.58</v>
      </c>
      <c r="U149">
        <v>37.04</v>
      </c>
    </row>
    <row r="150" spans="1:21" x14ac:dyDescent="0.25">
      <c r="A150" t="s">
        <v>124</v>
      </c>
      <c r="L150">
        <v>-1.68</v>
      </c>
      <c r="M150">
        <v>0.08</v>
      </c>
      <c r="N150">
        <v>-1.69</v>
      </c>
      <c r="O150">
        <v>0</v>
      </c>
      <c r="P150">
        <v>1.83</v>
      </c>
      <c r="Q150">
        <v>4.6399999999999997</v>
      </c>
      <c r="R150">
        <v>6.65</v>
      </c>
      <c r="S150">
        <v>9.9499999999999993</v>
      </c>
      <c r="T150">
        <v>22.92</v>
      </c>
      <c r="U150">
        <v>23.74</v>
      </c>
    </row>
    <row r="151" spans="1:21" x14ac:dyDescent="0.25">
      <c r="A151" t="s">
        <v>17</v>
      </c>
    </row>
    <row r="152" spans="1:21" x14ac:dyDescent="0.25">
      <c r="A152" t="s">
        <v>125</v>
      </c>
    </row>
    <row r="153" spans="1:21" x14ac:dyDescent="0.25">
      <c r="A153" t="s">
        <v>2262</v>
      </c>
      <c r="L153" s="2">
        <v>1897</v>
      </c>
      <c r="M153" s="2">
        <v>2977</v>
      </c>
      <c r="N153" s="2">
        <v>5915</v>
      </c>
      <c r="O153" s="2">
        <v>13908.54</v>
      </c>
      <c r="P153" s="2">
        <v>30665.37</v>
      </c>
      <c r="Q153" s="2">
        <v>50327.8</v>
      </c>
      <c r="R153" s="2">
        <v>75056.98</v>
      </c>
      <c r="S153" s="2">
        <v>107122.53</v>
      </c>
      <c r="T153" s="2">
        <v>163732.25</v>
      </c>
      <c r="U153" s="2">
        <v>170001.88</v>
      </c>
    </row>
    <row r="154" spans="1:21" x14ac:dyDescent="0.25">
      <c r="A154" t="s">
        <v>67</v>
      </c>
      <c r="L154">
        <v>679</v>
      </c>
      <c r="M154">
        <v>784</v>
      </c>
      <c r="N154" s="2">
        <v>1947</v>
      </c>
      <c r="O154" s="2">
        <v>3506.16</v>
      </c>
      <c r="P154" s="2">
        <v>5358.53</v>
      </c>
      <c r="Q154" s="2">
        <v>6669.8</v>
      </c>
      <c r="R154" s="2">
        <v>7844.03</v>
      </c>
      <c r="S154" s="2">
        <v>9490.44</v>
      </c>
      <c r="T154" s="2">
        <v>12002.92</v>
      </c>
      <c r="U154" s="2">
        <v>21343.55</v>
      </c>
    </row>
    <row r="155" spans="1:21" x14ac:dyDescent="0.25">
      <c r="A155" t="s">
        <v>17</v>
      </c>
    </row>
    <row r="156" spans="1:21" x14ac:dyDescent="0.25">
      <c r="A156" t="s">
        <v>134</v>
      </c>
    </row>
    <row r="157" spans="1:21" x14ac:dyDescent="0.25">
      <c r="A157" t="s">
        <v>135</v>
      </c>
    </row>
    <row r="158" spans="1:21" x14ac:dyDescent="0.25">
      <c r="A158" t="s">
        <v>136</v>
      </c>
      <c r="M158" s="2">
        <v>16108</v>
      </c>
      <c r="N158" s="2">
        <v>30952</v>
      </c>
      <c r="O158" s="2">
        <v>109287.55</v>
      </c>
      <c r="P158" s="2">
        <v>73828.86</v>
      </c>
      <c r="Q158" s="2">
        <v>92996.91</v>
      </c>
      <c r="R158" s="2">
        <v>124816.67</v>
      </c>
      <c r="S158" s="2">
        <v>176225.88</v>
      </c>
      <c r="T158" s="2">
        <v>267490.44</v>
      </c>
      <c r="U158" s="2">
        <v>628777.37</v>
      </c>
    </row>
    <row r="159" spans="1:21" x14ac:dyDescent="0.25">
      <c r="A159" t="s">
        <v>3156</v>
      </c>
      <c r="M159" s="2">
        <v>12185</v>
      </c>
      <c r="N159" s="2">
        <v>24747</v>
      </c>
      <c r="O159" s="2">
        <v>97153.98</v>
      </c>
      <c r="P159" s="2">
        <v>53279.42</v>
      </c>
      <c r="Q159" s="2">
        <v>70292.31</v>
      </c>
      <c r="R159" s="2">
        <v>73475.899999999994</v>
      </c>
      <c r="S159" s="2">
        <v>97232.77</v>
      </c>
      <c r="T159" s="2">
        <v>164008.5</v>
      </c>
      <c r="U159" s="2">
        <v>702251.1</v>
      </c>
    </row>
    <row r="160" spans="1:21" x14ac:dyDescent="0.25">
      <c r="A160" t="s">
        <v>139</v>
      </c>
      <c r="M160" s="2">
        <v>11385</v>
      </c>
      <c r="N160" s="2">
        <v>24747</v>
      </c>
      <c r="O160" s="2">
        <v>91722.67</v>
      </c>
      <c r="P160" s="2">
        <v>54853.91</v>
      </c>
      <c r="Q160" s="2">
        <v>53697.64</v>
      </c>
      <c r="R160" s="2">
        <v>76833.98</v>
      </c>
      <c r="S160" s="2">
        <v>115505</v>
      </c>
      <c r="T160" s="2">
        <v>176462.15</v>
      </c>
      <c r="U160" s="2">
        <v>446727</v>
      </c>
    </row>
    <row r="161" spans="1:21" x14ac:dyDescent="0.25">
      <c r="A161" t="s">
        <v>805</v>
      </c>
      <c r="M161">
        <v>800</v>
      </c>
      <c r="N161">
        <v>0</v>
      </c>
      <c r="O161" s="2">
        <v>6752.07</v>
      </c>
      <c r="P161" s="2">
        <v>6769.96</v>
      </c>
      <c r="Q161" s="2">
        <v>6770.28</v>
      </c>
      <c r="R161" s="2">
        <v>6766.77</v>
      </c>
      <c r="S161" s="2">
        <v>6748.66</v>
      </c>
      <c r="T161" s="2">
        <v>6752</v>
      </c>
      <c r="U161" s="2">
        <v>7017</v>
      </c>
    </row>
    <row r="162" spans="1:21" x14ac:dyDescent="0.25">
      <c r="A162" t="s">
        <v>141</v>
      </c>
      <c r="M162" s="2">
        <v>1052</v>
      </c>
      <c r="N162" s="2">
        <v>1579</v>
      </c>
      <c r="O162" s="2">
        <v>5353.43</v>
      </c>
      <c r="P162" s="2">
        <v>9189.34</v>
      </c>
      <c r="Q162" s="2">
        <v>16151.57</v>
      </c>
      <c r="R162" s="2">
        <v>21866.18</v>
      </c>
      <c r="S162" s="2">
        <v>29483.84</v>
      </c>
      <c r="T162" s="2">
        <v>44918.63</v>
      </c>
      <c r="U162" s="2">
        <v>61715.48</v>
      </c>
    </row>
    <row r="163" spans="1:21" x14ac:dyDescent="0.25">
      <c r="A163" t="s">
        <v>302</v>
      </c>
      <c r="M163" s="2">
        <v>2003</v>
      </c>
      <c r="N163" s="2">
        <v>2416</v>
      </c>
      <c r="O163" s="2">
        <v>6019.98</v>
      </c>
      <c r="P163" s="2">
        <v>9620.35</v>
      </c>
      <c r="Q163" s="2">
        <v>12692.51</v>
      </c>
      <c r="R163" s="2">
        <v>14895.61</v>
      </c>
      <c r="S163" s="2">
        <v>17962</v>
      </c>
      <c r="T163" s="2">
        <v>25461.34</v>
      </c>
      <c r="U163" s="2">
        <v>42187.15</v>
      </c>
    </row>
    <row r="164" spans="1:21" x14ac:dyDescent="0.25">
      <c r="A164" t="s">
        <v>428</v>
      </c>
      <c r="M164">
        <v>868</v>
      </c>
      <c r="N164" s="2">
        <v>2210</v>
      </c>
      <c r="O164" s="2">
        <v>2107.17</v>
      </c>
      <c r="P164" s="2">
        <v>2585.21</v>
      </c>
      <c r="Q164" s="2">
        <v>2495.4899999999998</v>
      </c>
      <c r="R164" s="2">
        <v>2409.61</v>
      </c>
      <c r="S164" s="2">
        <v>2560.67</v>
      </c>
      <c r="T164" s="2">
        <v>2899.65</v>
      </c>
      <c r="U164" s="2">
        <v>4253.79</v>
      </c>
    </row>
    <row r="165" spans="1:21" x14ac:dyDescent="0.25">
      <c r="A165" t="s">
        <v>146</v>
      </c>
      <c r="M165" s="2">
        <v>40954</v>
      </c>
      <c r="N165" s="2">
        <v>61127</v>
      </c>
      <c r="O165" s="2">
        <v>139473.97</v>
      </c>
      <c r="P165" s="2">
        <v>307344.11</v>
      </c>
      <c r="Q165" s="2">
        <v>449850.93</v>
      </c>
      <c r="R165" s="2">
        <v>622953</v>
      </c>
      <c r="S165" s="2">
        <v>824996.56</v>
      </c>
      <c r="T165" s="2">
        <v>1317482.49</v>
      </c>
    </row>
    <row r="166" spans="1:21" x14ac:dyDescent="0.25">
      <c r="A166" t="s">
        <v>148</v>
      </c>
      <c r="M166" s="2">
        <v>21147</v>
      </c>
      <c r="N166" s="2">
        <v>42602</v>
      </c>
      <c r="O166" s="2">
        <v>94948.06</v>
      </c>
      <c r="P166" s="2">
        <v>231581.32</v>
      </c>
      <c r="Q166" s="2">
        <v>372552.59</v>
      </c>
      <c r="R166" s="2">
        <v>501332.74</v>
      </c>
      <c r="S166" s="2">
        <v>658452.12</v>
      </c>
      <c r="T166" s="2">
        <v>1035484.51</v>
      </c>
      <c r="U166" s="2">
        <v>1026774.35</v>
      </c>
    </row>
    <row r="167" spans="1:21" x14ac:dyDescent="0.25">
      <c r="A167" t="s">
        <v>1187</v>
      </c>
      <c r="M167" s="2">
        <v>28687</v>
      </c>
      <c r="N167" s="2">
        <v>55303</v>
      </c>
      <c r="O167" s="2">
        <v>119706.59</v>
      </c>
      <c r="P167" s="2">
        <v>262654.59000000003</v>
      </c>
      <c r="Q167" s="2">
        <v>458931.34</v>
      </c>
      <c r="R167" s="2">
        <v>621635.75</v>
      </c>
      <c r="S167" s="2">
        <v>802604.67</v>
      </c>
      <c r="T167" s="2">
        <v>1029238.6</v>
      </c>
      <c r="U167" s="2">
        <v>1288331.6100000001</v>
      </c>
    </row>
    <row r="168" spans="1:21" x14ac:dyDescent="0.25">
      <c r="A168" t="s">
        <v>3157</v>
      </c>
      <c r="M168" s="2">
        <v>1686</v>
      </c>
      <c r="N168" s="2">
        <v>1260</v>
      </c>
      <c r="O168" s="2">
        <v>1095.33</v>
      </c>
      <c r="P168">
        <v>989.06</v>
      </c>
      <c r="Q168">
        <v>975.79</v>
      </c>
      <c r="R168">
        <v>964.85</v>
      </c>
      <c r="S168">
        <v>964.85</v>
      </c>
      <c r="T168">
        <v>937</v>
      </c>
      <c r="U168" s="2">
        <v>1152.33</v>
      </c>
    </row>
    <row r="169" spans="1:21" x14ac:dyDescent="0.25">
      <c r="A169" t="s">
        <v>1709</v>
      </c>
      <c r="M169" s="2">
        <v>2211</v>
      </c>
      <c r="N169" s="2">
        <v>1548</v>
      </c>
      <c r="O169" s="2">
        <v>2066.8200000000002</v>
      </c>
      <c r="P169" s="2">
        <v>2769.27</v>
      </c>
      <c r="Q169" s="2">
        <v>3205.45</v>
      </c>
      <c r="R169" s="2">
        <v>3901.1</v>
      </c>
      <c r="S169" s="2">
        <v>4344.3</v>
      </c>
      <c r="T169" s="2">
        <v>4824</v>
      </c>
      <c r="U169">
        <v>950.25</v>
      </c>
    </row>
    <row r="170" spans="1:21" x14ac:dyDescent="0.25">
      <c r="A170" t="s">
        <v>496</v>
      </c>
      <c r="M170" s="2">
        <v>11129</v>
      </c>
      <c r="N170" s="2">
        <v>11809</v>
      </c>
      <c r="O170" s="2">
        <v>17036</v>
      </c>
      <c r="P170" s="2">
        <v>17980.439999999999</v>
      </c>
      <c r="Q170" s="2">
        <v>25752.55</v>
      </c>
      <c r="R170" s="2">
        <v>27163.3</v>
      </c>
      <c r="S170" s="2">
        <v>27163.3</v>
      </c>
      <c r="T170" s="2">
        <v>11219.14</v>
      </c>
      <c r="U170" s="2">
        <v>13811</v>
      </c>
    </row>
    <row r="171" spans="1:21" x14ac:dyDescent="0.25">
      <c r="A171" t="s">
        <v>311</v>
      </c>
      <c r="M171">
        <v>696</v>
      </c>
      <c r="N171">
        <v>141</v>
      </c>
      <c r="O171">
        <v>142.04</v>
      </c>
      <c r="P171">
        <v>-190.74</v>
      </c>
      <c r="Q171">
        <v>-22.44</v>
      </c>
      <c r="R171" s="2">
        <v>-3699.25</v>
      </c>
      <c r="S171" s="2">
        <v>-11066.48</v>
      </c>
      <c r="T171" s="2">
        <v>-22737.25</v>
      </c>
      <c r="U171" s="2">
        <v>-17559.330000000002</v>
      </c>
    </row>
    <row r="172" spans="1:21" x14ac:dyDescent="0.25">
      <c r="A172" t="s">
        <v>3158</v>
      </c>
      <c r="M172" s="2">
        <v>1749</v>
      </c>
      <c r="N172" s="2">
        <v>1637</v>
      </c>
      <c r="O172" s="2">
        <v>1047.18</v>
      </c>
      <c r="P172" s="2">
        <v>1047.18</v>
      </c>
      <c r="Q172" s="2">
        <v>1096.6500000000001</v>
      </c>
      <c r="R172" s="2">
        <v>1096.51</v>
      </c>
      <c r="S172" s="2">
        <v>1096.51</v>
      </c>
      <c r="T172" s="2">
        <v>1096.1400000000001</v>
      </c>
      <c r="U172" s="2">
        <v>1205.8</v>
      </c>
    </row>
    <row r="173" spans="1:21" x14ac:dyDescent="0.25">
      <c r="A173" t="s">
        <v>514</v>
      </c>
      <c r="M173" s="2">
        <v>4085</v>
      </c>
      <c r="N173" s="2">
        <v>3767</v>
      </c>
      <c r="O173" s="2">
        <v>4689.1899999999996</v>
      </c>
      <c r="P173" s="2">
        <v>5057.47</v>
      </c>
      <c r="Q173" s="2">
        <v>4055.01</v>
      </c>
      <c r="R173" s="2">
        <v>5860.88</v>
      </c>
      <c r="S173" s="2">
        <v>7644.3</v>
      </c>
      <c r="T173" s="2">
        <v>11144.36</v>
      </c>
      <c r="U173" s="2">
        <v>13623</v>
      </c>
    </row>
    <row r="174" spans="1:21" x14ac:dyDescent="0.25">
      <c r="A174" t="s">
        <v>78</v>
      </c>
      <c r="M174" s="2">
        <v>18121</v>
      </c>
      <c r="N174" s="2">
        <v>17265</v>
      </c>
      <c r="O174" s="2">
        <v>19395.82</v>
      </c>
      <c r="P174" s="2">
        <v>39872.6</v>
      </c>
      <c r="Q174" s="2">
        <v>37704.03</v>
      </c>
      <c r="R174" s="2">
        <v>47168.65</v>
      </c>
      <c r="S174" s="2">
        <v>57144.38</v>
      </c>
      <c r="T174" s="2">
        <v>59770.5</v>
      </c>
      <c r="U174" s="2">
        <v>12105.63</v>
      </c>
    </row>
    <row r="175" spans="1:21" x14ac:dyDescent="0.25">
      <c r="A175" t="s">
        <v>155</v>
      </c>
      <c r="M175" s="2">
        <v>57062</v>
      </c>
      <c r="N175" s="2">
        <v>92079</v>
      </c>
      <c r="O175" s="2">
        <v>237335.4</v>
      </c>
      <c r="P175" s="2">
        <v>346663.57</v>
      </c>
      <c r="Q175" s="2">
        <v>496700.53</v>
      </c>
      <c r="R175" s="2">
        <v>653299.89</v>
      </c>
      <c r="S175" s="2">
        <v>851320.25</v>
      </c>
      <c r="T175" s="2">
        <v>1326743.55</v>
      </c>
      <c r="U175" s="2">
        <v>1581490.26</v>
      </c>
    </row>
    <row r="176" spans="1:21" x14ac:dyDescent="0.25">
      <c r="A176" t="s">
        <v>17</v>
      </c>
    </row>
    <row r="177" spans="1:21" x14ac:dyDescent="0.25">
      <c r="A177" t="s">
        <v>156</v>
      </c>
    </row>
    <row r="178" spans="1:21" x14ac:dyDescent="0.25">
      <c r="A178" t="s">
        <v>157</v>
      </c>
      <c r="M178" s="2">
        <v>11791</v>
      </c>
      <c r="N178" s="2">
        <v>21400</v>
      </c>
      <c r="O178" s="2">
        <v>35153.65</v>
      </c>
      <c r="P178" s="2">
        <v>51732.19</v>
      </c>
      <c r="Q178" s="2">
        <v>63082.78</v>
      </c>
      <c r="R178" s="2">
        <v>76723.88</v>
      </c>
      <c r="S178" s="2">
        <v>95348.03</v>
      </c>
      <c r="T178" s="2">
        <v>139707.12</v>
      </c>
      <c r="U178" s="2">
        <v>192399.7</v>
      </c>
    </row>
    <row r="179" spans="1:21" x14ac:dyDescent="0.25">
      <c r="A179" t="s">
        <v>158</v>
      </c>
      <c r="M179" s="2">
        <v>4413</v>
      </c>
      <c r="N179" s="2">
        <v>11792</v>
      </c>
      <c r="O179" s="2">
        <v>13708.63</v>
      </c>
      <c r="P179" s="2">
        <v>22075.71</v>
      </c>
      <c r="Q179" s="2">
        <v>30014.080000000002</v>
      </c>
      <c r="R179" s="2">
        <v>37544.35</v>
      </c>
      <c r="S179" s="2">
        <v>48838.14</v>
      </c>
      <c r="T179" s="2">
        <v>70607.48</v>
      </c>
      <c r="U179" s="2">
        <v>87646.17</v>
      </c>
    </row>
    <row r="180" spans="1:21" x14ac:dyDescent="0.25">
      <c r="A180" t="s">
        <v>2862</v>
      </c>
      <c r="M180" s="2">
        <v>5498</v>
      </c>
      <c r="N180" s="2">
        <v>6111</v>
      </c>
      <c r="O180" s="2">
        <v>12545</v>
      </c>
      <c r="P180" s="2">
        <v>17680.54</v>
      </c>
      <c r="Q180" s="2">
        <v>21945.29</v>
      </c>
      <c r="R180" s="2">
        <v>29908.65</v>
      </c>
      <c r="S180" s="2">
        <v>36932.339999999997</v>
      </c>
      <c r="T180" s="2">
        <v>60540.45</v>
      </c>
      <c r="U180" s="2">
        <v>79792.19</v>
      </c>
    </row>
    <row r="181" spans="1:21" x14ac:dyDescent="0.25">
      <c r="A181" t="s">
        <v>3159</v>
      </c>
      <c r="M181">
        <v>372</v>
      </c>
      <c r="N181">
        <v>928</v>
      </c>
      <c r="O181" s="2">
        <v>2330.1799999999998</v>
      </c>
      <c r="P181" s="2">
        <v>2677.7</v>
      </c>
      <c r="Q181" s="2">
        <v>3423.61</v>
      </c>
      <c r="R181" s="2">
        <v>4182.4399999999996</v>
      </c>
      <c r="S181" s="2">
        <v>4493.57</v>
      </c>
      <c r="T181" s="2">
        <v>4392.7</v>
      </c>
      <c r="U181" s="2">
        <v>2130.1999999999998</v>
      </c>
    </row>
    <row r="182" spans="1:21" x14ac:dyDescent="0.25">
      <c r="A182" t="s">
        <v>906</v>
      </c>
      <c r="M182" s="2">
        <v>1508</v>
      </c>
      <c r="N182" s="2">
        <v>2569</v>
      </c>
      <c r="O182" s="2">
        <v>4658.47</v>
      </c>
      <c r="P182" s="2">
        <v>5709.2</v>
      </c>
      <c r="Q182" s="2">
        <v>4181.79</v>
      </c>
      <c r="R182" s="2">
        <v>4509.29</v>
      </c>
      <c r="S182" s="2">
        <v>6968.13</v>
      </c>
      <c r="T182" s="2">
        <v>15574.85</v>
      </c>
      <c r="U182" s="2">
        <v>7553.5</v>
      </c>
    </row>
    <row r="183" spans="1:21" x14ac:dyDescent="0.25">
      <c r="A183" t="s">
        <v>164</v>
      </c>
      <c r="M183" s="2">
        <v>19467</v>
      </c>
      <c r="N183" s="2">
        <v>29354</v>
      </c>
      <c r="O183" s="2">
        <v>48571.86</v>
      </c>
      <c r="P183" s="2">
        <v>111658.06</v>
      </c>
      <c r="Q183" s="2">
        <v>188723.22</v>
      </c>
      <c r="R183" s="2">
        <v>234212.74</v>
      </c>
      <c r="S183" s="2">
        <v>263964.64</v>
      </c>
      <c r="T183" s="2">
        <v>435267.1</v>
      </c>
    </row>
    <row r="184" spans="1:21" x14ac:dyDescent="0.25">
      <c r="A184" t="s">
        <v>3160</v>
      </c>
      <c r="M184" s="2">
        <v>4681</v>
      </c>
      <c r="N184" s="2">
        <v>6005</v>
      </c>
      <c r="O184" s="2">
        <v>8356.2900000000009</v>
      </c>
      <c r="P184" s="2">
        <v>10191.86</v>
      </c>
      <c r="Q184" s="2">
        <v>13909.96</v>
      </c>
      <c r="R184" s="2">
        <v>18289.740000000002</v>
      </c>
      <c r="S184" s="2">
        <v>21708.39</v>
      </c>
      <c r="T184" s="2">
        <v>33066.239999999998</v>
      </c>
      <c r="U184" s="2">
        <v>51665.15</v>
      </c>
    </row>
    <row r="185" spans="1:21" x14ac:dyDescent="0.25">
      <c r="A185" t="s">
        <v>3161</v>
      </c>
      <c r="M185" s="2">
        <v>13421</v>
      </c>
      <c r="N185" s="2">
        <v>21968</v>
      </c>
      <c r="O185" s="2">
        <v>42568.59</v>
      </c>
      <c r="P185" s="2">
        <v>111960.15</v>
      </c>
      <c r="Q185" s="2">
        <v>200112.81</v>
      </c>
      <c r="R185" s="2">
        <v>275797.09999999998</v>
      </c>
      <c r="S185" s="2">
        <v>330917.95</v>
      </c>
      <c r="T185" s="2">
        <v>388942.93</v>
      </c>
      <c r="U185" s="2">
        <v>382908.33</v>
      </c>
    </row>
    <row r="186" spans="1:21" x14ac:dyDescent="0.25">
      <c r="A186" t="s">
        <v>166</v>
      </c>
      <c r="M186" s="2">
        <v>1365</v>
      </c>
      <c r="N186" s="2">
        <v>1381</v>
      </c>
      <c r="O186" s="2">
        <v>1306.6300000000001</v>
      </c>
      <c r="P186" s="2">
        <v>1307.4100000000001</v>
      </c>
      <c r="Q186" s="2">
        <v>1264.3900000000001</v>
      </c>
      <c r="R186" s="2">
        <v>1245.6600000000001</v>
      </c>
      <c r="S186" s="2">
        <v>1235.9000000000001</v>
      </c>
      <c r="T186" s="2">
        <v>1209.07</v>
      </c>
      <c r="U186" s="2">
        <v>1089.92</v>
      </c>
    </row>
    <row r="187" spans="1:21" x14ac:dyDescent="0.25">
      <c r="A187" t="s">
        <v>167</v>
      </c>
      <c r="M187" s="2">
        <v>31258</v>
      </c>
      <c r="N187" s="2">
        <v>50754</v>
      </c>
      <c r="O187" s="2">
        <v>85441.45</v>
      </c>
      <c r="P187" s="2">
        <v>158851.29</v>
      </c>
      <c r="Q187" s="2">
        <v>251500.33</v>
      </c>
      <c r="R187" s="2">
        <v>329231.51</v>
      </c>
      <c r="S187" s="2">
        <v>396861.05</v>
      </c>
      <c r="T187" s="2">
        <v>543696.72</v>
      </c>
      <c r="U187" s="2">
        <v>628784.47</v>
      </c>
    </row>
    <row r="188" spans="1:21" x14ac:dyDescent="0.25">
      <c r="A188" t="s">
        <v>170</v>
      </c>
      <c r="M188" s="2">
        <v>25804</v>
      </c>
      <c r="N188" s="2">
        <v>41325</v>
      </c>
      <c r="O188" s="2">
        <v>138038.93</v>
      </c>
      <c r="P188" s="2">
        <v>170470.79</v>
      </c>
      <c r="Q188" s="2">
        <v>251253.57</v>
      </c>
      <c r="R188" s="2">
        <v>380434.6</v>
      </c>
      <c r="S188" s="2">
        <v>553522.9</v>
      </c>
      <c r="T188" s="2">
        <v>866744.44</v>
      </c>
      <c r="U188" s="2">
        <v>1071604.5</v>
      </c>
    </row>
    <row r="189" spans="1:21" x14ac:dyDescent="0.25">
      <c r="A189" t="s">
        <v>3162</v>
      </c>
      <c r="M189" s="2">
        <v>20941</v>
      </c>
      <c r="N189" s="2">
        <v>38752</v>
      </c>
      <c r="O189" s="2">
        <v>7633.5</v>
      </c>
      <c r="P189" s="2">
        <v>6493.43</v>
      </c>
      <c r="Q189" s="2">
        <v>6442.43</v>
      </c>
      <c r="R189" s="2">
        <v>7479.5</v>
      </c>
      <c r="S189" s="2">
        <v>7461.58</v>
      </c>
      <c r="T189" s="2">
        <v>11164.63</v>
      </c>
      <c r="U189" s="2">
        <v>14845.17</v>
      </c>
    </row>
    <row r="190" spans="1:21" x14ac:dyDescent="0.25">
      <c r="A190" t="s">
        <v>172</v>
      </c>
      <c r="M190" s="2">
        <v>35865</v>
      </c>
      <c r="N190" s="2">
        <v>37706</v>
      </c>
      <c r="O190" s="2">
        <v>175232.92</v>
      </c>
      <c r="P190" s="2">
        <v>189634.11</v>
      </c>
      <c r="Q190" s="2">
        <v>196859.2</v>
      </c>
      <c r="R190" s="2">
        <v>178419</v>
      </c>
      <c r="S190" s="2">
        <v>182759.38</v>
      </c>
      <c r="T190" s="2">
        <v>171865.03</v>
      </c>
      <c r="U190" s="2">
        <v>189250.76</v>
      </c>
    </row>
    <row r="191" spans="1:21" x14ac:dyDescent="0.25">
      <c r="A191" t="s">
        <v>1192</v>
      </c>
      <c r="M191" s="2">
        <v>-32098</v>
      </c>
      <c r="N191" s="2">
        <v>-37035</v>
      </c>
      <c r="O191" s="2">
        <v>-37574.89</v>
      </c>
      <c r="P191" s="2">
        <v>-20050.46</v>
      </c>
      <c r="Q191" s="2">
        <v>52305.35</v>
      </c>
      <c r="R191" s="2">
        <v>155497.09</v>
      </c>
      <c r="S191" s="2">
        <v>302471.69</v>
      </c>
      <c r="T191" s="2">
        <v>654400.54</v>
      </c>
      <c r="U191" s="2">
        <v>901262.05</v>
      </c>
    </row>
    <row r="192" spans="1:21" x14ac:dyDescent="0.25">
      <c r="A192" t="s">
        <v>174</v>
      </c>
      <c r="M192" s="2">
        <v>1093</v>
      </c>
      <c r="N192" s="2">
        <v>1898</v>
      </c>
      <c r="O192" s="2">
        <v>1728.56</v>
      </c>
      <c r="P192" s="2">
        <v>1739.67</v>
      </c>
      <c r="Q192" s="2">
        <v>11222.55</v>
      </c>
      <c r="R192" s="2">
        <v>12289.61</v>
      </c>
      <c r="S192" s="2">
        <v>12300.72</v>
      </c>
      <c r="T192" s="2">
        <v>15259.79</v>
      </c>
      <c r="U192" s="2">
        <v>25406.38</v>
      </c>
    </row>
    <row r="193" spans="1:21" x14ac:dyDescent="0.25">
      <c r="A193" t="s">
        <v>326</v>
      </c>
      <c r="M193" s="2">
        <v>57062</v>
      </c>
      <c r="N193" s="2">
        <v>92079</v>
      </c>
      <c r="O193" s="2">
        <v>237335.4</v>
      </c>
      <c r="P193" s="2">
        <v>346663.57</v>
      </c>
      <c r="Q193" s="2">
        <v>496700.53</v>
      </c>
      <c r="R193" s="2">
        <v>653299.89</v>
      </c>
      <c r="S193" s="2">
        <v>851320.25</v>
      </c>
      <c r="T193" s="2">
        <v>1326743.55</v>
      </c>
      <c r="U193" s="2">
        <v>1581490.26</v>
      </c>
    </row>
    <row r="194" spans="1:21" x14ac:dyDescent="0.25">
      <c r="A194" t="s">
        <v>17</v>
      </c>
    </row>
    <row r="195" spans="1:21" x14ac:dyDescent="0.25">
      <c r="A195" t="s">
        <v>176</v>
      </c>
    </row>
    <row r="196" spans="1:21" x14ac:dyDescent="0.25">
      <c r="A196" t="s">
        <v>505</v>
      </c>
      <c r="M196" s="2">
        <v>1608</v>
      </c>
      <c r="N196" s="2">
        <v>-1851</v>
      </c>
      <c r="O196" s="2">
        <v>-24523.08</v>
      </c>
      <c r="P196">
        <v>-214</v>
      </c>
      <c r="Q196" s="2">
        <v>9535.5499999999993</v>
      </c>
      <c r="R196" s="2">
        <v>-247485.5</v>
      </c>
      <c r="S196" s="2">
        <v>-365912.33</v>
      </c>
      <c r="T196" s="2">
        <v>-322230</v>
      </c>
      <c r="U196" s="2">
        <v>-309802</v>
      </c>
    </row>
    <row r="197" spans="1:21" x14ac:dyDescent="0.25">
      <c r="A197" t="s">
        <v>609</v>
      </c>
      <c r="M197" s="2">
        <v>13793</v>
      </c>
      <c r="N197" s="2">
        <v>22896</v>
      </c>
      <c r="O197" s="2">
        <v>39605.599999999999</v>
      </c>
      <c r="P197" s="2">
        <v>107375.52</v>
      </c>
      <c r="Q197" s="2">
        <v>209476.19</v>
      </c>
      <c r="R197" s="2">
        <v>322399.46999999997</v>
      </c>
      <c r="S197" s="2">
        <v>396186.51</v>
      </c>
      <c r="T197" s="2">
        <v>431609.64</v>
      </c>
      <c r="U197" s="2">
        <v>456188.01</v>
      </c>
    </row>
    <row r="198" spans="1:21" x14ac:dyDescent="0.25">
      <c r="A198" t="s">
        <v>178</v>
      </c>
    </row>
    <row r="199" spans="1:21" x14ac:dyDescent="0.25">
      <c r="A199" t="s">
        <v>179</v>
      </c>
      <c r="N199">
        <v>-6.62</v>
      </c>
      <c r="O199">
        <v>0.34</v>
      </c>
      <c r="P199">
        <v>7.85</v>
      </c>
      <c r="Q199">
        <v>15.1</v>
      </c>
      <c r="R199">
        <v>17.61</v>
      </c>
      <c r="S199">
        <v>16.170000000000002</v>
      </c>
      <c r="T199">
        <v>35.6</v>
      </c>
    </row>
    <row r="200" spans="1:21" x14ac:dyDescent="0.25">
      <c r="A200" t="s">
        <v>611</v>
      </c>
      <c r="M200">
        <v>27.47</v>
      </c>
      <c r="N200">
        <v>30.86</v>
      </c>
      <c r="O200">
        <v>46.66</v>
      </c>
      <c r="P200">
        <v>31.85</v>
      </c>
      <c r="Q200">
        <v>30.6</v>
      </c>
      <c r="R200">
        <v>23.94</v>
      </c>
      <c r="S200">
        <v>22.39</v>
      </c>
      <c r="T200">
        <v>16.96</v>
      </c>
      <c r="U200">
        <v>25</v>
      </c>
    </row>
    <row r="201" spans="1:21" x14ac:dyDescent="0.25">
      <c r="A201" t="s">
        <v>506</v>
      </c>
      <c r="M201">
        <v>91.68</v>
      </c>
      <c r="N201">
        <v>93.31</v>
      </c>
      <c r="O201">
        <v>108.8</v>
      </c>
      <c r="P201">
        <v>70.63</v>
      </c>
      <c r="Q201">
        <v>42.96</v>
      </c>
      <c r="R201">
        <v>34.18</v>
      </c>
      <c r="S201">
        <v>28.57</v>
      </c>
      <c r="T201">
        <v>30.04</v>
      </c>
      <c r="U201">
        <v>26</v>
      </c>
    </row>
    <row r="202" spans="1:21" x14ac:dyDescent="0.25">
      <c r="A202" t="s">
        <v>17</v>
      </c>
    </row>
    <row r="203" spans="1:21" x14ac:dyDescent="0.25">
      <c r="A203" t="s">
        <v>188</v>
      </c>
    </row>
    <row r="204" spans="1:21" x14ac:dyDescent="0.25">
      <c r="A204" t="s">
        <v>189</v>
      </c>
    </row>
    <row r="205" spans="1:21" x14ac:dyDescent="0.25">
      <c r="A205" t="s">
        <v>121</v>
      </c>
      <c r="L205" s="2">
        <v>-4628</v>
      </c>
      <c r="M205">
        <v>791</v>
      </c>
      <c r="N205" s="2">
        <v>-4937</v>
      </c>
      <c r="O205">
        <v>300.77999999999997</v>
      </c>
      <c r="P205" s="2">
        <v>22692.03</v>
      </c>
      <c r="Q205" s="2">
        <v>61967.89</v>
      </c>
      <c r="R205" s="2">
        <v>98073.68</v>
      </c>
      <c r="S205" s="2">
        <v>146380.16</v>
      </c>
      <c r="T205" s="2">
        <v>301564.13</v>
      </c>
      <c r="U205" s="2">
        <v>251856.83</v>
      </c>
    </row>
    <row r="206" spans="1:21" x14ac:dyDescent="0.25">
      <c r="A206" t="s">
        <v>1236</v>
      </c>
    </row>
    <row r="207" spans="1:21" x14ac:dyDescent="0.25">
      <c r="A207" t="s">
        <v>1237</v>
      </c>
      <c r="L207" s="2">
        <v>2635</v>
      </c>
      <c r="M207" s="2">
        <v>3824</v>
      </c>
      <c r="N207" s="2">
        <v>6701</v>
      </c>
      <c r="O207" s="2">
        <v>13787.35</v>
      </c>
      <c r="P207" s="2">
        <v>30095.98</v>
      </c>
      <c r="Q207" s="2">
        <v>50327.8</v>
      </c>
      <c r="R207" s="2">
        <v>75056.98</v>
      </c>
      <c r="S207" s="2">
        <v>107122.53</v>
      </c>
      <c r="T207" s="2">
        <v>163732.25</v>
      </c>
      <c r="U207" s="2">
        <v>170001.88</v>
      </c>
    </row>
    <row r="208" spans="1:21" x14ac:dyDescent="0.25">
      <c r="A208" t="s">
        <v>1239</v>
      </c>
      <c r="L208">
        <v>679</v>
      </c>
      <c r="M208">
        <v>784</v>
      </c>
      <c r="N208" s="2">
        <v>1947</v>
      </c>
      <c r="O208" s="2">
        <v>3506.16</v>
      </c>
      <c r="P208" s="2">
        <v>5358.53</v>
      </c>
      <c r="Q208" s="2">
        <v>6669.8</v>
      </c>
      <c r="R208" s="2">
        <v>7844.03</v>
      </c>
      <c r="S208" s="2">
        <v>9490.44</v>
      </c>
      <c r="T208" s="2">
        <v>12002.92</v>
      </c>
      <c r="U208" s="2">
        <v>21343.55</v>
      </c>
    </row>
    <row r="209" spans="1:21" x14ac:dyDescent="0.25">
      <c r="A209" t="s">
        <v>3163</v>
      </c>
      <c r="L209" s="2">
        <v>3775</v>
      </c>
      <c r="M209">
        <v>0</v>
      </c>
      <c r="N209">
        <v>0</v>
      </c>
    </row>
    <row r="210" spans="1:21" x14ac:dyDescent="0.25">
      <c r="A210" t="s">
        <v>604</v>
      </c>
      <c r="L210">
        <v>-409</v>
      </c>
      <c r="M210">
        <v>-675</v>
      </c>
      <c r="N210">
        <v>626</v>
      </c>
      <c r="O210">
        <v>183.46</v>
      </c>
      <c r="P210">
        <v>416.86</v>
      </c>
      <c r="Q210">
        <v>-239.4</v>
      </c>
      <c r="R210" s="2">
        <v>5453.71</v>
      </c>
      <c r="S210" s="2">
        <v>11052.09</v>
      </c>
      <c r="T210" s="2">
        <v>36677.089999999997</v>
      </c>
    </row>
    <row r="211" spans="1:21" x14ac:dyDescent="0.25">
      <c r="A211" t="s">
        <v>3164</v>
      </c>
      <c r="M211">
        <v>-955</v>
      </c>
      <c r="N211">
        <v>112</v>
      </c>
      <c r="O211">
        <v>485.1</v>
      </c>
      <c r="P211">
        <v>0</v>
      </c>
      <c r="Q211">
        <v>-108.83</v>
      </c>
      <c r="R211">
        <v>0</v>
      </c>
      <c r="S211">
        <v>0</v>
      </c>
    </row>
    <row r="212" spans="1:21" x14ac:dyDescent="0.25">
      <c r="A212" t="s">
        <v>3165</v>
      </c>
      <c r="L212">
        <v>36</v>
      </c>
      <c r="M212">
        <v>135</v>
      </c>
      <c r="N212">
        <v>88</v>
      </c>
      <c r="O212">
        <v>36</v>
      </c>
      <c r="P212">
        <v>0</v>
      </c>
      <c r="Q212">
        <v>0</v>
      </c>
      <c r="R212">
        <v>0</v>
      </c>
      <c r="S212">
        <v>0</v>
      </c>
    </row>
    <row r="213" spans="1:21" x14ac:dyDescent="0.25">
      <c r="A213" t="s">
        <v>3166</v>
      </c>
      <c r="L213">
        <v>212</v>
      </c>
      <c r="M213">
        <v>84</v>
      </c>
      <c r="N213">
        <v>93</v>
      </c>
      <c r="O213">
        <v>312.8</v>
      </c>
      <c r="P213">
        <v>0</v>
      </c>
      <c r="Q213">
        <v>0</v>
      </c>
      <c r="R213">
        <v>0</v>
      </c>
      <c r="S213">
        <v>0</v>
      </c>
    </row>
    <row r="214" spans="1:21" x14ac:dyDescent="0.25">
      <c r="A214" t="s">
        <v>3167</v>
      </c>
      <c r="O214" s="2">
        <v>1538.67</v>
      </c>
      <c r="P214">
        <v>0</v>
      </c>
      <c r="Q214">
        <v>0</v>
      </c>
      <c r="R214">
        <v>0</v>
      </c>
      <c r="S214">
        <v>0</v>
      </c>
    </row>
    <row r="215" spans="1:21" x14ac:dyDescent="0.25">
      <c r="A215" t="s">
        <v>3168</v>
      </c>
      <c r="L215" s="2">
        <v>2229</v>
      </c>
      <c r="M215" s="2">
        <v>1364</v>
      </c>
      <c r="N215" s="2">
        <v>1009</v>
      </c>
    </row>
    <row r="216" spans="1:21" x14ac:dyDescent="0.25">
      <c r="A216" t="s">
        <v>3169</v>
      </c>
      <c r="L216">
        <v>345</v>
      </c>
      <c r="M216">
        <v>-347</v>
      </c>
      <c r="N216">
        <v>-543</v>
      </c>
      <c r="O216" s="2">
        <v>-4201.26</v>
      </c>
      <c r="P216" s="2">
        <v>-4168</v>
      </c>
      <c r="Q216" s="2">
        <v>-7563.83</v>
      </c>
      <c r="R216" s="2">
        <v>-6413.31</v>
      </c>
      <c r="S216" s="2">
        <v>-8171.2</v>
      </c>
      <c r="T216" s="2">
        <v>-8693.16</v>
      </c>
      <c r="U216" s="2">
        <v>-10540.03</v>
      </c>
    </row>
    <row r="217" spans="1:21" x14ac:dyDescent="0.25">
      <c r="A217" t="s">
        <v>3170</v>
      </c>
      <c r="L217">
        <v>-72</v>
      </c>
      <c r="M217">
        <v>-309</v>
      </c>
      <c r="N217">
        <v>-413</v>
      </c>
      <c r="O217" s="2">
        <v>-3964.46</v>
      </c>
      <c r="P217" s="2">
        <v>-3569.82</v>
      </c>
      <c r="Q217" s="2">
        <v>-3603.47</v>
      </c>
      <c r="R217" s="2">
        <v>-3252.68</v>
      </c>
      <c r="S217" s="2">
        <v>-3406.06</v>
      </c>
      <c r="T217" s="2">
        <v>-6608.76</v>
      </c>
      <c r="U217" s="2">
        <v>-6761.41</v>
      </c>
    </row>
    <row r="218" spans="1:21" x14ac:dyDescent="0.25">
      <c r="A218" t="s">
        <v>3171</v>
      </c>
      <c r="L218">
        <v>41</v>
      </c>
      <c r="M218">
        <v>-328</v>
      </c>
      <c r="N218">
        <v>-673</v>
      </c>
      <c r="O218" s="2">
        <v>-1722.78</v>
      </c>
      <c r="P218" s="2">
        <v>-6868.89</v>
      </c>
      <c r="Q218" s="2">
        <v>3100.67</v>
      </c>
      <c r="R218">
        <v>-234.39</v>
      </c>
      <c r="S218" s="2">
        <v>-2429.69</v>
      </c>
      <c r="T218" s="2">
        <v>-3778.96</v>
      </c>
      <c r="U218" s="2">
        <v>-2189.94</v>
      </c>
    </row>
    <row r="219" spans="1:21" x14ac:dyDescent="0.25">
      <c r="A219" t="s">
        <v>1244</v>
      </c>
      <c r="L219">
        <v>220</v>
      </c>
      <c r="M219">
        <v>472</v>
      </c>
      <c r="N219">
        <v>709</v>
      </c>
      <c r="O219" s="2">
        <v>4833.54</v>
      </c>
      <c r="P219" s="2">
        <v>8472.94</v>
      </c>
      <c r="Q219" s="2">
        <v>7714.4</v>
      </c>
      <c r="R219" s="2">
        <v>7815.53</v>
      </c>
      <c r="S219" s="2">
        <v>11181.35</v>
      </c>
      <c r="T219" s="2">
        <v>18991.599999999999</v>
      </c>
      <c r="U219" s="2">
        <v>14894.05</v>
      </c>
    </row>
    <row r="220" spans="1:21" x14ac:dyDescent="0.25">
      <c r="A220" t="s">
        <v>1245</v>
      </c>
      <c r="L220" s="2">
        <v>1695</v>
      </c>
      <c r="M220" s="2">
        <v>1876</v>
      </c>
      <c r="N220" s="2">
        <v>1929</v>
      </c>
      <c r="O220" s="2">
        <v>9403.4500000000007</v>
      </c>
      <c r="P220" s="2">
        <v>8030.48</v>
      </c>
      <c r="Q220" s="2">
        <v>10490.8</v>
      </c>
      <c r="R220" s="2">
        <v>15292</v>
      </c>
      <c r="S220" s="2">
        <v>18605.310000000001</v>
      </c>
      <c r="T220" s="2">
        <v>30664.19</v>
      </c>
      <c r="U220" s="2">
        <v>37504.699999999997</v>
      </c>
    </row>
    <row r="221" spans="1:21" x14ac:dyDescent="0.25">
      <c r="A221" t="s">
        <v>3172</v>
      </c>
      <c r="L221">
        <v>-15</v>
      </c>
      <c r="M221">
        <v>-37</v>
      </c>
      <c r="N221">
        <v>-56</v>
      </c>
      <c r="O221">
        <v>-1.25</v>
      </c>
      <c r="P221">
        <v>0</v>
      </c>
      <c r="Q221">
        <v>0</v>
      </c>
      <c r="R221">
        <v>0</v>
      </c>
      <c r="S221">
        <v>0</v>
      </c>
    </row>
    <row r="222" spans="1:21" x14ac:dyDescent="0.25">
      <c r="A222" t="s">
        <v>318</v>
      </c>
      <c r="L222">
        <v>-208</v>
      </c>
      <c r="M222">
        <v>346</v>
      </c>
      <c r="N222" s="2">
        <v>1136</v>
      </c>
      <c r="O222" s="2">
        <v>1726.83</v>
      </c>
      <c r="P222" s="2">
        <v>1634.32</v>
      </c>
      <c r="Q222" s="2">
        <v>-4836.66</v>
      </c>
      <c r="R222" s="2">
        <v>1638.1</v>
      </c>
      <c r="S222" s="2">
        <v>9450.48</v>
      </c>
      <c r="T222" s="2">
        <v>23571.79</v>
      </c>
      <c r="U222" s="2">
        <v>4800</v>
      </c>
    </row>
    <row r="223" spans="1:21" x14ac:dyDescent="0.25">
      <c r="A223" t="s">
        <v>204</v>
      </c>
      <c r="L223" s="2">
        <v>4520</v>
      </c>
      <c r="M223" s="2">
        <v>5776</v>
      </c>
      <c r="N223" s="2">
        <v>6785</v>
      </c>
      <c r="O223" s="2">
        <v>25654.12</v>
      </c>
      <c r="P223" s="2">
        <v>65505</v>
      </c>
      <c r="Q223" s="2">
        <v>118965.01</v>
      </c>
      <c r="R223" s="2">
        <v>188066.27</v>
      </c>
      <c r="S223" s="2">
        <v>278065.27</v>
      </c>
      <c r="T223" s="2">
        <v>510913.59</v>
      </c>
      <c r="U223" s="2">
        <v>511847.79</v>
      </c>
    </row>
    <row r="224" spans="1:21" x14ac:dyDescent="0.25">
      <c r="A224" t="s">
        <v>17</v>
      </c>
    </row>
    <row r="225" spans="1:21" x14ac:dyDescent="0.25">
      <c r="A225" t="s">
        <v>205</v>
      </c>
    </row>
    <row r="226" spans="1:21" x14ac:dyDescent="0.25">
      <c r="A226" t="s">
        <v>206</v>
      </c>
      <c r="L226" s="2">
        <v>-4415</v>
      </c>
      <c r="M226" s="2">
        <v>-11163</v>
      </c>
      <c r="N226" s="2">
        <v>-20737</v>
      </c>
      <c r="O226" s="2">
        <v>-66923.100000000006</v>
      </c>
      <c r="P226" s="2">
        <v>-170714.21</v>
      </c>
      <c r="Q226" s="2">
        <v>-184369.63</v>
      </c>
      <c r="R226" s="2">
        <v>-239540.82</v>
      </c>
      <c r="S226" s="2">
        <v>-286860</v>
      </c>
      <c r="T226" s="2">
        <v>-496212.88</v>
      </c>
      <c r="U226" s="2">
        <v>-389363.14</v>
      </c>
    </row>
    <row r="227" spans="1:21" x14ac:dyDescent="0.25">
      <c r="A227" t="s">
        <v>920</v>
      </c>
      <c r="L227" s="2">
        <v>-3535</v>
      </c>
      <c r="M227" s="2">
        <v>-3542</v>
      </c>
      <c r="N227">
        <v>-611</v>
      </c>
      <c r="O227" s="2">
        <v>-12901.38</v>
      </c>
      <c r="P227">
        <v>0</v>
      </c>
      <c r="Q227">
        <v>0</v>
      </c>
      <c r="R227">
        <v>0</v>
      </c>
      <c r="S227">
        <v>0</v>
      </c>
    </row>
    <row r="228" spans="1:21" x14ac:dyDescent="0.25">
      <c r="A228" t="s">
        <v>3173</v>
      </c>
      <c r="L228">
        <v>333</v>
      </c>
      <c r="M228">
        <v>193</v>
      </c>
      <c r="N228" s="2">
        <v>1457</v>
      </c>
      <c r="O228" s="2">
        <v>1621.75</v>
      </c>
      <c r="P228">
        <v>0</v>
      </c>
      <c r="Q228">
        <v>0</v>
      </c>
      <c r="R228">
        <v>0</v>
      </c>
      <c r="S228">
        <v>0</v>
      </c>
    </row>
    <row r="229" spans="1:21" x14ac:dyDescent="0.25">
      <c r="A229" t="s">
        <v>3174</v>
      </c>
      <c r="L229" s="2">
        <v>2750</v>
      </c>
      <c r="M229" s="2">
        <v>3716</v>
      </c>
      <c r="N229">
        <v>402</v>
      </c>
    </row>
    <row r="230" spans="1:21" x14ac:dyDescent="0.25">
      <c r="A230" t="s">
        <v>213</v>
      </c>
      <c r="L230" s="2">
        <v>-4867</v>
      </c>
      <c r="M230" s="2">
        <v>-10796</v>
      </c>
      <c r="N230" s="2">
        <v>-19575</v>
      </c>
      <c r="O230" s="2">
        <v>-76958.7</v>
      </c>
      <c r="P230" s="2">
        <v>-175139.28</v>
      </c>
      <c r="Q230" s="2">
        <v>-191599.18</v>
      </c>
      <c r="R230" s="2">
        <v>-232334.61</v>
      </c>
      <c r="S230" s="2">
        <v>-281276</v>
      </c>
      <c r="T230" s="2">
        <v>-454550.8</v>
      </c>
      <c r="U230" s="2">
        <v>-366227.37</v>
      </c>
    </row>
    <row r="231" spans="1:21" x14ac:dyDescent="0.25">
      <c r="A231" t="s">
        <v>17</v>
      </c>
    </row>
    <row r="232" spans="1:21" x14ac:dyDescent="0.25">
      <c r="A232" t="s">
        <v>214</v>
      </c>
    </row>
    <row r="233" spans="1:21" x14ac:dyDescent="0.25">
      <c r="A233" t="s">
        <v>3175</v>
      </c>
      <c r="L233">
        <v>0</v>
      </c>
      <c r="M233">
        <v>-154</v>
      </c>
      <c r="N233">
        <v>-295</v>
      </c>
      <c r="O233">
        <v>-259.52999999999997</v>
      </c>
      <c r="P233">
        <v>-286.07</v>
      </c>
      <c r="Q233">
        <v>-244.26</v>
      </c>
      <c r="R233">
        <v>-64.75</v>
      </c>
      <c r="S233">
        <v>0</v>
      </c>
    </row>
    <row r="234" spans="1:21" x14ac:dyDescent="0.25">
      <c r="A234" t="s">
        <v>3176</v>
      </c>
      <c r="L234">
        <v>0</v>
      </c>
      <c r="M234">
        <v>0</v>
      </c>
      <c r="N234" s="2">
        <v>16055</v>
      </c>
      <c r="O234" s="2">
        <v>62990.67</v>
      </c>
      <c r="P234" s="2">
        <v>64166</v>
      </c>
      <c r="Q234" s="2">
        <v>59607.4</v>
      </c>
      <c r="R234" s="2">
        <v>16666.669999999998</v>
      </c>
      <c r="S234" s="2">
        <v>12499.5</v>
      </c>
      <c r="T234" s="2">
        <v>-7500</v>
      </c>
    </row>
    <row r="235" spans="1:21" x14ac:dyDescent="0.25">
      <c r="A235" t="s">
        <v>3177</v>
      </c>
      <c r="L235">
        <v>0</v>
      </c>
      <c r="M235">
        <v>0</v>
      </c>
      <c r="N235">
        <v>-66</v>
      </c>
      <c r="O235">
        <v>-114.4</v>
      </c>
      <c r="P235">
        <v>-74.77</v>
      </c>
      <c r="Q235">
        <v>-116.99</v>
      </c>
      <c r="R235">
        <v>-123.24</v>
      </c>
      <c r="S235">
        <v>-58.99</v>
      </c>
      <c r="T235">
        <v>79.62</v>
      </c>
    </row>
    <row r="236" spans="1:21" x14ac:dyDescent="0.25">
      <c r="A236" t="s">
        <v>3178</v>
      </c>
      <c r="L236">
        <v>774</v>
      </c>
      <c r="M236" s="2">
        <v>13101</v>
      </c>
      <c r="N236" s="2">
        <v>18807</v>
      </c>
      <c r="O236" s="2">
        <v>82316.81</v>
      </c>
      <c r="P236">
        <v>0</v>
      </c>
      <c r="Q236">
        <v>0</v>
      </c>
      <c r="R236">
        <v>0</v>
      </c>
      <c r="S236">
        <v>0</v>
      </c>
    </row>
    <row r="237" spans="1:21" x14ac:dyDescent="0.25">
      <c r="A237" t="s">
        <v>347</v>
      </c>
      <c r="L237">
        <v>0</v>
      </c>
      <c r="M237">
        <v>0</v>
      </c>
      <c r="N237">
        <v>0</v>
      </c>
    </row>
    <row r="238" spans="1:21" x14ac:dyDescent="0.25">
      <c r="A238" t="s">
        <v>3179</v>
      </c>
      <c r="L238">
        <v>-170</v>
      </c>
      <c r="M238" s="2">
        <v>-1021</v>
      </c>
      <c r="N238" s="2">
        <v>-1125</v>
      </c>
      <c r="O238" s="2">
        <v>-3983.4</v>
      </c>
      <c r="P238">
        <v>0</v>
      </c>
      <c r="Q238">
        <v>0</v>
      </c>
      <c r="R238">
        <v>0</v>
      </c>
      <c r="S238">
        <v>0</v>
      </c>
    </row>
    <row r="239" spans="1:21" x14ac:dyDescent="0.25">
      <c r="A239" t="s">
        <v>218</v>
      </c>
      <c r="L239">
        <v>422</v>
      </c>
      <c r="M239" s="2">
        <v>11830</v>
      </c>
      <c r="N239" s="2">
        <v>26350</v>
      </c>
      <c r="O239" s="2">
        <v>116492.64</v>
      </c>
      <c r="P239" s="2">
        <v>72591.740000000005</v>
      </c>
      <c r="Q239" s="2">
        <v>84924.07</v>
      </c>
      <c r="R239" s="2">
        <v>69552.53</v>
      </c>
      <c r="S239" s="2">
        <v>53856.17</v>
      </c>
      <c r="T239" s="2">
        <v>18253.169999999998</v>
      </c>
      <c r="U239" s="2">
        <v>31598.44</v>
      </c>
    </row>
    <row r="240" spans="1:21" x14ac:dyDescent="0.25">
      <c r="A240" t="s">
        <v>17</v>
      </c>
    </row>
    <row r="241" spans="1:21" x14ac:dyDescent="0.25">
      <c r="A241" t="s">
        <v>176</v>
      </c>
    </row>
    <row r="242" spans="1:21" x14ac:dyDescent="0.25">
      <c r="A242" t="s">
        <v>219</v>
      </c>
      <c r="L242">
        <v>-2</v>
      </c>
      <c r="M242">
        <v>1</v>
      </c>
      <c r="N242">
        <v>63</v>
      </c>
      <c r="O242">
        <v>-33.07</v>
      </c>
      <c r="P242">
        <v>25</v>
      </c>
      <c r="Q242">
        <v>25</v>
      </c>
      <c r="R242">
        <v>50</v>
      </c>
      <c r="S242">
        <v>50</v>
      </c>
    </row>
    <row r="243" spans="1:21" x14ac:dyDescent="0.25">
      <c r="A243" t="s">
        <v>1213</v>
      </c>
      <c r="L243">
        <v>73</v>
      </c>
      <c r="M243" s="2">
        <v>6811</v>
      </c>
      <c r="N243" s="2">
        <v>13623</v>
      </c>
      <c r="O243" s="2">
        <v>62480.33</v>
      </c>
      <c r="P243" s="2">
        <v>-49177.1</v>
      </c>
      <c r="Q243" s="2">
        <v>4600.51</v>
      </c>
      <c r="R243" s="2">
        <v>12445.92</v>
      </c>
      <c r="S243" s="2">
        <v>25253.63</v>
      </c>
      <c r="T243" s="2">
        <v>23841.33</v>
      </c>
      <c r="U243" s="2">
        <v>144830.64000000001</v>
      </c>
    </row>
    <row r="244" spans="1:21" x14ac:dyDescent="0.25">
      <c r="A244" t="s">
        <v>221</v>
      </c>
      <c r="L244" s="2">
        <v>4617</v>
      </c>
      <c r="M244" s="2">
        <v>4690</v>
      </c>
      <c r="N244" s="2">
        <v>11501</v>
      </c>
      <c r="O244" s="2">
        <v>25130.15</v>
      </c>
      <c r="P244" s="2">
        <v>90309.99</v>
      </c>
      <c r="Q244" s="2">
        <v>42347.03</v>
      </c>
      <c r="R244" s="2">
        <v>59262.85</v>
      </c>
      <c r="S244" s="2">
        <v>81769.929999999993</v>
      </c>
      <c r="T244" s="2">
        <v>139268.57999999999</v>
      </c>
      <c r="U244" s="2">
        <v>230731.94</v>
      </c>
    </row>
    <row r="245" spans="1:21" x14ac:dyDescent="0.25">
      <c r="A245" t="s">
        <v>222</v>
      </c>
      <c r="L245" s="2">
        <v>4690</v>
      </c>
      <c r="M245" s="2">
        <v>11501</v>
      </c>
      <c r="N245" s="2">
        <v>25124</v>
      </c>
      <c r="O245" s="2">
        <v>88310.87</v>
      </c>
      <c r="P245" s="2">
        <v>42530.68</v>
      </c>
      <c r="Q245" s="2">
        <v>58994.91</v>
      </c>
      <c r="R245" s="2">
        <v>81124.55</v>
      </c>
      <c r="S245" s="2">
        <v>116917.45</v>
      </c>
      <c r="T245" s="2">
        <v>149710</v>
      </c>
      <c r="U245" s="2">
        <v>315894.38</v>
      </c>
    </row>
    <row r="246" spans="1:21" x14ac:dyDescent="0.25">
      <c r="A246" t="s">
        <v>178</v>
      </c>
    </row>
    <row r="247" spans="1:21" x14ac:dyDescent="0.25">
      <c r="A247" t="s">
        <v>224</v>
      </c>
      <c r="L247">
        <v>1.64</v>
      </c>
      <c r="M247">
        <v>2.0299999999999998</v>
      </c>
      <c r="N247">
        <v>2.3199999999999998</v>
      </c>
      <c r="O247">
        <v>1.34</v>
      </c>
      <c r="P247">
        <v>2.19</v>
      </c>
      <c r="Q247">
        <v>4.87</v>
      </c>
      <c r="R247">
        <v>10.93</v>
      </c>
      <c r="S247">
        <v>9.8699999999999992</v>
      </c>
      <c r="T247">
        <v>2.0699999999999998</v>
      </c>
      <c r="U247">
        <v>-16.37</v>
      </c>
    </row>
    <row r="248" spans="1:21" x14ac:dyDescent="0.25">
      <c r="A248" t="s">
        <v>3180</v>
      </c>
      <c r="L248">
        <v>105</v>
      </c>
      <c r="M248" s="2">
        <v>-5387</v>
      </c>
      <c r="N248" s="2">
        <v>-13952</v>
      </c>
      <c r="O248" s="2">
        <v>-43898.87</v>
      </c>
      <c r="P248" s="2">
        <v>-122505.57</v>
      </c>
      <c r="Q248" s="2">
        <v>-73268.710000000006</v>
      </c>
      <c r="R248" s="2">
        <v>-55633.1</v>
      </c>
      <c r="S248" s="2">
        <v>-14670.68</v>
      </c>
      <c r="T248" s="2">
        <v>24193.22</v>
      </c>
      <c r="U248" s="2">
        <v>91572.21</v>
      </c>
    </row>
    <row r="249" spans="1:21" x14ac:dyDescent="0.25">
      <c r="A249" t="s">
        <v>1061</v>
      </c>
      <c r="L249">
        <v>1.01</v>
      </c>
      <c r="M249">
        <v>-38.44</v>
      </c>
      <c r="N249">
        <v>-74.709999999999994</v>
      </c>
      <c r="O249">
        <v>-94.41</v>
      </c>
      <c r="P249">
        <v>-131.87</v>
      </c>
      <c r="Q249">
        <v>-39.53</v>
      </c>
      <c r="R249">
        <v>-35.46</v>
      </c>
      <c r="S249">
        <v>-9.5399999999999991</v>
      </c>
      <c r="T249">
        <v>2.83</v>
      </c>
    </row>
    <row r="250" spans="1:21" x14ac:dyDescent="0.25">
      <c r="A250" t="s">
        <v>3181</v>
      </c>
      <c r="L250">
        <v>42.51</v>
      </c>
      <c r="M250">
        <v>79.650000000000006</v>
      </c>
      <c r="N250">
        <v>111.05</v>
      </c>
      <c r="O250">
        <v>148.04</v>
      </c>
      <c r="P250">
        <v>167.94</v>
      </c>
      <c r="Q250">
        <v>99.12</v>
      </c>
      <c r="R250">
        <v>76.459999999999994</v>
      </c>
      <c r="S250">
        <v>63.48</v>
      </c>
      <c r="T250">
        <v>60.77</v>
      </c>
      <c r="U250">
        <v>41.5</v>
      </c>
    </row>
    <row r="251" spans="1:21" x14ac:dyDescent="0.25">
      <c r="A251" t="s">
        <v>17</v>
      </c>
    </row>
    <row r="252" spans="1:21" x14ac:dyDescent="0.25">
      <c r="A252" t="s">
        <v>231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6692-9C0A-470D-BBF9-5CEC4C95EFE2}">
  <dimension ref="A1:U113"/>
  <sheetViews>
    <sheetView workbookViewId="0">
      <selection sqref="A1:U113"/>
    </sheetView>
  </sheetViews>
  <sheetFormatPr defaultRowHeight="15" x14ac:dyDescent="0.25"/>
  <sheetData>
    <row r="1" spans="1:21" x14ac:dyDescent="0.25">
      <c r="A1" t="s">
        <v>3182</v>
      </c>
    </row>
    <row r="2" spans="1:21" x14ac:dyDescent="0.25">
      <c r="A2" t="s">
        <v>3183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41699</v>
      </c>
      <c r="C4" s="1">
        <v>42064</v>
      </c>
      <c r="D4" s="1">
        <v>42430</v>
      </c>
      <c r="E4" s="1">
        <v>42795</v>
      </c>
      <c r="F4" s="1">
        <v>43160</v>
      </c>
      <c r="G4" s="1">
        <v>43525</v>
      </c>
      <c r="H4" s="1">
        <v>43891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H6">
        <v>-0.04</v>
      </c>
      <c r="J6">
        <v>-0.37</v>
      </c>
      <c r="K6">
        <v>-0.57999999999999996</v>
      </c>
      <c r="L6">
        <v>-1.07</v>
      </c>
      <c r="M6">
        <v>-1.94</v>
      </c>
      <c r="N6">
        <v>-1.34</v>
      </c>
      <c r="O6">
        <v>-1.99</v>
      </c>
      <c r="P6">
        <v>-0.89</v>
      </c>
      <c r="Q6">
        <v>0.63</v>
      </c>
      <c r="R6">
        <v>2.31</v>
      </c>
      <c r="S6">
        <v>3.61</v>
      </c>
      <c r="T6">
        <v>4.9800000000000004</v>
      </c>
      <c r="U6">
        <v>6.53</v>
      </c>
    </row>
    <row r="7" spans="1:21" x14ac:dyDescent="0.25">
      <c r="A7" t="s">
        <v>16</v>
      </c>
      <c r="H7">
        <v>0</v>
      </c>
      <c r="I7">
        <v>5.97</v>
      </c>
      <c r="J7">
        <v>12.41</v>
      </c>
      <c r="K7">
        <v>13.83</v>
      </c>
      <c r="L7">
        <v>0</v>
      </c>
      <c r="M7">
        <v>4.42</v>
      </c>
      <c r="N7">
        <v>70.92</v>
      </c>
      <c r="O7">
        <v>167.58</v>
      </c>
      <c r="P7">
        <v>645.09</v>
      </c>
      <c r="Q7" s="2">
        <v>1716.22</v>
      </c>
      <c r="R7" s="2">
        <v>2723</v>
      </c>
      <c r="S7" s="2">
        <v>3664.71</v>
      </c>
      <c r="T7" s="2">
        <v>5281.67</v>
      </c>
      <c r="U7" s="2">
        <v>6503.33</v>
      </c>
    </row>
    <row r="8" spans="1:21" x14ac:dyDescent="0.25">
      <c r="A8" t="s">
        <v>17</v>
      </c>
    </row>
    <row r="9" spans="1:21" x14ac:dyDescent="0.25">
      <c r="A9" t="s">
        <v>1584</v>
      </c>
      <c r="I9">
        <v>26.12</v>
      </c>
      <c r="J9">
        <v>84.9</v>
      </c>
      <c r="K9">
        <v>138.77000000000001</v>
      </c>
      <c r="L9">
        <v>154.61000000000001</v>
      </c>
      <c r="M9">
        <v>151.80000000000001</v>
      </c>
      <c r="N9">
        <v>260.02999999999997</v>
      </c>
      <c r="O9">
        <v>418.35</v>
      </c>
      <c r="P9">
        <v>530.85</v>
      </c>
      <c r="Q9">
        <v>607.1</v>
      </c>
      <c r="R9">
        <v>736.68</v>
      </c>
      <c r="S9">
        <v>863.46</v>
      </c>
      <c r="T9" s="2">
        <v>1154.52</v>
      </c>
      <c r="U9" s="2">
        <v>1296.45</v>
      </c>
    </row>
    <row r="10" spans="1:21" x14ac:dyDescent="0.25">
      <c r="A10" t="s">
        <v>3184</v>
      </c>
      <c r="I10">
        <v>1.01</v>
      </c>
      <c r="J10">
        <v>23.44</v>
      </c>
      <c r="K10">
        <v>45.62</v>
      </c>
      <c r="L10">
        <v>47.49</v>
      </c>
      <c r="M10">
        <v>28.78</v>
      </c>
      <c r="N10">
        <v>28.12</v>
      </c>
      <c r="O10">
        <v>34.96</v>
      </c>
      <c r="P10">
        <v>49.03</v>
      </c>
      <c r="Q10">
        <v>63</v>
      </c>
      <c r="R10">
        <v>67.510000000000005</v>
      </c>
      <c r="S10">
        <v>77.95</v>
      </c>
      <c r="T10">
        <v>50.67</v>
      </c>
      <c r="U10">
        <v>52.38</v>
      </c>
    </row>
    <row r="11" spans="1:21" x14ac:dyDescent="0.25">
      <c r="A11" t="s">
        <v>528</v>
      </c>
      <c r="H11">
        <v>0.66</v>
      </c>
      <c r="I11">
        <v>0.19</v>
      </c>
      <c r="J11">
        <v>-30.55</v>
      </c>
      <c r="K11">
        <v>-31.64</v>
      </c>
      <c r="L11">
        <v>-87.56</v>
      </c>
      <c r="M11">
        <v>-300.08</v>
      </c>
      <c r="N11">
        <v>-341.94</v>
      </c>
      <c r="O11">
        <v>-713.17</v>
      </c>
      <c r="P11">
        <v>-366.73</v>
      </c>
      <c r="Q11">
        <v>175.63</v>
      </c>
      <c r="R11">
        <v>782.17</v>
      </c>
      <c r="S11" s="2">
        <v>1279</v>
      </c>
      <c r="T11" s="2">
        <v>1758</v>
      </c>
      <c r="U11" s="2">
        <v>2315.5</v>
      </c>
    </row>
    <row r="12" spans="1:21" x14ac:dyDescent="0.25">
      <c r="A12" t="s">
        <v>17</v>
      </c>
    </row>
    <row r="13" spans="1:21" x14ac:dyDescent="0.25">
      <c r="A13" t="s">
        <v>3185</v>
      </c>
      <c r="I13">
        <v>42.78</v>
      </c>
      <c r="J13">
        <v>324.54000000000002</v>
      </c>
      <c r="K13">
        <v>239.26</v>
      </c>
      <c r="L13">
        <v>88.1</v>
      </c>
      <c r="M13">
        <v>567.53</v>
      </c>
      <c r="N13" s="2">
        <v>2779.96</v>
      </c>
      <c r="O13" s="2">
        <v>2689.01</v>
      </c>
      <c r="P13" s="2">
        <v>1848.94</v>
      </c>
      <c r="Q13" s="2">
        <v>1589.29</v>
      </c>
      <c r="R13" s="2">
        <v>2305.38</v>
      </c>
      <c r="S13" s="2">
        <v>3297.08</v>
      </c>
      <c r="T13" s="2">
        <v>6020.22</v>
      </c>
      <c r="U13" s="2">
        <v>9762.19</v>
      </c>
    </row>
    <row r="14" spans="1:21" x14ac:dyDescent="0.25">
      <c r="A14" t="s">
        <v>17</v>
      </c>
    </row>
    <row r="15" spans="1:21" x14ac:dyDescent="0.25">
      <c r="A15" t="s">
        <v>3186</v>
      </c>
      <c r="M15">
        <v>5</v>
      </c>
      <c r="N15">
        <v>5</v>
      </c>
      <c r="O15">
        <v>27</v>
      </c>
      <c r="P15">
        <v>41</v>
      </c>
      <c r="Q15">
        <v>50</v>
      </c>
      <c r="R15">
        <v>53</v>
      </c>
      <c r="S15">
        <v>56</v>
      </c>
      <c r="T15">
        <v>10</v>
      </c>
      <c r="U15">
        <v>15</v>
      </c>
    </row>
    <row r="16" spans="1:21" x14ac:dyDescent="0.25">
      <c r="A16" t="s">
        <v>17</v>
      </c>
    </row>
    <row r="17" spans="1:21" x14ac:dyDescent="0.25">
      <c r="A17" t="s">
        <v>79</v>
      </c>
    </row>
    <row r="18" spans="1:21" x14ac:dyDescent="0.25">
      <c r="A18" t="s">
        <v>80</v>
      </c>
      <c r="H18">
        <v>0</v>
      </c>
      <c r="I18">
        <v>5.97</v>
      </c>
      <c r="J18">
        <v>12.41</v>
      </c>
      <c r="K18">
        <v>13.83</v>
      </c>
      <c r="L18">
        <v>0</v>
      </c>
      <c r="M18">
        <v>4.42</v>
      </c>
      <c r="N18">
        <v>70.92</v>
      </c>
      <c r="O18">
        <v>167.58</v>
      </c>
      <c r="P18">
        <v>645.09</v>
      </c>
      <c r="Q18" s="2">
        <v>1716.22</v>
      </c>
      <c r="R18" s="2">
        <v>2723</v>
      </c>
      <c r="S18" s="2">
        <v>3664.71</v>
      </c>
      <c r="T18" s="2">
        <v>5281.67</v>
      </c>
      <c r="U18" s="2">
        <v>6503.33</v>
      </c>
    </row>
    <row r="19" spans="1:21" x14ac:dyDescent="0.25">
      <c r="A19" t="s">
        <v>17</v>
      </c>
    </row>
    <row r="20" spans="1:21" x14ac:dyDescent="0.25">
      <c r="A20" t="s">
        <v>275</v>
      </c>
    </row>
    <row r="21" spans="1:21" x14ac:dyDescent="0.25">
      <c r="A21" t="s">
        <v>3187</v>
      </c>
      <c r="I21">
        <v>3.03</v>
      </c>
      <c r="J21">
        <v>7.56</v>
      </c>
      <c r="K21">
        <v>6.71</v>
      </c>
      <c r="L21">
        <v>0</v>
      </c>
      <c r="M21">
        <v>0</v>
      </c>
      <c r="N21">
        <v>35.22</v>
      </c>
      <c r="O21">
        <v>96.12</v>
      </c>
      <c r="P21">
        <v>174.05</v>
      </c>
      <c r="Q21">
        <v>306.64999999999998</v>
      </c>
      <c r="R21">
        <v>370.84</v>
      </c>
      <c r="S21">
        <v>435.52</v>
      </c>
      <c r="T21">
        <v>968.44</v>
      </c>
      <c r="U21" s="2">
        <v>1141.71</v>
      </c>
    </row>
    <row r="22" spans="1:21" x14ac:dyDescent="0.25">
      <c r="A22" t="s">
        <v>3188</v>
      </c>
      <c r="I22">
        <v>13.08</v>
      </c>
      <c r="J22">
        <v>29.6</v>
      </c>
      <c r="K22">
        <v>54.21</v>
      </c>
      <c r="L22">
        <v>78.81</v>
      </c>
      <c r="M22">
        <v>93.49</v>
      </c>
      <c r="N22">
        <v>142.51</v>
      </c>
      <c r="O22">
        <v>336</v>
      </c>
      <c r="P22">
        <v>305.73</v>
      </c>
      <c r="Q22">
        <v>331.02</v>
      </c>
      <c r="R22">
        <v>269.57</v>
      </c>
      <c r="S22">
        <v>275.8</v>
      </c>
      <c r="T22">
        <v>353.4</v>
      </c>
      <c r="U22">
        <v>354</v>
      </c>
    </row>
    <row r="23" spans="1:21" x14ac:dyDescent="0.25">
      <c r="A23" t="s">
        <v>3189</v>
      </c>
      <c r="I23">
        <v>12.32</v>
      </c>
      <c r="J23">
        <v>35.64</v>
      </c>
      <c r="K23">
        <v>48.33</v>
      </c>
      <c r="L23">
        <v>41.6</v>
      </c>
      <c r="M23">
        <v>61.57</v>
      </c>
      <c r="N23">
        <v>101.68</v>
      </c>
      <c r="O23">
        <v>216.29</v>
      </c>
      <c r="P23">
        <v>202.99</v>
      </c>
      <c r="Q23">
        <v>204.9</v>
      </c>
      <c r="R23">
        <v>195.07</v>
      </c>
      <c r="S23">
        <v>199.94</v>
      </c>
      <c r="T23">
        <v>257</v>
      </c>
      <c r="U23">
        <v>257.35000000000002</v>
      </c>
    </row>
    <row r="24" spans="1:21" x14ac:dyDescent="0.25">
      <c r="A24" t="s">
        <v>3184</v>
      </c>
      <c r="I24">
        <v>1.01</v>
      </c>
      <c r="J24">
        <v>23.44</v>
      </c>
      <c r="K24">
        <v>45.62</v>
      </c>
      <c r="L24">
        <v>47.49</v>
      </c>
      <c r="M24">
        <v>28.78</v>
      </c>
      <c r="N24">
        <v>28.12</v>
      </c>
      <c r="O24">
        <v>34.96</v>
      </c>
      <c r="P24">
        <v>49.03</v>
      </c>
      <c r="Q24">
        <v>63</v>
      </c>
      <c r="R24">
        <v>67.510000000000005</v>
      </c>
      <c r="S24">
        <v>77.95</v>
      </c>
      <c r="T24">
        <v>50.67</v>
      </c>
      <c r="U24">
        <v>52.38</v>
      </c>
    </row>
    <row r="25" spans="1:21" x14ac:dyDescent="0.25">
      <c r="A25" t="s">
        <v>17</v>
      </c>
    </row>
    <row r="26" spans="1:21" x14ac:dyDescent="0.25">
      <c r="A26" t="s">
        <v>84</v>
      </c>
      <c r="I26">
        <v>2.94</v>
      </c>
      <c r="J26">
        <v>4.84</v>
      </c>
      <c r="K26">
        <v>7.11</v>
      </c>
      <c r="N26">
        <v>35.700000000000003</v>
      </c>
      <c r="O26">
        <v>73.67</v>
      </c>
      <c r="P26">
        <v>529.45000000000005</v>
      </c>
      <c r="Q26" s="2">
        <v>1404.01</v>
      </c>
      <c r="R26" s="2">
        <v>2208.94</v>
      </c>
      <c r="S26" s="2">
        <v>2934.03</v>
      </c>
      <c r="T26" s="2">
        <v>4432.2700000000004</v>
      </c>
      <c r="U26" s="2">
        <v>5377.54</v>
      </c>
    </row>
    <row r="27" spans="1:21" x14ac:dyDescent="0.25">
      <c r="A27" t="s">
        <v>85</v>
      </c>
      <c r="I27">
        <v>49.3</v>
      </c>
      <c r="J27">
        <v>39.03</v>
      </c>
      <c r="K27">
        <v>51.44</v>
      </c>
      <c r="N27">
        <v>53.42</v>
      </c>
      <c r="O27">
        <v>45.7</v>
      </c>
      <c r="P27">
        <v>76.59</v>
      </c>
      <c r="Q27">
        <v>83.73</v>
      </c>
      <c r="R27">
        <v>85.08</v>
      </c>
      <c r="S27">
        <v>86.44</v>
      </c>
      <c r="T27">
        <v>81.5</v>
      </c>
      <c r="U27">
        <v>81.5</v>
      </c>
    </row>
    <row r="28" spans="1:21" x14ac:dyDescent="0.25">
      <c r="A28" t="s">
        <v>17</v>
      </c>
    </row>
    <row r="29" spans="1:21" x14ac:dyDescent="0.25">
      <c r="A29" t="s">
        <v>91</v>
      </c>
      <c r="H29">
        <v>-0.38</v>
      </c>
      <c r="I29">
        <v>-21.33</v>
      </c>
      <c r="J29">
        <v>-86.75</v>
      </c>
      <c r="K29">
        <v>-145.76</v>
      </c>
      <c r="L29">
        <v>-209.08</v>
      </c>
      <c r="M29">
        <v>-242.76</v>
      </c>
      <c r="N29">
        <v>-287.70999999999998</v>
      </c>
      <c r="O29">
        <v>-662</v>
      </c>
      <c r="P29">
        <v>-363.5</v>
      </c>
      <c r="Q29">
        <v>276.56</v>
      </c>
      <c r="R29" s="2">
        <v>1083.4000000000001</v>
      </c>
      <c r="S29" s="2">
        <v>1837.6</v>
      </c>
      <c r="T29" s="2">
        <v>2966.5</v>
      </c>
      <c r="U29" s="2">
        <v>3877</v>
      </c>
    </row>
    <row r="30" spans="1:21" x14ac:dyDescent="0.25">
      <c r="A30" t="s">
        <v>17</v>
      </c>
    </row>
    <row r="31" spans="1:21" x14ac:dyDescent="0.25">
      <c r="A31" t="s">
        <v>93</v>
      </c>
      <c r="I31">
        <v>0.89</v>
      </c>
      <c r="J31">
        <v>2.91</v>
      </c>
      <c r="K31">
        <v>4.71</v>
      </c>
      <c r="L31">
        <v>54.47</v>
      </c>
      <c r="M31">
        <v>63.34</v>
      </c>
      <c r="N31">
        <v>51.11</v>
      </c>
      <c r="O31">
        <v>102.34</v>
      </c>
      <c r="P31">
        <v>238.33</v>
      </c>
      <c r="Q31">
        <v>391.48</v>
      </c>
      <c r="R31">
        <v>584.51</v>
      </c>
      <c r="S31">
        <v>723.21</v>
      </c>
      <c r="T31">
        <v>764.6</v>
      </c>
      <c r="U31">
        <v>796.87</v>
      </c>
    </row>
    <row r="32" spans="1:21" x14ac:dyDescent="0.25">
      <c r="A32" t="s">
        <v>17</v>
      </c>
    </row>
    <row r="33" spans="1:21" x14ac:dyDescent="0.25">
      <c r="A33" t="s">
        <v>3190</v>
      </c>
      <c r="I33">
        <v>-0.08</v>
      </c>
      <c r="J33">
        <v>-13.82</v>
      </c>
      <c r="K33">
        <v>-43.27</v>
      </c>
      <c r="L33">
        <v>-1.37</v>
      </c>
      <c r="M33">
        <v>282.24</v>
      </c>
      <c r="N33">
        <v>169.4</v>
      </c>
      <c r="O33">
        <v>191.24</v>
      </c>
      <c r="P33">
        <v>148.56</v>
      </c>
      <c r="Q33">
        <v>289.7</v>
      </c>
      <c r="R33">
        <v>162.26</v>
      </c>
      <c r="S33">
        <v>157.6</v>
      </c>
      <c r="T33">
        <v>2.85</v>
      </c>
      <c r="U33">
        <v>-17.170000000000002</v>
      </c>
    </row>
    <row r="34" spans="1:21" x14ac:dyDescent="0.25">
      <c r="A34" t="s">
        <v>3191</v>
      </c>
      <c r="I34">
        <v>0</v>
      </c>
      <c r="J34">
        <v>-15.77</v>
      </c>
      <c r="K34">
        <v>-19.11</v>
      </c>
      <c r="L34">
        <v>-8.99</v>
      </c>
      <c r="M34">
        <v>268.63</v>
      </c>
      <c r="N34">
        <v>68.150000000000006</v>
      </c>
      <c r="O34">
        <v>0.97</v>
      </c>
      <c r="P34">
        <v>-0.3</v>
      </c>
      <c r="Q34">
        <v>-0.3</v>
      </c>
      <c r="R34">
        <v>-0.6</v>
      </c>
      <c r="S34">
        <v>-0.6</v>
      </c>
    </row>
    <row r="35" spans="1:21" x14ac:dyDescent="0.25">
      <c r="A35" t="s">
        <v>484</v>
      </c>
      <c r="J35">
        <v>0</v>
      </c>
      <c r="K35">
        <v>0</v>
      </c>
      <c r="M35">
        <v>-18.68</v>
      </c>
      <c r="N35">
        <v>36.07</v>
      </c>
      <c r="O35">
        <v>96.82</v>
      </c>
      <c r="P35">
        <v>94.43</v>
      </c>
      <c r="Q35">
        <v>84.59</v>
      </c>
      <c r="R35">
        <v>80.44</v>
      </c>
      <c r="S35">
        <v>78.84</v>
      </c>
      <c r="T35">
        <v>24.72</v>
      </c>
      <c r="U35">
        <v>24.72</v>
      </c>
    </row>
    <row r="36" spans="1:21" x14ac:dyDescent="0.25">
      <c r="A36" t="s">
        <v>398</v>
      </c>
      <c r="I36">
        <v>1.48</v>
      </c>
      <c r="L36">
        <v>2.68</v>
      </c>
      <c r="M36">
        <v>14.16</v>
      </c>
      <c r="N36">
        <v>49.23</v>
      </c>
      <c r="O36">
        <v>108.08</v>
      </c>
      <c r="P36">
        <v>97.16</v>
      </c>
      <c r="Q36">
        <v>68.930000000000007</v>
      </c>
      <c r="R36">
        <v>44.16</v>
      </c>
      <c r="S36">
        <v>46.41</v>
      </c>
      <c r="T36">
        <v>21.87</v>
      </c>
      <c r="U36">
        <v>41.89</v>
      </c>
    </row>
    <row r="37" spans="1:21" x14ac:dyDescent="0.25">
      <c r="A37" t="s">
        <v>118</v>
      </c>
      <c r="L37">
        <v>-10.29</v>
      </c>
      <c r="M37">
        <v>1.87</v>
      </c>
      <c r="O37">
        <v>-147.37</v>
      </c>
      <c r="P37">
        <v>-100</v>
      </c>
      <c r="Q37">
        <v>-400</v>
      </c>
    </row>
    <row r="38" spans="1:21" x14ac:dyDescent="0.25">
      <c r="A38" t="s">
        <v>17</v>
      </c>
    </row>
    <row r="39" spans="1:21" x14ac:dyDescent="0.25">
      <c r="A39" t="s">
        <v>100</v>
      </c>
      <c r="H39">
        <v>0.83</v>
      </c>
      <c r="I39">
        <v>0.36</v>
      </c>
      <c r="J39">
        <v>-72.930000000000007</v>
      </c>
      <c r="K39">
        <v>-102.5</v>
      </c>
      <c r="L39">
        <v>-221</v>
      </c>
      <c r="M39">
        <v>-525</v>
      </c>
      <c r="N39">
        <v>-457.11</v>
      </c>
      <c r="O39">
        <v>-803.6</v>
      </c>
      <c r="P39">
        <v>-413.4</v>
      </c>
      <c r="Q39">
        <v>264.63</v>
      </c>
      <c r="R39" s="2">
        <v>1109.8</v>
      </c>
      <c r="S39" s="2">
        <v>1845.6</v>
      </c>
      <c r="T39" s="2">
        <v>2963.5</v>
      </c>
      <c r="U39" s="2">
        <v>3894</v>
      </c>
    </row>
    <row r="40" spans="1:21" x14ac:dyDescent="0.25">
      <c r="A40" t="s">
        <v>17</v>
      </c>
    </row>
    <row r="41" spans="1:21" x14ac:dyDescent="0.25">
      <c r="A41" t="s">
        <v>101</v>
      </c>
      <c r="I41">
        <v>0.13</v>
      </c>
      <c r="J41">
        <v>0.33</v>
      </c>
      <c r="K41">
        <v>0.62</v>
      </c>
      <c r="L41">
        <v>1.68</v>
      </c>
      <c r="M41">
        <v>1.33</v>
      </c>
      <c r="N41">
        <v>3.9</v>
      </c>
      <c r="O41">
        <v>3.04</v>
      </c>
      <c r="P41">
        <v>2.62</v>
      </c>
      <c r="Q41">
        <v>25.63</v>
      </c>
      <c r="R41">
        <v>146.25</v>
      </c>
      <c r="S41">
        <v>271.42</v>
      </c>
      <c r="T41">
        <v>608.52</v>
      </c>
      <c r="U41">
        <v>801.3</v>
      </c>
    </row>
    <row r="42" spans="1:21" x14ac:dyDescent="0.25">
      <c r="A42" t="s">
        <v>102</v>
      </c>
      <c r="H42">
        <v>21</v>
      </c>
      <c r="I42">
        <v>-1</v>
      </c>
      <c r="J42">
        <v>0</v>
      </c>
      <c r="K42">
        <v>-1</v>
      </c>
      <c r="L42">
        <v>-1</v>
      </c>
      <c r="M42">
        <v>0</v>
      </c>
      <c r="N42">
        <v>-1</v>
      </c>
      <c r="O42">
        <v>-0.34</v>
      </c>
      <c r="P42">
        <v>-0.57999999999999996</v>
      </c>
      <c r="Q42">
        <v>-0.82</v>
      </c>
      <c r="R42">
        <v>2</v>
      </c>
      <c r="S42">
        <v>2</v>
      </c>
      <c r="T42">
        <v>-21</v>
      </c>
      <c r="U42">
        <v>-21</v>
      </c>
    </row>
    <row r="43" spans="1:21" x14ac:dyDescent="0.25">
      <c r="A43" t="s">
        <v>17</v>
      </c>
    </row>
    <row r="44" spans="1:21" x14ac:dyDescent="0.25">
      <c r="A44" t="s">
        <v>3192</v>
      </c>
      <c r="I44">
        <v>-0.34</v>
      </c>
      <c r="J44">
        <v>-42.71</v>
      </c>
      <c r="K44">
        <v>-71.47</v>
      </c>
      <c r="L44">
        <v>-135.12</v>
      </c>
      <c r="M44">
        <v>-226.25</v>
      </c>
      <c r="N44">
        <v>-119.07</v>
      </c>
      <c r="O44">
        <v>-233.37</v>
      </c>
      <c r="P44">
        <v>-169.33</v>
      </c>
      <c r="Q44">
        <v>-58.44</v>
      </c>
      <c r="R44">
        <v>52.26</v>
      </c>
      <c r="S44">
        <v>166.21</v>
      </c>
      <c r="T44">
        <v>596.9</v>
      </c>
      <c r="U44">
        <v>777.24</v>
      </c>
    </row>
    <row r="45" spans="1:21" x14ac:dyDescent="0.25">
      <c r="A45" t="s">
        <v>105</v>
      </c>
      <c r="I45">
        <v>-24.41</v>
      </c>
      <c r="J45">
        <v>-73.260000000000005</v>
      </c>
      <c r="K45">
        <v>-103.11</v>
      </c>
      <c r="L45">
        <v>-222.68</v>
      </c>
      <c r="M45">
        <v>-526.33000000000004</v>
      </c>
      <c r="N45">
        <v>-461.01</v>
      </c>
      <c r="O45">
        <v>-876.69</v>
      </c>
      <c r="P45">
        <v>-426.85</v>
      </c>
      <c r="Q45">
        <v>179.86</v>
      </c>
      <c r="R45">
        <v>917.57</v>
      </c>
      <c r="S45" s="2">
        <v>1530.73</v>
      </c>
      <c r="T45" s="2">
        <v>2354.86</v>
      </c>
      <c r="U45" s="2">
        <v>3092.68</v>
      </c>
    </row>
    <row r="46" spans="1:21" x14ac:dyDescent="0.25">
      <c r="A46" t="s">
        <v>106</v>
      </c>
      <c r="H46">
        <v>0.66</v>
      </c>
      <c r="I46">
        <v>0.19</v>
      </c>
      <c r="J46">
        <v>-30.55</v>
      </c>
      <c r="K46">
        <v>-31.64</v>
      </c>
      <c r="L46">
        <v>-87.56</v>
      </c>
      <c r="M46">
        <v>-300.08</v>
      </c>
      <c r="N46">
        <v>-341.94</v>
      </c>
      <c r="O46">
        <v>-820</v>
      </c>
      <c r="P46">
        <v>-407.78</v>
      </c>
      <c r="Q46">
        <v>187.21</v>
      </c>
      <c r="R46">
        <v>917.4</v>
      </c>
      <c r="S46" s="2">
        <v>1530.8</v>
      </c>
      <c r="T46" s="2">
        <v>2355</v>
      </c>
      <c r="U46" s="2">
        <v>3092.5</v>
      </c>
    </row>
    <row r="47" spans="1:21" x14ac:dyDescent="0.25">
      <c r="A47" t="s">
        <v>17</v>
      </c>
    </row>
    <row r="48" spans="1:21" x14ac:dyDescent="0.25">
      <c r="A48" t="s">
        <v>108</v>
      </c>
      <c r="I48">
        <v>7.01</v>
      </c>
      <c r="J48">
        <v>51.73</v>
      </c>
      <c r="K48">
        <v>54.44</v>
      </c>
      <c r="L48">
        <v>81.819999999999993</v>
      </c>
      <c r="M48">
        <v>154.5</v>
      </c>
      <c r="N48">
        <v>255.98</v>
      </c>
      <c r="O48">
        <v>301.69</v>
      </c>
      <c r="P48">
        <v>315.27999999999997</v>
      </c>
      <c r="Q48">
        <v>322.02999999999997</v>
      </c>
      <c r="R48">
        <v>329.72</v>
      </c>
      <c r="S48">
        <v>332.11</v>
      </c>
      <c r="T48">
        <v>359.95</v>
      </c>
      <c r="U48">
        <v>363.06</v>
      </c>
    </row>
    <row r="49" spans="1:21" x14ac:dyDescent="0.25">
      <c r="A49" t="s">
        <v>17</v>
      </c>
    </row>
    <row r="50" spans="1:21" x14ac:dyDescent="0.25">
      <c r="A50" t="s">
        <v>110</v>
      </c>
      <c r="H50">
        <v>-0.04</v>
      </c>
      <c r="J50">
        <v>-0.37</v>
      </c>
      <c r="K50">
        <v>-0.57999999999999996</v>
      </c>
      <c r="L50">
        <v>-1.07</v>
      </c>
      <c r="M50">
        <v>-1.94</v>
      </c>
      <c r="N50">
        <v>-1.34</v>
      </c>
      <c r="O50">
        <v>-2.12</v>
      </c>
      <c r="P50">
        <v>-0.9</v>
      </c>
      <c r="Q50">
        <v>0.68</v>
      </c>
      <c r="R50">
        <v>2.4700000000000002</v>
      </c>
      <c r="S50">
        <v>3.84</v>
      </c>
      <c r="T50">
        <v>4.9800000000000004</v>
      </c>
      <c r="U50">
        <v>6.53</v>
      </c>
    </row>
    <row r="51" spans="1:21" x14ac:dyDescent="0.25">
      <c r="A51" t="s">
        <v>17</v>
      </c>
    </row>
    <row r="52" spans="1:21" x14ac:dyDescent="0.25">
      <c r="A52" t="s">
        <v>111</v>
      </c>
    </row>
    <row r="53" spans="1:21" x14ac:dyDescent="0.25">
      <c r="A53" t="s">
        <v>87</v>
      </c>
      <c r="I53">
        <v>26.12</v>
      </c>
      <c r="J53">
        <v>84.9</v>
      </c>
      <c r="K53">
        <v>138.77000000000001</v>
      </c>
      <c r="L53">
        <v>154.61000000000001</v>
      </c>
      <c r="M53">
        <v>151.80000000000001</v>
      </c>
      <c r="N53">
        <v>260.02999999999997</v>
      </c>
      <c r="O53">
        <v>418.35</v>
      </c>
      <c r="P53">
        <v>530.85</v>
      </c>
      <c r="Q53">
        <v>607.1</v>
      </c>
      <c r="R53">
        <v>736.68</v>
      </c>
      <c r="S53">
        <v>863.46</v>
      </c>
      <c r="T53" s="2">
        <v>1154.52</v>
      </c>
      <c r="U53" s="2">
        <v>1296.45</v>
      </c>
    </row>
    <row r="54" spans="1:21" x14ac:dyDescent="0.25">
      <c r="A54" t="s">
        <v>3187</v>
      </c>
      <c r="N54">
        <v>34.47</v>
      </c>
      <c r="O54">
        <v>102.97</v>
      </c>
      <c r="P54">
        <v>171.89</v>
      </c>
      <c r="Q54">
        <v>287.92</v>
      </c>
      <c r="R54">
        <v>433.81</v>
      </c>
      <c r="S54">
        <v>574.53</v>
      </c>
      <c r="T54">
        <v>574.13</v>
      </c>
      <c r="U54">
        <v>725.48</v>
      </c>
    </row>
    <row r="55" spans="1:21" x14ac:dyDescent="0.25">
      <c r="A55" t="s">
        <v>3189</v>
      </c>
      <c r="N55">
        <v>80.48</v>
      </c>
      <c r="O55">
        <v>129.5</v>
      </c>
      <c r="P55">
        <v>147.33000000000001</v>
      </c>
      <c r="Q55">
        <v>162.41999999999999</v>
      </c>
      <c r="R55">
        <v>210.9</v>
      </c>
      <c r="S55">
        <v>233</v>
      </c>
    </row>
    <row r="56" spans="1:21" x14ac:dyDescent="0.25">
      <c r="A56" t="s">
        <v>3188</v>
      </c>
    </row>
    <row r="57" spans="1:21" x14ac:dyDescent="0.25">
      <c r="A57" t="s">
        <v>121</v>
      </c>
      <c r="H57">
        <v>0.66</v>
      </c>
      <c r="I57">
        <v>0.19</v>
      </c>
      <c r="J57">
        <v>-30.55</v>
      </c>
      <c r="K57">
        <v>-31.64</v>
      </c>
      <c r="L57">
        <v>-87.56</v>
      </c>
      <c r="M57">
        <v>-300.08</v>
      </c>
      <c r="N57">
        <v>-341.94</v>
      </c>
      <c r="O57">
        <v>-713.17</v>
      </c>
      <c r="P57">
        <v>-366.73</v>
      </c>
      <c r="Q57">
        <v>175.63</v>
      </c>
      <c r="R57">
        <v>782.17</v>
      </c>
      <c r="S57" s="2">
        <v>1279</v>
      </c>
      <c r="T57" s="2">
        <v>1758</v>
      </c>
      <c r="U57" s="2">
        <v>2315.5</v>
      </c>
    </row>
    <row r="58" spans="1:21" x14ac:dyDescent="0.25">
      <c r="A58" t="s">
        <v>124</v>
      </c>
      <c r="H58">
        <v>-0.04</v>
      </c>
      <c r="J58">
        <v>-0.37</v>
      </c>
      <c r="K58">
        <v>-0.57999999999999996</v>
      </c>
      <c r="L58">
        <v>-1.07</v>
      </c>
      <c r="M58">
        <v>-1.94</v>
      </c>
      <c r="N58">
        <v>-1.34</v>
      </c>
      <c r="O58">
        <v>-1.99</v>
      </c>
      <c r="P58">
        <v>-0.89</v>
      </c>
      <c r="Q58">
        <v>0.63</v>
      </c>
      <c r="R58">
        <v>2.31</v>
      </c>
      <c r="S58">
        <v>3.61</v>
      </c>
      <c r="T58">
        <v>4.9800000000000004</v>
      </c>
      <c r="U58">
        <v>6.53</v>
      </c>
    </row>
    <row r="59" spans="1:21" x14ac:dyDescent="0.25">
      <c r="A59" t="s">
        <v>17</v>
      </c>
    </row>
    <row r="60" spans="1:21" x14ac:dyDescent="0.25">
      <c r="A60" t="s">
        <v>125</v>
      </c>
    </row>
    <row r="61" spans="1:21" x14ac:dyDescent="0.25">
      <c r="A61" t="s">
        <v>67</v>
      </c>
      <c r="I61">
        <v>0.28000000000000003</v>
      </c>
      <c r="J61">
        <v>3.74</v>
      </c>
      <c r="K61">
        <v>9.39</v>
      </c>
      <c r="L61">
        <v>13.29</v>
      </c>
      <c r="M61">
        <v>32.04</v>
      </c>
      <c r="N61">
        <v>47.49</v>
      </c>
      <c r="O61">
        <v>217.17</v>
      </c>
      <c r="P61">
        <v>210.35</v>
      </c>
      <c r="Q61">
        <v>232.71</v>
      </c>
      <c r="R61">
        <v>225.88</v>
      </c>
      <c r="S61">
        <v>229.17</v>
      </c>
      <c r="T61">
        <v>313.08999999999997</v>
      </c>
      <c r="U61">
        <v>325.93</v>
      </c>
    </row>
    <row r="62" spans="1:21" x14ac:dyDescent="0.25">
      <c r="A62" t="s">
        <v>3193</v>
      </c>
      <c r="K62">
        <v>5.03</v>
      </c>
      <c r="L62">
        <v>8.83</v>
      </c>
      <c r="M62">
        <v>15.42</v>
      </c>
      <c r="N62">
        <v>25.83</v>
      </c>
      <c r="O62">
        <v>125.49</v>
      </c>
      <c r="P62">
        <v>123.08</v>
      </c>
      <c r="Q62">
        <v>134.38</v>
      </c>
      <c r="R62">
        <v>132.63999999999999</v>
      </c>
      <c r="S62">
        <v>136.62</v>
      </c>
      <c r="T62">
        <v>140.72</v>
      </c>
      <c r="U62">
        <v>144.94</v>
      </c>
    </row>
    <row r="63" spans="1:21" x14ac:dyDescent="0.25">
      <c r="A63" t="s">
        <v>3194</v>
      </c>
      <c r="K63">
        <v>4.37</v>
      </c>
      <c r="L63">
        <v>4.46</v>
      </c>
      <c r="M63">
        <v>16.62</v>
      </c>
      <c r="N63">
        <v>21.2</v>
      </c>
      <c r="O63">
        <v>105.41</v>
      </c>
      <c r="P63">
        <v>120.58</v>
      </c>
      <c r="Q63">
        <v>127.88</v>
      </c>
      <c r="R63">
        <v>154.5</v>
      </c>
      <c r="S63">
        <v>162.22</v>
      </c>
      <c r="T63">
        <v>170.33</v>
      </c>
      <c r="U63">
        <v>178.85</v>
      </c>
    </row>
    <row r="64" spans="1:21" x14ac:dyDescent="0.25">
      <c r="A64" t="s">
        <v>17</v>
      </c>
    </row>
    <row r="65" spans="1:21" x14ac:dyDescent="0.25">
      <c r="A65" t="s">
        <v>134</v>
      </c>
    </row>
    <row r="66" spans="1:21" x14ac:dyDescent="0.25">
      <c r="A66" t="s">
        <v>135</v>
      </c>
    </row>
    <row r="67" spans="1:21" x14ac:dyDescent="0.25">
      <c r="A67" t="s">
        <v>136</v>
      </c>
      <c r="H67">
        <v>0.62</v>
      </c>
      <c r="I67">
        <v>50.93</v>
      </c>
      <c r="J67">
        <v>335.8</v>
      </c>
      <c r="K67">
        <v>268.31</v>
      </c>
      <c r="L67">
        <v>106.88</v>
      </c>
      <c r="M67">
        <v>600.25</v>
      </c>
      <c r="N67" s="2">
        <v>2458.5100000000002</v>
      </c>
      <c r="O67" s="2">
        <v>2176.58</v>
      </c>
      <c r="P67" s="2">
        <v>1253.9000000000001</v>
      </c>
      <c r="Q67">
        <v>783.03</v>
      </c>
      <c r="R67" s="2">
        <v>1404.6</v>
      </c>
      <c r="S67" s="2">
        <v>2829.9</v>
      </c>
      <c r="T67" s="2">
        <v>6105.82</v>
      </c>
      <c r="U67" s="2">
        <v>9958.85</v>
      </c>
    </row>
    <row r="68" spans="1:21" x14ac:dyDescent="0.25">
      <c r="A68" t="s">
        <v>536</v>
      </c>
      <c r="H68">
        <v>0.49</v>
      </c>
      <c r="I68">
        <v>42.78</v>
      </c>
      <c r="J68">
        <v>321.79000000000002</v>
      </c>
      <c r="K68">
        <v>238.59</v>
      </c>
      <c r="L68">
        <v>85.62</v>
      </c>
      <c r="M68">
        <v>564.99</v>
      </c>
      <c r="N68" s="2">
        <v>2335.6799999999998</v>
      </c>
      <c r="O68" s="2">
        <v>1989.41</v>
      </c>
      <c r="P68" s="2">
        <v>1061.52</v>
      </c>
      <c r="Q68">
        <v>507.38</v>
      </c>
      <c r="R68">
        <v>993.65</v>
      </c>
      <c r="S68" s="2">
        <v>2313.58</v>
      </c>
      <c r="T68" s="2">
        <v>5585.64</v>
      </c>
      <c r="U68" s="2">
        <v>9327.61</v>
      </c>
    </row>
    <row r="69" spans="1:21" x14ac:dyDescent="0.25">
      <c r="A69" t="s">
        <v>3195</v>
      </c>
      <c r="H69">
        <v>0.13</v>
      </c>
      <c r="I69">
        <v>1.25</v>
      </c>
      <c r="J69">
        <v>3.21</v>
      </c>
      <c r="K69">
        <v>4.0999999999999996</v>
      </c>
      <c r="L69">
        <v>4.59</v>
      </c>
      <c r="M69">
        <v>7.89</v>
      </c>
      <c r="N69">
        <v>11.96</v>
      </c>
      <c r="O69">
        <v>15.13</v>
      </c>
      <c r="P69">
        <v>15.13</v>
      </c>
      <c r="Q69">
        <v>15.13</v>
      </c>
      <c r="R69">
        <v>14.34</v>
      </c>
      <c r="S69">
        <v>14.34</v>
      </c>
      <c r="T69">
        <v>16.73</v>
      </c>
      <c r="U69">
        <v>16.73</v>
      </c>
    </row>
    <row r="70" spans="1:21" x14ac:dyDescent="0.25">
      <c r="A70" t="s">
        <v>146</v>
      </c>
      <c r="H70">
        <v>231.21</v>
      </c>
      <c r="I70">
        <v>280.91000000000003</v>
      </c>
      <c r="J70">
        <v>108.13</v>
      </c>
      <c r="K70">
        <v>170.06</v>
      </c>
      <c r="L70">
        <v>254.01</v>
      </c>
      <c r="M70">
        <v>354.32</v>
      </c>
      <c r="N70" s="2">
        <v>2555.88</v>
      </c>
      <c r="O70" s="2">
        <v>4143.55</v>
      </c>
      <c r="P70" s="2">
        <v>5053.4799999999996</v>
      </c>
      <c r="Q70" s="2">
        <v>5650.77</v>
      </c>
      <c r="R70" s="2">
        <v>5993.5</v>
      </c>
      <c r="S70" s="2">
        <v>6091.43</v>
      </c>
      <c r="T70" s="2">
        <v>6185.15</v>
      </c>
      <c r="U70" s="2">
        <v>6258.83</v>
      </c>
    </row>
    <row r="71" spans="1:21" x14ac:dyDescent="0.25">
      <c r="A71" t="s">
        <v>1706</v>
      </c>
      <c r="I71">
        <v>37.07</v>
      </c>
      <c r="J71">
        <v>95.94</v>
      </c>
      <c r="K71">
        <v>145.99</v>
      </c>
      <c r="L71">
        <v>238.48</v>
      </c>
      <c r="M71">
        <v>337.67</v>
      </c>
      <c r="N71" s="2">
        <v>1398.76</v>
      </c>
      <c r="O71" s="2">
        <v>2708.11</v>
      </c>
      <c r="P71" s="2">
        <v>3569.24</v>
      </c>
      <c r="Q71" s="2">
        <v>4632.01</v>
      </c>
      <c r="R71" s="2">
        <v>4391.96</v>
      </c>
      <c r="S71" s="2">
        <v>4633.2</v>
      </c>
      <c r="T71" s="2">
        <v>4186.33</v>
      </c>
      <c r="U71" s="2">
        <v>4107.22</v>
      </c>
    </row>
    <row r="72" spans="1:21" x14ac:dyDescent="0.25">
      <c r="A72" t="s">
        <v>901</v>
      </c>
      <c r="I72">
        <v>7.05</v>
      </c>
      <c r="J72">
        <v>7.99</v>
      </c>
      <c r="K72">
        <v>7.67</v>
      </c>
      <c r="L72">
        <v>13.22</v>
      </c>
      <c r="M72">
        <v>14.01</v>
      </c>
      <c r="N72">
        <v>19.420000000000002</v>
      </c>
      <c r="O72">
        <v>21.21</v>
      </c>
      <c r="P72">
        <v>21.21</v>
      </c>
      <c r="Q72">
        <v>21.21</v>
      </c>
      <c r="R72">
        <v>21.22</v>
      </c>
      <c r="S72">
        <v>21.22</v>
      </c>
      <c r="T72">
        <v>21.22</v>
      </c>
      <c r="U72">
        <v>21.22</v>
      </c>
    </row>
    <row r="73" spans="1:21" x14ac:dyDescent="0.25">
      <c r="A73" t="s">
        <v>154</v>
      </c>
      <c r="I73">
        <v>0.16</v>
      </c>
      <c r="J73">
        <v>0.32</v>
      </c>
      <c r="K73">
        <v>16.399999999999999</v>
      </c>
      <c r="L73">
        <v>2.31</v>
      </c>
      <c r="M73">
        <v>2.63</v>
      </c>
      <c r="N73">
        <v>449.2</v>
      </c>
      <c r="O73">
        <v>543.59</v>
      </c>
      <c r="P73">
        <v>543.59</v>
      </c>
      <c r="Q73">
        <v>543.59</v>
      </c>
      <c r="R73">
        <v>543.58000000000004</v>
      </c>
      <c r="S73">
        <v>543.58000000000004</v>
      </c>
      <c r="T73">
        <v>543.58000000000004</v>
      </c>
      <c r="U73">
        <v>543.58000000000004</v>
      </c>
    </row>
    <row r="74" spans="1:21" x14ac:dyDescent="0.25">
      <c r="A74" t="s">
        <v>155</v>
      </c>
      <c r="H74">
        <v>231.84</v>
      </c>
      <c r="I74">
        <v>99.65</v>
      </c>
      <c r="J74">
        <v>443.94</v>
      </c>
      <c r="K74">
        <v>438.37</v>
      </c>
      <c r="L74">
        <v>360.89</v>
      </c>
      <c r="M74">
        <v>954.56</v>
      </c>
      <c r="N74" s="2">
        <v>5014.3900000000003</v>
      </c>
      <c r="O74" s="2">
        <v>6218.07</v>
      </c>
      <c r="P74" s="2">
        <v>6409.41</v>
      </c>
      <c r="Q74" s="2">
        <v>6686.47</v>
      </c>
      <c r="R74" s="2">
        <v>6929.04</v>
      </c>
      <c r="S74" s="2">
        <v>8118.55</v>
      </c>
      <c r="T74" s="2">
        <v>12290.97</v>
      </c>
      <c r="U74" s="2">
        <v>16217.68</v>
      </c>
    </row>
    <row r="75" spans="1:21" x14ac:dyDescent="0.25">
      <c r="A75" t="s">
        <v>17</v>
      </c>
    </row>
    <row r="76" spans="1:21" x14ac:dyDescent="0.25">
      <c r="A76" t="s">
        <v>156</v>
      </c>
    </row>
    <row r="77" spans="1:21" x14ac:dyDescent="0.25">
      <c r="A77" t="s">
        <v>157</v>
      </c>
      <c r="H77">
        <v>0.27</v>
      </c>
      <c r="I77">
        <v>13.12</v>
      </c>
      <c r="J77">
        <v>21.38</v>
      </c>
      <c r="K77">
        <v>27.8</v>
      </c>
      <c r="L77">
        <v>46.22</v>
      </c>
      <c r="M77">
        <v>75.94</v>
      </c>
      <c r="N77">
        <v>150.34</v>
      </c>
      <c r="O77">
        <v>205.73</v>
      </c>
      <c r="P77">
        <v>214.28</v>
      </c>
      <c r="Q77">
        <v>226.18</v>
      </c>
      <c r="R77">
        <v>201.89</v>
      </c>
      <c r="S77">
        <v>214.35</v>
      </c>
      <c r="T77">
        <v>303.27</v>
      </c>
      <c r="U77">
        <v>348.71</v>
      </c>
    </row>
    <row r="78" spans="1:21" x14ac:dyDescent="0.25">
      <c r="A78" t="s">
        <v>158</v>
      </c>
      <c r="H78">
        <v>0.24</v>
      </c>
      <c r="I78">
        <v>4.99</v>
      </c>
      <c r="J78">
        <v>6.64</v>
      </c>
      <c r="K78">
        <v>13.93</v>
      </c>
      <c r="L78">
        <v>20.58</v>
      </c>
      <c r="M78">
        <v>17</v>
      </c>
      <c r="N78">
        <v>46.76</v>
      </c>
      <c r="O78">
        <v>89.49</v>
      </c>
      <c r="P78">
        <v>100.85</v>
      </c>
      <c r="Q78">
        <v>112.75</v>
      </c>
      <c r="R78">
        <v>90.88</v>
      </c>
      <c r="S78">
        <v>103.34</v>
      </c>
      <c r="T78">
        <v>172.85</v>
      </c>
      <c r="U78">
        <v>218.29</v>
      </c>
    </row>
    <row r="79" spans="1:21" x14ac:dyDescent="0.25">
      <c r="A79" t="s">
        <v>164</v>
      </c>
      <c r="H79">
        <v>8.0500000000000007</v>
      </c>
      <c r="I79">
        <v>6.54</v>
      </c>
      <c r="J79">
        <v>70.59</v>
      </c>
      <c r="K79">
        <v>50.75</v>
      </c>
      <c r="L79">
        <v>101.11</v>
      </c>
      <c r="M79">
        <v>209.47</v>
      </c>
      <c r="N79" s="2">
        <v>2471.7199999999998</v>
      </c>
      <c r="O79" s="2">
        <v>4249.87</v>
      </c>
      <c r="P79" s="2">
        <v>4249.87</v>
      </c>
      <c r="Q79" s="2">
        <v>4249.87</v>
      </c>
      <c r="R79" s="2">
        <v>4249.87</v>
      </c>
      <c r="S79" s="2">
        <v>4249.87</v>
      </c>
      <c r="T79" s="2">
        <v>4249.87</v>
      </c>
      <c r="U79" s="2">
        <v>4249.87</v>
      </c>
    </row>
    <row r="80" spans="1:21" x14ac:dyDescent="0.25">
      <c r="A80" t="s">
        <v>3196</v>
      </c>
      <c r="I80">
        <v>0</v>
      </c>
      <c r="J80">
        <v>5</v>
      </c>
      <c r="K80">
        <v>4.76</v>
      </c>
      <c r="L80">
        <v>59.25</v>
      </c>
      <c r="M80">
        <v>155.57</v>
      </c>
      <c r="N80" s="2">
        <v>2207.58</v>
      </c>
      <c r="O80" s="2">
        <v>3938.76</v>
      </c>
      <c r="P80" s="2">
        <v>4535.41</v>
      </c>
      <c r="Q80" s="2">
        <v>4774.66</v>
      </c>
      <c r="R80" s="2">
        <v>4443.57</v>
      </c>
      <c r="S80" s="2">
        <v>4347.82</v>
      </c>
      <c r="T80" s="2">
        <v>3947.02</v>
      </c>
      <c r="U80" s="2">
        <v>3947.02</v>
      </c>
    </row>
    <row r="81" spans="1:21" x14ac:dyDescent="0.25">
      <c r="A81" t="s">
        <v>202</v>
      </c>
      <c r="I81">
        <v>6.54</v>
      </c>
      <c r="J81">
        <v>7.53</v>
      </c>
      <c r="K81">
        <v>7.05</v>
      </c>
      <c r="L81">
        <v>11.9</v>
      </c>
      <c r="M81">
        <v>12.65</v>
      </c>
      <c r="N81">
        <v>17.48</v>
      </c>
      <c r="O81">
        <v>18.079999999999998</v>
      </c>
      <c r="P81">
        <v>18.079999999999998</v>
      </c>
      <c r="Q81">
        <v>18.079999999999998</v>
      </c>
      <c r="R81">
        <v>18.07</v>
      </c>
      <c r="S81">
        <v>18.07</v>
      </c>
      <c r="T81">
        <v>18.07</v>
      </c>
      <c r="U81">
        <v>18.07</v>
      </c>
    </row>
    <row r="82" spans="1:21" x14ac:dyDescent="0.25">
      <c r="A82" t="s">
        <v>1962</v>
      </c>
      <c r="I82">
        <v>0</v>
      </c>
      <c r="J82">
        <v>58.06</v>
      </c>
      <c r="K82">
        <v>38.950000000000003</v>
      </c>
      <c r="L82">
        <v>29.96</v>
      </c>
      <c r="M82">
        <v>41.25</v>
      </c>
      <c r="N82">
        <v>7.47</v>
      </c>
      <c r="O82">
        <v>0</v>
      </c>
      <c r="P82">
        <v>0</v>
      </c>
      <c r="Q82">
        <v>0</v>
      </c>
    </row>
    <row r="83" spans="1:21" x14ac:dyDescent="0.25">
      <c r="A83" t="s">
        <v>167</v>
      </c>
      <c r="H83">
        <v>8.32</v>
      </c>
      <c r="I83">
        <v>19.66</v>
      </c>
      <c r="J83">
        <v>91.96</v>
      </c>
      <c r="K83">
        <v>78.55</v>
      </c>
      <c r="L83">
        <v>147.33000000000001</v>
      </c>
      <c r="M83">
        <v>285.42</v>
      </c>
      <c r="N83" s="2">
        <v>2622.06</v>
      </c>
      <c r="O83" s="2">
        <v>4186.04</v>
      </c>
      <c r="P83" s="2">
        <v>4861.26</v>
      </c>
      <c r="Q83" s="2">
        <v>5206.5</v>
      </c>
      <c r="R83" s="2">
        <v>4539.2</v>
      </c>
      <c r="S83" s="2">
        <v>4551.66</v>
      </c>
      <c r="T83" s="2">
        <v>4553.1400000000003</v>
      </c>
      <c r="U83" s="2">
        <v>4598.58</v>
      </c>
    </row>
    <row r="84" spans="1:21" x14ac:dyDescent="0.25">
      <c r="A84" t="s">
        <v>170</v>
      </c>
      <c r="H84">
        <v>223.52</v>
      </c>
      <c r="I84">
        <v>79.989999999999995</v>
      </c>
      <c r="J84">
        <v>351.97</v>
      </c>
      <c r="K84">
        <v>359.83</v>
      </c>
      <c r="L84">
        <v>213.56</v>
      </c>
      <c r="M84">
        <v>669.15</v>
      </c>
      <c r="N84" s="2">
        <v>2392.33</v>
      </c>
      <c r="O84" s="2">
        <v>2237.38</v>
      </c>
      <c r="P84" s="2">
        <v>1951.06</v>
      </c>
      <c r="Q84" s="2">
        <v>1934.05</v>
      </c>
      <c r="R84" s="2">
        <v>2772.81</v>
      </c>
      <c r="S84" s="2">
        <v>3954.01</v>
      </c>
      <c r="T84" s="2">
        <v>7737.82</v>
      </c>
      <c r="U84" s="2">
        <v>11619.11</v>
      </c>
    </row>
    <row r="85" spans="1:21" x14ac:dyDescent="0.25">
      <c r="A85" t="s">
        <v>1234</v>
      </c>
      <c r="H85">
        <v>4.34</v>
      </c>
      <c r="I85">
        <v>0</v>
      </c>
      <c r="J85">
        <v>171.16</v>
      </c>
      <c r="K85">
        <v>235.38</v>
      </c>
      <c r="L85">
        <v>288.39999999999998</v>
      </c>
      <c r="M85">
        <v>969</v>
      </c>
      <c r="N85" s="2">
        <v>2671.77</v>
      </c>
      <c r="O85" s="2">
        <v>3177.61</v>
      </c>
      <c r="P85" s="2">
        <v>3400.73</v>
      </c>
      <c r="Q85" s="2">
        <v>3635.93</v>
      </c>
      <c r="R85" s="2">
        <v>3918.2</v>
      </c>
      <c r="S85" s="2">
        <v>4182.99</v>
      </c>
      <c r="T85" s="2">
        <v>4623.4399999999996</v>
      </c>
      <c r="U85" s="2">
        <v>4949.37</v>
      </c>
    </row>
    <row r="86" spans="1:21" x14ac:dyDescent="0.25">
      <c r="A86" t="s">
        <v>173</v>
      </c>
      <c r="H86">
        <v>0.66</v>
      </c>
      <c r="I86">
        <v>-39.909999999999997</v>
      </c>
      <c r="J86">
        <v>-70.459999999999994</v>
      </c>
      <c r="K86">
        <v>-102.1</v>
      </c>
      <c r="L86">
        <v>-189.66</v>
      </c>
      <c r="M86">
        <v>-489.75</v>
      </c>
      <c r="N86">
        <v>-831.69</v>
      </c>
      <c r="O86" s="2">
        <v>-1569.22</v>
      </c>
      <c r="P86" s="2">
        <v>-2166.5100000000002</v>
      </c>
      <c r="Q86" s="2">
        <v>-2372.4</v>
      </c>
      <c r="R86" s="2">
        <v>-1559.91</v>
      </c>
      <c r="S86">
        <v>-243.11</v>
      </c>
      <c r="T86" s="2">
        <v>1720.42</v>
      </c>
      <c r="U86" s="2">
        <v>4457.71</v>
      </c>
    </row>
    <row r="87" spans="1:21" x14ac:dyDescent="0.25">
      <c r="A87" t="s">
        <v>1235</v>
      </c>
      <c r="H87">
        <v>0</v>
      </c>
      <c r="I87">
        <v>2.4900000000000002</v>
      </c>
      <c r="J87">
        <v>251.69</v>
      </c>
      <c r="K87">
        <v>226.29</v>
      </c>
      <c r="L87">
        <v>114.57</v>
      </c>
      <c r="M87">
        <v>190.03</v>
      </c>
      <c r="N87">
        <v>550.85</v>
      </c>
      <c r="O87">
        <v>477.45</v>
      </c>
      <c r="P87">
        <v>431.53</v>
      </c>
      <c r="Q87">
        <v>426.4</v>
      </c>
      <c r="R87">
        <v>469.72</v>
      </c>
      <c r="S87">
        <v>659.93</v>
      </c>
      <c r="T87" s="2">
        <v>1392.39</v>
      </c>
      <c r="U87" s="2">
        <v>2210.46</v>
      </c>
    </row>
    <row r="88" spans="1:21" x14ac:dyDescent="0.25">
      <c r="A88" t="s">
        <v>326</v>
      </c>
      <c r="H88">
        <v>231.84</v>
      </c>
      <c r="I88">
        <v>99.65</v>
      </c>
      <c r="J88">
        <v>443.94</v>
      </c>
      <c r="K88">
        <v>438.37</v>
      </c>
      <c r="L88">
        <v>360.89</v>
      </c>
      <c r="M88">
        <v>954.56</v>
      </c>
      <c r="N88" s="2">
        <v>5014.3900000000003</v>
      </c>
      <c r="O88" s="2">
        <v>6218.07</v>
      </c>
      <c r="P88" s="2">
        <v>6409.41</v>
      </c>
      <c r="Q88" s="2">
        <v>6686.47</v>
      </c>
      <c r="R88" s="2">
        <v>6929.04</v>
      </c>
      <c r="S88" s="2">
        <v>8118.55</v>
      </c>
      <c r="T88" s="2">
        <v>12290.97</v>
      </c>
      <c r="U88" s="2">
        <v>16217.68</v>
      </c>
    </row>
    <row r="89" spans="1:21" x14ac:dyDescent="0.25">
      <c r="A89" t="s">
        <v>17</v>
      </c>
    </row>
    <row r="90" spans="1:21" x14ac:dyDescent="0.25">
      <c r="A90" t="s">
        <v>176</v>
      </c>
    </row>
    <row r="91" spans="1:21" x14ac:dyDescent="0.25">
      <c r="A91" t="s">
        <v>424</v>
      </c>
      <c r="H91">
        <v>31.91</v>
      </c>
      <c r="I91">
        <v>10.95</v>
      </c>
      <c r="J91">
        <v>0.55000000000000004</v>
      </c>
      <c r="K91">
        <v>0.67</v>
      </c>
      <c r="L91">
        <v>0.45</v>
      </c>
      <c r="M91">
        <v>1.61</v>
      </c>
      <c r="N91">
        <v>4.91</v>
      </c>
      <c r="O91">
        <v>5.2</v>
      </c>
      <c r="P91">
        <v>4.46</v>
      </c>
      <c r="Q91">
        <v>4.54</v>
      </c>
      <c r="R91">
        <v>5.57</v>
      </c>
      <c r="S91">
        <v>9.57</v>
      </c>
    </row>
    <row r="92" spans="1:21" x14ac:dyDescent="0.25">
      <c r="A92" t="s">
        <v>17</v>
      </c>
    </row>
    <row r="93" spans="1:21" x14ac:dyDescent="0.25">
      <c r="A93" t="s">
        <v>188</v>
      </c>
    </row>
    <row r="94" spans="1:21" x14ac:dyDescent="0.25">
      <c r="A94" t="s">
        <v>189</v>
      </c>
    </row>
    <row r="95" spans="1:21" x14ac:dyDescent="0.25">
      <c r="A95" t="s">
        <v>121</v>
      </c>
      <c r="H95">
        <v>0.66</v>
      </c>
      <c r="I95">
        <v>0.19</v>
      </c>
      <c r="J95">
        <v>-30.55</v>
      </c>
      <c r="K95">
        <v>-31.64</v>
      </c>
      <c r="L95">
        <v>-87.56</v>
      </c>
      <c r="M95">
        <v>-300.08</v>
      </c>
      <c r="N95">
        <v>-341.94</v>
      </c>
      <c r="O95">
        <v>-820</v>
      </c>
      <c r="P95">
        <v>-407.78</v>
      </c>
      <c r="Q95">
        <v>187.21</v>
      </c>
      <c r="R95">
        <v>917.4</v>
      </c>
      <c r="S95" s="2">
        <v>1530.8</v>
      </c>
      <c r="T95" s="2">
        <v>2355</v>
      </c>
      <c r="U95" s="2">
        <v>3092.5</v>
      </c>
    </row>
    <row r="96" spans="1:21" x14ac:dyDescent="0.25">
      <c r="A96" t="s">
        <v>67</v>
      </c>
      <c r="I96">
        <v>0.28000000000000003</v>
      </c>
      <c r="J96">
        <v>3.74</v>
      </c>
      <c r="K96">
        <v>9.39</v>
      </c>
      <c r="L96">
        <v>13.29</v>
      </c>
      <c r="M96">
        <v>32.04</v>
      </c>
      <c r="N96">
        <v>47.49</v>
      </c>
      <c r="O96">
        <v>217.17</v>
      </c>
      <c r="P96">
        <v>210.35</v>
      </c>
      <c r="Q96">
        <v>232.71</v>
      </c>
      <c r="R96">
        <v>225.88</v>
      </c>
      <c r="S96">
        <v>229.17</v>
      </c>
      <c r="T96">
        <v>313.08999999999997</v>
      </c>
      <c r="U96">
        <v>325.93</v>
      </c>
    </row>
    <row r="97" spans="1:21" x14ac:dyDescent="0.25">
      <c r="A97" t="s">
        <v>3197</v>
      </c>
      <c r="I97">
        <v>0</v>
      </c>
      <c r="J97">
        <v>-15.77</v>
      </c>
      <c r="K97">
        <v>-19.11</v>
      </c>
      <c r="L97">
        <v>-8.99</v>
      </c>
      <c r="M97">
        <v>268.63</v>
      </c>
      <c r="N97">
        <v>68.150000000000006</v>
      </c>
      <c r="O97">
        <v>0.97</v>
      </c>
      <c r="P97">
        <v>-0.3</v>
      </c>
      <c r="Q97">
        <v>-0.3</v>
      </c>
      <c r="R97">
        <v>-0.6</v>
      </c>
      <c r="S97">
        <v>-0.6</v>
      </c>
    </row>
    <row r="98" spans="1:21" x14ac:dyDescent="0.25">
      <c r="A98" t="s">
        <v>204</v>
      </c>
      <c r="I98">
        <v>-22.81</v>
      </c>
      <c r="J98">
        <v>-80.099999999999994</v>
      </c>
      <c r="K98">
        <v>-156.46</v>
      </c>
      <c r="L98">
        <v>-148.94</v>
      </c>
      <c r="M98">
        <v>-126.14</v>
      </c>
      <c r="N98">
        <v>-71.52</v>
      </c>
      <c r="O98">
        <v>-331.91</v>
      </c>
      <c r="P98">
        <v>-70.66</v>
      </c>
      <c r="Q98">
        <v>578.33000000000004</v>
      </c>
      <c r="R98" s="2">
        <v>1464.67</v>
      </c>
      <c r="S98" s="2">
        <v>2183.5700000000002</v>
      </c>
      <c r="T98" s="2">
        <v>3884.95</v>
      </c>
      <c r="U98" s="2">
        <v>4986.2</v>
      </c>
    </row>
    <row r="99" spans="1:21" x14ac:dyDescent="0.25">
      <c r="A99" t="s">
        <v>17</v>
      </c>
    </row>
    <row r="100" spans="1:21" x14ac:dyDescent="0.25">
      <c r="A100" t="s">
        <v>205</v>
      </c>
    </row>
    <row r="101" spans="1:21" x14ac:dyDescent="0.25">
      <c r="A101" t="s">
        <v>2870</v>
      </c>
      <c r="I101">
        <v>-30.4</v>
      </c>
      <c r="J101">
        <v>-54.79</v>
      </c>
      <c r="K101">
        <v>-57.28</v>
      </c>
      <c r="L101">
        <v>-118.81</v>
      </c>
      <c r="M101">
        <v>-174.13</v>
      </c>
      <c r="N101" s="2">
        <v>-1064.74</v>
      </c>
      <c r="O101" s="2">
        <v>-1567.62</v>
      </c>
      <c r="P101" s="2">
        <v>-1293.8900000000001</v>
      </c>
      <c r="Q101" s="2">
        <v>-1070.8900000000001</v>
      </c>
      <c r="R101">
        <v>-957.07</v>
      </c>
      <c r="S101" s="2">
        <v>-1039.1400000000001</v>
      </c>
      <c r="T101" s="2">
        <v>-1094.72</v>
      </c>
      <c r="U101" s="2">
        <v>-1091.43</v>
      </c>
    </row>
    <row r="102" spans="1:21" x14ac:dyDescent="0.25">
      <c r="A102" t="s">
        <v>213</v>
      </c>
      <c r="I102">
        <v>-30.4</v>
      </c>
      <c r="J102">
        <v>-54.79</v>
      </c>
      <c r="K102">
        <v>-31.35</v>
      </c>
      <c r="L102">
        <v>-118.81</v>
      </c>
      <c r="M102">
        <v>-174.13</v>
      </c>
      <c r="N102" s="2">
        <v>-1541.14</v>
      </c>
      <c r="O102" s="2">
        <v>-1824.61</v>
      </c>
      <c r="P102" s="2">
        <v>-1354.64</v>
      </c>
      <c r="Q102" s="2">
        <v>-1250.55</v>
      </c>
      <c r="R102" s="2">
        <v>-1192.56</v>
      </c>
      <c r="S102" s="2">
        <v>-1299.83</v>
      </c>
      <c r="T102" s="2">
        <v>-1215.72</v>
      </c>
      <c r="U102" s="2">
        <v>-1244.23</v>
      </c>
    </row>
    <row r="103" spans="1:21" x14ac:dyDescent="0.25">
      <c r="A103" t="s">
        <v>17</v>
      </c>
    </row>
    <row r="104" spans="1:21" x14ac:dyDescent="0.25">
      <c r="A104" t="s">
        <v>214</v>
      </c>
    </row>
    <row r="105" spans="1:21" x14ac:dyDescent="0.25">
      <c r="A105" t="s">
        <v>218</v>
      </c>
      <c r="I105">
        <v>69.66</v>
      </c>
      <c r="J105">
        <v>416.94</v>
      </c>
      <c r="K105">
        <v>102.34</v>
      </c>
      <c r="L105">
        <v>116.73</v>
      </c>
      <c r="M105">
        <v>779.97</v>
      </c>
      <c r="N105" s="2">
        <v>3827.49</v>
      </c>
      <c r="O105" s="2">
        <v>1702.92</v>
      </c>
      <c r="P105" s="2">
        <v>1969.2</v>
      </c>
      <c r="Q105">
        <v>962.8</v>
      </c>
    </row>
    <row r="106" spans="1:21" x14ac:dyDescent="0.25">
      <c r="A106" t="s">
        <v>17</v>
      </c>
    </row>
    <row r="107" spans="1:21" x14ac:dyDescent="0.25">
      <c r="A107" t="s">
        <v>176</v>
      </c>
    </row>
    <row r="108" spans="1:21" x14ac:dyDescent="0.25">
      <c r="A108" t="s">
        <v>220</v>
      </c>
    </row>
    <row r="109" spans="1:21" x14ac:dyDescent="0.25">
      <c r="A109" t="s">
        <v>3198</v>
      </c>
      <c r="I109">
        <v>42.78</v>
      </c>
      <c r="J109">
        <v>324.54000000000002</v>
      </c>
      <c r="K109">
        <v>239.26</v>
      </c>
      <c r="L109">
        <v>88.1</v>
      </c>
      <c r="M109">
        <v>567.53</v>
      </c>
      <c r="N109" s="2">
        <v>2779.96</v>
      </c>
      <c r="O109" s="2">
        <v>2689.01</v>
      </c>
      <c r="P109" s="2">
        <v>1848.94</v>
      </c>
      <c r="Q109" s="2">
        <v>1589.29</v>
      </c>
      <c r="R109" s="2">
        <v>2305.38</v>
      </c>
      <c r="S109" s="2">
        <v>3297.08</v>
      </c>
      <c r="T109" s="2">
        <v>6020.22</v>
      </c>
      <c r="U109" s="2">
        <v>9762.19</v>
      </c>
    </row>
    <row r="110" spans="1:21" x14ac:dyDescent="0.25">
      <c r="A110" t="s">
        <v>178</v>
      </c>
    </row>
    <row r="111" spans="1:21" x14ac:dyDescent="0.25">
      <c r="A111" t="s">
        <v>225</v>
      </c>
      <c r="I111">
        <v>-53.21</v>
      </c>
      <c r="J111">
        <v>-134.88999999999999</v>
      </c>
      <c r="K111">
        <v>-213.75</v>
      </c>
      <c r="L111">
        <v>-267.75</v>
      </c>
      <c r="M111">
        <v>-300.27</v>
      </c>
      <c r="N111" s="2">
        <v>-1136.26</v>
      </c>
      <c r="O111" s="2">
        <v>-1899.87</v>
      </c>
      <c r="P111" s="2">
        <v>-1485.02</v>
      </c>
      <c r="Q111">
        <v>-722.51</v>
      </c>
      <c r="R111">
        <v>419.49</v>
      </c>
      <c r="S111" s="2">
        <v>1173.95</v>
      </c>
      <c r="T111" s="2">
        <v>2669.23</v>
      </c>
      <c r="U111" s="2">
        <v>3741.97</v>
      </c>
    </row>
    <row r="112" spans="1:21" x14ac:dyDescent="0.25">
      <c r="A112" t="s">
        <v>17</v>
      </c>
    </row>
    <row r="113" spans="1:1" x14ac:dyDescent="0.25">
      <c r="A113" t="s">
        <v>231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A67E-9EB4-475D-81C8-B1CA85BCA4FE}">
  <dimension ref="A1:U185"/>
  <sheetViews>
    <sheetView workbookViewId="0">
      <selection sqref="A1:U185"/>
    </sheetView>
  </sheetViews>
  <sheetFormatPr defaultRowHeight="15" x14ac:dyDescent="0.25"/>
  <sheetData>
    <row r="1" spans="1:21" x14ac:dyDescent="0.25">
      <c r="A1" t="s">
        <v>3199</v>
      </c>
    </row>
    <row r="2" spans="1:21" x14ac:dyDescent="0.25">
      <c r="A2" t="s">
        <v>3200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J6">
        <v>-0.26</v>
      </c>
      <c r="K6">
        <v>-0.28999999999999998</v>
      </c>
      <c r="L6">
        <v>-0.38</v>
      </c>
      <c r="M6">
        <v>-0.38</v>
      </c>
      <c r="N6">
        <v>-0.37</v>
      </c>
      <c r="O6">
        <v>-0.27</v>
      </c>
      <c r="P6">
        <v>-7.0000000000000007E-2</v>
      </c>
      <c r="Q6">
        <v>0.24</v>
      </c>
      <c r="R6">
        <v>0.42</v>
      </c>
      <c r="S6">
        <v>0.76</v>
      </c>
      <c r="T6">
        <v>1.31</v>
      </c>
      <c r="U6">
        <v>2.09</v>
      </c>
    </row>
    <row r="7" spans="1:21" x14ac:dyDescent="0.25">
      <c r="A7" t="s">
        <v>16</v>
      </c>
      <c r="J7">
        <v>62.24</v>
      </c>
      <c r="K7">
        <v>211</v>
      </c>
      <c r="L7">
        <v>244.59</v>
      </c>
      <c r="M7">
        <v>436.21</v>
      </c>
      <c r="N7">
        <v>601.79999999999995</v>
      </c>
      <c r="O7">
        <v>958.75</v>
      </c>
      <c r="P7" s="2">
        <v>1399.35</v>
      </c>
      <c r="Q7" s="2">
        <v>1855.91</v>
      </c>
      <c r="R7" s="2">
        <v>2277.86</v>
      </c>
      <c r="S7" s="2">
        <v>2881.43</v>
      </c>
      <c r="T7" s="2">
        <v>3801.75</v>
      </c>
      <c r="U7" s="2">
        <v>4700.67</v>
      </c>
    </row>
    <row r="8" spans="1:21" x14ac:dyDescent="0.25">
      <c r="A8" t="s">
        <v>17</v>
      </c>
    </row>
    <row r="9" spans="1:21" x14ac:dyDescent="0.25">
      <c r="A9" t="s">
        <v>26</v>
      </c>
      <c r="J9">
        <v>241.5</v>
      </c>
      <c r="K9">
        <v>503.6</v>
      </c>
      <c r="L9" s="2">
        <v>1046.0999999999999</v>
      </c>
      <c r="M9" s="2">
        <v>1067</v>
      </c>
      <c r="N9" s="2">
        <v>1850</v>
      </c>
      <c r="O9" s="2">
        <v>3307.83</v>
      </c>
      <c r="P9" s="2">
        <v>4294.4399999999996</v>
      </c>
      <c r="Q9" s="2">
        <v>5511.52</v>
      </c>
      <c r="R9" s="2">
        <v>4370.5600000000004</v>
      </c>
      <c r="S9" s="2">
        <v>4902.12</v>
      </c>
    </row>
    <row r="10" spans="1:21" x14ac:dyDescent="0.25">
      <c r="A10" t="s">
        <v>17</v>
      </c>
    </row>
    <row r="11" spans="1:21" x14ac:dyDescent="0.25">
      <c r="A11" t="s">
        <v>32</v>
      </c>
    </row>
    <row r="12" spans="1:21" x14ac:dyDescent="0.25">
      <c r="A12" t="s">
        <v>3201</v>
      </c>
      <c r="J12">
        <v>38.97</v>
      </c>
      <c r="K12">
        <v>60.69</v>
      </c>
      <c r="L12">
        <v>71.89</v>
      </c>
      <c r="M12">
        <v>125.38</v>
      </c>
      <c r="N12">
        <v>199.04</v>
      </c>
      <c r="O12">
        <v>249.3</v>
      </c>
      <c r="P12">
        <v>454.83</v>
      </c>
      <c r="Q12">
        <v>661.77</v>
      </c>
      <c r="R12">
        <v>965.56</v>
      </c>
      <c r="S12" s="2">
        <v>1243.5999999999999</v>
      </c>
      <c r="T12" s="2">
        <v>1550.5</v>
      </c>
      <c r="U12" s="2">
        <v>1980</v>
      </c>
    </row>
    <row r="13" spans="1:21" x14ac:dyDescent="0.25">
      <c r="A13" t="s">
        <v>3202</v>
      </c>
      <c r="J13">
        <v>23.27</v>
      </c>
      <c r="K13">
        <v>150.31</v>
      </c>
      <c r="L13">
        <v>172.7</v>
      </c>
      <c r="M13">
        <v>310.83999999999997</v>
      </c>
      <c r="N13">
        <v>402.76</v>
      </c>
      <c r="O13">
        <v>706.5</v>
      </c>
      <c r="P13">
        <v>893.26</v>
      </c>
      <c r="Q13" s="2">
        <v>1075.2</v>
      </c>
      <c r="R13" s="2">
        <v>1285.22</v>
      </c>
      <c r="S13" s="2">
        <v>1596.82</v>
      </c>
      <c r="T13" s="2">
        <v>2435.33</v>
      </c>
      <c r="U13" s="2">
        <v>3171.56</v>
      </c>
    </row>
    <row r="14" spans="1:21" x14ac:dyDescent="0.25">
      <c r="A14" t="s">
        <v>17</v>
      </c>
    </row>
    <row r="15" spans="1:21" x14ac:dyDescent="0.25">
      <c r="A15" t="s">
        <v>30</v>
      </c>
      <c r="J15">
        <v>16</v>
      </c>
      <c r="K15">
        <v>21.2</v>
      </c>
      <c r="L15">
        <v>28.1</v>
      </c>
      <c r="M15">
        <v>32</v>
      </c>
      <c r="N15">
        <v>39.700000000000003</v>
      </c>
      <c r="O15">
        <v>38.700000000000003</v>
      </c>
      <c r="P15">
        <v>38.53</v>
      </c>
      <c r="Q15">
        <v>43.14</v>
      </c>
      <c r="R15">
        <v>44.28</v>
      </c>
      <c r="S15">
        <v>45.62</v>
      </c>
      <c r="T15">
        <v>41.64</v>
      </c>
      <c r="U15">
        <v>43.65</v>
      </c>
    </row>
    <row r="16" spans="1:21" x14ac:dyDescent="0.25">
      <c r="A16" t="s">
        <v>275</v>
      </c>
      <c r="I16">
        <v>43.14</v>
      </c>
      <c r="J16">
        <v>100.16</v>
      </c>
      <c r="K16">
        <v>154.19</v>
      </c>
      <c r="L16">
        <v>229.33</v>
      </c>
      <c r="M16">
        <v>305.95</v>
      </c>
      <c r="N16">
        <v>436.02</v>
      </c>
      <c r="O16">
        <v>565.41</v>
      </c>
      <c r="P16">
        <v>567.24</v>
      </c>
      <c r="Q16">
        <v>611.47</v>
      </c>
      <c r="R16">
        <v>689.73</v>
      </c>
      <c r="S16">
        <v>732.6</v>
      </c>
      <c r="T16">
        <v>809.3</v>
      </c>
      <c r="U16">
        <v>871.32</v>
      </c>
    </row>
    <row r="17" spans="1:21" x14ac:dyDescent="0.25">
      <c r="A17" t="s">
        <v>680</v>
      </c>
      <c r="J17">
        <v>-43.89</v>
      </c>
      <c r="K17">
        <v>-38.53</v>
      </c>
      <c r="L17">
        <v>-90.86</v>
      </c>
      <c r="M17">
        <v>-96.94</v>
      </c>
      <c r="N17">
        <v>-101.19</v>
      </c>
      <c r="O17">
        <v>-52.3</v>
      </c>
      <c r="P17">
        <v>109.49</v>
      </c>
      <c r="Q17">
        <v>281.45</v>
      </c>
      <c r="R17">
        <v>484</v>
      </c>
      <c r="S17">
        <v>739.71</v>
      </c>
      <c r="T17" s="2">
        <v>1085</v>
      </c>
      <c r="U17" s="2">
        <v>1811</v>
      </c>
    </row>
    <row r="18" spans="1:21" x14ac:dyDescent="0.25">
      <c r="A18" t="s">
        <v>17</v>
      </c>
    </row>
    <row r="19" spans="1:21" x14ac:dyDescent="0.25">
      <c r="A19" t="s">
        <v>37</v>
      </c>
    </row>
    <row r="20" spans="1:21" x14ac:dyDescent="0.25">
      <c r="A20" t="s">
        <v>17</v>
      </c>
    </row>
    <row r="21" spans="1:21" x14ac:dyDescent="0.25">
      <c r="A21" t="s">
        <v>38</v>
      </c>
    </row>
    <row r="22" spans="1:21" x14ac:dyDescent="0.25">
      <c r="A22" t="s">
        <v>26</v>
      </c>
      <c r="J22">
        <v>241.5</v>
      </c>
      <c r="K22">
        <v>503.6</v>
      </c>
      <c r="L22" s="2">
        <v>1046.0999999999999</v>
      </c>
      <c r="M22" s="2">
        <v>1067</v>
      </c>
      <c r="N22" s="2">
        <v>1850</v>
      </c>
      <c r="O22" s="2">
        <v>3307.83</v>
      </c>
      <c r="P22" s="2">
        <v>4294.4399999999996</v>
      </c>
      <c r="Q22" s="2">
        <v>5511.52</v>
      </c>
      <c r="R22" s="2">
        <v>4370.5600000000004</v>
      </c>
      <c r="S22" s="2">
        <v>4902.12</v>
      </c>
    </row>
    <row r="23" spans="1:21" x14ac:dyDescent="0.25">
      <c r="A23" t="s">
        <v>17</v>
      </c>
    </row>
    <row r="24" spans="1:21" x14ac:dyDescent="0.25">
      <c r="A24" t="s">
        <v>258</v>
      </c>
    </row>
    <row r="25" spans="1:21" x14ac:dyDescent="0.25">
      <c r="A25" t="s">
        <v>3203</v>
      </c>
    </row>
    <row r="26" spans="1:21" x14ac:dyDescent="0.25">
      <c r="A26" t="s">
        <v>60</v>
      </c>
      <c r="J26">
        <v>38.97</v>
      </c>
      <c r="K26">
        <v>60.69</v>
      </c>
      <c r="L26">
        <v>71.89</v>
      </c>
      <c r="M26">
        <v>125.38</v>
      </c>
      <c r="N26">
        <v>199.04</v>
      </c>
      <c r="O26">
        <v>249.3</v>
      </c>
      <c r="P26">
        <v>454.83</v>
      </c>
      <c r="Q26">
        <v>661.77</v>
      </c>
      <c r="R26">
        <v>965.56</v>
      </c>
      <c r="S26" s="2">
        <v>1243.5999999999999</v>
      </c>
      <c r="T26" s="2">
        <v>1550.5</v>
      </c>
      <c r="U26" s="2">
        <v>1980</v>
      </c>
    </row>
    <row r="27" spans="1:21" x14ac:dyDescent="0.25">
      <c r="A27" t="s">
        <v>62</v>
      </c>
      <c r="J27">
        <v>53.83</v>
      </c>
      <c r="K27">
        <v>67.64</v>
      </c>
      <c r="L27">
        <v>63.83</v>
      </c>
      <c r="M27">
        <v>90.79</v>
      </c>
      <c r="N27">
        <v>117.77</v>
      </c>
      <c r="O27">
        <v>140.51</v>
      </c>
      <c r="P27">
        <v>387.93</v>
      </c>
      <c r="Q27">
        <v>507.23</v>
      </c>
      <c r="R27">
        <v>545.58000000000004</v>
      </c>
      <c r="S27">
        <v>603.52</v>
      </c>
    </row>
    <row r="28" spans="1:21" x14ac:dyDescent="0.25">
      <c r="A28" t="s">
        <v>63</v>
      </c>
      <c r="J28">
        <v>-14.86</v>
      </c>
      <c r="K28">
        <v>-6.95</v>
      </c>
      <c r="L28">
        <v>8.07</v>
      </c>
      <c r="M28">
        <v>34.590000000000003</v>
      </c>
      <c r="N28">
        <v>81.27</v>
      </c>
      <c r="O28">
        <v>114.04</v>
      </c>
      <c r="P28">
        <v>103.04</v>
      </c>
      <c r="Q28">
        <v>186.76</v>
      </c>
      <c r="R28">
        <v>417.55</v>
      </c>
      <c r="S28">
        <v>583.75</v>
      </c>
      <c r="T28">
        <v>865.22</v>
      </c>
      <c r="U28" s="2">
        <v>1187.77</v>
      </c>
    </row>
    <row r="29" spans="1:21" x14ac:dyDescent="0.25">
      <c r="A29" t="s">
        <v>17</v>
      </c>
    </row>
    <row r="30" spans="1:21" x14ac:dyDescent="0.25">
      <c r="A30" t="s">
        <v>3204</v>
      </c>
    </row>
    <row r="31" spans="1:21" x14ac:dyDescent="0.25">
      <c r="A31" t="s">
        <v>60</v>
      </c>
      <c r="J31">
        <v>23.27</v>
      </c>
      <c r="K31">
        <v>150.31</v>
      </c>
      <c r="L31">
        <v>172.7</v>
      </c>
      <c r="M31">
        <v>310.83999999999997</v>
      </c>
      <c r="N31">
        <v>402.76</v>
      </c>
      <c r="O31">
        <v>706.5</v>
      </c>
      <c r="P31">
        <v>893.26</v>
      </c>
      <c r="Q31" s="2">
        <v>1075.2</v>
      </c>
      <c r="R31" s="2">
        <v>1285.22</v>
      </c>
      <c r="S31" s="2">
        <v>1596.82</v>
      </c>
      <c r="T31" s="2">
        <v>2435.33</v>
      </c>
      <c r="U31" s="2">
        <v>3171.56</v>
      </c>
    </row>
    <row r="32" spans="1:21" x14ac:dyDescent="0.25">
      <c r="A32" t="s">
        <v>62</v>
      </c>
      <c r="J32">
        <v>10.3</v>
      </c>
      <c r="K32">
        <v>124.37</v>
      </c>
      <c r="L32">
        <v>129.36000000000001</v>
      </c>
      <c r="M32">
        <v>229.28</v>
      </c>
      <c r="N32">
        <v>276.85000000000002</v>
      </c>
      <c r="O32">
        <v>414.58</v>
      </c>
      <c r="P32">
        <v>564.58000000000004</v>
      </c>
      <c r="Q32">
        <v>628.01</v>
      </c>
      <c r="R32">
        <v>754.53</v>
      </c>
      <c r="S32">
        <v>864.69</v>
      </c>
    </row>
    <row r="33" spans="1:21" x14ac:dyDescent="0.25">
      <c r="A33" t="s">
        <v>63</v>
      </c>
      <c r="J33">
        <v>12.96</v>
      </c>
      <c r="K33">
        <v>25.94</v>
      </c>
      <c r="L33">
        <v>43.34</v>
      </c>
      <c r="M33">
        <v>81.56</v>
      </c>
      <c r="N33">
        <v>125.91</v>
      </c>
      <c r="O33">
        <v>230.18</v>
      </c>
      <c r="P33">
        <v>334.76</v>
      </c>
      <c r="Q33">
        <v>416.45</v>
      </c>
      <c r="R33">
        <v>451.82</v>
      </c>
      <c r="S33">
        <v>636.35</v>
      </c>
      <c r="T33" s="2">
        <v>1116.4000000000001</v>
      </c>
      <c r="U33" s="2">
        <v>1654.96</v>
      </c>
    </row>
    <row r="34" spans="1:21" x14ac:dyDescent="0.25">
      <c r="A34" t="s">
        <v>17</v>
      </c>
    </row>
    <row r="35" spans="1:21" x14ac:dyDescent="0.25">
      <c r="A35" t="s">
        <v>274</v>
      </c>
    </row>
    <row r="36" spans="1:21" x14ac:dyDescent="0.25">
      <c r="A36" t="s">
        <v>80</v>
      </c>
      <c r="J36">
        <v>62.24</v>
      </c>
      <c r="K36">
        <v>211</v>
      </c>
      <c r="L36">
        <v>244.59</v>
      </c>
      <c r="M36">
        <v>436.21</v>
      </c>
      <c r="N36">
        <v>601.79999999999995</v>
      </c>
      <c r="O36">
        <v>958.75</v>
      </c>
      <c r="P36" s="2">
        <v>1399.35</v>
      </c>
      <c r="Q36" s="2">
        <v>1855.91</v>
      </c>
      <c r="R36" s="2">
        <v>2277.86</v>
      </c>
      <c r="S36" s="2">
        <v>2881.43</v>
      </c>
      <c r="T36" s="2">
        <v>3801.75</v>
      </c>
      <c r="U36" s="2">
        <v>4700.67</v>
      </c>
    </row>
    <row r="37" spans="1:21" x14ac:dyDescent="0.25">
      <c r="A37" t="s">
        <v>17</v>
      </c>
    </row>
    <row r="38" spans="1:21" x14ac:dyDescent="0.25">
      <c r="A38" t="s">
        <v>82</v>
      </c>
      <c r="I38">
        <v>46.98</v>
      </c>
      <c r="J38">
        <v>64.13</v>
      </c>
      <c r="K38">
        <v>192.01</v>
      </c>
      <c r="L38">
        <v>193.18</v>
      </c>
      <c r="M38">
        <v>320.07</v>
      </c>
      <c r="N38">
        <v>394.62</v>
      </c>
      <c r="O38">
        <v>624.29</v>
      </c>
      <c r="P38">
        <v>887.96</v>
      </c>
      <c r="Q38" s="2">
        <v>1058.3800000000001</v>
      </c>
      <c r="R38" s="2">
        <v>1301.42</v>
      </c>
      <c r="S38" s="2">
        <v>1569.44</v>
      </c>
      <c r="T38" s="2">
        <v>2182.9699999999998</v>
      </c>
      <c r="U38" s="2">
        <v>2651.15</v>
      </c>
    </row>
    <row r="39" spans="1:21" x14ac:dyDescent="0.25">
      <c r="A39" t="s">
        <v>84</v>
      </c>
      <c r="I39">
        <v>-10.27</v>
      </c>
      <c r="J39">
        <v>10.14</v>
      </c>
      <c r="K39">
        <v>44.79</v>
      </c>
      <c r="L39">
        <v>68.849999999999994</v>
      </c>
      <c r="M39">
        <v>139.80000000000001</v>
      </c>
      <c r="N39">
        <v>238.93</v>
      </c>
      <c r="O39">
        <v>372.18</v>
      </c>
      <c r="P39">
        <v>562.22</v>
      </c>
      <c r="Q39">
        <v>894.85</v>
      </c>
      <c r="R39" s="2">
        <v>1092.03</v>
      </c>
      <c r="S39" s="2">
        <v>1454.82</v>
      </c>
      <c r="T39" s="2">
        <v>1732.65</v>
      </c>
      <c r="U39" s="2">
        <v>2281.67</v>
      </c>
    </row>
    <row r="40" spans="1:21" x14ac:dyDescent="0.25">
      <c r="A40" t="s">
        <v>85</v>
      </c>
      <c r="J40">
        <v>16</v>
      </c>
      <c r="K40">
        <v>21.2</v>
      </c>
      <c r="L40">
        <v>28.1</v>
      </c>
      <c r="M40">
        <v>32</v>
      </c>
      <c r="N40">
        <v>39.700000000000003</v>
      </c>
      <c r="O40">
        <v>38.700000000000003</v>
      </c>
      <c r="P40">
        <v>38.53</v>
      </c>
      <c r="Q40">
        <v>43.14</v>
      </c>
      <c r="R40">
        <v>44.28</v>
      </c>
      <c r="S40">
        <v>45.62</v>
      </c>
      <c r="T40">
        <v>41.64</v>
      </c>
      <c r="U40">
        <v>43.65</v>
      </c>
    </row>
    <row r="41" spans="1:21" x14ac:dyDescent="0.25">
      <c r="A41" t="s">
        <v>17</v>
      </c>
    </row>
    <row r="42" spans="1:21" x14ac:dyDescent="0.25">
      <c r="A42" t="s">
        <v>275</v>
      </c>
      <c r="I42">
        <v>38.450000000000003</v>
      </c>
      <c r="J42">
        <v>62.31</v>
      </c>
      <c r="K42">
        <v>100.98</v>
      </c>
      <c r="L42">
        <v>176.94</v>
      </c>
      <c r="M42">
        <v>258.18</v>
      </c>
      <c r="N42">
        <v>366.37</v>
      </c>
      <c r="O42">
        <v>486.13</v>
      </c>
      <c r="P42">
        <v>471.03</v>
      </c>
      <c r="Q42">
        <v>517.37</v>
      </c>
      <c r="R42">
        <v>648.39</v>
      </c>
      <c r="S42">
        <v>679.05</v>
      </c>
      <c r="T42">
        <v>729.76</v>
      </c>
      <c r="U42">
        <v>774.99</v>
      </c>
    </row>
    <row r="43" spans="1:21" x14ac:dyDescent="0.25">
      <c r="A43" t="s">
        <v>276</v>
      </c>
      <c r="I43">
        <v>21.42</v>
      </c>
      <c r="J43">
        <v>32.6</v>
      </c>
      <c r="K43">
        <v>60.28</v>
      </c>
      <c r="L43">
        <v>79.62</v>
      </c>
      <c r="M43">
        <v>100.33</v>
      </c>
      <c r="N43">
        <v>118.14</v>
      </c>
      <c r="O43">
        <v>166.32</v>
      </c>
      <c r="P43">
        <v>182.98</v>
      </c>
      <c r="Q43">
        <v>194.22</v>
      </c>
      <c r="R43">
        <v>220.49</v>
      </c>
      <c r="S43">
        <v>220.37</v>
      </c>
      <c r="T43">
        <v>226.49</v>
      </c>
      <c r="U43">
        <v>216.43</v>
      </c>
    </row>
    <row r="44" spans="1:21" x14ac:dyDescent="0.25">
      <c r="A44" t="s">
        <v>61</v>
      </c>
      <c r="I44">
        <v>60.91</v>
      </c>
      <c r="J44">
        <v>52.38</v>
      </c>
      <c r="K44">
        <v>28.57</v>
      </c>
      <c r="L44">
        <v>32.549999999999997</v>
      </c>
      <c r="M44">
        <v>23</v>
      </c>
      <c r="N44">
        <v>19.63</v>
      </c>
      <c r="O44">
        <v>16.59</v>
      </c>
      <c r="P44">
        <v>13.28</v>
      </c>
      <c r="Q44">
        <v>10.83</v>
      </c>
    </row>
    <row r="45" spans="1:21" x14ac:dyDescent="0.25">
      <c r="A45" t="s">
        <v>3205</v>
      </c>
      <c r="I45">
        <v>17.03</v>
      </c>
      <c r="J45">
        <v>29.71</v>
      </c>
      <c r="K45">
        <v>40.700000000000003</v>
      </c>
      <c r="L45">
        <v>97.32</v>
      </c>
      <c r="M45">
        <v>157.86000000000001</v>
      </c>
      <c r="N45">
        <v>248.23</v>
      </c>
      <c r="O45">
        <v>315.99</v>
      </c>
      <c r="P45">
        <v>306.86</v>
      </c>
      <c r="Q45">
        <v>323.14999999999998</v>
      </c>
      <c r="R45">
        <v>427.9</v>
      </c>
      <c r="S45">
        <v>458.69</v>
      </c>
      <c r="T45">
        <v>503.28</v>
      </c>
      <c r="U45">
        <v>558.55999999999995</v>
      </c>
    </row>
    <row r="46" spans="1:21" x14ac:dyDescent="0.25">
      <c r="A46" t="s">
        <v>17</v>
      </c>
    </row>
    <row r="47" spans="1:21" x14ac:dyDescent="0.25">
      <c r="A47" t="s">
        <v>91</v>
      </c>
      <c r="J47">
        <v>-52.78</v>
      </c>
      <c r="K47">
        <v>-56.18</v>
      </c>
      <c r="L47">
        <v>-108.09</v>
      </c>
      <c r="M47">
        <v>-118.38</v>
      </c>
      <c r="N47">
        <v>-127.44</v>
      </c>
      <c r="O47">
        <v>-97.15</v>
      </c>
      <c r="P47">
        <v>3.11</v>
      </c>
      <c r="Q47">
        <v>181.33</v>
      </c>
      <c r="R47">
        <v>427</v>
      </c>
      <c r="S47">
        <v>784</v>
      </c>
      <c r="T47" s="2">
        <v>1182.5</v>
      </c>
      <c r="U47" s="2">
        <v>1852.5</v>
      </c>
    </row>
    <row r="48" spans="1:21" x14ac:dyDescent="0.25">
      <c r="A48" t="s">
        <v>92</v>
      </c>
      <c r="I48">
        <v>-156.29</v>
      </c>
      <c r="J48">
        <v>-163.97</v>
      </c>
      <c r="K48">
        <v>-64.08</v>
      </c>
      <c r="L48">
        <v>-72.739999999999995</v>
      </c>
      <c r="M48">
        <v>-43.51</v>
      </c>
      <c r="N48">
        <v>-38.03</v>
      </c>
      <c r="O48">
        <v>-24.63</v>
      </c>
      <c r="P48">
        <v>-8.6999999999999993</v>
      </c>
      <c r="Q48">
        <v>5.58</v>
      </c>
      <c r="R48">
        <v>11.91</v>
      </c>
      <c r="S48">
        <v>17.420000000000002</v>
      </c>
    </row>
    <row r="49" spans="1:21" x14ac:dyDescent="0.25">
      <c r="A49" t="s">
        <v>17</v>
      </c>
    </row>
    <row r="50" spans="1:21" x14ac:dyDescent="0.25">
      <c r="A50" t="s">
        <v>93</v>
      </c>
      <c r="I50">
        <v>9.34</v>
      </c>
      <c r="J50">
        <v>11.47</v>
      </c>
      <c r="K50">
        <v>29.95</v>
      </c>
      <c r="L50">
        <v>29.74</v>
      </c>
      <c r="M50">
        <v>33.659999999999997</v>
      </c>
      <c r="N50">
        <v>43.94</v>
      </c>
      <c r="O50">
        <v>79.28</v>
      </c>
      <c r="P50">
        <v>92.2</v>
      </c>
      <c r="Q50">
        <v>100.86</v>
      </c>
      <c r="R50">
        <v>114.2</v>
      </c>
      <c r="S50">
        <v>130.83000000000001</v>
      </c>
      <c r="T50">
        <v>202.93</v>
      </c>
      <c r="U50">
        <v>240.03</v>
      </c>
    </row>
    <row r="51" spans="1:21" x14ac:dyDescent="0.25">
      <c r="A51" t="s">
        <v>94</v>
      </c>
      <c r="I51">
        <v>6.53</v>
      </c>
      <c r="J51">
        <v>7.53</v>
      </c>
      <c r="K51">
        <v>16.16</v>
      </c>
      <c r="L51">
        <v>15.41</v>
      </c>
      <c r="M51">
        <v>19.78</v>
      </c>
      <c r="N51">
        <v>25.37</v>
      </c>
      <c r="O51">
        <v>38.520000000000003</v>
      </c>
      <c r="P51">
        <v>50.88</v>
      </c>
      <c r="Q51">
        <v>58.15</v>
      </c>
      <c r="R51">
        <v>63.24</v>
      </c>
      <c r="S51">
        <v>69.010000000000005</v>
      </c>
      <c r="U51">
        <v>240.03</v>
      </c>
    </row>
    <row r="52" spans="1:21" x14ac:dyDescent="0.25">
      <c r="A52" t="s">
        <v>127</v>
      </c>
      <c r="I52">
        <v>2.2200000000000002</v>
      </c>
      <c r="J52">
        <v>3.32</v>
      </c>
      <c r="K52">
        <v>13.23</v>
      </c>
      <c r="L52">
        <v>13.71</v>
      </c>
      <c r="M52">
        <v>13.29</v>
      </c>
      <c r="N52">
        <v>18.57</v>
      </c>
      <c r="O52">
        <v>39.340000000000003</v>
      </c>
      <c r="P52">
        <v>37.82</v>
      </c>
      <c r="Q52">
        <v>32.200000000000003</v>
      </c>
      <c r="R52">
        <v>25.89</v>
      </c>
      <c r="S52">
        <v>22.08</v>
      </c>
    </row>
    <row r="53" spans="1:21" x14ac:dyDescent="0.25">
      <c r="A53" t="s">
        <v>277</v>
      </c>
      <c r="J53">
        <v>-43.89</v>
      </c>
      <c r="K53">
        <v>-38.53</v>
      </c>
      <c r="L53">
        <v>-90.86</v>
      </c>
      <c r="M53">
        <v>-96.94</v>
      </c>
      <c r="N53">
        <v>-101.19</v>
      </c>
      <c r="O53">
        <v>-52.3</v>
      </c>
      <c r="P53">
        <v>109.49</v>
      </c>
      <c r="Q53">
        <v>281.45</v>
      </c>
      <c r="R53">
        <v>484</v>
      </c>
      <c r="S53">
        <v>739.71</v>
      </c>
      <c r="T53" s="2">
        <v>1085</v>
      </c>
      <c r="U53" s="2">
        <v>1811</v>
      </c>
    </row>
    <row r="54" spans="1:21" x14ac:dyDescent="0.25">
      <c r="A54" t="s">
        <v>17</v>
      </c>
    </row>
    <row r="55" spans="1:21" x14ac:dyDescent="0.25">
      <c r="A55" t="s">
        <v>96</v>
      </c>
      <c r="J55">
        <v>6.13</v>
      </c>
      <c r="K55">
        <v>7.8</v>
      </c>
      <c r="L55">
        <v>4.25</v>
      </c>
      <c r="M55">
        <v>3.95</v>
      </c>
      <c r="N55">
        <v>26.49</v>
      </c>
      <c r="O55">
        <v>-63.72</v>
      </c>
      <c r="P55">
        <v>-52.4</v>
      </c>
      <c r="Q55">
        <v>-40.15</v>
      </c>
      <c r="R55">
        <v>-44.21</v>
      </c>
      <c r="S55">
        <v>-53.84</v>
      </c>
      <c r="T55">
        <v>-77.55</v>
      </c>
      <c r="U55">
        <v>-89.55</v>
      </c>
    </row>
    <row r="56" spans="1:21" x14ac:dyDescent="0.25">
      <c r="A56" t="s">
        <v>1421</v>
      </c>
      <c r="I56">
        <v>-2.42</v>
      </c>
      <c r="J56">
        <v>0.56999999999999995</v>
      </c>
      <c r="K56">
        <v>4.4400000000000004</v>
      </c>
      <c r="L56">
        <v>0.47</v>
      </c>
      <c r="M56">
        <v>0.09</v>
      </c>
      <c r="N56">
        <v>0.46</v>
      </c>
      <c r="O56">
        <v>1.8</v>
      </c>
    </row>
    <row r="57" spans="1:21" x14ac:dyDescent="0.25">
      <c r="A57" t="s">
        <v>485</v>
      </c>
      <c r="I57">
        <v>2.23</v>
      </c>
      <c r="J57">
        <v>16.09</v>
      </c>
      <c r="K57">
        <v>-14.49</v>
      </c>
      <c r="L57">
        <v>-3.72</v>
      </c>
      <c r="M57">
        <v>-4.43</v>
      </c>
      <c r="N57">
        <v>-4.38</v>
      </c>
      <c r="O57">
        <v>0.28000000000000003</v>
      </c>
      <c r="P57">
        <v>0.43</v>
      </c>
      <c r="Q57">
        <v>0.25</v>
      </c>
    </row>
    <row r="58" spans="1:21" x14ac:dyDescent="0.25">
      <c r="A58" t="s">
        <v>100</v>
      </c>
      <c r="J58">
        <v>-121.39</v>
      </c>
      <c r="K58">
        <v>-131.37</v>
      </c>
      <c r="L58">
        <v>-178.92</v>
      </c>
      <c r="M58">
        <v>-189.41</v>
      </c>
      <c r="N58">
        <v>-225.9</v>
      </c>
      <c r="O58">
        <v>-173.62</v>
      </c>
      <c r="P58">
        <v>-51.93</v>
      </c>
      <c r="Q58">
        <v>106.24</v>
      </c>
      <c r="R58">
        <v>336.4</v>
      </c>
      <c r="S58">
        <v>625</v>
      </c>
      <c r="T58" s="2">
        <v>1071.5</v>
      </c>
      <c r="U58" s="2">
        <v>1719</v>
      </c>
    </row>
    <row r="59" spans="1:21" x14ac:dyDescent="0.25">
      <c r="A59" t="s">
        <v>17</v>
      </c>
    </row>
    <row r="60" spans="1:21" x14ac:dyDescent="0.25">
      <c r="A60" t="s">
        <v>101</v>
      </c>
      <c r="I60">
        <v>0.47</v>
      </c>
      <c r="J60">
        <v>-7.52</v>
      </c>
      <c r="K60">
        <v>3</v>
      </c>
      <c r="L60">
        <v>3.65</v>
      </c>
      <c r="M60">
        <v>0.76</v>
      </c>
      <c r="N60">
        <v>-27.69</v>
      </c>
      <c r="O60">
        <v>3.15</v>
      </c>
      <c r="P60">
        <v>4.79</v>
      </c>
      <c r="Q60">
        <v>25.97</v>
      </c>
      <c r="R60">
        <v>51.05</v>
      </c>
      <c r="S60">
        <v>102.55</v>
      </c>
      <c r="T60">
        <v>224.93</v>
      </c>
      <c r="U60">
        <v>360.92</v>
      </c>
    </row>
    <row r="61" spans="1:21" x14ac:dyDescent="0.25">
      <c r="A61" t="s">
        <v>102</v>
      </c>
      <c r="I61">
        <v>-0.9</v>
      </c>
      <c r="J61">
        <v>6</v>
      </c>
      <c r="K61">
        <v>-2.2999999999999998</v>
      </c>
      <c r="L61">
        <v>-2</v>
      </c>
      <c r="M61">
        <v>-0.4</v>
      </c>
      <c r="N61">
        <v>13.96</v>
      </c>
      <c r="O61">
        <v>-0.48</v>
      </c>
      <c r="P61">
        <v>-3.6</v>
      </c>
      <c r="Q61">
        <v>-21</v>
      </c>
      <c r="R61">
        <v>-21</v>
      </c>
      <c r="S61">
        <v>-21</v>
      </c>
      <c r="T61">
        <v>-21</v>
      </c>
      <c r="U61">
        <v>-21</v>
      </c>
    </row>
    <row r="62" spans="1:21" x14ac:dyDescent="0.25">
      <c r="A62" t="s">
        <v>17</v>
      </c>
    </row>
    <row r="63" spans="1:21" x14ac:dyDescent="0.25">
      <c r="A63" t="s">
        <v>106</v>
      </c>
      <c r="J63">
        <v>-117.75</v>
      </c>
      <c r="K63">
        <v>-135.94</v>
      </c>
      <c r="L63">
        <v>-182.57</v>
      </c>
      <c r="M63">
        <v>-190.18</v>
      </c>
      <c r="N63">
        <v>-198.21</v>
      </c>
      <c r="O63">
        <v>-162.07</v>
      </c>
      <c r="P63">
        <v>-38.07</v>
      </c>
      <c r="Q63">
        <v>101.06</v>
      </c>
      <c r="R63">
        <v>256.5</v>
      </c>
      <c r="S63">
        <v>483</v>
      </c>
      <c r="T63">
        <v>846</v>
      </c>
      <c r="U63" s="2">
        <v>1358</v>
      </c>
    </row>
    <row r="64" spans="1:21" x14ac:dyDescent="0.25">
      <c r="A64" t="s">
        <v>17</v>
      </c>
    </row>
    <row r="65" spans="1:21" x14ac:dyDescent="0.25">
      <c r="A65" t="s">
        <v>108</v>
      </c>
      <c r="I65">
        <v>75.41</v>
      </c>
      <c r="J65">
        <v>209.9</v>
      </c>
      <c r="K65">
        <v>466.21</v>
      </c>
      <c r="L65">
        <v>481.77</v>
      </c>
      <c r="M65">
        <v>495.93</v>
      </c>
      <c r="N65">
        <v>530.66</v>
      </c>
      <c r="O65">
        <v>631.79999999999995</v>
      </c>
      <c r="P65">
        <v>649.07000000000005</v>
      </c>
      <c r="Q65">
        <v>654.53</v>
      </c>
      <c r="R65">
        <v>646.9</v>
      </c>
      <c r="S65">
        <v>649.01</v>
      </c>
      <c r="T65">
        <v>651.59</v>
      </c>
      <c r="U65">
        <v>654.71</v>
      </c>
    </row>
    <row r="66" spans="1:21" x14ac:dyDescent="0.25">
      <c r="A66" t="s">
        <v>17</v>
      </c>
    </row>
    <row r="67" spans="1:21" x14ac:dyDescent="0.25">
      <c r="A67" t="s">
        <v>109</v>
      </c>
      <c r="I67">
        <v>75.41</v>
      </c>
      <c r="J67">
        <v>209.9</v>
      </c>
      <c r="K67">
        <v>466.21</v>
      </c>
      <c r="L67">
        <v>481.77</v>
      </c>
      <c r="M67">
        <v>495.93</v>
      </c>
      <c r="N67">
        <v>530.66</v>
      </c>
      <c r="O67">
        <v>628.78</v>
      </c>
      <c r="P67">
        <v>647.49</v>
      </c>
      <c r="Q67">
        <v>654.46</v>
      </c>
      <c r="R67">
        <v>655.49</v>
      </c>
      <c r="S67">
        <v>660.37</v>
      </c>
      <c r="T67">
        <v>651.59</v>
      </c>
      <c r="U67">
        <v>654.71</v>
      </c>
    </row>
    <row r="68" spans="1:21" x14ac:dyDescent="0.25">
      <c r="A68" t="s">
        <v>110</v>
      </c>
      <c r="J68">
        <v>-0.26</v>
      </c>
      <c r="K68">
        <v>-0.28999999999999998</v>
      </c>
      <c r="L68">
        <v>-0.38</v>
      </c>
      <c r="M68">
        <v>-0.38</v>
      </c>
      <c r="N68">
        <v>-0.37</v>
      </c>
      <c r="O68">
        <v>-0.27</v>
      </c>
      <c r="P68">
        <v>-7.0000000000000007E-2</v>
      </c>
      <c r="Q68">
        <v>0.24</v>
      </c>
      <c r="R68">
        <v>0.42</v>
      </c>
      <c r="S68">
        <v>0.76</v>
      </c>
      <c r="T68">
        <v>1.31</v>
      </c>
      <c r="U68">
        <v>2.09</v>
      </c>
    </row>
    <row r="69" spans="1:21" x14ac:dyDescent="0.25">
      <c r="A69" t="s">
        <v>17</v>
      </c>
    </row>
    <row r="70" spans="1:21" x14ac:dyDescent="0.25">
      <c r="A70" t="s">
        <v>282</v>
      </c>
    </row>
    <row r="71" spans="1:21" x14ac:dyDescent="0.25">
      <c r="A71" t="s">
        <v>63</v>
      </c>
      <c r="I71">
        <v>-11.82</v>
      </c>
      <c r="J71">
        <v>-1.89</v>
      </c>
      <c r="K71">
        <v>18.989999999999998</v>
      </c>
      <c r="L71">
        <v>51.41</v>
      </c>
      <c r="M71">
        <v>116.15</v>
      </c>
      <c r="N71">
        <v>207.18</v>
      </c>
      <c r="O71">
        <v>327.95</v>
      </c>
      <c r="P71">
        <v>455.4</v>
      </c>
      <c r="Q71">
        <v>655.44</v>
      </c>
      <c r="R71">
        <v>962.52</v>
      </c>
      <c r="S71" s="2">
        <v>1304.8699999999999</v>
      </c>
      <c r="T71" s="2">
        <v>1802.86</v>
      </c>
      <c r="U71" s="2">
        <v>2500.41</v>
      </c>
    </row>
    <row r="72" spans="1:21" x14ac:dyDescent="0.25">
      <c r="A72" t="s">
        <v>64</v>
      </c>
      <c r="M72">
        <v>26.6</v>
      </c>
      <c r="N72">
        <v>39.700000000000003</v>
      </c>
      <c r="O72">
        <v>34.340000000000003</v>
      </c>
      <c r="P72">
        <v>33.64</v>
      </c>
      <c r="Q72">
        <v>38.08</v>
      </c>
      <c r="R72">
        <v>42.56</v>
      </c>
      <c r="S72">
        <v>45.77</v>
      </c>
      <c r="T72">
        <v>45.52</v>
      </c>
      <c r="U72">
        <v>48.64</v>
      </c>
    </row>
    <row r="73" spans="1:21" x14ac:dyDescent="0.25">
      <c r="A73" t="s">
        <v>87</v>
      </c>
      <c r="I73">
        <v>43.14</v>
      </c>
      <c r="J73">
        <v>100.16</v>
      </c>
      <c r="K73">
        <v>154.19</v>
      </c>
      <c r="L73">
        <v>229.33</v>
      </c>
      <c r="M73">
        <v>305.95</v>
      </c>
      <c r="N73">
        <v>436.02</v>
      </c>
      <c r="O73">
        <v>565.41</v>
      </c>
      <c r="P73">
        <v>567.24</v>
      </c>
      <c r="Q73">
        <v>611.47</v>
      </c>
      <c r="R73">
        <v>689.73</v>
      </c>
      <c r="S73">
        <v>732.6</v>
      </c>
      <c r="T73">
        <v>809.3</v>
      </c>
      <c r="U73">
        <v>871.32</v>
      </c>
    </row>
    <row r="74" spans="1:21" x14ac:dyDescent="0.25">
      <c r="A74" t="s">
        <v>298</v>
      </c>
      <c r="I74">
        <v>23.99</v>
      </c>
      <c r="J74">
        <v>58.4</v>
      </c>
      <c r="K74">
        <v>89.03</v>
      </c>
      <c r="L74">
        <v>110.27</v>
      </c>
      <c r="M74">
        <v>131.56</v>
      </c>
      <c r="N74">
        <v>165.3</v>
      </c>
      <c r="O74">
        <v>225.25</v>
      </c>
      <c r="P74">
        <v>247.33</v>
      </c>
      <c r="Q74">
        <v>270.37</v>
      </c>
      <c r="R74">
        <v>320.10000000000002</v>
      </c>
      <c r="S74">
        <v>349.2</v>
      </c>
      <c r="T74">
        <v>414.64</v>
      </c>
      <c r="U74">
        <v>434.82</v>
      </c>
    </row>
    <row r="75" spans="1:21" x14ac:dyDescent="0.25">
      <c r="A75" t="s">
        <v>76</v>
      </c>
      <c r="I75">
        <v>68.239999999999995</v>
      </c>
      <c r="J75">
        <v>93.83</v>
      </c>
      <c r="K75">
        <v>42.19</v>
      </c>
      <c r="L75">
        <v>45.08</v>
      </c>
      <c r="M75">
        <v>30.16</v>
      </c>
      <c r="N75">
        <v>27.47</v>
      </c>
      <c r="O75">
        <v>23.6</v>
      </c>
      <c r="P75">
        <v>19</v>
      </c>
      <c r="Q75">
        <v>16.190000000000001</v>
      </c>
      <c r="R75">
        <v>15.03</v>
      </c>
      <c r="S75">
        <v>12.66</v>
      </c>
      <c r="T75">
        <v>10.44</v>
      </c>
      <c r="U75">
        <v>8.4499999999999993</v>
      </c>
    </row>
    <row r="76" spans="1:21" x14ac:dyDescent="0.25">
      <c r="A76" t="s">
        <v>114</v>
      </c>
      <c r="I76">
        <v>19.14</v>
      </c>
      <c r="J76">
        <v>41.77</v>
      </c>
      <c r="K76">
        <v>65.17</v>
      </c>
      <c r="L76">
        <v>119.05</v>
      </c>
      <c r="M76">
        <v>174.39</v>
      </c>
      <c r="N76">
        <v>270.72000000000003</v>
      </c>
      <c r="O76">
        <v>338.94</v>
      </c>
      <c r="P76">
        <v>321.07</v>
      </c>
      <c r="Q76">
        <v>339.19</v>
      </c>
      <c r="R76">
        <v>349.1</v>
      </c>
      <c r="S76">
        <v>383.23</v>
      </c>
      <c r="T76">
        <v>394.66</v>
      </c>
      <c r="U76">
        <v>436.49</v>
      </c>
    </row>
    <row r="77" spans="1:21" x14ac:dyDescent="0.25">
      <c r="A77" t="s">
        <v>76</v>
      </c>
      <c r="I77">
        <v>54.44</v>
      </c>
      <c r="J77">
        <v>67.11</v>
      </c>
      <c r="K77">
        <v>30.89</v>
      </c>
      <c r="L77">
        <v>48.67</v>
      </c>
      <c r="M77">
        <v>39.979999999999997</v>
      </c>
      <c r="N77">
        <v>44.98</v>
      </c>
      <c r="O77">
        <v>34.74</v>
      </c>
      <c r="P77">
        <v>23.83</v>
      </c>
      <c r="Q77">
        <v>19.62</v>
      </c>
      <c r="R77">
        <v>15.43</v>
      </c>
      <c r="S77">
        <v>13.74</v>
      </c>
      <c r="T77">
        <v>9.69</v>
      </c>
      <c r="U77">
        <v>8.41</v>
      </c>
    </row>
    <row r="78" spans="1:21" x14ac:dyDescent="0.25">
      <c r="A78" t="s">
        <v>116</v>
      </c>
      <c r="I78">
        <v>-54.95</v>
      </c>
      <c r="J78">
        <v>-102.05</v>
      </c>
      <c r="K78">
        <v>-135.19999999999999</v>
      </c>
      <c r="L78">
        <v>-177.92</v>
      </c>
      <c r="M78">
        <v>-189.8</v>
      </c>
      <c r="N78">
        <v>-228.84</v>
      </c>
      <c r="O78">
        <v>-240.52</v>
      </c>
      <c r="P78">
        <v>-108.7</v>
      </c>
      <c r="Q78">
        <v>53.91</v>
      </c>
      <c r="R78">
        <v>293.33999999999997</v>
      </c>
      <c r="S78">
        <v>572.44000000000005</v>
      </c>
      <c r="T78">
        <v>993.56</v>
      </c>
      <c r="U78" s="2">
        <v>1629.1</v>
      </c>
    </row>
    <row r="79" spans="1:21" x14ac:dyDescent="0.25">
      <c r="A79" t="s">
        <v>269</v>
      </c>
      <c r="I79">
        <v>-138.56</v>
      </c>
      <c r="J79">
        <v>-84.81</v>
      </c>
      <c r="K79">
        <v>-26.63</v>
      </c>
      <c r="L79">
        <v>-44.19</v>
      </c>
      <c r="M79">
        <v>-27.14</v>
      </c>
      <c r="N79">
        <v>-21.18</v>
      </c>
      <c r="O79">
        <v>-11.59</v>
      </c>
      <c r="P79">
        <v>1.72</v>
      </c>
      <c r="Q79">
        <v>13.48</v>
      </c>
      <c r="R79">
        <v>20.399999999999999</v>
      </c>
      <c r="S79">
        <v>27.4</v>
      </c>
    </row>
    <row r="80" spans="1:21" x14ac:dyDescent="0.25">
      <c r="A80" t="s">
        <v>1601</v>
      </c>
      <c r="J80">
        <v>-117.75</v>
      </c>
      <c r="K80">
        <v>-135.94</v>
      </c>
      <c r="L80">
        <v>-182.57</v>
      </c>
      <c r="M80">
        <v>-190.18</v>
      </c>
      <c r="N80">
        <v>-198.21</v>
      </c>
      <c r="O80">
        <v>-176.36</v>
      </c>
      <c r="P80">
        <v>-53.97</v>
      </c>
      <c r="Q80">
        <v>77.069999999999993</v>
      </c>
      <c r="R80">
        <v>256.5</v>
      </c>
      <c r="S80">
        <v>483</v>
      </c>
      <c r="T80">
        <v>846</v>
      </c>
      <c r="U80" s="2">
        <v>1358</v>
      </c>
    </row>
    <row r="81" spans="1:21" x14ac:dyDescent="0.25">
      <c r="A81" t="s">
        <v>124</v>
      </c>
      <c r="J81">
        <v>-0.26</v>
      </c>
      <c r="K81">
        <v>-0.28999999999999998</v>
      </c>
      <c r="L81">
        <v>-0.38</v>
      </c>
      <c r="M81">
        <v>-0.38</v>
      </c>
      <c r="N81">
        <v>-0.37</v>
      </c>
      <c r="O81">
        <v>-0.28999999999999998</v>
      </c>
      <c r="P81">
        <v>-0.09</v>
      </c>
      <c r="Q81">
        <v>0.14000000000000001</v>
      </c>
      <c r="R81">
        <v>0.43</v>
      </c>
      <c r="S81">
        <v>0.83</v>
      </c>
      <c r="T81">
        <v>1.31</v>
      </c>
      <c r="U81">
        <v>2.09</v>
      </c>
    </row>
    <row r="82" spans="1:21" x14ac:dyDescent="0.25">
      <c r="A82" t="s">
        <v>17</v>
      </c>
    </row>
    <row r="83" spans="1:21" x14ac:dyDescent="0.25">
      <c r="A83" t="s">
        <v>125</v>
      </c>
    </row>
    <row r="84" spans="1:21" x14ac:dyDescent="0.25">
      <c r="A84" t="s">
        <v>67</v>
      </c>
      <c r="I84">
        <v>4.22</v>
      </c>
      <c r="J84">
        <v>32.56</v>
      </c>
      <c r="K84">
        <v>55.65</v>
      </c>
      <c r="L84">
        <v>53.46</v>
      </c>
      <c r="M84">
        <v>56.82</v>
      </c>
      <c r="N84">
        <v>71.099999999999994</v>
      </c>
      <c r="O84">
        <v>90.65</v>
      </c>
      <c r="P84">
        <v>105.13</v>
      </c>
      <c r="Q84">
        <v>123.58</v>
      </c>
      <c r="R84">
        <v>162.96</v>
      </c>
      <c r="S84">
        <v>187.13</v>
      </c>
      <c r="T84">
        <v>204.95</v>
      </c>
      <c r="U84">
        <v>239.37</v>
      </c>
    </row>
    <row r="85" spans="1:21" x14ac:dyDescent="0.25">
      <c r="A85" t="s">
        <v>61</v>
      </c>
      <c r="K85">
        <v>26.37</v>
      </c>
      <c r="L85">
        <v>21.86</v>
      </c>
      <c r="M85">
        <v>13.02</v>
      </c>
      <c r="N85">
        <v>11.81</v>
      </c>
      <c r="O85">
        <v>9.6199999999999992</v>
      </c>
      <c r="P85">
        <v>7.61</v>
      </c>
      <c r="Q85">
        <v>7.16</v>
      </c>
      <c r="R85">
        <v>6.7</v>
      </c>
      <c r="S85">
        <v>5.9</v>
      </c>
      <c r="T85">
        <v>5.01</v>
      </c>
      <c r="U85">
        <v>4.5999999999999996</v>
      </c>
    </row>
    <row r="86" spans="1:21" x14ac:dyDescent="0.25">
      <c r="A86" t="s">
        <v>126</v>
      </c>
      <c r="I86">
        <v>1.4</v>
      </c>
      <c r="J86">
        <v>11</v>
      </c>
      <c r="K86">
        <v>17.95</v>
      </c>
      <c r="L86">
        <v>12.52</v>
      </c>
      <c r="M86">
        <v>16.66</v>
      </c>
      <c r="N86">
        <v>17.63</v>
      </c>
      <c r="O86">
        <v>19.37</v>
      </c>
      <c r="P86">
        <v>26.22</v>
      </c>
      <c r="Q86">
        <v>32.590000000000003</v>
      </c>
      <c r="R86">
        <v>45.79</v>
      </c>
      <c r="S86">
        <v>58.89</v>
      </c>
      <c r="T86">
        <v>72.08</v>
      </c>
      <c r="U86">
        <v>87.12</v>
      </c>
    </row>
    <row r="87" spans="1:21" x14ac:dyDescent="0.25">
      <c r="A87" t="s">
        <v>114</v>
      </c>
      <c r="I87">
        <v>1.18</v>
      </c>
      <c r="J87">
        <v>9.9700000000000006</v>
      </c>
      <c r="K87">
        <v>21.13</v>
      </c>
      <c r="L87">
        <v>21.72</v>
      </c>
      <c r="M87">
        <v>15.63</v>
      </c>
      <c r="N87">
        <v>22.07</v>
      </c>
      <c r="O87">
        <v>28.38</v>
      </c>
      <c r="P87">
        <v>38.86</v>
      </c>
      <c r="Q87">
        <v>46.11</v>
      </c>
      <c r="R87">
        <v>63.56</v>
      </c>
      <c r="S87">
        <v>81.73</v>
      </c>
      <c r="T87">
        <v>100.05</v>
      </c>
      <c r="U87">
        <v>120.92</v>
      </c>
    </row>
    <row r="88" spans="1:21" x14ac:dyDescent="0.25">
      <c r="A88" t="s">
        <v>2723</v>
      </c>
    </row>
    <row r="89" spans="1:21" x14ac:dyDescent="0.25">
      <c r="A89" t="s">
        <v>3206</v>
      </c>
      <c r="I89">
        <v>0.83</v>
      </c>
      <c r="J89">
        <v>2.5</v>
      </c>
      <c r="K89">
        <v>0.65</v>
      </c>
      <c r="L89">
        <v>0.34</v>
      </c>
      <c r="M89">
        <v>2.38</v>
      </c>
      <c r="N89">
        <v>1.65</v>
      </c>
      <c r="O89">
        <v>13.22</v>
      </c>
      <c r="P89">
        <v>14.65</v>
      </c>
      <c r="Q89">
        <v>12.3</v>
      </c>
    </row>
    <row r="90" spans="1:21" x14ac:dyDescent="0.25">
      <c r="A90" t="s">
        <v>17</v>
      </c>
    </row>
    <row r="91" spans="1:21" x14ac:dyDescent="0.25">
      <c r="A91" t="s">
        <v>134</v>
      </c>
    </row>
    <row r="92" spans="1:21" x14ac:dyDescent="0.25">
      <c r="A92" t="s">
        <v>135</v>
      </c>
    </row>
    <row r="93" spans="1:21" x14ac:dyDescent="0.25">
      <c r="A93" t="s">
        <v>136</v>
      </c>
      <c r="I93">
        <v>93.11</v>
      </c>
      <c r="J93">
        <v>774.76</v>
      </c>
      <c r="K93">
        <v>662.29</v>
      </c>
      <c r="L93">
        <v>476.72</v>
      </c>
      <c r="M93">
        <v>692.62</v>
      </c>
      <c r="N93" s="2">
        <v>1365.54</v>
      </c>
      <c r="O93" s="2">
        <v>2868.41</v>
      </c>
      <c r="P93" s="2">
        <v>2983.68</v>
      </c>
      <c r="Q93" s="2">
        <v>3156.48</v>
      </c>
      <c r="R93" s="2">
        <v>3610.29</v>
      </c>
      <c r="S93" s="2">
        <v>4301.1000000000004</v>
      </c>
      <c r="T93" s="2">
        <v>5934.51</v>
      </c>
      <c r="U93" s="2">
        <v>7773.49</v>
      </c>
    </row>
    <row r="94" spans="1:21" x14ac:dyDescent="0.25">
      <c r="A94" t="s">
        <v>536</v>
      </c>
      <c r="I94">
        <v>52.79</v>
      </c>
      <c r="J94">
        <v>690.96</v>
      </c>
      <c r="K94">
        <v>242.52</v>
      </c>
      <c r="L94">
        <v>162.52000000000001</v>
      </c>
      <c r="M94">
        <v>271.04000000000002</v>
      </c>
      <c r="N94">
        <v>828.66</v>
      </c>
      <c r="O94" s="2">
        <v>2060.63</v>
      </c>
      <c r="P94" s="2">
        <v>1959.26</v>
      </c>
      <c r="Q94" s="2">
        <v>1862.13</v>
      </c>
      <c r="R94" s="2">
        <v>2002.17</v>
      </c>
      <c r="S94" s="2">
        <v>2433.3000000000002</v>
      </c>
      <c r="T94" s="2">
        <v>3979.85</v>
      </c>
      <c r="U94" s="2">
        <v>5551.48</v>
      </c>
    </row>
    <row r="95" spans="1:21" x14ac:dyDescent="0.25">
      <c r="A95" t="s">
        <v>1130</v>
      </c>
      <c r="K95">
        <v>229.28</v>
      </c>
      <c r="L95">
        <v>82.26</v>
      </c>
      <c r="M95">
        <v>147.94999999999999</v>
      </c>
      <c r="N95">
        <v>187.92</v>
      </c>
      <c r="O95">
        <v>163.29</v>
      </c>
      <c r="P95">
        <v>154.99</v>
      </c>
      <c r="Q95">
        <v>172.76</v>
      </c>
      <c r="R95">
        <v>172.78</v>
      </c>
      <c r="S95">
        <v>172.78</v>
      </c>
      <c r="T95">
        <v>172.7</v>
      </c>
      <c r="U95">
        <v>172.7</v>
      </c>
    </row>
    <row r="96" spans="1:21" x14ac:dyDescent="0.25">
      <c r="A96" t="s">
        <v>141</v>
      </c>
      <c r="I96">
        <v>2.73</v>
      </c>
      <c r="J96">
        <v>13.96</v>
      </c>
      <c r="K96">
        <v>36.57</v>
      </c>
      <c r="L96">
        <v>35.18</v>
      </c>
      <c r="M96">
        <v>36.44</v>
      </c>
      <c r="N96">
        <v>39</v>
      </c>
      <c r="O96">
        <v>139.83000000000001</v>
      </c>
      <c r="P96">
        <v>179.41</v>
      </c>
      <c r="Q96">
        <v>254.94</v>
      </c>
      <c r="R96">
        <v>325.36</v>
      </c>
      <c r="S96">
        <v>413.2</v>
      </c>
      <c r="T96">
        <v>491.86</v>
      </c>
      <c r="U96">
        <v>576.28</v>
      </c>
    </row>
    <row r="97" spans="1:21" x14ac:dyDescent="0.25">
      <c r="A97" t="s">
        <v>1129</v>
      </c>
      <c r="I97">
        <v>2.0499999999999998</v>
      </c>
      <c r="J97">
        <v>2.4900000000000002</v>
      </c>
      <c r="K97">
        <v>9.4499999999999993</v>
      </c>
      <c r="L97">
        <v>12.95</v>
      </c>
      <c r="M97">
        <v>63.11</v>
      </c>
      <c r="N97">
        <v>61.61</v>
      </c>
      <c r="O97">
        <v>98.03</v>
      </c>
      <c r="P97">
        <v>112.77</v>
      </c>
      <c r="Q97">
        <v>154.22999999999999</v>
      </c>
      <c r="R97">
        <v>189.82</v>
      </c>
      <c r="S97">
        <v>224.78</v>
      </c>
      <c r="T97">
        <v>262.67</v>
      </c>
      <c r="U97">
        <v>312.67</v>
      </c>
    </row>
    <row r="98" spans="1:21" x14ac:dyDescent="0.25">
      <c r="A98" t="s">
        <v>340</v>
      </c>
      <c r="I98">
        <v>26.14</v>
      </c>
      <c r="J98">
        <v>47.9</v>
      </c>
      <c r="K98">
        <v>92.28</v>
      </c>
      <c r="L98">
        <v>107.86</v>
      </c>
      <c r="M98">
        <v>119.07</v>
      </c>
      <c r="N98">
        <v>158.41</v>
      </c>
      <c r="O98">
        <v>301.33</v>
      </c>
      <c r="P98">
        <v>465.3</v>
      </c>
      <c r="Q98">
        <v>644.6</v>
      </c>
      <c r="R98">
        <v>761.32</v>
      </c>
      <c r="S98">
        <v>876.6</v>
      </c>
      <c r="T98">
        <v>773.12</v>
      </c>
      <c r="U98">
        <v>839.32</v>
      </c>
    </row>
    <row r="99" spans="1:21" x14ac:dyDescent="0.25">
      <c r="A99" t="s">
        <v>537</v>
      </c>
      <c r="I99">
        <v>9.41</v>
      </c>
      <c r="J99">
        <v>19.45</v>
      </c>
      <c r="K99">
        <v>52.2</v>
      </c>
      <c r="L99">
        <v>66.95</v>
      </c>
      <c r="M99">
        <v>55.01</v>
      </c>
      <c r="N99">
        <v>89.95</v>
      </c>
      <c r="O99">
        <v>128</v>
      </c>
      <c r="P99">
        <v>142.51</v>
      </c>
      <c r="Q99">
        <v>165.1</v>
      </c>
      <c r="R99">
        <v>193.73</v>
      </c>
      <c r="S99">
        <v>225.98</v>
      </c>
      <c r="T99">
        <v>340.65</v>
      </c>
      <c r="U99">
        <v>407.38</v>
      </c>
    </row>
    <row r="100" spans="1:21" x14ac:dyDescent="0.25">
      <c r="A100" t="s">
        <v>3207</v>
      </c>
      <c r="K100">
        <v>9.4499999999999993</v>
      </c>
      <c r="L100">
        <v>9.02</v>
      </c>
    </row>
    <row r="101" spans="1:21" x14ac:dyDescent="0.25">
      <c r="A101" t="s">
        <v>146</v>
      </c>
    </row>
    <row r="102" spans="1:21" x14ac:dyDescent="0.25">
      <c r="A102" t="s">
        <v>409</v>
      </c>
      <c r="I102">
        <v>49.83</v>
      </c>
      <c r="J102">
        <v>65.34</v>
      </c>
      <c r="K102">
        <v>101.51</v>
      </c>
      <c r="L102">
        <v>145.41</v>
      </c>
      <c r="M102">
        <v>194.84</v>
      </c>
      <c r="N102">
        <v>319.47000000000003</v>
      </c>
      <c r="O102">
        <v>432.94</v>
      </c>
      <c r="P102">
        <v>486.32</v>
      </c>
      <c r="Q102">
        <v>490.26</v>
      </c>
      <c r="R102">
        <v>535.98</v>
      </c>
      <c r="S102">
        <v>557.86</v>
      </c>
      <c r="T102">
        <v>394.23</v>
      </c>
      <c r="U102">
        <v>340.88</v>
      </c>
    </row>
    <row r="103" spans="1:21" x14ac:dyDescent="0.25">
      <c r="A103" t="s">
        <v>310</v>
      </c>
      <c r="I103">
        <v>26.9</v>
      </c>
      <c r="J103">
        <v>28.42</v>
      </c>
      <c r="K103">
        <v>35.24</v>
      </c>
      <c r="L103">
        <v>59.4</v>
      </c>
      <c r="M103">
        <v>53.66</v>
      </c>
      <c r="N103">
        <v>90.37</v>
      </c>
      <c r="O103">
        <v>115.22</v>
      </c>
      <c r="P103">
        <v>111.46</v>
      </c>
      <c r="Q103">
        <v>109.55</v>
      </c>
      <c r="R103">
        <v>119.84</v>
      </c>
      <c r="S103">
        <v>129.05000000000001</v>
      </c>
    </row>
    <row r="104" spans="1:21" x14ac:dyDescent="0.25">
      <c r="A104" t="s">
        <v>3208</v>
      </c>
      <c r="K104">
        <v>15.61</v>
      </c>
      <c r="L104">
        <v>14.99</v>
      </c>
      <c r="M104">
        <v>14.4</v>
      </c>
      <c r="N104">
        <v>13.9</v>
      </c>
      <c r="O104">
        <v>12.35</v>
      </c>
      <c r="P104">
        <v>12.35</v>
      </c>
      <c r="Q104">
        <v>12.35</v>
      </c>
      <c r="R104">
        <v>12.35</v>
      </c>
      <c r="S104">
        <v>12.35</v>
      </c>
    </row>
    <row r="105" spans="1:21" x14ac:dyDescent="0.25">
      <c r="A105" t="s">
        <v>411</v>
      </c>
      <c r="I105">
        <v>320</v>
      </c>
      <c r="K105">
        <v>9.19</v>
      </c>
      <c r="L105">
        <v>79.25</v>
      </c>
      <c r="M105">
        <v>60.69</v>
      </c>
      <c r="N105">
        <v>82.25</v>
      </c>
      <c r="O105">
        <v>85.35</v>
      </c>
      <c r="P105">
        <v>85.35</v>
      </c>
      <c r="Q105">
        <v>85.3</v>
      </c>
      <c r="R105">
        <v>85.27</v>
      </c>
      <c r="S105">
        <v>85.27</v>
      </c>
    </row>
    <row r="106" spans="1:21" x14ac:dyDescent="0.25">
      <c r="A106" t="s">
        <v>311</v>
      </c>
      <c r="I106">
        <v>2.4</v>
      </c>
      <c r="J106">
        <v>5.86</v>
      </c>
      <c r="K106">
        <v>3.9</v>
      </c>
      <c r="L106">
        <v>3.5</v>
      </c>
      <c r="M106">
        <v>3.01</v>
      </c>
      <c r="N106">
        <v>1.9</v>
      </c>
      <c r="O106">
        <v>1.06</v>
      </c>
      <c r="P106">
        <v>1.06</v>
      </c>
      <c r="Q106">
        <v>1.06</v>
      </c>
      <c r="R106">
        <v>1.06</v>
      </c>
      <c r="S106">
        <v>1.06</v>
      </c>
      <c r="T106">
        <v>1.06</v>
      </c>
      <c r="U106">
        <v>1.06</v>
      </c>
    </row>
    <row r="107" spans="1:21" x14ac:dyDescent="0.25">
      <c r="A107" t="s">
        <v>312</v>
      </c>
      <c r="I107">
        <v>54.66</v>
      </c>
      <c r="J107">
        <v>100.8</v>
      </c>
      <c r="K107">
        <v>150.71</v>
      </c>
      <c r="L107">
        <v>139.11000000000001</v>
      </c>
      <c r="M107">
        <v>129.66</v>
      </c>
      <c r="N107">
        <v>430.5</v>
      </c>
    </row>
    <row r="108" spans="1:21" x14ac:dyDescent="0.25">
      <c r="A108" t="s">
        <v>496</v>
      </c>
      <c r="I108">
        <v>3.13</v>
      </c>
      <c r="J108">
        <v>43.31</v>
      </c>
      <c r="K108">
        <v>71.02</v>
      </c>
      <c r="L108">
        <v>71.02</v>
      </c>
      <c r="M108">
        <v>71.02</v>
      </c>
      <c r="N108">
        <v>205.75</v>
      </c>
      <c r="O108">
        <v>299.06</v>
      </c>
      <c r="P108">
        <v>299.06</v>
      </c>
      <c r="Q108">
        <v>299.06</v>
      </c>
      <c r="R108">
        <v>299.06</v>
      </c>
      <c r="S108">
        <v>299.06</v>
      </c>
      <c r="T108">
        <v>299.07</v>
      </c>
      <c r="U108">
        <v>299.07</v>
      </c>
    </row>
    <row r="109" spans="1:21" x14ac:dyDescent="0.25">
      <c r="A109" t="s">
        <v>497</v>
      </c>
      <c r="I109">
        <v>11.35</v>
      </c>
      <c r="J109">
        <v>57.49</v>
      </c>
      <c r="K109">
        <v>79.69</v>
      </c>
      <c r="L109">
        <v>68.09</v>
      </c>
      <c r="M109">
        <v>58.64</v>
      </c>
      <c r="N109">
        <v>224.75</v>
      </c>
      <c r="O109">
        <v>309.97000000000003</v>
      </c>
      <c r="P109">
        <v>293.12</v>
      </c>
      <c r="Q109">
        <v>275.8</v>
      </c>
      <c r="R109">
        <v>256.56</v>
      </c>
      <c r="S109">
        <v>242.71</v>
      </c>
      <c r="T109">
        <v>320.42</v>
      </c>
      <c r="U109">
        <v>320.42</v>
      </c>
    </row>
    <row r="110" spans="1:21" x14ac:dyDescent="0.25">
      <c r="A110" t="s">
        <v>693</v>
      </c>
      <c r="I110">
        <v>1.1399999999999999</v>
      </c>
      <c r="J110">
        <v>1.1200000000000001</v>
      </c>
      <c r="K110">
        <v>3.36</v>
      </c>
      <c r="L110">
        <v>3.92</v>
      </c>
      <c r="M110">
        <v>4.26</v>
      </c>
      <c r="N110">
        <v>4.8899999999999997</v>
      </c>
      <c r="O110">
        <v>8.41</v>
      </c>
      <c r="P110">
        <v>8.41</v>
      </c>
      <c r="Q110">
        <v>8.41</v>
      </c>
      <c r="R110">
        <v>8.41</v>
      </c>
      <c r="S110">
        <v>8.41</v>
      </c>
      <c r="T110">
        <v>8.41</v>
      </c>
      <c r="U110">
        <v>8.41</v>
      </c>
    </row>
    <row r="111" spans="1:21" x14ac:dyDescent="0.25">
      <c r="A111" t="s">
        <v>78</v>
      </c>
      <c r="I111">
        <v>0</v>
      </c>
      <c r="J111">
        <v>60.24</v>
      </c>
      <c r="K111">
        <v>7.3</v>
      </c>
      <c r="L111">
        <v>18.91</v>
      </c>
      <c r="M111">
        <v>31.21</v>
      </c>
      <c r="N111">
        <v>15.67</v>
      </c>
      <c r="O111">
        <v>53.57</v>
      </c>
      <c r="P111">
        <v>55.59</v>
      </c>
      <c r="Q111">
        <v>59.86</v>
      </c>
      <c r="R111">
        <v>72.900000000000006</v>
      </c>
      <c r="S111">
        <v>82.19</v>
      </c>
    </row>
    <row r="112" spans="1:21" x14ac:dyDescent="0.25">
      <c r="A112" t="s">
        <v>155</v>
      </c>
      <c r="I112">
        <v>187.87</v>
      </c>
      <c r="J112">
        <v>980.85</v>
      </c>
      <c r="K112">
        <v>989.12</v>
      </c>
      <c r="L112">
        <v>941.21</v>
      </c>
      <c r="M112" s="2">
        <v>1184.3399999999999</v>
      </c>
      <c r="N112" s="2">
        <v>2324.48</v>
      </c>
      <c r="O112" s="2">
        <v>4182.32</v>
      </c>
      <c r="P112" s="2">
        <v>4323.2299999999996</v>
      </c>
      <c r="Q112" s="2">
        <v>4483.79</v>
      </c>
      <c r="R112" s="2">
        <v>4972.04</v>
      </c>
      <c r="S112" s="2">
        <v>5688.34</v>
      </c>
      <c r="T112" s="2">
        <v>7183.71</v>
      </c>
      <c r="U112" s="2">
        <v>8969.33</v>
      </c>
    </row>
    <row r="113" spans="1:21" x14ac:dyDescent="0.25">
      <c r="A113" t="s">
        <v>17</v>
      </c>
    </row>
    <row r="114" spans="1:21" x14ac:dyDescent="0.25">
      <c r="A114" t="s">
        <v>156</v>
      </c>
    </row>
    <row r="115" spans="1:21" x14ac:dyDescent="0.25">
      <c r="A115" t="s">
        <v>157</v>
      </c>
      <c r="I115">
        <v>48.42</v>
      </c>
      <c r="J115">
        <v>96.31</v>
      </c>
      <c r="K115">
        <v>162.94</v>
      </c>
      <c r="L115">
        <v>223.37</v>
      </c>
      <c r="M115">
        <v>339.53</v>
      </c>
      <c r="N115">
        <v>334.48</v>
      </c>
      <c r="O115">
        <v>551.41</v>
      </c>
      <c r="P115">
        <v>640.89</v>
      </c>
      <c r="Q115">
        <v>748.48</v>
      </c>
      <c r="R115">
        <v>861</v>
      </c>
      <c r="S115">
        <v>972.71</v>
      </c>
      <c r="T115" s="2">
        <v>1362.71</v>
      </c>
      <c r="U115" s="2">
        <v>1551.22</v>
      </c>
    </row>
    <row r="116" spans="1:21" x14ac:dyDescent="0.25">
      <c r="A116" t="s">
        <v>158</v>
      </c>
      <c r="I116">
        <v>3.37</v>
      </c>
      <c r="J116">
        <v>3.49</v>
      </c>
      <c r="K116">
        <v>12.08</v>
      </c>
      <c r="L116">
        <v>29.3</v>
      </c>
      <c r="M116">
        <v>53.06</v>
      </c>
      <c r="N116">
        <v>72.7</v>
      </c>
      <c r="O116">
        <v>88.88</v>
      </c>
      <c r="P116">
        <v>122.94</v>
      </c>
      <c r="Q116">
        <v>162.08000000000001</v>
      </c>
      <c r="R116">
        <v>187.08</v>
      </c>
      <c r="S116">
        <v>212.8</v>
      </c>
      <c r="T116">
        <v>349.57</v>
      </c>
      <c r="U116">
        <v>410.93</v>
      </c>
    </row>
    <row r="117" spans="1:21" x14ac:dyDescent="0.25">
      <c r="A117" t="s">
        <v>201</v>
      </c>
      <c r="I117">
        <v>6.57</v>
      </c>
      <c r="J117">
        <v>10.98</v>
      </c>
      <c r="K117">
        <v>8.7200000000000006</v>
      </c>
      <c r="L117">
        <v>5.59</v>
      </c>
      <c r="M117">
        <v>19.46</v>
      </c>
      <c r="N117">
        <v>19.3</v>
      </c>
      <c r="O117">
        <v>43.67</v>
      </c>
      <c r="P117">
        <v>51.43</v>
      </c>
      <c r="Q117">
        <v>47.7</v>
      </c>
      <c r="R117">
        <v>54.27</v>
      </c>
      <c r="S117">
        <v>60.81</v>
      </c>
      <c r="T117">
        <v>64.88</v>
      </c>
      <c r="U117">
        <v>73.23</v>
      </c>
    </row>
    <row r="118" spans="1:21" x14ac:dyDescent="0.25">
      <c r="A118" t="s">
        <v>313</v>
      </c>
      <c r="I118">
        <v>0</v>
      </c>
      <c r="J118">
        <v>2.83</v>
      </c>
      <c r="K118">
        <v>2.91</v>
      </c>
      <c r="L118">
        <v>17.760000000000002</v>
      </c>
      <c r="M118">
        <v>18.22</v>
      </c>
      <c r="N118">
        <v>11.13</v>
      </c>
    </row>
    <row r="119" spans="1:21" x14ac:dyDescent="0.25">
      <c r="A119" t="s">
        <v>1136</v>
      </c>
      <c r="I119">
        <v>26.13</v>
      </c>
      <c r="J119">
        <v>59.75</v>
      </c>
      <c r="K119">
        <v>108.34</v>
      </c>
      <c r="L119">
        <v>139.34</v>
      </c>
      <c r="M119">
        <v>216.16</v>
      </c>
      <c r="N119">
        <v>195.44</v>
      </c>
      <c r="O119">
        <v>355.88</v>
      </c>
      <c r="P119">
        <v>403.14</v>
      </c>
      <c r="Q119">
        <v>472.17</v>
      </c>
      <c r="R119">
        <v>533.12</v>
      </c>
      <c r="S119">
        <v>601.46</v>
      </c>
      <c r="T119">
        <v>841.33</v>
      </c>
      <c r="U119">
        <v>946.55</v>
      </c>
    </row>
    <row r="120" spans="1:21" x14ac:dyDescent="0.25">
      <c r="A120" t="s">
        <v>3209</v>
      </c>
      <c r="I120">
        <v>4.58</v>
      </c>
      <c r="J120">
        <v>8.27</v>
      </c>
      <c r="K120">
        <v>8.6300000000000008</v>
      </c>
      <c r="L120">
        <v>16.34</v>
      </c>
      <c r="M120">
        <v>20.85</v>
      </c>
      <c r="N120">
        <v>25.8</v>
      </c>
      <c r="O120">
        <v>31.09</v>
      </c>
      <c r="P120">
        <v>31.73</v>
      </c>
      <c r="Q120">
        <v>34.89</v>
      </c>
      <c r="R120">
        <v>39.090000000000003</v>
      </c>
      <c r="S120">
        <v>42.41</v>
      </c>
      <c r="T120">
        <v>29.12</v>
      </c>
      <c r="U120">
        <v>29.12</v>
      </c>
    </row>
    <row r="121" spans="1:21" x14ac:dyDescent="0.25">
      <c r="A121" t="s">
        <v>78</v>
      </c>
      <c r="I121">
        <v>7.77</v>
      </c>
      <c r="J121">
        <v>11</v>
      </c>
      <c r="K121">
        <v>22.25</v>
      </c>
      <c r="L121">
        <v>15.04</v>
      </c>
      <c r="M121">
        <v>17.95</v>
      </c>
      <c r="N121">
        <v>20.92</v>
      </c>
      <c r="O121">
        <v>29.69</v>
      </c>
      <c r="P121">
        <v>30.74</v>
      </c>
      <c r="Q121">
        <v>34.74</v>
      </c>
      <c r="R121">
        <v>39.409999999999997</v>
      </c>
      <c r="S121">
        <v>43.1</v>
      </c>
      <c r="T121">
        <v>29.17</v>
      </c>
      <c r="U121">
        <v>29.17</v>
      </c>
    </row>
    <row r="122" spans="1:21" x14ac:dyDescent="0.25">
      <c r="A122" t="s">
        <v>164</v>
      </c>
      <c r="I122">
        <v>31.2</v>
      </c>
      <c r="J122">
        <v>186.09</v>
      </c>
      <c r="K122">
        <v>152.97999999999999</v>
      </c>
      <c r="L122">
        <v>163.29</v>
      </c>
      <c r="M122">
        <v>462.36</v>
      </c>
      <c r="N122">
        <v>268.14999999999998</v>
      </c>
    </row>
    <row r="123" spans="1:21" x14ac:dyDescent="0.25">
      <c r="A123" t="s">
        <v>3210</v>
      </c>
      <c r="M123">
        <v>345.39</v>
      </c>
      <c r="N123">
        <v>152.4</v>
      </c>
      <c r="O123">
        <v>13.11</v>
      </c>
      <c r="P123">
        <v>13.11</v>
      </c>
      <c r="Q123">
        <v>13.1</v>
      </c>
      <c r="R123">
        <v>13.09</v>
      </c>
      <c r="S123">
        <v>13.09</v>
      </c>
      <c r="T123">
        <v>13.13</v>
      </c>
      <c r="U123">
        <v>13.13</v>
      </c>
    </row>
    <row r="124" spans="1:21" x14ac:dyDescent="0.25">
      <c r="A124" t="s">
        <v>165</v>
      </c>
      <c r="I124">
        <v>0</v>
      </c>
      <c r="J124">
        <v>97.3</v>
      </c>
      <c r="K124">
        <v>100.04</v>
      </c>
      <c r="L124">
        <v>87.59</v>
      </c>
      <c r="M124">
        <v>44.05</v>
      </c>
      <c r="N124">
        <v>1.72</v>
      </c>
      <c r="O124">
        <v>1.79</v>
      </c>
      <c r="P124">
        <v>2.35</v>
      </c>
      <c r="Q124">
        <v>3.71</v>
      </c>
      <c r="R124">
        <v>1.86</v>
      </c>
      <c r="S124">
        <v>1.86</v>
      </c>
      <c r="T124">
        <v>1.72</v>
      </c>
      <c r="U124">
        <v>1.72</v>
      </c>
    </row>
    <row r="125" spans="1:21" x14ac:dyDescent="0.25">
      <c r="A125" t="s">
        <v>3211</v>
      </c>
      <c r="I125">
        <v>0</v>
      </c>
      <c r="J125">
        <v>0</v>
      </c>
      <c r="K125">
        <v>15.9</v>
      </c>
      <c r="L125">
        <v>15.24</v>
      </c>
      <c r="M125">
        <v>14.97</v>
      </c>
      <c r="N125">
        <v>14.65</v>
      </c>
      <c r="O125">
        <v>14.41</v>
      </c>
      <c r="P125">
        <v>14.41</v>
      </c>
      <c r="Q125">
        <v>14.37</v>
      </c>
      <c r="R125">
        <v>14.35</v>
      </c>
      <c r="S125">
        <v>14.35</v>
      </c>
      <c r="T125">
        <v>14.47</v>
      </c>
      <c r="U125">
        <v>14.47</v>
      </c>
    </row>
    <row r="126" spans="1:21" x14ac:dyDescent="0.25">
      <c r="A126" t="s">
        <v>202</v>
      </c>
      <c r="I126">
        <v>27.3</v>
      </c>
      <c r="J126">
        <v>28.3</v>
      </c>
      <c r="K126">
        <v>37.65</v>
      </c>
      <c r="L126">
        <v>56.1</v>
      </c>
      <c r="M126">
        <v>51.97</v>
      </c>
      <c r="N126">
        <v>85.19</v>
      </c>
      <c r="O126">
        <v>106.8</v>
      </c>
      <c r="P126">
        <v>103.51</v>
      </c>
      <c r="Q126">
        <v>102.79</v>
      </c>
      <c r="R126">
        <v>111.14</v>
      </c>
      <c r="S126">
        <v>118.06</v>
      </c>
      <c r="T126">
        <v>104.38</v>
      </c>
      <c r="U126">
        <v>104.38</v>
      </c>
    </row>
    <row r="127" spans="1:21" x14ac:dyDescent="0.25">
      <c r="A127" t="s">
        <v>501</v>
      </c>
      <c r="K127">
        <v>0.1</v>
      </c>
      <c r="L127">
        <v>0.43</v>
      </c>
      <c r="M127">
        <v>0.89</v>
      </c>
      <c r="N127">
        <v>1.24</v>
      </c>
      <c r="O127">
        <v>10.15</v>
      </c>
      <c r="P127">
        <v>10.15</v>
      </c>
      <c r="Q127">
        <v>10.15</v>
      </c>
      <c r="R127">
        <v>10.15</v>
      </c>
      <c r="S127">
        <v>10.15</v>
      </c>
      <c r="T127">
        <v>10.15</v>
      </c>
      <c r="U127">
        <v>10.15</v>
      </c>
    </row>
    <row r="128" spans="1:21" x14ac:dyDescent="0.25">
      <c r="A128" t="s">
        <v>3212</v>
      </c>
      <c r="I128">
        <v>3.9</v>
      </c>
      <c r="J128">
        <v>60.49</v>
      </c>
      <c r="K128">
        <v>15.19</v>
      </c>
      <c r="L128">
        <v>3.94</v>
      </c>
      <c r="M128">
        <v>5.0999999999999996</v>
      </c>
      <c r="N128">
        <v>12.95</v>
      </c>
      <c r="O128">
        <v>22.43</v>
      </c>
      <c r="P128">
        <v>20.98</v>
      </c>
      <c r="Q128">
        <v>23.14</v>
      </c>
      <c r="R128">
        <v>23.14</v>
      </c>
      <c r="S128">
        <v>23.14</v>
      </c>
      <c r="T128">
        <v>23.19</v>
      </c>
      <c r="U128">
        <v>23.19</v>
      </c>
    </row>
    <row r="129" spans="1:21" x14ac:dyDescent="0.25">
      <c r="A129" t="s">
        <v>167</v>
      </c>
      <c r="I129">
        <v>79.62</v>
      </c>
      <c r="J129">
        <v>282.39999999999998</v>
      </c>
      <c r="K129">
        <v>315.92</v>
      </c>
      <c r="L129">
        <v>386.67</v>
      </c>
      <c r="M129">
        <v>801.89</v>
      </c>
      <c r="N129">
        <v>602.62</v>
      </c>
      <c r="O129">
        <v>720.07</v>
      </c>
      <c r="P129">
        <v>805.8</v>
      </c>
      <c r="Q129">
        <v>915.19</v>
      </c>
      <c r="R129" s="2">
        <v>1033.51</v>
      </c>
      <c r="S129" s="2">
        <v>1150.74</v>
      </c>
      <c r="T129" s="2">
        <v>1529.74</v>
      </c>
      <c r="U129" s="2">
        <v>1718.25</v>
      </c>
    </row>
    <row r="130" spans="1:21" x14ac:dyDescent="0.25">
      <c r="A130" t="s">
        <v>170</v>
      </c>
      <c r="I130">
        <v>108.25</v>
      </c>
      <c r="J130">
        <v>698.45</v>
      </c>
      <c r="K130">
        <v>673.21</v>
      </c>
      <c r="L130">
        <v>554.54</v>
      </c>
      <c r="M130">
        <v>382.45</v>
      </c>
      <c r="N130" s="2">
        <v>1721.85</v>
      </c>
      <c r="O130" s="2">
        <v>3462.33</v>
      </c>
      <c r="P130" s="2">
        <v>3519.33</v>
      </c>
      <c r="Q130" s="2">
        <v>3572.67</v>
      </c>
      <c r="R130" s="2">
        <v>3941.6</v>
      </c>
      <c r="S130" s="2">
        <v>4541</v>
      </c>
      <c r="T130" s="2">
        <v>5654</v>
      </c>
      <c r="U130" s="2">
        <v>7251.5</v>
      </c>
    </row>
    <row r="131" spans="1:21" x14ac:dyDescent="0.25">
      <c r="A131" t="s">
        <v>171</v>
      </c>
      <c r="I131">
        <v>0.01</v>
      </c>
      <c r="J131">
        <v>0.05</v>
      </c>
      <c r="K131">
        <v>0.05</v>
      </c>
      <c r="L131">
        <v>0.05</v>
      </c>
      <c r="M131">
        <v>0.05</v>
      </c>
      <c r="N131">
        <v>0.05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</row>
    <row r="132" spans="1:21" x14ac:dyDescent="0.25">
      <c r="A132" t="s">
        <v>172</v>
      </c>
      <c r="I132">
        <v>19.920000000000002</v>
      </c>
      <c r="J132" s="2">
        <v>1002.11</v>
      </c>
      <c r="K132" s="2">
        <v>1112.98</v>
      </c>
      <c r="L132" s="2">
        <v>1176.48</v>
      </c>
      <c r="M132" s="2">
        <v>1198.9100000000001</v>
      </c>
      <c r="N132" s="2">
        <v>2735.67</v>
      </c>
      <c r="O132" s="2">
        <v>4643.1099999999997</v>
      </c>
      <c r="P132" s="2">
        <v>4732.5200000000004</v>
      </c>
      <c r="Q132" s="2">
        <v>4709.16</v>
      </c>
      <c r="R132" s="2">
        <v>4742.3</v>
      </c>
      <c r="S132" s="2">
        <v>4809.68</v>
      </c>
      <c r="T132" s="2">
        <v>5177.3500000000004</v>
      </c>
      <c r="U132" s="2">
        <v>5376.73</v>
      </c>
    </row>
    <row r="133" spans="1:21" x14ac:dyDescent="0.25">
      <c r="A133" t="s">
        <v>1192</v>
      </c>
      <c r="I133">
        <v>-187.69</v>
      </c>
      <c r="J133">
        <v>-305.01</v>
      </c>
      <c r="K133">
        <v>-440.96</v>
      </c>
      <c r="L133">
        <v>-623.53</v>
      </c>
      <c r="M133">
        <v>-813.7</v>
      </c>
      <c r="N133" s="2">
        <v>-1011.91</v>
      </c>
      <c r="O133" s="2">
        <v>-1173.05</v>
      </c>
      <c r="P133" s="2">
        <v>-1203.96</v>
      </c>
      <c r="Q133" s="2">
        <v>-1154.8</v>
      </c>
      <c r="R133">
        <v>-832.33</v>
      </c>
      <c r="S133">
        <v>-308.02999999999997</v>
      </c>
      <c r="T133">
        <v>485.13</v>
      </c>
      <c r="U133" s="2">
        <v>1882.86</v>
      </c>
    </row>
    <row r="134" spans="1:21" x14ac:dyDescent="0.25">
      <c r="A134" t="s">
        <v>174</v>
      </c>
      <c r="I134">
        <v>1.06</v>
      </c>
      <c r="J134">
        <v>1.31</v>
      </c>
      <c r="K134">
        <v>1.1399999999999999</v>
      </c>
      <c r="L134">
        <v>1.54</v>
      </c>
      <c r="M134">
        <v>-2.81</v>
      </c>
      <c r="N134">
        <v>-1.96</v>
      </c>
      <c r="O134">
        <v>-8.6300000000000008</v>
      </c>
      <c r="P134">
        <v>-8.6300000000000008</v>
      </c>
      <c r="Q134">
        <v>-8.66</v>
      </c>
      <c r="R134">
        <v>-8.68</v>
      </c>
      <c r="S134">
        <v>-8.68</v>
      </c>
      <c r="T134">
        <v>-8.58</v>
      </c>
      <c r="U134">
        <v>-8.58</v>
      </c>
    </row>
    <row r="135" spans="1:21" x14ac:dyDescent="0.25">
      <c r="A135" t="s">
        <v>326</v>
      </c>
      <c r="I135">
        <v>187.87</v>
      </c>
      <c r="J135">
        <v>980.85</v>
      </c>
      <c r="K135">
        <v>989.12</v>
      </c>
      <c r="L135">
        <v>941.21</v>
      </c>
      <c r="M135" s="2">
        <v>1184.3399999999999</v>
      </c>
      <c r="N135" s="2">
        <v>2324.48</v>
      </c>
      <c r="O135" s="2">
        <v>4182.32</v>
      </c>
      <c r="P135" s="2">
        <v>4323.2299999999996</v>
      </c>
      <c r="Q135" s="2">
        <v>4483.79</v>
      </c>
      <c r="R135" s="2">
        <v>4972.04</v>
      </c>
      <c r="S135" s="2">
        <v>5688.34</v>
      </c>
      <c r="T135" s="2">
        <v>7183.71</v>
      </c>
      <c r="U135" s="2">
        <v>8969.33</v>
      </c>
    </row>
    <row r="136" spans="1:21" x14ac:dyDescent="0.25">
      <c r="A136" t="s">
        <v>17</v>
      </c>
    </row>
    <row r="137" spans="1:21" x14ac:dyDescent="0.25">
      <c r="A137" t="s">
        <v>176</v>
      </c>
    </row>
    <row r="138" spans="1:21" x14ac:dyDescent="0.25">
      <c r="A138" t="s">
        <v>611</v>
      </c>
      <c r="I138">
        <v>28.42</v>
      </c>
      <c r="J138">
        <v>81.849999999999994</v>
      </c>
      <c r="K138">
        <v>63.27</v>
      </c>
      <c r="L138">
        <v>52.49</v>
      </c>
      <c r="M138">
        <v>30.57</v>
      </c>
      <c r="N138">
        <v>23.65</v>
      </c>
      <c r="O138">
        <v>49.1</v>
      </c>
      <c r="P138">
        <v>45.62</v>
      </c>
      <c r="Q138">
        <v>48.95</v>
      </c>
      <c r="R138">
        <v>47.95</v>
      </c>
      <c r="S138">
        <v>46.95</v>
      </c>
      <c r="T138">
        <v>51.8</v>
      </c>
      <c r="U138">
        <v>50.8</v>
      </c>
    </row>
    <row r="139" spans="1:21" x14ac:dyDescent="0.25">
      <c r="A139" t="s">
        <v>424</v>
      </c>
      <c r="I139">
        <v>-2.13</v>
      </c>
      <c r="J139">
        <v>1.55</v>
      </c>
      <c r="K139">
        <v>1.42</v>
      </c>
      <c r="L139">
        <v>1.1299999999999999</v>
      </c>
      <c r="M139">
        <v>0.76</v>
      </c>
      <c r="N139">
        <v>3.17</v>
      </c>
      <c r="O139">
        <v>5.51</v>
      </c>
      <c r="P139">
        <v>5.55</v>
      </c>
      <c r="Q139">
        <v>5.44</v>
      </c>
      <c r="R139">
        <v>5.85</v>
      </c>
      <c r="S139">
        <v>6.45</v>
      </c>
    </row>
    <row r="140" spans="1:21" x14ac:dyDescent="0.25">
      <c r="A140" t="s">
        <v>17</v>
      </c>
    </row>
    <row r="141" spans="1:21" x14ac:dyDescent="0.25">
      <c r="A141" t="s">
        <v>188</v>
      </c>
    </row>
    <row r="142" spans="1:21" x14ac:dyDescent="0.25">
      <c r="A142" t="s">
        <v>189</v>
      </c>
    </row>
    <row r="143" spans="1:21" x14ac:dyDescent="0.25">
      <c r="A143" t="s">
        <v>121</v>
      </c>
      <c r="J143">
        <v>-117.75</v>
      </c>
      <c r="K143">
        <v>-135.94</v>
      </c>
      <c r="L143">
        <v>-182.57</v>
      </c>
      <c r="M143">
        <v>-190.18</v>
      </c>
      <c r="N143">
        <v>-198.21</v>
      </c>
      <c r="O143">
        <v>-176.36</v>
      </c>
      <c r="P143">
        <v>-53.97</v>
      </c>
      <c r="Q143">
        <v>77.069999999999993</v>
      </c>
      <c r="R143">
        <v>256.5</v>
      </c>
      <c r="S143">
        <v>483</v>
      </c>
      <c r="T143">
        <v>846</v>
      </c>
      <c r="U143" s="2">
        <v>1358</v>
      </c>
    </row>
    <row r="144" spans="1:21" x14ac:dyDescent="0.25">
      <c r="A144" t="s">
        <v>190</v>
      </c>
      <c r="I144">
        <v>9.34</v>
      </c>
      <c r="J144">
        <v>11.47</v>
      </c>
      <c r="K144">
        <v>29.95</v>
      </c>
      <c r="L144">
        <v>29.74</v>
      </c>
      <c r="M144">
        <v>33.659999999999997</v>
      </c>
      <c r="N144">
        <v>43.94</v>
      </c>
      <c r="O144">
        <v>79.28</v>
      </c>
      <c r="P144">
        <v>92.2</v>
      </c>
      <c r="Q144">
        <v>100.86</v>
      </c>
      <c r="R144">
        <v>114.2</v>
      </c>
      <c r="S144">
        <v>130.83000000000001</v>
      </c>
      <c r="T144">
        <v>202.93</v>
      </c>
      <c r="U144">
        <v>240.03</v>
      </c>
    </row>
    <row r="145" spans="1:21" x14ac:dyDescent="0.25">
      <c r="A145" t="s">
        <v>191</v>
      </c>
      <c r="I145">
        <v>6.53</v>
      </c>
      <c r="J145">
        <v>7.53</v>
      </c>
      <c r="K145">
        <v>16.16</v>
      </c>
      <c r="L145">
        <v>15.41</v>
      </c>
      <c r="M145">
        <v>19.78</v>
      </c>
      <c r="N145">
        <v>25.37</v>
      </c>
      <c r="O145">
        <v>38.520000000000003</v>
      </c>
      <c r="P145">
        <v>50.88</v>
      </c>
      <c r="Q145">
        <v>58.15</v>
      </c>
      <c r="R145">
        <v>63.24</v>
      </c>
      <c r="S145">
        <v>69.010000000000005</v>
      </c>
      <c r="U145">
        <v>240.03</v>
      </c>
    </row>
    <row r="146" spans="1:21" x14ac:dyDescent="0.25">
      <c r="A146" t="s">
        <v>192</v>
      </c>
      <c r="I146">
        <v>2.2200000000000002</v>
      </c>
      <c r="J146">
        <v>3.32</v>
      </c>
      <c r="K146">
        <v>13.23</v>
      </c>
      <c r="L146">
        <v>13.71</v>
      </c>
      <c r="M146">
        <v>13.29</v>
      </c>
      <c r="N146">
        <v>18.57</v>
      </c>
      <c r="O146">
        <v>39.340000000000003</v>
      </c>
      <c r="P146">
        <v>37.82</v>
      </c>
      <c r="Q146">
        <v>32.200000000000003</v>
      </c>
      <c r="R146">
        <v>25.89</v>
      </c>
      <c r="S146">
        <v>22.08</v>
      </c>
    </row>
    <row r="147" spans="1:21" x14ac:dyDescent="0.25">
      <c r="A147" t="s">
        <v>703</v>
      </c>
      <c r="I147">
        <v>0</v>
      </c>
      <c r="J147">
        <v>1.55</v>
      </c>
      <c r="K147">
        <v>2.83</v>
      </c>
      <c r="L147">
        <v>2.9</v>
      </c>
      <c r="M147">
        <v>3.09</v>
      </c>
      <c r="N147">
        <v>3.14</v>
      </c>
      <c r="O147">
        <v>0.23</v>
      </c>
      <c r="P147">
        <v>5.38</v>
      </c>
      <c r="Q147">
        <v>1.75</v>
      </c>
      <c r="R147">
        <v>0.27</v>
      </c>
      <c r="S147">
        <v>0.27</v>
      </c>
    </row>
    <row r="148" spans="1:21" x14ac:dyDescent="0.25">
      <c r="A148" t="s">
        <v>67</v>
      </c>
      <c r="I148">
        <v>4.22</v>
      </c>
      <c r="J148">
        <v>32.56</v>
      </c>
      <c r="K148">
        <v>55.65</v>
      </c>
      <c r="L148">
        <v>53.46</v>
      </c>
      <c r="M148">
        <v>56.82</v>
      </c>
      <c r="N148">
        <v>71.099999999999994</v>
      </c>
      <c r="O148">
        <v>90.65</v>
      </c>
      <c r="P148">
        <v>105.13</v>
      </c>
      <c r="Q148">
        <v>123.58</v>
      </c>
      <c r="R148">
        <v>162.96</v>
      </c>
      <c r="S148">
        <v>187.13</v>
      </c>
      <c r="T148">
        <v>204.95</v>
      </c>
      <c r="U148">
        <v>239.37</v>
      </c>
    </row>
    <row r="149" spans="1:21" x14ac:dyDescent="0.25">
      <c r="A149" t="s">
        <v>546</v>
      </c>
      <c r="K149">
        <v>-0.57999999999999996</v>
      </c>
      <c r="L149">
        <v>0.71</v>
      </c>
      <c r="M149">
        <v>0.6</v>
      </c>
      <c r="N149">
        <v>-30.67</v>
      </c>
      <c r="O149">
        <v>1.42</v>
      </c>
      <c r="P149">
        <v>1.31</v>
      </c>
      <c r="Q149">
        <v>1.31</v>
      </c>
    </row>
    <row r="150" spans="1:21" x14ac:dyDescent="0.25">
      <c r="A150" t="s">
        <v>3213</v>
      </c>
      <c r="I150">
        <v>1.47</v>
      </c>
      <c r="J150">
        <v>0.16</v>
      </c>
      <c r="K150">
        <v>0.92</v>
      </c>
      <c r="L150">
        <v>-0.11</v>
      </c>
      <c r="M150">
        <v>-2.83</v>
      </c>
      <c r="N150">
        <v>2.61</v>
      </c>
      <c r="O150">
        <v>-0.4</v>
      </c>
      <c r="R150">
        <v>1</v>
      </c>
      <c r="S150">
        <v>2</v>
      </c>
    </row>
    <row r="151" spans="1:21" x14ac:dyDescent="0.25">
      <c r="A151" t="s">
        <v>338</v>
      </c>
    </row>
    <row r="152" spans="1:21" x14ac:dyDescent="0.25">
      <c r="A152" t="s">
        <v>141</v>
      </c>
      <c r="I152">
        <v>-0.52</v>
      </c>
      <c r="J152">
        <v>-7.79</v>
      </c>
      <c r="K152">
        <v>-9.43</v>
      </c>
      <c r="L152">
        <v>1.45</v>
      </c>
      <c r="M152">
        <v>-1.43</v>
      </c>
      <c r="N152">
        <v>0.67</v>
      </c>
      <c r="O152">
        <v>-86.94</v>
      </c>
      <c r="P152">
        <v>-41.27</v>
      </c>
      <c r="Q152">
        <v>-61.79</v>
      </c>
      <c r="R152">
        <v>-70.42</v>
      </c>
      <c r="S152">
        <v>-87.84</v>
      </c>
      <c r="T152">
        <v>-114.2</v>
      </c>
      <c r="U152">
        <v>-84.42</v>
      </c>
    </row>
    <row r="153" spans="1:21" x14ac:dyDescent="0.25">
      <c r="A153" t="s">
        <v>340</v>
      </c>
      <c r="I153">
        <v>-11.26</v>
      </c>
      <c r="J153">
        <v>-12.69</v>
      </c>
      <c r="K153">
        <v>-25.96</v>
      </c>
      <c r="L153">
        <v>-15.56</v>
      </c>
      <c r="M153">
        <v>-12.4</v>
      </c>
      <c r="N153">
        <v>-39.89</v>
      </c>
      <c r="O153">
        <v>-91.79</v>
      </c>
      <c r="P153">
        <v>-110.73</v>
      </c>
      <c r="Q153">
        <v>-100.92</v>
      </c>
      <c r="R153">
        <v>-98.4</v>
      </c>
      <c r="S153">
        <v>-98.84</v>
      </c>
      <c r="T153">
        <v>-113.41</v>
      </c>
      <c r="U153">
        <v>-66.19</v>
      </c>
    </row>
    <row r="154" spans="1:21" x14ac:dyDescent="0.25">
      <c r="A154" t="s">
        <v>203</v>
      </c>
      <c r="I154">
        <v>-2.38</v>
      </c>
      <c r="J154">
        <v>-10.5</v>
      </c>
      <c r="K154">
        <v>-15.06</v>
      </c>
      <c r="L154">
        <v>-14.59</v>
      </c>
      <c r="M154">
        <v>7.59</v>
      </c>
      <c r="N154">
        <v>-15.46</v>
      </c>
      <c r="O154">
        <v>-12.7</v>
      </c>
      <c r="P154">
        <v>-52.54</v>
      </c>
      <c r="Q154">
        <v>-70.45</v>
      </c>
      <c r="R154">
        <v>-83.31</v>
      </c>
      <c r="S154">
        <v>-89.92</v>
      </c>
      <c r="T154">
        <v>-113.02</v>
      </c>
      <c r="U154">
        <v>-133.47</v>
      </c>
    </row>
    <row r="155" spans="1:21" x14ac:dyDescent="0.25">
      <c r="A155" t="s">
        <v>158</v>
      </c>
      <c r="I155">
        <v>-1.6</v>
      </c>
      <c r="J155">
        <v>-4.5199999999999996</v>
      </c>
      <c r="K155">
        <v>-2.13</v>
      </c>
      <c r="L155">
        <v>15.59</v>
      </c>
      <c r="M155">
        <v>24.8</v>
      </c>
      <c r="N155">
        <v>10.220000000000001</v>
      </c>
      <c r="O155">
        <v>4.54</v>
      </c>
      <c r="P155">
        <v>27</v>
      </c>
      <c r="Q155">
        <v>21.03</v>
      </c>
      <c r="R155">
        <v>30.49</v>
      </c>
      <c r="S155">
        <v>33.9</v>
      </c>
      <c r="T155">
        <v>78.53</v>
      </c>
      <c r="U155">
        <v>61.36</v>
      </c>
    </row>
    <row r="156" spans="1:21" x14ac:dyDescent="0.25">
      <c r="A156" t="s">
        <v>201</v>
      </c>
      <c r="I156">
        <v>4.0999999999999996</v>
      </c>
      <c r="J156">
        <v>3.07</v>
      </c>
      <c r="K156">
        <v>-3.52</v>
      </c>
      <c r="L156">
        <v>-3.28</v>
      </c>
      <c r="M156">
        <v>9.09</v>
      </c>
      <c r="N156">
        <v>-1.93</v>
      </c>
      <c r="O156">
        <v>8.51</v>
      </c>
      <c r="P156">
        <v>12.41</v>
      </c>
      <c r="Q156">
        <v>12.89</v>
      </c>
      <c r="R156">
        <v>16.41</v>
      </c>
      <c r="S156">
        <v>16.350000000000001</v>
      </c>
      <c r="T156">
        <v>14.93</v>
      </c>
      <c r="U156">
        <v>16.690000000000001</v>
      </c>
    </row>
    <row r="157" spans="1:21" x14ac:dyDescent="0.25">
      <c r="A157" t="s">
        <v>202</v>
      </c>
      <c r="I157">
        <v>-0.97</v>
      </c>
      <c r="J157">
        <v>-1.8</v>
      </c>
      <c r="K157">
        <v>-3.69</v>
      </c>
      <c r="L157">
        <v>-5.08</v>
      </c>
      <c r="M157">
        <v>-6.41</v>
      </c>
      <c r="N157">
        <v>-11.51</v>
      </c>
      <c r="O157">
        <v>-4</v>
      </c>
      <c r="P157">
        <v>-13.15</v>
      </c>
      <c r="Q157">
        <v>-0.98</v>
      </c>
      <c r="R157">
        <v>34.99</v>
      </c>
      <c r="S157">
        <v>27.65</v>
      </c>
    </row>
    <row r="158" spans="1:21" x14ac:dyDescent="0.25">
      <c r="A158" t="s">
        <v>3214</v>
      </c>
      <c r="I158">
        <v>1.54</v>
      </c>
      <c r="J158">
        <v>-0.33</v>
      </c>
      <c r="K158">
        <v>2.11</v>
      </c>
      <c r="L158">
        <v>5.48</v>
      </c>
      <c r="M158">
        <v>5.3</v>
      </c>
      <c r="N158">
        <v>1.52</v>
      </c>
      <c r="O158">
        <v>-1.39</v>
      </c>
      <c r="P158">
        <v>5.14</v>
      </c>
      <c r="Q158">
        <v>7.97</v>
      </c>
      <c r="R158">
        <v>21</v>
      </c>
      <c r="S158">
        <v>16.59</v>
      </c>
    </row>
    <row r="159" spans="1:21" x14ac:dyDescent="0.25">
      <c r="A159" t="s">
        <v>688</v>
      </c>
      <c r="I159">
        <v>5.0199999999999996</v>
      </c>
      <c r="J159">
        <v>1.82</v>
      </c>
      <c r="K159">
        <v>-7.55</v>
      </c>
      <c r="L159">
        <v>-3.5</v>
      </c>
      <c r="M159">
        <v>-50.16</v>
      </c>
      <c r="N159">
        <v>2.2999999999999998</v>
      </c>
      <c r="O159">
        <v>-33</v>
      </c>
      <c r="P159">
        <v>-34.409999999999997</v>
      </c>
      <c r="Q159">
        <v>-55.12</v>
      </c>
      <c r="R159">
        <v>-71.180000000000007</v>
      </c>
      <c r="S159">
        <v>-69.92</v>
      </c>
      <c r="T159">
        <v>-85.2</v>
      </c>
      <c r="U159">
        <v>-99.99</v>
      </c>
    </row>
    <row r="160" spans="1:21" x14ac:dyDescent="0.25">
      <c r="A160" t="s">
        <v>1136</v>
      </c>
      <c r="I160">
        <v>15.92</v>
      </c>
      <c r="J160">
        <v>28.06</v>
      </c>
      <c r="K160">
        <v>22.66</v>
      </c>
      <c r="L160">
        <v>30.99</v>
      </c>
      <c r="M160">
        <v>76.87</v>
      </c>
      <c r="N160">
        <v>-21.61</v>
      </c>
      <c r="O160">
        <v>83.02</v>
      </c>
      <c r="P160">
        <v>94.52</v>
      </c>
      <c r="Q160">
        <v>154.47999999999999</v>
      </c>
      <c r="R160">
        <v>152.37</v>
      </c>
      <c r="S160">
        <v>170.84</v>
      </c>
      <c r="T160">
        <v>201.5</v>
      </c>
      <c r="U160">
        <v>210.44</v>
      </c>
    </row>
    <row r="161" spans="1:21" x14ac:dyDescent="0.25">
      <c r="A161" t="s">
        <v>514</v>
      </c>
      <c r="I161">
        <v>0</v>
      </c>
      <c r="J161">
        <v>-4.55</v>
      </c>
      <c r="K161">
        <v>-7.07</v>
      </c>
      <c r="L161">
        <v>-11.47</v>
      </c>
      <c r="M161">
        <v>-12.92</v>
      </c>
      <c r="N161">
        <v>0</v>
      </c>
      <c r="O161">
        <v>-40.32</v>
      </c>
      <c r="P161">
        <v>-10.119999999999999</v>
      </c>
      <c r="Q161">
        <v>-16.13</v>
      </c>
      <c r="R161">
        <v>-23.5</v>
      </c>
      <c r="S161">
        <v>-18.57</v>
      </c>
    </row>
    <row r="162" spans="1:21" x14ac:dyDescent="0.25">
      <c r="A162" t="s">
        <v>314</v>
      </c>
      <c r="I162">
        <v>-0.83</v>
      </c>
      <c r="J162">
        <v>0.84</v>
      </c>
      <c r="K162">
        <v>1.28</v>
      </c>
      <c r="L162">
        <v>-7.56</v>
      </c>
      <c r="M162">
        <v>3.25</v>
      </c>
      <c r="N162">
        <v>0.85</v>
      </c>
      <c r="O162">
        <v>3.94</v>
      </c>
      <c r="P162">
        <v>9.26</v>
      </c>
      <c r="Q162">
        <v>14.52</v>
      </c>
      <c r="R162">
        <v>17.399999999999999</v>
      </c>
      <c r="S162">
        <v>18.98</v>
      </c>
      <c r="T162">
        <v>23.64</v>
      </c>
      <c r="U162">
        <v>27.17</v>
      </c>
    </row>
    <row r="163" spans="1:21" x14ac:dyDescent="0.25">
      <c r="A163" t="s">
        <v>502</v>
      </c>
      <c r="I163">
        <v>-0.24</v>
      </c>
      <c r="J163">
        <v>0.37</v>
      </c>
      <c r="K163">
        <v>0.67</v>
      </c>
      <c r="L163">
        <v>0.23</v>
      </c>
      <c r="M163">
        <v>2.21</v>
      </c>
      <c r="N163">
        <v>0.22</v>
      </c>
      <c r="O163">
        <v>0.14000000000000001</v>
      </c>
    </row>
    <row r="164" spans="1:21" x14ac:dyDescent="0.25">
      <c r="A164" t="s">
        <v>204</v>
      </c>
      <c r="I164">
        <v>-27.76</v>
      </c>
      <c r="J164">
        <v>-71.790000000000006</v>
      </c>
      <c r="K164">
        <v>-106.54</v>
      </c>
      <c r="L164">
        <v>-98.87</v>
      </c>
      <c r="M164">
        <v>-48.89</v>
      </c>
      <c r="N164">
        <v>-165.52</v>
      </c>
      <c r="O164">
        <v>-159.32</v>
      </c>
      <c r="P164">
        <v>31.26</v>
      </c>
      <c r="Q164">
        <v>139.61000000000001</v>
      </c>
      <c r="R164">
        <v>356.34</v>
      </c>
      <c r="S164">
        <v>607.86</v>
      </c>
      <c r="T164" s="2">
        <v>1125.9100000000001</v>
      </c>
      <c r="U164" s="2">
        <v>1758.3</v>
      </c>
    </row>
    <row r="165" spans="1:21" x14ac:dyDescent="0.25">
      <c r="A165" t="s">
        <v>17</v>
      </c>
    </row>
    <row r="166" spans="1:21" x14ac:dyDescent="0.25">
      <c r="A166" t="s">
        <v>205</v>
      </c>
    </row>
    <row r="167" spans="1:21" x14ac:dyDescent="0.25">
      <c r="A167" t="s">
        <v>206</v>
      </c>
      <c r="I167">
        <v>-25.12</v>
      </c>
      <c r="J167">
        <v>-25.7</v>
      </c>
      <c r="K167">
        <v>-42.41</v>
      </c>
      <c r="L167">
        <v>-54.71</v>
      </c>
      <c r="M167">
        <v>-67.09</v>
      </c>
      <c r="N167">
        <v>-156.29</v>
      </c>
      <c r="O167">
        <v>-127.2</v>
      </c>
      <c r="P167">
        <v>-127.89</v>
      </c>
      <c r="Q167">
        <v>-125.45</v>
      </c>
      <c r="R167">
        <v>-134.72</v>
      </c>
      <c r="S167">
        <v>-147.08000000000001</v>
      </c>
      <c r="T167">
        <v>-156.52000000000001</v>
      </c>
      <c r="U167">
        <v>-186.67</v>
      </c>
    </row>
    <row r="168" spans="1:21" x14ac:dyDescent="0.25">
      <c r="A168" t="s">
        <v>3215</v>
      </c>
      <c r="I168">
        <v>-12.21</v>
      </c>
      <c r="J168">
        <v>-66.44</v>
      </c>
      <c r="K168">
        <v>-65.819999999999993</v>
      </c>
      <c r="L168">
        <v>-18.97</v>
      </c>
      <c r="M168">
        <v>0</v>
      </c>
      <c r="N168">
        <v>-132.44</v>
      </c>
      <c r="O168">
        <v>-51.49</v>
      </c>
      <c r="P168">
        <v>-58.39</v>
      </c>
      <c r="Q168">
        <v>-116.77</v>
      </c>
      <c r="R168">
        <v>-116.77</v>
      </c>
      <c r="S168">
        <v>-116.77</v>
      </c>
    </row>
    <row r="169" spans="1:21" x14ac:dyDescent="0.25">
      <c r="A169" t="s">
        <v>3216</v>
      </c>
      <c r="K169">
        <v>21.72</v>
      </c>
      <c r="L169">
        <v>269.2</v>
      </c>
      <c r="M169">
        <v>116.24</v>
      </c>
      <c r="N169">
        <v>212.87</v>
      </c>
      <c r="O169">
        <v>179.53</v>
      </c>
      <c r="P169">
        <v>107.39</v>
      </c>
      <c r="Q169">
        <v>214.78</v>
      </c>
      <c r="R169">
        <v>214.78</v>
      </c>
      <c r="S169">
        <v>214.78</v>
      </c>
    </row>
    <row r="170" spans="1:21" x14ac:dyDescent="0.25">
      <c r="A170" t="s">
        <v>432</v>
      </c>
      <c r="K170">
        <v>-259.57</v>
      </c>
      <c r="L170">
        <v>-207.27</v>
      </c>
      <c r="M170">
        <v>-162.16</v>
      </c>
      <c r="N170">
        <v>-275.32</v>
      </c>
      <c r="O170">
        <v>-164.13</v>
      </c>
      <c r="P170">
        <v>-132.94999999999999</v>
      </c>
      <c r="Q170">
        <v>-265.89999999999998</v>
      </c>
      <c r="R170">
        <v>-265.89999999999998</v>
      </c>
      <c r="S170">
        <v>-265.89999999999998</v>
      </c>
    </row>
    <row r="171" spans="1:21" x14ac:dyDescent="0.25">
      <c r="A171" t="s">
        <v>212</v>
      </c>
      <c r="I171">
        <v>-37.33</v>
      </c>
      <c r="J171">
        <v>0</v>
      </c>
      <c r="K171">
        <v>-237.84</v>
      </c>
      <c r="L171">
        <v>82.03</v>
      </c>
      <c r="M171">
        <v>-43.78</v>
      </c>
      <c r="N171">
        <v>-59.07</v>
      </c>
      <c r="O171">
        <v>98.41</v>
      </c>
      <c r="P171">
        <v>85.41</v>
      </c>
    </row>
    <row r="172" spans="1:21" x14ac:dyDescent="0.25">
      <c r="A172" t="s">
        <v>213</v>
      </c>
      <c r="I172">
        <v>-37.33</v>
      </c>
      <c r="J172">
        <v>-92.13</v>
      </c>
      <c r="K172">
        <v>-346.08</v>
      </c>
      <c r="L172">
        <v>12.02</v>
      </c>
      <c r="M172">
        <v>-98.33</v>
      </c>
      <c r="N172">
        <v>-347.4</v>
      </c>
      <c r="O172">
        <v>-145.68</v>
      </c>
      <c r="P172">
        <v>-136.91</v>
      </c>
      <c r="Q172">
        <v>-146.35</v>
      </c>
      <c r="R172">
        <v>-168.16</v>
      </c>
      <c r="S172">
        <v>-180.52</v>
      </c>
      <c r="T172">
        <v>-156.52000000000001</v>
      </c>
      <c r="U172">
        <v>-186.67</v>
      </c>
    </row>
    <row r="173" spans="1:21" x14ac:dyDescent="0.25">
      <c r="A173" t="s">
        <v>17</v>
      </c>
    </row>
    <row r="174" spans="1:21" x14ac:dyDescent="0.25">
      <c r="A174" t="s">
        <v>214</v>
      </c>
    </row>
    <row r="175" spans="1:21" x14ac:dyDescent="0.25">
      <c r="A175" t="s">
        <v>218</v>
      </c>
      <c r="I175">
        <v>21.48</v>
      </c>
      <c r="J175">
        <v>799.94</v>
      </c>
      <c r="K175">
        <v>2.04</v>
      </c>
      <c r="L175">
        <v>7.37</v>
      </c>
      <c r="M175">
        <v>256.68</v>
      </c>
      <c r="N175" s="2">
        <v>1071.27</v>
      </c>
      <c r="O175" s="2">
        <v>1523.91</v>
      </c>
      <c r="P175">
        <v>3.09</v>
      </c>
      <c r="Q175">
        <v>11.27</v>
      </c>
      <c r="R175">
        <v>19.54</v>
      </c>
      <c r="S175">
        <v>19.54</v>
      </c>
    </row>
    <row r="176" spans="1:21" x14ac:dyDescent="0.25">
      <c r="A176" t="s">
        <v>17</v>
      </c>
    </row>
    <row r="177" spans="1:21" x14ac:dyDescent="0.25">
      <c r="A177" t="s">
        <v>176</v>
      </c>
    </row>
    <row r="178" spans="1:21" x14ac:dyDescent="0.25">
      <c r="A178" t="s">
        <v>219</v>
      </c>
      <c r="J178">
        <v>2.13</v>
      </c>
      <c r="K178">
        <v>4.37</v>
      </c>
      <c r="L178">
        <v>0.04</v>
      </c>
      <c r="M178">
        <v>-0.6</v>
      </c>
      <c r="N178">
        <v>-0.11</v>
      </c>
      <c r="O178">
        <v>-0.1</v>
      </c>
      <c r="P178">
        <v>-0.57999999999999996</v>
      </c>
      <c r="Q178">
        <v>-0.57999999999999996</v>
      </c>
      <c r="R178">
        <v>-0.57999999999999996</v>
      </c>
      <c r="S178">
        <v>-0.57999999999999996</v>
      </c>
    </row>
    <row r="179" spans="1:21" x14ac:dyDescent="0.25">
      <c r="A179" t="s">
        <v>220</v>
      </c>
      <c r="I179">
        <v>-43.76</v>
      </c>
      <c r="J179">
        <v>638.14</v>
      </c>
      <c r="K179">
        <v>-446.2</v>
      </c>
      <c r="L179">
        <v>-79.44</v>
      </c>
      <c r="M179">
        <v>108.87</v>
      </c>
      <c r="N179">
        <v>558.24</v>
      </c>
      <c r="O179" s="2">
        <v>1209.6400000000001</v>
      </c>
      <c r="P179">
        <v>-150.1</v>
      </c>
      <c r="Q179">
        <v>-22.88</v>
      </c>
      <c r="R179">
        <v>191.97</v>
      </c>
      <c r="S179">
        <v>431.13</v>
      </c>
      <c r="T179">
        <v>969.39</v>
      </c>
      <c r="U179" s="2">
        <v>1571.63</v>
      </c>
    </row>
    <row r="180" spans="1:21" x14ac:dyDescent="0.25">
      <c r="A180" t="s">
        <v>221</v>
      </c>
      <c r="I180">
        <v>97.69</v>
      </c>
      <c r="J180">
        <v>53.93</v>
      </c>
      <c r="K180">
        <v>692.08</v>
      </c>
      <c r="L180">
        <v>245.87</v>
      </c>
      <c r="M180">
        <v>166.43</v>
      </c>
      <c r="N180">
        <v>275.3</v>
      </c>
      <c r="O180">
        <v>833.6</v>
      </c>
      <c r="P180" s="2">
        <v>2060.4899999999998</v>
      </c>
      <c r="Q180" s="2">
        <v>1892.1</v>
      </c>
      <c r="R180" s="2">
        <v>1818.53</v>
      </c>
      <c r="S180" s="2">
        <v>2010.7</v>
      </c>
      <c r="T180" s="2">
        <v>3018.87</v>
      </c>
      <c r="U180" s="2">
        <v>3988.27</v>
      </c>
    </row>
    <row r="181" spans="1:21" x14ac:dyDescent="0.25">
      <c r="A181" t="s">
        <v>222</v>
      </c>
      <c r="I181">
        <v>53.93</v>
      </c>
      <c r="J181">
        <v>692.08</v>
      </c>
      <c r="K181">
        <v>245.87</v>
      </c>
      <c r="L181">
        <v>166.43</v>
      </c>
      <c r="M181">
        <v>275.3</v>
      </c>
      <c r="N181">
        <v>833.55</v>
      </c>
      <c r="O181" s="2">
        <v>2060.4899999999998</v>
      </c>
      <c r="P181" s="2">
        <v>1919.3</v>
      </c>
      <c r="Q181" s="2">
        <v>1870.47</v>
      </c>
      <c r="R181" s="2">
        <v>2010.7</v>
      </c>
      <c r="S181" s="2">
        <v>2441.83</v>
      </c>
      <c r="T181" s="2">
        <v>3988.27</v>
      </c>
      <c r="U181" s="2">
        <v>5559.9</v>
      </c>
    </row>
    <row r="182" spans="1:21" x14ac:dyDescent="0.25">
      <c r="A182" t="s">
        <v>178</v>
      </c>
    </row>
    <row r="183" spans="1:21" x14ac:dyDescent="0.25">
      <c r="A183" t="s">
        <v>3217</v>
      </c>
      <c r="I183">
        <v>-0.86</v>
      </c>
      <c r="J183">
        <v>-0.78</v>
      </c>
      <c r="K183">
        <v>-0.46</v>
      </c>
      <c r="L183">
        <v>-0.36</v>
      </c>
      <c r="M183">
        <v>-0.23</v>
      </c>
      <c r="N183">
        <v>-0.86</v>
      </c>
      <c r="O183">
        <v>-0.39</v>
      </c>
      <c r="P183">
        <v>0.03</v>
      </c>
      <c r="Q183">
        <v>0.13</v>
      </c>
      <c r="R183">
        <v>0.28999999999999998</v>
      </c>
      <c r="S183">
        <v>0.44</v>
      </c>
      <c r="T183">
        <v>1.49</v>
      </c>
      <c r="U183">
        <v>2.4</v>
      </c>
    </row>
    <row r="184" spans="1:21" x14ac:dyDescent="0.25">
      <c r="A184" t="s">
        <v>17</v>
      </c>
    </row>
    <row r="185" spans="1:21" x14ac:dyDescent="0.25">
      <c r="A185" t="s">
        <v>231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DF3F-C7F2-46FE-BB07-1E9B3E44FC3D}">
  <dimension ref="A1:U156"/>
  <sheetViews>
    <sheetView workbookViewId="0">
      <selection sqref="A1:U156"/>
    </sheetView>
  </sheetViews>
  <sheetFormatPr defaultRowHeight="15" x14ac:dyDescent="0.25"/>
  <sheetData>
    <row r="1" spans="1:21" x14ac:dyDescent="0.25">
      <c r="A1" t="s">
        <v>3218</v>
      </c>
    </row>
    <row r="2" spans="1:21" x14ac:dyDescent="0.25">
      <c r="A2" t="s">
        <v>3219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D6">
        <v>-2.68</v>
      </c>
      <c r="E6">
        <v>-1.86</v>
      </c>
      <c r="F6">
        <v>-2.54</v>
      </c>
      <c r="G6">
        <v>-2.2200000000000002</v>
      </c>
      <c r="H6">
        <v>-1.79</v>
      </c>
      <c r="I6">
        <v>-2.78</v>
      </c>
      <c r="J6">
        <v>-5.21</v>
      </c>
      <c r="K6">
        <v>-5.57</v>
      </c>
      <c r="L6">
        <v>-3.78</v>
      </c>
      <c r="M6">
        <v>-1.53</v>
      </c>
      <c r="N6">
        <v>-1.52</v>
      </c>
      <c r="O6">
        <v>-1.38</v>
      </c>
      <c r="P6">
        <v>0.1</v>
      </c>
      <c r="Q6">
        <v>1.96</v>
      </c>
      <c r="R6">
        <v>4.53</v>
      </c>
      <c r="S6">
        <v>6.4</v>
      </c>
      <c r="T6">
        <v>8.7200000000000006</v>
      </c>
      <c r="U6">
        <v>7.82</v>
      </c>
    </row>
    <row r="7" spans="1:21" x14ac:dyDescent="0.25">
      <c r="A7" t="s">
        <v>16</v>
      </c>
      <c r="D7">
        <v>190.36</v>
      </c>
      <c r="E7">
        <v>213.97</v>
      </c>
      <c r="F7">
        <v>205.49</v>
      </c>
      <c r="G7">
        <v>257.64999999999998</v>
      </c>
      <c r="H7">
        <v>302.33</v>
      </c>
      <c r="I7">
        <v>391.01</v>
      </c>
      <c r="J7">
        <v>567.15</v>
      </c>
      <c r="K7">
        <v>820.22</v>
      </c>
      <c r="L7" s="2">
        <v>1068.52</v>
      </c>
      <c r="M7" s="2">
        <v>1696.91</v>
      </c>
      <c r="N7" s="2">
        <v>2306.11</v>
      </c>
      <c r="O7" s="2">
        <v>2908.23</v>
      </c>
      <c r="P7" s="2">
        <v>3496.32</v>
      </c>
      <c r="Q7" s="2">
        <v>4220.68</v>
      </c>
      <c r="R7" s="2">
        <v>5049</v>
      </c>
      <c r="S7" s="2">
        <v>5992.25</v>
      </c>
      <c r="T7" s="2">
        <v>6765</v>
      </c>
      <c r="U7" s="2">
        <v>7746.5</v>
      </c>
    </row>
    <row r="8" spans="1:21" x14ac:dyDescent="0.25">
      <c r="A8" t="s">
        <v>17</v>
      </c>
    </row>
    <row r="9" spans="1:21" x14ac:dyDescent="0.25">
      <c r="A9" t="s">
        <v>84</v>
      </c>
      <c r="B9">
        <v>17.899999999999999</v>
      </c>
      <c r="C9">
        <v>80.89</v>
      </c>
      <c r="D9">
        <v>77.510000000000005</v>
      </c>
      <c r="E9">
        <v>76.94</v>
      </c>
      <c r="F9">
        <v>70.03</v>
      </c>
      <c r="G9">
        <v>91.6</v>
      </c>
      <c r="H9">
        <v>126.86</v>
      </c>
      <c r="I9">
        <v>187.39</v>
      </c>
      <c r="J9">
        <v>307.07</v>
      </c>
      <c r="K9">
        <v>363.97</v>
      </c>
      <c r="L9">
        <v>492.74</v>
      </c>
      <c r="M9" s="2">
        <v>1023.16</v>
      </c>
      <c r="N9" s="2">
        <v>1493.18</v>
      </c>
      <c r="O9" s="2">
        <v>1884.79</v>
      </c>
      <c r="P9" s="2">
        <v>2299.85</v>
      </c>
      <c r="Q9" s="2">
        <v>2835.64</v>
      </c>
      <c r="R9" s="2">
        <v>3471.91</v>
      </c>
      <c r="S9" s="2">
        <v>4032.04</v>
      </c>
      <c r="T9" s="2">
        <v>4845.76</v>
      </c>
      <c r="U9" s="2">
        <v>5791.41</v>
      </c>
    </row>
    <row r="10" spans="1:21" x14ac:dyDescent="0.25">
      <c r="A10" t="s">
        <v>85</v>
      </c>
      <c r="D10">
        <v>40.72</v>
      </c>
      <c r="E10">
        <v>38.090000000000003</v>
      </c>
      <c r="F10">
        <v>34.72</v>
      </c>
      <c r="G10">
        <v>35.549999999999997</v>
      </c>
      <c r="H10">
        <v>41.96</v>
      </c>
      <c r="I10">
        <v>47.92</v>
      </c>
      <c r="J10">
        <v>54.14</v>
      </c>
      <c r="K10">
        <v>44.37</v>
      </c>
      <c r="L10">
        <v>44.8</v>
      </c>
      <c r="M10">
        <v>60.3</v>
      </c>
      <c r="N10">
        <v>64.75</v>
      </c>
      <c r="O10">
        <v>64.67</v>
      </c>
      <c r="P10">
        <v>65.900000000000006</v>
      </c>
      <c r="Q10">
        <v>67.38</v>
      </c>
      <c r="R10">
        <v>68.349999999999994</v>
      </c>
      <c r="S10">
        <v>69.540000000000006</v>
      </c>
      <c r="T10">
        <v>70.98</v>
      </c>
      <c r="U10">
        <v>71.290000000000006</v>
      </c>
    </row>
    <row r="11" spans="1:21" x14ac:dyDescent="0.25">
      <c r="A11" t="s">
        <v>1274</v>
      </c>
      <c r="B11">
        <v>31.61</v>
      </c>
      <c r="C11">
        <v>62.94</v>
      </c>
      <c r="D11">
        <v>109.64</v>
      </c>
      <c r="E11">
        <v>136.13</v>
      </c>
      <c r="F11">
        <v>155.31</v>
      </c>
      <c r="G11">
        <v>154.87</v>
      </c>
      <c r="H11">
        <v>206.18</v>
      </c>
      <c r="I11">
        <v>303.63</v>
      </c>
      <c r="J11">
        <v>511.03</v>
      </c>
      <c r="K11">
        <v>588.59</v>
      </c>
      <c r="L11">
        <v>618.30999999999995</v>
      </c>
      <c r="M11">
        <v>841.31</v>
      </c>
      <c r="N11" s="2">
        <v>1177.26</v>
      </c>
      <c r="O11" s="2">
        <v>1222.58</v>
      </c>
      <c r="P11" s="2">
        <v>1355.58</v>
      </c>
      <c r="Q11" s="2">
        <v>1510.63</v>
      </c>
      <c r="R11" s="2">
        <v>1682.33</v>
      </c>
      <c r="S11" s="2">
        <v>1808.55</v>
      </c>
      <c r="T11" s="2">
        <v>1894.82</v>
      </c>
      <c r="U11" s="2">
        <v>2333.77</v>
      </c>
    </row>
    <row r="12" spans="1:21" x14ac:dyDescent="0.25">
      <c r="A12" t="s">
        <v>1299</v>
      </c>
      <c r="B12">
        <v>11.55</v>
      </c>
      <c r="C12">
        <v>17.29</v>
      </c>
      <c r="D12">
        <v>27.71</v>
      </c>
      <c r="E12">
        <v>41.86</v>
      </c>
      <c r="F12">
        <v>50.06</v>
      </c>
      <c r="G12">
        <v>51.36</v>
      </c>
      <c r="H12">
        <v>51.36</v>
      </c>
      <c r="I12">
        <v>100.04</v>
      </c>
      <c r="J12">
        <v>264.20999999999998</v>
      </c>
      <c r="K12">
        <v>316.42</v>
      </c>
      <c r="L12">
        <v>320.68</v>
      </c>
      <c r="M12">
        <v>404.14</v>
      </c>
      <c r="N12">
        <v>624.11</v>
      </c>
      <c r="O12">
        <v>887.63</v>
      </c>
      <c r="P12">
        <v>988.68</v>
      </c>
      <c r="Q12" s="2">
        <v>1099.1300000000001</v>
      </c>
      <c r="R12" s="2">
        <v>1234.17</v>
      </c>
      <c r="S12" s="2">
        <v>1337.65</v>
      </c>
      <c r="T12" s="2">
        <v>1415.61</v>
      </c>
      <c r="U12" s="2">
        <v>1362.6</v>
      </c>
    </row>
    <row r="13" spans="1:21" x14ac:dyDescent="0.25">
      <c r="A13" t="s">
        <v>528</v>
      </c>
      <c r="D13">
        <v>-70.28</v>
      </c>
      <c r="E13">
        <v>-95.77</v>
      </c>
      <c r="F13">
        <v>-136.31</v>
      </c>
      <c r="G13">
        <v>-128.15</v>
      </c>
      <c r="H13">
        <v>-124.83</v>
      </c>
      <c r="I13">
        <v>-225.12</v>
      </c>
      <c r="J13">
        <v>-471.72</v>
      </c>
      <c r="K13">
        <v>-547.79999999999995</v>
      </c>
      <c r="L13">
        <v>-434.8</v>
      </c>
      <c r="M13">
        <v>-190.43</v>
      </c>
      <c r="N13">
        <v>-208.16</v>
      </c>
      <c r="O13">
        <v>-202.62</v>
      </c>
      <c r="P13">
        <v>-11.02</v>
      </c>
      <c r="Q13">
        <v>280.42</v>
      </c>
      <c r="R13">
        <v>642.9</v>
      </c>
      <c r="S13">
        <v>947.75</v>
      </c>
      <c r="T13" s="2">
        <v>1395.4</v>
      </c>
      <c r="U13" s="2">
        <v>1694</v>
      </c>
    </row>
    <row r="14" spans="1:21" x14ac:dyDescent="0.25">
      <c r="A14" t="s">
        <v>17</v>
      </c>
    </row>
    <row r="15" spans="1:21" x14ac:dyDescent="0.25">
      <c r="A15" t="s">
        <v>379</v>
      </c>
      <c r="B15">
        <v>30.5</v>
      </c>
      <c r="C15">
        <v>87.18</v>
      </c>
      <c r="D15">
        <v>28.95</v>
      </c>
      <c r="E15">
        <v>15.26</v>
      </c>
      <c r="F15">
        <v>12.62</v>
      </c>
      <c r="G15">
        <v>46.41</v>
      </c>
      <c r="H15">
        <v>61.93</v>
      </c>
      <c r="I15">
        <v>48.67</v>
      </c>
      <c r="J15">
        <v>84.39</v>
      </c>
      <c r="K15">
        <v>466.01</v>
      </c>
      <c r="L15">
        <v>642.1</v>
      </c>
      <c r="M15">
        <v>945.59</v>
      </c>
      <c r="N15" s="2">
        <v>1076.1400000000001</v>
      </c>
      <c r="O15" s="2">
        <v>1224</v>
      </c>
      <c r="P15" s="2">
        <v>1472.86</v>
      </c>
      <c r="Q15" s="2">
        <v>2010.32</v>
      </c>
      <c r="R15" s="2">
        <v>2993.84</v>
      </c>
      <c r="S15" s="2">
        <v>4058.6</v>
      </c>
      <c r="T15" s="2">
        <v>6487.22</v>
      </c>
      <c r="U15" s="2">
        <v>9643.91</v>
      </c>
    </row>
    <row r="16" spans="1:21" x14ac:dyDescent="0.25">
      <c r="A16" t="s">
        <v>17</v>
      </c>
    </row>
    <row r="17" spans="1:21" x14ac:dyDescent="0.25">
      <c r="A17" t="s">
        <v>37</v>
      </c>
    </row>
    <row r="18" spans="1:21" x14ac:dyDescent="0.25">
      <c r="A18" t="s">
        <v>17</v>
      </c>
    </row>
    <row r="19" spans="1:21" x14ac:dyDescent="0.25">
      <c r="A19" t="s">
        <v>38</v>
      </c>
    </row>
    <row r="20" spans="1:21" x14ac:dyDescent="0.25">
      <c r="A20" t="s">
        <v>3220</v>
      </c>
      <c r="G20" s="2">
        <v>668600</v>
      </c>
      <c r="H20" s="2">
        <v>804300</v>
      </c>
      <c r="I20" s="2">
        <v>1026500</v>
      </c>
      <c r="J20" s="2">
        <v>1570000</v>
      </c>
      <c r="K20" s="2">
        <v>2066500</v>
      </c>
      <c r="L20" s="2">
        <v>2496100</v>
      </c>
      <c r="M20" s="2">
        <v>3064600</v>
      </c>
      <c r="N20" s="2">
        <v>3525500</v>
      </c>
      <c r="O20" s="2">
        <v>4157198.19</v>
      </c>
      <c r="P20" s="2">
        <v>4697895.16</v>
      </c>
      <c r="Q20" s="2">
        <v>5230895.04</v>
      </c>
      <c r="R20" s="2">
        <v>5980493.6200000001</v>
      </c>
      <c r="S20" s="2">
        <v>6604740.1399999997</v>
      </c>
      <c r="T20" s="2">
        <v>7595509.5099999998</v>
      </c>
      <c r="U20" s="2">
        <v>8486266.0700000003</v>
      </c>
    </row>
    <row r="21" spans="1:21" x14ac:dyDescent="0.25">
      <c r="A21" t="s">
        <v>17</v>
      </c>
    </row>
    <row r="22" spans="1:21" x14ac:dyDescent="0.25">
      <c r="A22" t="s">
        <v>3221</v>
      </c>
      <c r="L22" s="2">
        <v>305000</v>
      </c>
      <c r="M22" s="2">
        <v>499000</v>
      </c>
      <c r="N22" s="2">
        <v>769000</v>
      </c>
      <c r="O22" s="2">
        <v>1136545.3899999999</v>
      </c>
      <c r="P22" s="2">
        <v>1511024.15</v>
      </c>
      <c r="Q22" s="2">
        <v>1855331.02</v>
      </c>
      <c r="R22" s="2">
        <v>2327160.13</v>
      </c>
      <c r="S22" s="2">
        <v>2693306.38</v>
      </c>
      <c r="T22" s="2">
        <v>3001439.79</v>
      </c>
      <c r="U22" s="2">
        <v>3371410.35</v>
      </c>
    </row>
    <row r="23" spans="1:21" x14ac:dyDescent="0.25">
      <c r="A23" t="s">
        <v>17</v>
      </c>
    </row>
    <row r="24" spans="1:21" x14ac:dyDescent="0.25">
      <c r="A24" t="s">
        <v>58</v>
      </c>
    </row>
    <row r="25" spans="1:21" x14ac:dyDescent="0.25">
      <c r="A25" t="s">
        <v>16</v>
      </c>
    </row>
    <row r="26" spans="1:21" x14ac:dyDescent="0.25">
      <c r="A26" t="s">
        <v>443</v>
      </c>
      <c r="B26">
        <v>54.96</v>
      </c>
      <c r="C26">
        <v>157.31</v>
      </c>
      <c r="D26">
        <v>188.17</v>
      </c>
      <c r="E26">
        <v>209.41</v>
      </c>
      <c r="F26">
        <v>203.78</v>
      </c>
      <c r="G26">
        <v>240.37</v>
      </c>
      <c r="H26">
        <v>269.88</v>
      </c>
      <c r="I26">
        <v>367.21</v>
      </c>
      <c r="J26">
        <v>567.15</v>
      </c>
      <c r="K26">
        <v>797.31</v>
      </c>
      <c r="L26" s="2">
        <v>1068.52</v>
      </c>
      <c r="M26" s="2">
        <v>1685.07</v>
      </c>
      <c r="N26" s="2">
        <v>2295.8200000000002</v>
      </c>
      <c r="O26" s="2">
        <v>2899.47</v>
      </c>
      <c r="P26" s="2">
        <v>3481.17</v>
      </c>
      <c r="Q26" s="2">
        <v>4194.8900000000003</v>
      </c>
      <c r="R26" s="2">
        <v>5073.47</v>
      </c>
      <c r="S26" s="2">
        <v>5791.6</v>
      </c>
      <c r="T26" s="2">
        <v>6800.08</v>
      </c>
      <c r="U26" s="2">
        <v>7916.6</v>
      </c>
    </row>
    <row r="27" spans="1:21" x14ac:dyDescent="0.25">
      <c r="A27" t="s">
        <v>3222</v>
      </c>
      <c r="B27">
        <v>0.22</v>
      </c>
      <c r="C27">
        <v>1.98</v>
      </c>
      <c r="D27">
        <v>2.19</v>
      </c>
      <c r="E27">
        <v>3.11</v>
      </c>
      <c r="F27">
        <v>5.85</v>
      </c>
      <c r="G27">
        <v>17.29</v>
      </c>
      <c r="H27">
        <v>32.450000000000003</v>
      </c>
      <c r="I27">
        <v>23.79</v>
      </c>
      <c r="J27">
        <v>58.34</v>
      </c>
      <c r="K27">
        <v>22.92</v>
      </c>
      <c r="L27">
        <v>14.05</v>
      </c>
      <c r="M27">
        <v>11.84</v>
      </c>
      <c r="N27">
        <v>10.29</v>
      </c>
      <c r="O27">
        <v>13.05</v>
      </c>
      <c r="P27">
        <v>13.41</v>
      </c>
      <c r="Q27">
        <v>14.91</v>
      </c>
      <c r="R27">
        <v>15.12</v>
      </c>
      <c r="S27">
        <v>16.48</v>
      </c>
      <c r="T27">
        <v>17.93</v>
      </c>
      <c r="U27">
        <v>16.73</v>
      </c>
    </row>
    <row r="28" spans="1:21" x14ac:dyDescent="0.25">
      <c r="A28" t="s">
        <v>17</v>
      </c>
    </row>
    <row r="29" spans="1:21" x14ac:dyDescent="0.25">
      <c r="A29" t="s">
        <v>79</v>
      </c>
    </row>
    <row r="30" spans="1:21" x14ac:dyDescent="0.25">
      <c r="A30" t="s">
        <v>80</v>
      </c>
      <c r="D30">
        <v>190.36</v>
      </c>
      <c r="E30">
        <v>213.97</v>
      </c>
      <c r="F30">
        <v>205.49</v>
      </c>
      <c r="G30">
        <v>257.64999999999998</v>
      </c>
      <c r="H30">
        <v>302.33</v>
      </c>
      <c r="I30">
        <v>391.01</v>
      </c>
      <c r="J30">
        <v>567.15</v>
      </c>
      <c r="K30">
        <v>820.22</v>
      </c>
      <c r="L30" s="2">
        <v>1068.52</v>
      </c>
      <c r="M30" s="2">
        <v>1696.91</v>
      </c>
      <c r="N30" s="2">
        <v>2306.11</v>
      </c>
      <c r="O30" s="2">
        <v>2908.23</v>
      </c>
      <c r="P30" s="2">
        <v>3496.32</v>
      </c>
      <c r="Q30" s="2">
        <v>4220.68</v>
      </c>
      <c r="R30" s="2">
        <v>5049</v>
      </c>
      <c r="S30" s="2">
        <v>5992.25</v>
      </c>
      <c r="T30" s="2">
        <v>6765</v>
      </c>
      <c r="U30" s="2">
        <v>7746.5</v>
      </c>
    </row>
    <row r="31" spans="1:21" x14ac:dyDescent="0.25">
      <c r="A31" t="s">
        <v>17</v>
      </c>
    </row>
    <row r="32" spans="1:21" x14ac:dyDescent="0.25">
      <c r="A32" t="s">
        <v>82</v>
      </c>
      <c r="B32">
        <v>37.28</v>
      </c>
      <c r="C32">
        <v>78.400000000000006</v>
      </c>
      <c r="D32">
        <v>112.85</v>
      </c>
      <c r="E32">
        <v>135.57</v>
      </c>
      <c r="F32">
        <v>139.6</v>
      </c>
      <c r="G32">
        <v>166.06</v>
      </c>
      <c r="H32">
        <v>175.47</v>
      </c>
      <c r="I32">
        <v>203.62</v>
      </c>
      <c r="J32">
        <v>318.42</v>
      </c>
      <c r="K32">
        <v>456.26</v>
      </c>
      <c r="L32">
        <v>589.83000000000004</v>
      </c>
      <c r="M32">
        <v>673.75</v>
      </c>
      <c r="N32">
        <v>812.93</v>
      </c>
      <c r="O32" s="2">
        <v>1025.7</v>
      </c>
      <c r="P32" s="2">
        <v>1191.1600000000001</v>
      </c>
      <c r="Q32" s="2">
        <v>1375.89</v>
      </c>
      <c r="R32" s="2">
        <v>1620.86</v>
      </c>
      <c r="S32" s="2">
        <v>1797.8</v>
      </c>
      <c r="T32" s="2">
        <v>2030.85</v>
      </c>
      <c r="U32" s="2">
        <v>2434.79</v>
      </c>
    </row>
    <row r="33" spans="1:21" x14ac:dyDescent="0.25">
      <c r="A33" t="s">
        <v>83</v>
      </c>
      <c r="B33">
        <v>67.56</v>
      </c>
      <c r="C33">
        <v>49.22</v>
      </c>
      <c r="D33">
        <v>59.28</v>
      </c>
      <c r="E33">
        <v>63.8</v>
      </c>
      <c r="F33">
        <v>66.59</v>
      </c>
      <c r="G33">
        <v>64.45</v>
      </c>
      <c r="H33">
        <v>58.04</v>
      </c>
      <c r="I33">
        <v>52.08</v>
      </c>
      <c r="J33">
        <v>50.91</v>
      </c>
      <c r="K33">
        <v>55.63</v>
      </c>
      <c r="L33">
        <v>54.48</v>
      </c>
      <c r="M33">
        <v>39.700000000000003</v>
      </c>
      <c r="N33">
        <v>35.25</v>
      </c>
      <c r="O33">
        <v>35.119999999999997</v>
      </c>
      <c r="P33">
        <v>34.26</v>
      </c>
      <c r="Q33">
        <v>33.049999999999997</v>
      </c>
      <c r="R33">
        <v>31.83</v>
      </c>
      <c r="S33">
        <v>31.22</v>
      </c>
      <c r="T33">
        <v>30.4</v>
      </c>
      <c r="U33">
        <v>30.35</v>
      </c>
    </row>
    <row r="34" spans="1:21" x14ac:dyDescent="0.25">
      <c r="A34" t="s">
        <v>3223</v>
      </c>
      <c r="C34">
        <v>78.400000000000006</v>
      </c>
      <c r="D34">
        <v>112.85</v>
      </c>
      <c r="E34">
        <v>134.49</v>
      </c>
      <c r="F34">
        <v>135.51</v>
      </c>
      <c r="G34">
        <v>158.08000000000001</v>
      </c>
      <c r="H34">
        <v>162.6</v>
      </c>
      <c r="I34">
        <v>185.87</v>
      </c>
      <c r="J34">
        <v>302.66000000000003</v>
      </c>
      <c r="K34">
        <v>453.63</v>
      </c>
      <c r="L34">
        <v>589.83000000000004</v>
      </c>
      <c r="M34">
        <v>672.3</v>
      </c>
      <c r="N34">
        <v>810.63</v>
      </c>
      <c r="O34" s="2">
        <v>1027.24</v>
      </c>
      <c r="P34" s="2">
        <v>1184.8800000000001</v>
      </c>
      <c r="Q34" s="2">
        <v>1371.16</v>
      </c>
      <c r="R34" s="2">
        <v>1613.16</v>
      </c>
      <c r="S34" s="2">
        <v>1771.94</v>
      </c>
      <c r="T34" s="2">
        <v>1966.8</v>
      </c>
      <c r="U34" s="2">
        <v>2134.98</v>
      </c>
    </row>
    <row r="35" spans="1:21" x14ac:dyDescent="0.25">
      <c r="A35" t="s">
        <v>3224</v>
      </c>
      <c r="E35">
        <v>1.08</v>
      </c>
      <c r="F35">
        <v>4.09</v>
      </c>
      <c r="G35">
        <v>7.97</v>
      </c>
      <c r="H35">
        <v>12.87</v>
      </c>
      <c r="I35">
        <v>17.760000000000002</v>
      </c>
      <c r="J35">
        <v>15.76</v>
      </c>
      <c r="K35">
        <v>2.62</v>
      </c>
      <c r="L35">
        <v>1.27</v>
      </c>
      <c r="M35">
        <v>1.45</v>
      </c>
      <c r="N35">
        <v>2.31</v>
      </c>
      <c r="O35">
        <v>2.71</v>
      </c>
      <c r="P35">
        <v>2.9</v>
      </c>
      <c r="Q35">
        <v>3.14</v>
      </c>
      <c r="R35">
        <v>3.46</v>
      </c>
      <c r="S35">
        <v>3.66</v>
      </c>
      <c r="T35">
        <v>4.49</v>
      </c>
      <c r="U35">
        <v>3.7</v>
      </c>
    </row>
    <row r="36" spans="1:21" x14ac:dyDescent="0.25">
      <c r="A36" t="s">
        <v>84</v>
      </c>
      <c r="B36">
        <v>17.899999999999999</v>
      </c>
      <c r="C36">
        <v>80.89</v>
      </c>
      <c r="D36">
        <v>77.510000000000005</v>
      </c>
      <c r="E36">
        <v>76.94</v>
      </c>
      <c r="F36">
        <v>70.03</v>
      </c>
      <c r="G36">
        <v>91.6</v>
      </c>
      <c r="H36">
        <v>126.86</v>
      </c>
      <c r="I36">
        <v>187.39</v>
      </c>
      <c r="J36">
        <v>307.07</v>
      </c>
      <c r="K36">
        <v>363.97</v>
      </c>
      <c r="L36">
        <v>492.74</v>
      </c>
      <c r="M36" s="2">
        <v>1023.16</v>
      </c>
      <c r="N36" s="2">
        <v>1493.18</v>
      </c>
      <c r="O36" s="2">
        <v>1884.79</v>
      </c>
      <c r="P36" s="2">
        <v>2299.85</v>
      </c>
      <c r="Q36" s="2">
        <v>2835.64</v>
      </c>
      <c r="R36" s="2">
        <v>3471.91</v>
      </c>
      <c r="S36" s="2">
        <v>4032.04</v>
      </c>
      <c r="T36" s="2">
        <v>4845.76</v>
      </c>
      <c r="U36" s="2">
        <v>5791.41</v>
      </c>
    </row>
    <row r="37" spans="1:21" x14ac:dyDescent="0.25">
      <c r="A37" t="s">
        <v>85</v>
      </c>
      <c r="D37">
        <v>40.72</v>
      </c>
      <c r="E37">
        <v>38.090000000000003</v>
      </c>
      <c r="F37">
        <v>34.72</v>
      </c>
      <c r="G37">
        <v>35.549999999999997</v>
      </c>
      <c r="H37">
        <v>41.96</v>
      </c>
      <c r="I37">
        <v>47.92</v>
      </c>
      <c r="J37">
        <v>54.14</v>
      </c>
      <c r="K37">
        <v>44.37</v>
      </c>
      <c r="L37">
        <v>44.8</v>
      </c>
      <c r="M37">
        <v>60.3</v>
      </c>
      <c r="N37">
        <v>64.75</v>
      </c>
      <c r="O37">
        <v>64.67</v>
      </c>
      <c r="P37">
        <v>65.900000000000006</v>
      </c>
      <c r="Q37">
        <v>67.38</v>
      </c>
      <c r="R37">
        <v>68.349999999999994</v>
      </c>
      <c r="S37">
        <v>69.540000000000006</v>
      </c>
      <c r="T37">
        <v>70.98</v>
      </c>
      <c r="U37">
        <v>71.290000000000006</v>
      </c>
    </row>
    <row r="38" spans="1:21" x14ac:dyDescent="0.25">
      <c r="A38" t="s">
        <v>17</v>
      </c>
    </row>
    <row r="39" spans="1:21" x14ac:dyDescent="0.25">
      <c r="A39" t="s">
        <v>275</v>
      </c>
      <c r="B39">
        <v>43.16</v>
      </c>
      <c r="C39">
        <v>80.23</v>
      </c>
      <c r="D39">
        <v>137.35</v>
      </c>
      <c r="E39">
        <v>177.99</v>
      </c>
      <c r="F39">
        <v>205.37</v>
      </c>
      <c r="G39">
        <v>206.23</v>
      </c>
      <c r="H39">
        <v>243.15</v>
      </c>
      <c r="I39">
        <v>403.66</v>
      </c>
      <c r="J39">
        <v>775.24</v>
      </c>
      <c r="K39">
        <v>905.01</v>
      </c>
      <c r="L39">
        <v>938.99</v>
      </c>
      <c r="M39" s="2">
        <v>1245.45</v>
      </c>
      <c r="N39" s="2">
        <v>1803.09</v>
      </c>
      <c r="O39" s="2">
        <v>2103.25</v>
      </c>
      <c r="P39" s="2">
        <v>2333.81</v>
      </c>
      <c r="Q39" s="2">
        <v>2581.5</v>
      </c>
      <c r="R39" s="2">
        <v>2914.32</v>
      </c>
      <c r="S39" s="2">
        <v>3162.16</v>
      </c>
      <c r="T39" s="2">
        <v>3193.31</v>
      </c>
      <c r="U39" s="2">
        <v>3556.82</v>
      </c>
    </row>
    <row r="40" spans="1:21" x14ac:dyDescent="0.25">
      <c r="A40" t="s">
        <v>83</v>
      </c>
      <c r="B40">
        <v>78.239999999999995</v>
      </c>
      <c r="C40">
        <v>50.37</v>
      </c>
      <c r="D40">
        <v>72.150000000000006</v>
      </c>
      <c r="E40">
        <v>83.75</v>
      </c>
      <c r="F40">
        <v>97.97</v>
      </c>
      <c r="G40">
        <v>80.040000000000006</v>
      </c>
      <c r="H40">
        <v>80.42</v>
      </c>
      <c r="I40">
        <v>103.24</v>
      </c>
      <c r="J40">
        <v>123.94</v>
      </c>
      <c r="K40">
        <v>110.34</v>
      </c>
      <c r="L40">
        <v>86.74</v>
      </c>
      <c r="M40">
        <v>73.400000000000006</v>
      </c>
      <c r="N40">
        <v>78.19</v>
      </c>
      <c r="O40">
        <v>72</v>
      </c>
      <c r="P40">
        <v>67.72</v>
      </c>
      <c r="Q40">
        <v>62.52</v>
      </c>
      <c r="R40">
        <v>60.47</v>
      </c>
      <c r="S40">
        <v>55.92</v>
      </c>
      <c r="T40">
        <v>43.44</v>
      </c>
      <c r="U40">
        <v>42</v>
      </c>
    </row>
    <row r="41" spans="1:21" x14ac:dyDescent="0.25">
      <c r="A41" t="s">
        <v>276</v>
      </c>
      <c r="B41">
        <v>31.61</v>
      </c>
      <c r="C41">
        <v>62.94</v>
      </c>
      <c r="D41">
        <v>109.64</v>
      </c>
      <c r="E41">
        <v>136.13</v>
      </c>
      <c r="F41">
        <v>155.31</v>
      </c>
      <c r="G41">
        <v>154.87</v>
      </c>
      <c r="H41">
        <v>206.18</v>
      </c>
      <c r="I41">
        <v>303.63</v>
      </c>
      <c r="J41">
        <v>511.03</v>
      </c>
      <c r="K41">
        <v>588.59</v>
      </c>
      <c r="L41">
        <v>618.30999999999995</v>
      </c>
      <c r="M41">
        <v>841.31</v>
      </c>
      <c r="N41" s="2">
        <v>1177.26</v>
      </c>
      <c r="O41" s="2">
        <v>1222.58</v>
      </c>
      <c r="P41" s="2">
        <v>1355.58</v>
      </c>
      <c r="Q41" s="2">
        <v>1510.63</v>
      </c>
      <c r="R41" s="2">
        <v>1682.33</v>
      </c>
      <c r="S41" s="2">
        <v>1808.55</v>
      </c>
      <c r="T41" s="2">
        <v>1894.82</v>
      </c>
      <c r="U41" s="2">
        <v>2333.77</v>
      </c>
    </row>
    <row r="42" spans="1:21" x14ac:dyDescent="0.25">
      <c r="A42" t="s">
        <v>61</v>
      </c>
      <c r="B42">
        <v>57.3</v>
      </c>
      <c r="C42">
        <v>39.51</v>
      </c>
      <c r="D42">
        <v>57.6</v>
      </c>
      <c r="E42">
        <v>64.06</v>
      </c>
      <c r="F42">
        <v>74.09</v>
      </c>
      <c r="G42">
        <v>60.11</v>
      </c>
      <c r="H42">
        <v>68.2</v>
      </c>
      <c r="I42">
        <v>77.650000000000006</v>
      </c>
      <c r="J42">
        <v>81.7</v>
      </c>
      <c r="K42">
        <v>71.760000000000005</v>
      </c>
      <c r="L42">
        <v>57.11</v>
      </c>
      <c r="M42">
        <v>49.58</v>
      </c>
      <c r="N42">
        <v>51.05</v>
      </c>
      <c r="O42">
        <v>42</v>
      </c>
      <c r="P42">
        <v>39.03</v>
      </c>
      <c r="Q42">
        <v>36.07</v>
      </c>
      <c r="R42">
        <v>33.15</v>
      </c>
      <c r="S42">
        <v>31.15</v>
      </c>
      <c r="T42">
        <v>27.2</v>
      </c>
      <c r="U42">
        <v>30</v>
      </c>
    </row>
    <row r="43" spans="1:21" x14ac:dyDescent="0.25">
      <c r="A43" t="s">
        <v>89</v>
      </c>
      <c r="B43">
        <v>11.55</v>
      </c>
      <c r="C43">
        <v>17.29</v>
      </c>
      <c r="D43">
        <v>27.71</v>
      </c>
      <c r="E43">
        <v>41.86</v>
      </c>
      <c r="F43">
        <v>50.06</v>
      </c>
      <c r="G43">
        <v>51.36</v>
      </c>
      <c r="H43">
        <v>51.36</v>
      </c>
      <c r="I43">
        <v>100.04</v>
      </c>
      <c r="J43">
        <v>264.20999999999998</v>
      </c>
      <c r="K43">
        <v>316.42</v>
      </c>
      <c r="L43">
        <v>320.68</v>
      </c>
      <c r="M43">
        <v>404.14</v>
      </c>
      <c r="N43">
        <v>624.11</v>
      </c>
      <c r="O43">
        <v>887.63</v>
      </c>
      <c r="P43">
        <v>988.68</v>
      </c>
      <c r="Q43" s="2">
        <v>1099.1300000000001</v>
      </c>
      <c r="R43" s="2">
        <v>1234.17</v>
      </c>
      <c r="S43" s="2">
        <v>1337.65</v>
      </c>
      <c r="T43" s="2">
        <v>1415.61</v>
      </c>
      <c r="U43" s="2">
        <v>1362.6</v>
      </c>
    </row>
    <row r="44" spans="1:21" x14ac:dyDescent="0.25">
      <c r="A44" t="s">
        <v>61</v>
      </c>
      <c r="B44">
        <v>20.93</v>
      </c>
      <c r="C44">
        <v>10.86</v>
      </c>
      <c r="D44">
        <v>14.56</v>
      </c>
      <c r="E44">
        <v>19.7</v>
      </c>
      <c r="F44">
        <v>23.88</v>
      </c>
      <c r="G44">
        <v>19.93</v>
      </c>
      <c r="H44">
        <v>16.989999999999998</v>
      </c>
      <c r="I44">
        <v>25.58</v>
      </c>
      <c r="J44">
        <v>42.24</v>
      </c>
      <c r="K44">
        <v>38.58</v>
      </c>
      <c r="L44">
        <v>29.62</v>
      </c>
      <c r="M44">
        <v>23.82</v>
      </c>
      <c r="N44">
        <v>51.05</v>
      </c>
      <c r="O44">
        <v>30.56</v>
      </c>
      <c r="P44">
        <v>28.44</v>
      </c>
      <c r="Q44">
        <v>26.09</v>
      </c>
      <c r="R44">
        <v>24.65</v>
      </c>
      <c r="S44">
        <v>23.6</v>
      </c>
      <c r="T44">
        <v>20.99</v>
      </c>
      <c r="U44">
        <v>14.49</v>
      </c>
    </row>
    <row r="45" spans="1:21" x14ac:dyDescent="0.25">
      <c r="A45" t="s">
        <v>17</v>
      </c>
    </row>
    <row r="46" spans="1:21" x14ac:dyDescent="0.25">
      <c r="A46" t="s">
        <v>91</v>
      </c>
      <c r="D46">
        <v>-59.84</v>
      </c>
      <c r="E46">
        <v>-96.49</v>
      </c>
      <c r="F46">
        <v>-134.03</v>
      </c>
      <c r="G46">
        <v>-114.63</v>
      </c>
      <c r="H46">
        <v>-116.29</v>
      </c>
      <c r="I46">
        <v>-216.28</v>
      </c>
      <c r="J46">
        <v>-468.17</v>
      </c>
      <c r="K46">
        <v>-541.04</v>
      </c>
      <c r="L46">
        <v>-446.25</v>
      </c>
      <c r="M46">
        <v>-222.29</v>
      </c>
      <c r="N46">
        <v>-309.91000000000003</v>
      </c>
      <c r="O46">
        <v>-230.68</v>
      </c>
      <c r="P46">
        <v>-41.6</v>
      </c>
      <c r="Q46">
        <v>299.39</v>
      </c>
      <c r="R46">
        <v>707.4</v>
      </c>
      <c r="S46" s="2">
        <v>1087.25</v>
      </c>
      <c r="T46" s="2">
        <v>1395.5</v>
      </c>
      <c r="U46" s="2">
        <v>1772.5</v>
      </c>
    </row>
    <row r="47" spans="1:21" x14ac:dyDescent="0.25">
      <c r="A47" t="s">
        <v>92</v>
      </c>
      <c r="B47">
        <v>-45.8</v>
      </c>
      <c r="C47">
        <v>0.42</v>
      </c>
      <c r="D47">
        <v>-31.43</v>
      </c>
      <c r="E47">
        <v>-47.55</v>
      </c>
      <c r="F47">
        <v>-64.56</v>
      </c>
      <c r="G47">
        <v>-44.49</v>
      </c>
      <c r="H47">
        <v>-38.46</v>
      </c>
      <c r="I47">
        <v>-55.31</v>
      </c>
      <c r="J47">
        <v>-74.849999999999994</v>
      </c>
      <c r="K47">
        <v>-65.959999999999994</v>
      </c>
      <c r="L47">
        <v>-41.22</v>
      </c>
      <c r="M47">
        <v>-13.1</v>
      </c>
      <c r="N47">
        <v>-13.44</v>
      </c>
      <c r="O47">
        <v>-8.09</v>
      </c>
      <c r="P47">
        <v>-1.42</v>
      </c>
      <c r="Q47">
        <v>5.29</v>
      </c>
      <c r="R47">
        <v>8.7899999999999991</v>
      </c>
      <c r="S47">
        <v>14.86</v>
      </c>
      <c r="T47">
        <v>20.420000000000002</v>
      </c>
      <c r="U47">
        <v>22.79</v>
      </c>
    </row>
    <row r="48" spans="1:21" x14ac:dyDescent="0.25">
      <c r="A48" t="s">
        <v>17</v>
      </c>
    </row>
    <row r="49" spans="1:21" x14ac:dyDescent="0.25">
      <c r="A49" t="s">
        <v>93</v>
      </c>
      <c r="B49">
        <v>2.5</v>
      </c>
      <c r="C49">
        <v>5.0999999999999996</v>
      </c>
      <c r="D49">
        <v>5.54</v>
      </c>
      <c r="E49">
        <v>6.18</v>
      </c>
      <c r="F49">
        <v>7.14</v>
      </c>
      <c r="G49">
        <v>7.5</v>
      </c>
      <c r="H49">
        <v>7.73</v>
      </c>
      <c r="I49">
        <v>8.61</v>
      </c>
      <c r="J49">
        <v>11.25</v>
      </c>
      <c r="K49">
        <v>16.7</v>
      </c>
      <c r="L49">
        <v>22.7</v>
      </c>
      <c r="M49">
        <v>30.7</v>
      </c>
      <c r="N49">
        <v>41.5</v>
      </c>
      <c r="O49">
        <v>54.17</v>
      </c>
      <c r="P49">
        <v>62.27</v>
      </c>
      <c r="Q49">
        <v>75.89</v>
      </c>
      <c r="R49">
        <v>97.37</v>
      </c>
      <c r="S49">
        <v>105.72</v>
      </c>
      <c r="T49">
        <v>120.09</v>
      </c>
      <c r="U49">
        <v>144.76</v>
      </c>
    </row>
    <row r="50" spans="1:21" x14ac:dyDescent="0.25">
      <c r="A50" t="s">
        <v>83</v>
      </c>
      <c r="B50">
        <v>4.58</v>
      </c>
      <c r="C50">
        <v>3.23</v>
      </c>
      <c r="D50">
        <v>2.91</v>
      </c>
      <c r="E50">
        <v>2.91</v>
      </c>
      <c r="F50">
        <v>3.41</v>
      </c>
      <c r="G50">
        <v>2.91</v>
      </c>
      <c r="H50">
        <v>2.56</v>
      </c>
      <c r="I50">
        <v>2.2000000000000002</v>
      </c>
      <c r="J50">
        <v>1.8</v>
      </c>
      <c r="K50">
        <v>2.04</v>
      </c>
      <c r="L50">
        <v>2.23</v>
      </c>
      <c r="M50">
        <v>1.82</v>
      </c>
      <c r="N50">
        <v>1.89</v>
      </c>
      <c r="O50">
        <v>1.99</v>
      </c>
      <c r="P50">
        <v>1.88</v>
      </c>
      <c r="Q50">
        <v>1.93</v>
      </c>
      <c r="R50">
        <v>2.02</v>
      </c>
      <c r="S50">
        <v>2</v>
      </c>
      <c r="T50">
        <v>2</v>
      </c>
      <c r="U50">
        <v>2</v>
      </c>
    </row>
    <row r="51" spans="1:21" x14ac:dyDescent="0.25">
      <c r="A51" t="s">
        <v>277</v>
      </c>
      <c r="E51">
        <v>-90.29</v>
      </c>
      <c r="F51">
        <v>-126.93</v>
      </c>
      <c r="G51">
        <v>7.39</v>
      </c>
      <c r="H51">
        <v>7.58</v>
      </c>
      <c r="I51">
        <v>-207.68</v>
      </c>
      <c r="J51">
        <v>-456.87</v>
      </c>
      <c r="K51">
        <v>-524.34</v>
      </c>
      <c r="L51">
        <v>-422.15</v>
      </c>
      <c r="M51">
        <v>-191.33</v>
      </c>
      <c r="N51">
        <v>-268.14999999999998</v>
      </c>
      <c r="O51">
        <v>-178.31</v>
      </c>
      <c r="P51">
        <v>41.83</v>
      </c>
      <c r="Q51">
        <v>355.23</v>
      </c>
      <c r="R51">
        <v>863</v>
      </c>
      <c r="S51" s="2">
        <v>1296.83</v>
      </c>
      <c r="T51" s="2">
        <v>1611.75</v>
      </c>
      <c r="U51" s="2">
        <v>1861</v>
      </c>
    </row>
    <row r="52" spans="1:21" x14ac:dyDescent="0.25">
      <c r="A52" t="s">
        <v>481</v>
      </c>
      <c r="B52">
        <v>-41.22</v>
      </c>
      <c r="C52">
        <v>3.65</v>
      </c>
      <c r="D52">
        <v>-28.53</v>
      </c>
      <c r="E52">
        <v>-44.64</v>
      </c>
      <c r="F52">
        <v>-61.16</v>
      </c>
      <c r="G52">
        <v>-41.58</v>
      </c>
      <c r="H52">
        <v>-33.33</v>
      </c>
      <c r="I52">
        <v>-51.12</v>
      </c>
      <c r="J52">
        <v>-71.31</v>
      </c>
      <c r="K52">
        <v>-62.24</v>
      </c>
      <c r="L52">
        <v>-37.65</v>
      </c>
      <c r="M52">
        <v>-10.37</v>
      </c>
      <c r="N52">
        <v>-10.68</v>
      </c>
      <c r="O52">
        <v>-6.48</v>
      </c>
      <c r="P52">
        <v>0.13</v>
      </c>
      <c r="Q52">
        <v>5.52</v>
      </c>
      <c r="R52">
        <v>9.5</v>
      </c>
      <c r="S52">
        <v>15.73</v>
      </c>
      <c r="T52">
        <v>21.66</v>
      </c>
      <c r="U52">
        <v>24.29</v>
      </c>
    </row>
    <row r="53" spans="1:21" x14ac:dyDescent="0.25">
      <c r="A53" t="s">
        <v>17</v>
      </c>
    </row>
    <row r="54" spans="1:21" x14ac:dyDescent="0.25">
      <c r="A54" t="s">
        <v>483</v>
      </c>
      <c r="B54">
        <v>11.84</v>
      </c>
      <c r="C54">
        <v>5.82</v>
      </c>
      <c r="D54">
        <v>10.44</v>
      </c>
      <c r="E54">
        <v>-0.87</v>
      </c>
      <c r="F54">
        <v>1.83</v>
      </c>
      <c r="G54">
        <v>13.21</v>
      </c>
      <c r="H54">
        <v>6.54</v>
      </c>
      <c r="I54">
        <v>13.37</v>
      </c>
      <c r="J54">
        <v>2.92</v>
      </c>
      <c r="K54">
        <v>5.78</v>
      </c>
      <c r="L54">
        <v>-11.72</v>
      </c>
      <c r="M54">
        <v>-32.56</v>
      </c>
      <c r="N54">
        <v>-41.82</v>
      </c>
      <c r="O54">
        <v>-34.26</v>
      </c>
      <c r="P54">
        <v>-34.22</v>
      </c>
      <c r="Q54">
        <v>-38.869999999999997</v>
      </c>
      <c r="R54">
        <v>-63.45</v>
      </c>
      <c r="S54">
        <v>-63.33</v>
      </c>
      <c r="T54">
        <v>-88.46</v>
      </c>
      <c r="U54">
        <v>-75.37</v>
      </c>
    </row>
    <row r="55" spans="1:21" x14ac:dyDescent="0.25">
      <c r="A55" t="s">
        <v>484</v>
      </c>
      <c r="B55">
        <v>9.77</v>
      </c>
      <c r="C55">
        <v>4.22</v>
      </c>
      <c r="D55">
        <v>3.51</v>
      </c>
      <c r="E55">
        <v>0.53</v>
      </c>
      <c r="F55">
        <v>4.21</v>
      </c>
      <c r="G55">
        <v>10.48</v>
      </c>
      <c r="H55">
        <v>10.69</v>
      </c>
      <c r="I55">
        <v>15.08</v>
      </c>
      <c r="J55">
        <v>8.31</v>
      </c>
      <c r="K55">
        <v>9.32</v>
      </c>
      <c r="L55">
        <v>12.64</v>
      </c>
      <c r="M55">
        <v>10.69</v>
      </c>
      <c r="N55">
        <v>4.07</v>
      </c>
      <c r="O55">
        <v>4</v>
      </c>
      <c r="P55">
        <v>4.53</v>
      </c>
      <c r="Q55">
        <v>4.53</v>
      </c>
      <c r="R55">
        <v>4.76</v>
      </c>
      <c r="S55">
        <v>3.53</v>
      </c>
      <c r="T55">
        <v>3.41</v>
      </c>
      <c r="U55">
        <v>3.25</v>
      </c>
    </row>
    <row r="56" spans="1:21" x14ac:dyDescent="0.25">
      <c r="A56" t="s">
        <v>391</v>
      </c>
      <c r="B56">
        <v>2.0699999999999998</v>
      </c>
      <c r="C56">
        <v>1.6</v>
      </c>
      <c r="D56">
        <v>6.93</v>
      </c>
      <c r="E56">
        <v>-1.4</v>
      </c>
      <c r="F56">
        <v>-2.38</v>
      </c>
      <c r="G56">
        <v>2.73</v>
      </c>
      <c r="H56">
        <v>-4.1500000000000004</v>
      </c>
      <c r="I56">
        <v>-1.71</v>
      </c>
      <c r="J56">
        <v>-5.38</v>
      </c>
      <c r="K56">
        <v>-3.54</v>
      </c>
      <c r="L56">
        <v>-24.35</v>
      </c>
      <c r="M56">
        <v>-43.25</v>
      </c>
      <c r="N56">
        <v>-45.89</v>
      </c>
      <c r="O56">
        <v>-36.6</v>
      </c>
      <c r="P56">
        <v>-36.520000000000003</v>
      </c>
      <c r="Q56">
        <v>-39.86</v>
      </c>
      <c r="R56">
        <v>-46.13</v>
      </c>
      <c r="S56">
        <v>-53.01</v>
      </c>
      <c r="T56">
        <v>-60.44</v>
      </c>
      <c r="U56">
        <v>-50.39</v>
      </c>
    </row>
    <row r="57" spans="1:21" x14ac:dyDescent="0.25">
      <c r="A57" t="s">
        <v>100</v>
      </c>
      <c r="D57">
        <v>-70.28</v>
      </c>
      <c r="E57">
        <v>-95.77</v>
      </c>
      <c r="F57">
        <v>-135.86000000000001</v>
      </c>
      <c r="G57">
        <v>-127.83</v>
      </c>
      <c r="H57">
        <v>-122.83</v>
      </c>
      <c r="I57">
        <v>-229.65</v>
      </c>
      <c r="J57">
        <v>-471.1</v>
      </c>
      <c r="K57">
        <v>-546.82000000000005</v>
      </c>
      <c r="L57">
        <v>-434.53</v>
      </c>
      <c r="M57">
        <v>-189.73</v>
      </c>
      <c r="N57">
        <v>-268.08999999999997</v>
      </c>
      <c r="O57">
        <v>-197.46</v>
      </c>
      <c r="P57">
        <v>-7.17</v>
      </c>
      <c r="Q57">
        <v>288.68</v>
      </c>
      <c r="R57">
        <v>752.33</v>
      </c>
      <c r="S57" s="2">
        <v>1225.43</v>
      </c>
      <c r="T57" s="2">
        <v>1583.8</v>
      </c>
      <c r="U57" s="2">
        <v>2134</v>
      </c>
    </row>
    <row r="58" spans="1:21" x14ac:dyDescent="0.25">
      <c r="A58" t="s">
        <v>17</v>
      </c>
    </row>
    <row r="59" spans="1:21" x14ac:dyDescent="0.25">
      <c r="A59" t="s">
        <v>101</v>
      </c>
      <c r="B59">
        <v>0</v>
      </c>
      <c r="C59">
        <v>0</v>
      </c>
      <c r="D59">
        <v>0</v>
      </c>
      <c r="E59">
        <v>0.14000000000000001</v>
      </c>
      <c r="F59">
        <v>0.45</v>
      </c>
      <c r="G59">
        <v>0.32</v>
      </c>
      <c r="H59">
        <v>2</v>
      </c>
      <c r="I59">
        <v>0.1</v>
      </c>
      <c r="J59">
        <v>0.62</v>
      </c>
      <c r="K59">
        <v>0.98</v>
      </c>
      <c r="L59">
        <v>0.27</v>
      </c>
      <c r="M59">
        <v>0.7</v>
      </c>
      <c r="N59">
        <v>-59.93</v>
      </c>
      <c r="O59">
        <v>-0.44</v>
      </c>
      <c r="P59">
        <v>-2.39</v>
      </c>
      <c r="Q59">
        <v>8.6199999999999992</v>
      </c>
      <c r="R59">
        <v>62.78</v>
      </c>
      <c r="S59">
        <v>117.86</v>
      </c>
      <c r="T59">
        <v>188.51</v>
      </c>
      <c r="U59">
        <v>439.79</v>
      </c>
    </row>
    <row r="60" spans="1:21" x14ac:dyDescent="0.25">
      <c r="A60" t="s">
        <v>17</v>
      </c>
    </row>
    <row r="61" spans="1:21" x14ac:dyDescent="0.25">
      <c r="A61" t="s">
        <v>106</v>
      </c>
      <c r="D61">
        <v>-70.28</v>
      </c>
      <c r="E61">
        <v>-95.77</v>
      </c>
      <c r="F61">
        <v>-136.31</v>
      </c>
      <c r="G61">
        <v>-128.15</v>
      </c>
      <c r="H61">
        <v>-124.83</v>
      </c>
      <c r="I61">
        <v>-229.74</v>
      </c>
      <c r="J61">
        <v>-471.72</v>
      </c>
      <c r="K61">
        <v>-547.79999999999995</v>
      </c>
      <c r="L61">
        <v>-434.8</v>
      </c>
      <c r="M61">
        <v>-190.43</v>
      </c>
      <c r="N61">
        <v>-208.16</v>
      </c>
      <c r="O61">
        <v>-209.2</v>
      </c>
      <c r="P61">
        <v>-22.54</v>
      </c>
      <c r="Q61">
        <v>257.08999999999997</v>
      </c>
      <c r="R61">
        <v>543.66999999999996</v>
      </c>
      <c r="S61">
        <v>830.29</v>
      </c>
      <c r="T61" s="2">
        <v>1395.4</v>
      </c>
      <c r="U61" s="2">
        <v>1694</v>
      </c>
    </row>
    <row r="62" spans="1:21" x14ac:dyDescent="0.25">
      <c r="A62" t="s">
        <v>107</v>
      </c>
      <c r="B62">
        <v>-67.260000000000005</v>
      </c>
      <c r="C62">
        <v>-3.23</v>
      </c>
      <c r="D62">
        <v>-36.92</v>
      </c>
      <c r="E62">
        <v>-47.21</v>
      </c>
      <c r="F62">
        <v>-65.650000000000006</v>
      </c>
      <c r="G62">
        <v>-49.74</v>
      </c>
      <c r="H62">
        <v>-41.29</v>
      </c>
      <c r="I62">
        <v>-58.76</v>
      </c>
      <c r="J62">
        <v>-75.42</v>
      </c>
      <c r="K62">
        <v>-66.790000000000006</v>
      </c>
      <c r="L62">
        <v>-40.159999999999997</v>
      </c>
      <c r="M62">
        <v>-11.22</v>
      </c>
      <c r="N62">
        <v>-9.0299999999999994</v>
      </c>
      <c r="O62">
        <v>-7.19</v>
      </c>
      <c r="P62">
        <v>-0.5</v>
      </c>
      <c r="Q62">
        <v>6.53</v>
      </c>
      <c r="R62">
        <v>10.09</v>
      </c>
      <c r="S62">
        <v>12.99</v>
      </c>
      <c r="T62">
        <v>17.989999999999998</v>
      </c>
      <c r="U62">
        <v>21.41</v>
      </c>
    </row>
    <row r="63" spans="1:21" x14ac:dyDescent="0.25">
      <c r="A63" t="s">
        <v>17</v>
      </c>
    </row>
    <row r="64" spans="1:21" x14ac:dyDescent="0.25">
      <c r="A64" t="s">
        <v>108</v>
      </c>
      <c r="B64">
        <v>3.84</v>
      </c>
      <c r="C64">
        <v>4.8</v>
      </c>
      <c r="D64">
        <v>26.2</v>
      </c>
      <c r="E64">
        <v>51.58</v>
      </c>
      <c r="F64">
        <v>53.31</v>
      </c>
      <c r="G64">
        <v>57.85</v>
      </c>
      <c r="H64">
        <v>69.56</v>
      </c>
      <c r="I64">
        <v>81.010000000000005</v>
      </c>
      <c r="J64">
        <v>90.56</v>
      </c>
      <c r="K64">
        <v>98.41</v>
      </c>
      <c r="L64">
        <v>115</v>
      </c>
      <c r="M64">
        <v>124.72</v>
      </c>
      <c r="N64">
        <v>136.72</v>
      </c>
      <c r="O64">
        <v>143.69999999999999</v>
      </c>
      <c r="P64">
        <v>148.96</v>
      </c>
      <c r="Q64">
        <v>155.94999999999999</v>
      </c>
      <c r="R64">
        <v>162.18</v>
      </c>
      <c r="S64">
        <v>169.24</v>
      </c>
      <c r="T64">
        <v>180.82</v>
      </c>
      <c r="U64">
        <v>212.16</v>
      </c>
    </row>
    <row r="65" spans="1:21" x14ac:dyDescent="0.25">
      <c r="A65" t="s">
        <v>17</v>
      </c>
    </row>
    <row r="66" spans="1:21" x14ac:dyDescent="0.25">
      <c r="A66" t="s">
        <v>109</v>
      </c>
      <c r="B66">
        <v>3.84</v>
      </c>
      <c r="C66">
        <v>4.8</v>
      </c>
      <c r="D66">
        <v>26.2</v>
      </c>
      <c r="E66">
        <v>51.58</v>
      </c>
      <c r="F66">
        <v>53.6</v>
      </c>
      <c r="G66">
        <v>57.85</v>
      </c>
      <c r="H66">
        <v>69.56</v>
      </c>
      <c r="I66">
        <v>81.010000000000005</v>
      </c>
      <c r="J66">
        <v>90.56</v>
      </c>
      <c r="K66">
        <v>98.41</v>
      </c>
      <c r="L66">
        <v>115</v>
      </c>
      <c r="M66">
        <v>124.72</v>
      </c>
      <c r="N66">
        <v>136.72</v>
      </c>
      <c r="O66">
        <v>143.84</v>
      </c>
      <c r="P66">
        <v>149.1</v>
      </c>
      <c r="Q66">
        <v>153.91999999999999</v>
      </c>
      <c r="R66">
        <v>158.62</v>
      </c>
      <c r="S66">
        <v>164.7</v>
      </c>
      <c r="T66">
        <v>173.74</v>
      </c>
      <c r="U66">
        <v>232.44</v>
      </c>
    </row>
    <row r="67" spans="1:21" x14ac:dyDescent="0.25">
      <c r="A67" t="s">
        <v>110</v>
      </c>
      <c r="D67">
        <v>-2.68</v>
      </c>
      <c r="E67">
        <v>-1.86</v>
      </c>
      <c r="F67">
        <v>-2.56</v>
      </c>
      <c r="G67">
        <v>-2.2200000000000002</v>
      </c>
      <c r="H67">
        <v>-1.79</v>
      </c>
      <c r="I67">
        <v>-2.84</v>
      </c>
      <c r="J67">
        <v>-5.21</v>
      </c>
      <c r="K67">
        <v>-5.57</v>
      </c>
      <c r="L67">
        <v>-3.78</v>
      </c>
      <c r="M67">
        <v>-1.53</v>
      </c>
      <c r="N67">
        <v>-1.52</v>
      </c>
      <c r="O67">
        <v>-1.39</v>
      </c>
      <c r="P67">
        <v>-0.11</v>
      </c>
      <c r="Q67">
        <v>1.64</v>
      </c>
      <c r="R67">
        <v>3.79</v>
      </c>
      <c r="S67">
        <v>5.38</v>
      </c>
      <c r="T67">
        <v>9.15</v>
      </c>
      <c r="U67">
        <v>6.98</v>
      </c>
    </row>
    <row r="68" spans="1:21" x14ac:dyDescent="0.25">
      <c r="A68" t="s">
        <v>17</v>
      </c>
    </row>
    <row r="69" spans="1:21" x14ac:dyDescent="0.25">
      <c r="A69" t="s">
        <v>3225</v>
      </c>
      <c r="B69">
        <v>0</v>
      </c>
      <c r="C69">
        <v>0</v>
      </c>
      <c r="D69">
        <v>-1.42</v>
      </c>
      <c r="E69">
        <v>0.69</v>
      </c>
      <c r="F69">
        <v>-0.04</v>
      </c>
      <c r="G69">
        <v>0.21</v>
      </c>
      <c r="H69">
        <v>1.47</v>
      </c>
      <c r="I69">
        <v>3.34</v>
      </c>
      <c r="J69">
        <v>-6.55</v>
      </c>
      <c r="K69">
        <v>-14.08</v>
      </c>
      <c r="L69">
        <v>13.28</v>
      </c>
      <c r="M69">
        <v>2.74</v>
      </c>
      <c r="N69">
        <v>0.09</v>
      </c>
      <c r="O69">
        <v>1.02</v>
      </c>
      <c r="P69">
        <v>4.2</v>
      </c>
      <c r="Q69">
        <v>4.41</v>
      </c>
      <c r="R69">
        <v>13.89</v>
      </c>
      <c r="S69">
        <v>14.59</v>
      </c>
    </row>
    <row r="70" spans="1:21" x14ac:dyDescent="0.25">
      <c r="A70" t="s">
        <v>1426</v>
      </c>
      <c r="B70">
        <v>-37.11</v>
      </c>
      <c r="C70">
        <v>-5.15</v>
      </c>
      <c r="D70">
        <v>-71.69</v>
      </c>
      <c r="E70">
        <v>-99.64</v>
      </c>
      <c r="F70">
        <v>-137.66999999999999</v>
      </c>
      <c r="G70">
        <v>-127.94</v>
      </c>
      <c r="H70">
        <v>-123.36</v>
      </c>
      <c r="I70">
        <v>-226.4</v>
      </c>
      <c r="J70">
        <v>-478.26</v>
      </c>
      <c r="K70">
        <v>-561.87</v>
      </c>
      <c r="L70">
        <v>-421.52</v>
      </c>
      <c r="M70">
        <v>-187.69</v>
      </c>
      <c r="N70">
        <v>-208.07</v>
      </c>
      <c r="O70">
        <v>-180.2</v>
      </c>
      <c r="P70">
        <v>7.86</v>
      </c>
      <c r="Q70">
        <v>289.16000000000003</v>
      </c>
      <c r="R70">
        <v>653.11</v>
      </c>
      <c r="S70">
        <v>692.3</v>
      </c>
      <c r="T70" s="2">
        <v>1662.41</v>
      </c>
      <c r="U70" s="2">
        <v>2050.1</v>
      </c>
    </row>
    <row r="71" spans="1:21" x14ac:dyDescent="0.25">
      <c r="A71" t="s">
        <v>17</v>
      </c>
    </row>
    <row r="72" spans="1:21" x14ac:dyDescent="0.25">
      <c r="A72" t="s">
        <v>111</v>
      </c>
    </row>
    <row r="73" spans="1:21" x14ac:dyDescent="0.25">
      <c r="A73" t="s">
        <v>121</v>
      </c>
      <c r="D73">
        <v>-70.28</v>
      </c>
      <c r="E73">
        <v>-95.77</v>
      </c>
      <c r="F73">
        <v>-136.31</v>
      </c>
      <c r="G73">
        <v>-128.15</v>
      </c>
      <c r="H73">
        <v>-124.83</v>
      </c>
      <c r="I73">
        <v>-225.12</v>
      </c>
      <c r="J73">
        <v>-471.72</v>
      </c>
      <c r="K73">
        <v>-547.79999999999995</v>
      </c>
      <c r="L73">
        <v>-434.8</v>
      </c>
      <c r="M73">
        <v>-190.43</v>
      </c>
      <c r="N73">
        <v>-208.16</v>
      </c>
      <c r="O73">
        <v>-202.62</v>
      </c>
      <c r="P73">
        <v>-11.02</v>
      </c>
      <c r="Q73">
        <v>280.42</v>
      </c>
      <c r="R73">
        <v>642.9</v>
      </c>
      <c r="S73">
        <v>947.75</v>
      </c>
      <c r="T73" s="2">
        <v>1395.4</v>
      </c>
      <c r="U73" s="2">
        <v>1694</v>
      </c>
    </row>
    <row r="74" spans="1:21" x14ac:dyDescent="0.25">
      <c r="A74" t="s">
        <v>124</v>
      </c>
      <c r="D74">
        <v>-2.68</v>
      </c>
      <c r="E74">
        <v>-1.86</v>
      </c>
      <c r="F74">
        <v>-2.54</v>
      </c>
      <c r="G74">
        <v>-2.2200000000000002</v>
      </c>
      <c r="H74">
        <v>-1.79</v>
      </c>
      <c r="I74">
        <v>-2.78</v>
      </c>
      <c r="J74">
        <v>-5.21</v>
      </c>
      <c r="K74">
        <v>-5.57</v>
      </c>
      <c r="L74">
        <v>-3.78</v>
      </c>
      <c r="M74">
        <v>-1.53</v>
      </c>
      <c r="N74">
        <v>-1.52</v>
      </c>
      <c r="O74">
        <v>-1.38</v>
      </c>
      <c r="P74">
        <v>0.1</v>
      </c>
      <c r="Q74">
        <v>1.96</v>
      </c>
      <c r="R74">
        <v>4.53</v>
      </c>
      <c r="S74">
        <v>6.4</v>
      </c>
      <c r="T74">
        <v>8.7200000000000006</v>
      </c>
      <c r="U74">
        <v>7.82</v>
      </c>
    </row>
    <row r="75" spans="1:21" x14ac:dyDescent="0.25">
      <c r="A75" t="s">
        <v>17</v>
      </c>
    </row>
    <row r="76" spans="1:21" x14ac:dyDescent="0.25">
      <c r="A76" t="s">
        <v>651</v>
      </c>
    </row>
    <row r="77" spans="1:21" x14ac:dyDescent="0.25">
      <c r="A77" t="s">
        <v>67</v>
      </c>
      <c r="B77">
        <v>1.66</v>
      </c>
      <c r="C77">
        <v>5.16</v>
      </c>
      <c r="D77">
        <v>7.33</v>
      </c>
      <c r="E77">
        <v>10.6</v>
      </c>
      <c r="F77">
        <v>11.4</v>
      </c>
      <c r="G77">
        <v>14.2</v>
      </c>
      <c r="H77">
        <v>28.62</v>
      </c>
      <c r="I77">
        <v>50.17</v>
      </c>
      <c r="J77">
        <v>115.22</v>
      </c>
      <c r="K77">
        <v>152.38</v>
      </c>
      <c r="L77">
        <v>191.81</v>
      </c>
      <c r="M77">
        <v>274.43</v>
      </c>
      <c r="N77">
        <v>354.4</v>
      </c>
      <c r="O77">
        <v>384.25</v>
      </c>
      <c r="P77">
        <v>411.88</v>
      </c>
      <c r="Q77">
        <v>455.37</v>
      </c>
      <c r="R77">
        <v>489.32</v>
      </c>
      <c r="S77">
        <v>524.02</v>
      </c>
      <c r="T77">
        <v>561.27</v>
      </c>
      <c r="U77">
        <v>448.9</v>
      </c>
    </row>
    <row r="78" spans="1:21" x14ac:dyDescent="0.25">
      <c r="A78" t="s">
        <v>17</v>
      </c>
    </row>
    <row r="79" spans="1:21" x14ac:dyDescent="0.25">
      <c r="A79" t="s">
        <v>134</v>
      </c>
    </row>
    <row r="80" spans="1:21" x14ac:dyDescent="0.25">
      <c r="A80" t="s">
        <v>135</v>
      </c>
    </row>
    <row r="81" spans="1:21" x14ac:dyDescent="0.25">
      <c r="A81" t="s">
        <v>136</v>
      </c>
      <c r="C81">
        <v>106.48</v>
      </c>
      <c r="D81">
        <v>250.73</v>
      </c>
      <c r="E81">
        <v>174.12</v>
      </c>
      <c r="F81">
        <v>180.63</v>
      </c>
      <c r="G81">
        <v>240.52</v>
      </c>
      <c r="H81">
        <v>523.16999999999996</v>
      </c>
      <c r="I81">
        <v>862.66</v>
      </c>
      <c r="J81" s="2">
        <v>1093.1400000000001</v>
      </c>
      <c r="K81" s="2">
        <v>1211.82</v>
      </c>
      <c r="L81" s="2">
        <v>1258.55</v>
      </c>
      <c r="M81" s="2">
        <v>1375.82</v>
      </c>
      <c r="N81" s="2">
        <v>1496.94</v>
      </c>
      <c r="O81" s="2">
        <v>1726.97</v>
      </c>
      <c r="P81" s="2">
        <v>2074.21</v>
      </c>
      <c r="Q81" s="2">
        <v>2718.21</v>
      </c>
      <c r="R81" s="2">
        <v>3843.58</v>
      </c>
      <c r="S81" s="2">
        <v>4955.18</v>
      </c>
      <c r="T81" s="2">
        <v>7437.44</v>
      </c>
      <c r="U81" s="2">
        <v>10483.59</v>
      </c>
    </row>
    <row r="82" spans="1:21" x14ac:dyDescent="0.25">
      <c r="A82" t="s">
        <v>137</v>
      </c>
      <c r="B82">
        <v>30.5</v>
      </c>
      <c r="C82">
        <v>87.18</v>
      </c>
      <c r="D82">
        <v>230.53</v>
      </c>
      <c r="E82">
        <v>146.12</v>
      </c>
      <c r="F82">
        <v>118.87</v>
      </c>
      <c r="G82">
        <v>153.87</v>
      </c>
      <c r="H82">
        <v>440.99</v>
      </c>
      <c r="I82">
        <v>737.27</v>
      </c>
      <c r="J82">
        <v>914.28</v>
      </c>
      <c r="K82">
        <v>898.31</v>
      </c>
      <c r="L82">
        <v>878.98</v>
      </c>
      <c r="M82">
        <v>968.28</v>
      </c>
      <c r="N82" s="2">
        <v>1076.1400000000001</v>
      </c>
      <c r="O82" s="2">
        <v>1265.72</v>
      </c>
      <c r="P82" s="2">
        <v>1539.78</v>
      </c>
      <c r="Q82" s="2">
        <v>2163.1799999999998</v>
      </c>
      <c r="R82" s="2">
        <v>3027.47</v>
      </c>
      <c r="S82" s="2">
        <v>4367.5200000000004</v>
      </c>
      <c r="T82" s="2">
        <v>6139</v>
      </c>
      <c r="U82" s="2">
        <v>9643.91</v>
      </c>
    </row>
    <row r="83" spans="1:21" x14ac:dyDescent="0.25">
      <c r="A83" t="s">
        <v>139</v>
      </c>
      <c r="B83">
        <v>30.5</v>
      </c>
      <c r="C83">
        <v>87.18</v>
      </c>
      <c r="D83">
        <v>28.95</v>
      </c>
      <c r="E83">
        <v>15.26</v>
      </c>
      <c r="F83">
        <v>12.62</v>
      </c>
      <c r="G83">
        <v>46.41</v>
      </c>
      <c r="H83">
        <v>61.93</v>
      </c>
      <c r="I83">
        <v>48.67</v>
      </c>
      <c r="J83">
        <v>84.39</v>
      </c>
      <c r="K83">
        <v>466.01</v>
      </c>
      <c r="L83">
        <v>642.1</v>
      </c>
      <c r="M83">
        <v>945.59</v>
      </c>
      <c r="N83" s="2">
        <v>1076.1400000000001</v>
      </c>
      <c r="O83" s="2">
        <v>1224</v>
      </c>
      <c r="P83" s="2">
        <v>1472.86</v>
      </c>
      <c r="Q83" s="2">
        <v>2010.32</v>
      </c>
      <c r="R83" s="2">
        <v>2993.84</v>
      </c>
      <c r="S83" s="2">
        <v>4058.6</v>
      </c>
      <c r="T83" s="2">
        <v>6487.22</v>
      </c>
      <c r="U83" s="2">
        <v>9643.91</v>
      </c>
    </row>
    <row r="84" spans="1:21" x14ac:dyDescent="0.25">
      <c r="A84" t="s">
        <v>141</v>
      </c>
      <c r="C84">
        <v>5.94</v>
      </c>
      <c r="D84">
        <v>5.86</v>
      </c>
      <c r="E84">
        <v>13.4</v>
      </c>
      <c r="F84">
        <v>44.09</v>
      </c>
      <c r="G84">
        <v>62.22</v>
      </c>
      <c r="H84">
        <v>53.35</v>
      </c>
      <c r="I84">
        <v>78.569999999999993</v>
      </c>
      <c r="J84">
        <v>122.07</v>
      </c>
      <c r="K84">
        <v>244.39</v>
      </c>
      <c r="L84">
        <v>278.29000000000002</v>
      </c>
      <c r="M84">
        <v>314.17</v>
      </c>
      <c r="N84">
        <v>296.52999999999997</v>
      </c>
      <c r="O84">
        <v>356.81</v>
      </c>
      <c r="P84">
        <v>431.58</v>
      </c>
      <c r="Q84">
        <v>512.26</v>
      </c>
      <c r="R84">
        <v>614.13</v>
      </c>
      <c r="S84">
        <v>650.12</v>
      </c>
      <c r="T84">
        <v>673.46</v>
      </c>
      <c r="U84">
        <v>710.59</v>
      </c>
    </row>
    <row r="85" spans="1:21" x14ac:dyDescent="0.25">
      <c r="A85" t="s">
        <v>302</v>
      </c>
      <c r="B85">
        <v>10.65</v>
      </c>
      <c r="C85">
        <v>11.54</v>
      </c>
      <c r="D85">
        <v>8.09</v>
      </c>
      <c r="E85">
        <v>6.41</v>
      </c>
      <c r="F85">
        <v>9</v>
      </c>
      <c r="G85">
        <v>13.63</v>
      </c>
      <c r="H85">
        <v>12.39</v>
      </c>
      <c r="I85">
        <v>20.03</v>
      </c>
      <c r="J85">
        <v>26.91</v>
      </c>
      <c r="K85">
        <v>35.409999999999997</v>
      </c>
      <c r="L85">
        <v>40.76</v>
      </c>
      <c r="M85">
        <v>44.74</v>
      </c>
      <c r="N85">
        <v>68.44</v>
      </c>
      <c r="O85">
        <v>76.510000000000005</v>
      </c>
      <c r="P85">
        <v>89.35</v>
      </c>
      <c r="Q85">
        <v>102.88</v>
      </c>
      <c r="R85">
        <v>127.56</v>
      </c>
      <c r="S85">
        <v>136.15</v>
      </c>
      <c r="T85">
        <v>144.87</v>
      </c>
      <c r="U85">
        <v>53.53</v>
      </c>
    </row>
    <row r="86" spans="1:21" x14ac:dyDescent="0.25">
      <c r="A86" t="s">
        <v>1130</v>
      </c>
      <c r="D86">
        <v>201.59</v>
      </c>
      <c r="E86">
        <v>130.86000000000001</v>
      </c>
      <c r="F86">
        <v>106.25</v>
      </c>
      <c r="G86">
        <v>107.46</v>
      </c>
      <c r="H86">
        <v>379.07</v>
      </c>
      <c r="I86">
        <v>688.61</v>
      </c>
      <c r="J86">
        <v>829.9</v>
      </c>
      <c r="K86">
        <v>432.3</v>
      </c>
      <c r="L86">
        <v>236.88</v>
      </c>
      <c r="M86">
        <v>22.69</v>
      </c>
      <c r="N86">
        <v>0</v>
      </c>
    </row>
    <row r="87" spans="1:21" x14ac:dyDescent="0.25">
      <c r="A87" t="s">
        <v>145</v>
      </c>
      <c r="B87">
        <v>1.33</v>
      </c>
      <c r="C87">
        <v>1.82</v>
      </c>
      <c r="D87">
        <v>6.24</v>
      </c>
      <c r="E87">
        <v>8.19</v>
      </c>
      <c r="F87">
        <v>8.67</v>
      </c>
      <c r="G87">
        <v>10.79</v>
      </c>
      <c r="H87">
        <v>16.43</v>
      </c>
      <c r="I87">
        <v>26.79</v>
      </c>
      <c r="J87">
        <v>29.87</v>
      </c>
      <c r="K87">
        <v>33.72</v>
      </c>
      <c r="L87">
        <v>60.52</v>
      </c>
      <c r="M87">
        <v>48.64</v>
      </c>
      <c r="N87">
        <v>55.83</v>
      </c>
      <c r="O87">
        <v>69.64</v>
      </c>
      <c r="P87">
        <v>80.39</v>
      </c>
      <c r="Q87">
        <v>92.77</v>
      </c>
      <c r="R87">
        <v>108.05</v>
      </c>
      <c r="S87">
        <v>110.31</v>
      </c>
      <c r="T87">
        <v>131.9</v>
      </c>
      <c r="U87">
        <v>75.569999999999993</v>
      </c>
    </row>
    <row r="88" spans="1:21" x14ac:dyDescent="0.25">
      <c r="A88" t="s">
        <v>146</v>
      </c>
      <c r="B88">
        <v>10.62</v>
      </c>
      <c r="C88">
        <v>17.149999999999999</v>
      </c>
      <c r="D88">
        <v>14.51</v>
      </c>
      <c r="E88">
        <v>36.57</v>
      </c>
      <c r="F88">
        <v>33.99</v>
      </c>
      <c r="G88">
        <v>27.65</v>
      </c>
      <c r="H88">
        <v>59.49</v>
      </c>
      <c r="I88">
        <v>69.489999999999995</v>
      </c>
      <c r="J88">
        <v>143.35</v>
      </c>
      <c r="K88">
        <v>182.66</v>
      </c>
      <c r="L88">
        <v>183.15</v>
      </c>
      <c r="M88">
        <v>284.92</v>
      </c>
      <c r="N88">
        <v>901.41</v>
      </c>
      <c r="O88" s="2">
        <v>1000.89</v>
      </c>
      <c r="P88" s="2">
        <v>1053.31</v>
      </c>
      <c r="Q88" s="2">
        <v>1130.45</v>
      </c>
      <c r="R88" s="2">
        <v>1227.68</v>
      </c>
      <c r="S88" s="2">
        <v>1358.33</v>
      </c>
      <c r="T88" s="2">
        <v>1457.69</v>
      </c>
      <c r="U88" s="2">
        <v>1236.3499999999999</v>
      </c>
    </row>
    <row r="89" spans="1:21" x14ac:dyDescent="0.25">
      <c r="A89" t="s">
        <v>148</v>
      </c>
      <c r="C89">
        <v>14.57</v>
      </c>
      <c r="D89">
        <v>12.71</v>
      </c>
      <c r="E89">
        <v>32.29</v>
      </c>
      <c r="F89">
        <v>29.67</v>
      </c>
      <c r="G89">
        <v>24.34</v>
      </c>
      <c r="H89">
        <v>23.28</v>
      </c>
      <c r="I89">
        <v>33.35</v>
      </c>
      <c r="J89">
        <v>65.52</v>
      </c>
      <c r="K89">
        <v>92.45</v>
      </c>
      <c r="L89">
        <v>111.21</v>
      </c>
      <c r="M89">
        <v>162.05000000000001</v>
      </c>
      <c r="N89">
        <v>241.18</v>
      </c>
      <c r="O89">
        <v>322.44</v>
      </c>
      <c r="P89">
        <v>381.47</v>
      </c>
      <c r="Q89">
        <v>461.31</v>
      </c>
      <c r="R89">
        <v>556.95000000000005</v>
      </c>
      <c r="S89">
        <v>679.73</v>
      </c>
      <c r="T89">
        <v>767.83</v>
      </c>
      <c r="U89">
        <v>543.14</v>
      </c>
    </row>
    <row r="90" spans="1:21" x14ac:dyDescent="0.25">
      <c r="A90" t="s">
        <v>692</v>
      </c>
      <c r="H90">
        <v>23.73</v>
      </c>
      <c r="I90">
        <v>21.4</v>
      </c>
      <c r="J90">
        <v>59.01</v>
      </c>
      <c r="K90">
        <v>71.87</v>
      </c>
      <c r="L90">
        <v>56.54</v>
      </c>
      <c r="M90">
        <v>86.15</v>
      </c>
      <c r="N90">
        <v>108.54</v>
      </c>
      <c r="O90">
        <v>155.29</v>
      </c>
      <c r="P90">
        <v>153.04</v>
      </c>
      <c r="Q90">
        <v>153.74</v>
      </c>
      <c r="R90">
        <v>188.39</v>
      </c>
      <c r="S90">
        <v>206.53</v>
      </c>
      <c r="T90">
        <v>244.95</v>
      </c>
    </row>
    <row r="91" spans="1:21" x14ac:dyDescent="0.25">
      <c r="A91" t="s">
        <v>514</v>
      </c>
      <c r="B91">
        <v>0.83</v>
      </c>
      <c r="C91">
        <v>2.57</v>
      </c>
      <c r="D91">
        <v>1.8</v>
      </c>
      <c r="E91">
        <v>4.28</v>
      </c>
      <c r="F91">
        <v>4.32</v>
      </c>
      <c r="G91">
        <v>3.32</v>
      </c>
      <c r="H91">
        <v>12.48</v>
      </c>
      <c r="I91">
        <v>14.74</v>
      </c>
      <c r="J91">
        <v>18.82</v>
      </c>
      <c r="K91">
        <v>18.329999999999998</v>
      </c>
      <c r="L91">
        <v>15.4</v>
      </c>
      <c r="M91">
        <v>36.72</v>
      </c>
      <c r="N91">
        <v>551.67999999999995</v>
      </c>
      <c r="O91">
        <v>282.48</v>
      </c>
      <c r="P91">
        <v>282.48</v>
      </c>
      <c r="Q91">
        <v>308.31</v>
      </c>
      <c r="R91">
        <v>202.33</v>
      </c>
      <c r="S91">
        <v>240.16</v>
      </c>
      <c r="T91">
        <v>114.83</v>
      </c>
    </row>
    <row r="92" spans="1:21" x14ac:dyDescent="0.25">
      <c r="A92" t="s">
        <v>155</v>
      </c>
      <c r="B92">
        <v>59.72</v>
      </c>
      <c r="C92">
        <v>123.62</v>
      </c>
      <c r="D92">
        <v>265.24</v>
      </c>
      <c r="E92">
        <v>210.68</v>
      </c>
      <c r="F92">
        <v>214.61</v>
      </c>
      <c r="G92">
        <v>268.17</v>
      </c>
      <c r="H92">
        <v>582.66</v>
      </c>
      <c r="I92">
        <v>932.15</v>
      </c>
      <c r="J92" s="2">
        <v>1236.49</v>
      </c>
      <c r="K92" s="2">
        <v>1394.47</v>
      </c>
      <c r="L92" s="2">
        <v>1441.7</v>
      </c>
      <c r="M92" s="2">
        <v>1660.74</v>
      </c>
      <c r="N92" s="2">
        <v>2398.34</v>
      </c>
      <c r="O92" s="2">
        <v>2721.93</v>
      </c>
      <c r="P92" s="2">
        <v>3127.47</v>
      </c>
      <c r="Q92" s="2">
        <v>3851.22</v>
      </c>
      <c r="R92" s="2">
        <v>5085.01</v>
      </c>
      <c r="S92" s="2">
        <v>6317.93</v>
      </c>
      <c r="T92" s="2">
        <v>8889.2999999999993</v>
      </c>
      <c r="U92" s="2">
        <v>11719.94</v>
      </c>
    </row>
    <row r="93" spans="1:21" x14ac:dyDescent="0.25">
      <c r="A93" t="s">
        <v>17</v>
      </c>
    </row>
    <row r="94" spans="1:21" x14ac:dyDescent="0.25">
      <c r="A94" t="s">
        <v>156</v>
      </c>
    </row>
    <row r="95" spans="1:21" x14ac:dyDescent="0.25">
      <c r="A95" t="s">
        <v>157</v>
      </c>
      <c r="C95">
        <v>29.87</v>
      </c>
      <c r="D95">
        <v>80.48</v>
      </c>
      <c r="E95">
        <v>96.42</v>
      </c>
      <c r="F95">
        <v>105.56</v>
      </c>
      <c r="G95">
        <v>113.98</v>
      </c>
      <c r="H95">
        <v>179.87</v>
      </c>
      <c r="I95">
        <v>199.05</v>
      </c>
      <c r="J95">
        <v>218.96</v>
      </c>
      <c r="K95">
        <v>310.5</v>
      </c>
      <c r="L95">
        <v>307.27</v>
      </c>
      <c r="M95">
        <v>344.05</v>
      </c>
      <c r="N95">
        <v>441.23</v>
      </c>
      <c r="O95">
        <v>512.14</v>
      </c>
      <c r="P95">
        <v>555.65</v>
      </c>
      <c r="Q95">
        <v>605.29</v>
      </c>
      <c r="R95">
        <v>671.38</v>
      </c>
      <c r="S95">
        <v>717.46</v>
      </c>
      <c r="T95">
        <v>850.77</v>
      </c>
      <c r="U95">
        <v>651.08000000000004</v>
      </c>
    </row>
    <row r="96" spans="1:21" x14ac:dyDescent="0.25">
      <c r="A96" t="s">
        <v>158</v>
      </c>
      <c r="B96">
        <v>11.3</v>
      </c>
      <c r="C96">
        <v>8.8699999999999992</v>
      </c>
      <c r="D96">
        <v>7.33</v>
      </c>
      <c r="E96">
        <v>11.48</v>
      </c>
      <c r="F96">
        <v>8.5299999999999994</v>
      </c>
      <c r="G96">
        <v>14.59</v>
      </c>
      <c r="H96">
        <v>8.6</v>
      </c>
      <c r="I96">
        <v>8.1</v>
      </c>
      <c r="J96">
        <v>27.21</v>
      </c>
      <c r="K96">
        <v>31.15</v>
      </c>
      <c r="L96">
        <v>15</v>
      </c>
      <c r="M96">
        <v>34.92</v>
      </c>
      <c r="N96">
        <v>33.159999999999997</v>
      </c>
      <c r="O96">
        <v>56.94</v>
      </c>
      <c r="P96">
        <v>64.86</v>
      </c>
      <c r="Q96">
        <v>73.150000000000006</v>
      </c>
      <c r="R96">
        <v>93.98</v>
      </c>
      <c r="S96">
        <v>108.81</v>
      </c>
      <c r="T96">
        <v>113.45</v>
      </c>
      <c r="U96">
        <v>155.22</v>
      </c>
    </row>
    <row r="97" spans="1:21" x14ac:dyDescent="0.25">
      <c r="A97" t="s">
        <v>160</v>
      </c>
      <c r="C97">
        <v>5.98</v>
      </c>
      <c r="D97">
        <v>8.5500000000000007</v>
      </c>
      <c r="E97">
        <v>11.07</v>
      </c>
      <c r="F97">
        <v>9.6</v>
      </c>
      <c r="G97">
        <v>12.67</v>
      </c>
      <c r="H97">
        <v>16.09</v>
      </c>
      <c r="I97">
        <v>30.37</v>
      </c>
      <c r="J97">
        <v>40.94</v>
      </c>
      <c r="K97">
        <v>44.01</v>
      </c>
      <c r="L97">
        <v>45.86</v>
      </c>
      <c r="M97">
        <v>62.11</v>
      </c>
      <c r="N97">
        <v>92.6</v>
      </c>
      <c r="O97">
        <v>110.87</v>
      </c>
      <c r="P97">
        <v>120.43</v>
      </c>
      <c r="Q97">
        <v>137.35</v>
      </c>
      <c r="R97">
        <v>176.65</v>
      </c>
      <c r="S97">
        <v>173.92</v>
      </c>
      <c r="T97">
        <v>217.21</v>
      </c>
      <c r="U97">
        <v>143.81</v>
      </c>
    </row>
    <row r="98" spans="1:21" x14ac:dyDescent="0.25">
      <c r="A98" t="s">
        <v>3226</v>
      </c>
      <c r="B98">
        <v>1.84</v>
      </c>
      <c r="C98">
        <v>2.34</v>
      </c>
      <c r="D98">
        <v>42.09</v>
      </c>
      <c r="E98">
        <v>49.62</v>
      </c>
      <c r="F98">
        <v>50.11</v>
      </c>
      <c r="G98">
        <v>50.15</v>
      </c>
      <c r="H98">
        <v>50.12</v>
      </c>
      <c r="I98">
        <v>50.05</v>
      </c>
      <c r="J98">
        <v>50.05</v>
      </c>
      <c r="K98">
        <v>80.349999999999994</v>
      </c>
      <c r="L98">
        <v>80.400000000000006</v>
      </c>
      <c r="M98">
        <v>80.36</v>
      </c>
      <c r="N98">
        <v>80.319999999999993</v>
      </c>
      <c r="O98">
        <v>80.27</v>
      </c>
      <c r="P98">
        <v>80.27</v>
      </c>
      <c r="Q98">
        <v>80.260000000000005</v>
      </c>
      <c r="R98">
        <v>80.3</v>
      </c>
      <c r="S98">
        <v>80.3</v>
      </c>
      <c r="T98">
        <v>80.3</v>
      </c>
      <c r="U98">
        <v>80.31</v>
      </c>
    </row>
    <row r="99" spans="1:21" x14ac:dyDescent="0.25">
      <c r="A99" t="s">
        <v>3227</v>
      </c>
      <c r="B99">
        <v>0.97</v>
      </c>
      <c r="C99">
        <v>0.11</v>
      </c>
      <c r="D99">
        <v>0.14000000000000001</v>
      </c>
      <c r="E99">
        <v>0.56999999999999995</v>
      </c>
      <c r="F99">
        <v>1.42</v>
      </c>
      <c r="G99">
        <v>4.13</v>
      </c>
      <c r="H99">
        <v>56.02</v>
      </c>
      <c r="I99">
        <v>50.13</v>
      </c>
      <c r="J99">
        <v>7.4</v>
      </c>
      <c r="K99">
        <v>10.78</v>
      </c>
      <c r="L99">
        <v>16.61</v>
      </c>
      <c r="M99">
        <v>19.75</v>
      </c>
      <c r="N99">
        <v>24.91</v>
      </c>
      <c r="O99">
        <v>37.69</v>
      </c>
      <c r="P99">
        <v>38.97</v>
      </c>
      <c r="Q99">
        <v>40.49</v>
      </c>
      <c r="R99">
        <v>47.24</v>
      </c>
      <c r="S99">
        <v>45.52</v>
      </c>
      <c r="T99">
        <v>49.54</v>
      </c>
      <c r="U99">
        <v>36.85</v>
      </c>
    </row>
    <row r="100" spans="1:21" x14ac:dyDescent="0.25">
      <c r="A100" t="s">
        <v>3228</v>
      </c>
      <c r="C100">
        <v>10.34</v>
      </c>
      <c r="D100">
        <v>18.71</v>
      </c>
      <c r="E100">
        <v>19.88</v>
      </c>
      <c r="F100">
        <v>33.26</v>
      </c>
      <c r="G100">
        <v>32.44</v>
      </c>
      <c r="H100">
        <v>49.04</v>
      </c>
      <c r="I100">
        <v>60.41</v>
      </c>
      <c r="J100">
        <v>93.35</v>
      </c>
      <c r="K100">
        <v>144.21</v>
      </c>
      <c r="L100">
        <v>149.41</v>
      </c>
      <c r="M100">
        <v>146.88999999999999</v>
      </c>
      <c r="N100">
        <v>188.66</v>
      </c>
      <c r="O100">
        <v>211.79</v>
      </c>
      <c r="P100">
        <v>230.41</v>
      </c>
      <c r="Q100">
        <v>247.57</v>
      </c>
      <c r="R100">
        <v>269.12</v>
      </c>
      <c r="S100">
        <v>292.51</v>
      </c>
      <c r="T100">
        <v>334.14</v>
      </c>
      <c r="U100">
        <v>234.89</v>
      </c>
    </row>
    <row r="101" spans="1:21" x14ac:dyDescent="0.25">
      <c r="A101" t="s">
        <v>164</v>
      </c>
      <c r="B101">
        <v>22.46</v>
      </c>
      <c r="C101">
        <v>24.47</v>
      </c>
      <c r="D101">
        <v>0</v>
      </c>
      <c r="E101">
        <v>7.79</v>
      </c>
      <c r="F101">
        <v>83.64</v>
      </c>
      <c r="G101">
        <v>122.03</v>
      </c>
      <c r="H101">
        <v>124.07</v>
      </c>
      <c r="I101">
        <v>246.86</v>
      </c>
      <c r="J101">
        <v>364.23</v>
      </c>
      <c r="K101">
        <v>378.23</v>
      </c>
      <c r="L101">
        <v>369.1</v>
      </c>
      <c r="M101">
        <v>121.27</v>
      </c>
      <c r="N101">
        <v>244.7</v>
      </c>
      <c r="O101">
        <v>290.82</v>
      </c>
      <c r="P101">
        <v>295.13</v>
      </c>
      <c r="Q101">
        <v>307.75</v>
      </c>
      <c r="R101">
        <v>282.63</v>
      </c>
      <c r="S101">
        <v>282.63</v>
      </c>
      <c r="T101">
        <v>282.57</v>
      </c>
      <c r="U101">
        <v>282.12</v>
      </c>
    </row>
    <row r="102" spans="1:21" x14ac:dyDescent="0.25">
      <c r="A102" t="s">
        <v>315</v>
      </c>
      <c r="B102">
        <v>22.46</v>
      </c>
      <c r="C102">
        <v>24.47</v>
      </c>
      <c r="D102">
        <v>0</v>
      </c>
      <c r="E102">
        <v>0</v>
      </c>
      <c r="F102">
        <v>73.069999999999993</v>
      </c>
      <c r="G102">
        <v>73.36</v>
      </c>
      <c r="H102">
        <v>73.66</v>
      </c>
      <c r="I102">
        <v>202.49</v>
      </c>
      <c r="J102">
        <v>280.39</v>
      </c>
      <c r="K102">
        <v>281.64999999999998</v>
      </c>
      <c r="L102">
        <v>282.95</v>
      </c>
      <c r="M102">
        <v>0</v>
      </c>
      <c r="N102">
        <v>0</v>
      </c>
    </row>
    <row r="103" spans="1:21" x14ac:dyDescent="0.25">
      <c r="A103" t="s">
        <v>202</v>
      </c>
      <c r="H103">
        <v>26.3</v>
      </c>
      <c r="I103">
        <v>21.25</v>
      </c>
      <c r="J103">
        <v>61.04</v>
      </c>
      <c r="K103">
        <v>76.58</v>
      </c>
      <c r="L103">
        <v>67.03</v>
      </c>
      <c r="M103">
        <v>96.59</v>
      </c>
      <c r="N103">
        <v>118.47</v>
      </c>
      <c r="O103">
        <v>180.2</v>
      </c>
      <c r="P103">
        <v>183.85</v>
      </c>
      <c r="Q103">
        <v>199.58</v>
      </c>
      <c r="R103">
        <v>192.59</v>
      </c>
      <c r="S103">
        <v>204.5</v>
      </c>
      <c r="T103">
        <v>224.97</v>
      </c>
      <c r="U103">
        <v>265.12</v>
      </c>
    </row>
    <row r="104" spans="1:21" x14ac:dyDescent="0.25">
      <c r="A104" t="s">
        <v>420</v>
      </c>
      <c r="B104">
        <v>0</v>
      </c>
      <c r="C104">
        <v>0</v>
      </c>
      <c r="D104">
        <v>0</v>
      </c>
      <c r="E104">
        <v>7.79</v>
      </c>
      <c r="F104">
        <v>9.24</v>
      </c>
      <c r="G104">
        <v>48.67</v>
      </c>
      <c r="H104">
        <v>23.81</v>
      </c>
      <c r="I104">
        <v>22.81</v>
      </c>
      <c r="J104">
        <v>21.32</v>
      </c>
      <c r="K104">
        <v>20</v>
      </c>
      <c r="L104">
        <v>19.13</v>
      </c>
      <c r="M104">
        <v>24.68</v>
      </c>
      <c r="N104">
        <v>28.75</v>
      </c>
      <c r="O104">
        <v>14.68</v>
      </c>
      <c r="P104">
        <v>14.68</v>
      </c>
      <c r="Q104">
        <v>16.43</v>
      </c>
      <c r="R104">
        <v>16.440000000000001</v>
      </c>
      <c r="S104">
        <v>16.309999999999999</v>
      </c>
      <c r="T104">
        <v>16.38</v>
      </c>
      <c r="U104">
        <v>17</v>
      </c>
    </row>
    <row r="105" spans="1:21" x14ac:dyDescent="0.25">
      <c r="A105" t="s">
        <v>167</v>
      </c>
      <c r="B105">
        <v>46.03</v>
      </c>
      <c r="C105">
        <v>54.35</v>
      </c>
      <c r="D105">
        <v>80.48</v>
      </c>
      <c r="E105">
        <v>104.2</v>
      </c>
      <c r="F105">
        <v>189.2</v>
      </c>
      <c r="G105">
        <v>236.01</v>
      </c>
      <c r="H105">
        <v>303.95</v>
      </c>
      <c r="I105">
        <v>445.92</v>
      </c>
      <c r="J105">
        <v>583.17999999999995</v>
      </c>
      <c r="K105">
        <v>688.73</v>
      </c>
      <c r="L105">
        <v>676.37</v>
      </c>
      <c r="M105">
        <v>465.32</v>
      </c>
      <c r="N105">
        <v>685.93</v>
      </c>
      <c r="O105">
        <v>810.35</v>
      </c>
      <c r="P105">
        <v>855.54</v>
      </c>
      <c r="Q105">
        <v>915.41</v>
      </c>
      <c r="R105">
        <v>953.98</v>
      </c>
      <c r="S105" s="2">
        <v>1000.15</v>
      </c>
      <c r="T105" s="2">
        <v>1133.4000000000001</v>
      </c>
      <c r="U105">
        <v>933.21</v>
      </c>
    </row>
    <row r="106" spans="1:21" x14ac:dyDescent="0.25">
      <c r="A106" t="s">
        <v>170</v>
      </c>
      <c r="B106">
        <v>13.69</v>
      </c>
      <c r="C106">
        <v>69.28</v>
      </c>
      <c r="D106">
        <v>184.77</v>
      </c>
      <c r="E106">
        <v>106.48</v>
      </c>
      <c r="F106">
        <v>25.42</v>
      </c>
      <c r="G106">
        <v>32.159999999999997</v>
      </c>
      <c r="H106">
        <v>278.70999999999998</v>
      </c>
      <c r="I106">
        <v>486.24</v>
      </c>
      <c r="J106">
        <v>653.29999999999995</v>
      </c>
      <c r="K106">
        <v>705.74</v>
      </c>
      <c r="L106">
        <v>765.33</v>
      </c>
      <c r="M106" s="2">
        <v>1195.42</v>
      </c>
      <c r="N106" s="2">
        <v>1712.41</v>
      </c>
      <c r="O106" s="2">
        <v>1912</v>
      </c>
      <c r="P106" s="2">
        <v>2283.31</v>
      </c>
      <c r="Q106" s="2">
        <v>2965.15</v>
      </c>
      <c r="R106" s="2">
        <v>4222.29</v>
      </c>
      <c r="S106" s="2">
        <v>5480</v>
      </c>
      <c r="T106" s="2">
        <v>7564</v>
      </c>
      <c r="U106" s="2">
        <v>9667</v>
      </c>
    </row>
    <row r="107" spans="1:21" x14ac:dyDescent="0.25">
      <c r="A107" t="s">
        <v>171</v>
      </c>
      <c r="B107">
        <v>0</v>
      </c>
      <c r="C107">
        <v>0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</row>
    <row r="108" spans="1:21" x14ac:dyDescent="0.25">
      <c r="A108" t="s">
        <v>172</v>
      </c>
      <c r="B108">
        <v>74.86</v>
      </c>
      <c r="C108">
        <v>115.52</v>
      </c>
      <c r="D108">
        <v>436.26</v>
      </c>
      <c r="E108">
        <v>453.04</v>
      </c>
      <c r="F108">
        <v>472.55</v>
      </c>
      <c r="G108">
        <v>607.24</v>
      </c>
      <c r="H108">
        <v>976.96</v>
      </c>
      <c r="I108" s="2">
        <v>1411.29</v>
      </c>
      <c r="J108" s="2">
        <v>2050.42</v>
      </c>
      <c r="K108" s="2">
        <v>2664.73</v>
      </c>
      <c r="L108" s="2">
        <v>3145.84</v>
      </c>
      <c r="M108" s="2">
        <v>3763.61</v>
      </c>
      <c r="N108" s="2">
        <v>4488.68</v>
      </c>
      <c r="O108" s="2">
        <v>4849.1899999999996</v>
      </c>
      <c r="P108" s="2">
        <v>5165.5</v>
      </c>
      <c r="Q108" s="2">
        <v>5469</v>
      </c>
      <c r="R108" s="2">
        <v>6027.47</v>
      </c>
      <c r="S108" s="2">
        <v>6391.31</v>
      </c>
      <c r="T108" s="2">
        <v>6849.88</v>
      </c>
      <c r="U108" s="2">
        <v>7650.88</v>
      </c>
    </row>
    <row r="109" spans="1:21" x14ac:dyDescent="0.25">
      <c r="A109" t="s">
        <v>173</v>
      </c>
      <c r="B109">
        <v>-174.66</v>
      </c>
      <c r="C109">
        <v>-179.81</v>
      </c>
      <c r="D109">
        <v>-250.08</v>
      </c>
      <c r="E109">
        <v>-345.85</v>
      </c>
      <c r="F109">
        <v>-446.38</v>
      </c>
      <c r="G109">
        <v>-574.53</v>
      </c>
      <c r="H109">
        <v>-699.17</v>
      </c>
      <c r="I109">
        <v>-929.32</v>
      </c>
      <c r="J109" s="2">
        <v>-1394.84</v>
      </c>
      <c r="K109" s="2">
        <v>-1942.64</v>
      </c>
      <c r="L109" s="2">
        <v>-2377.44</v>
      </c>
      <c r="M109" s="2">
        <v>-2567.86</v>
      </c>
      <c r="N109" s="2">
        <v>-2776.02</v>
      </c>
      <c r="O109" s="2">
        <v>-2977.35</v>
      </c>
      <c r="P109" s="2">
        <v>-3054.74</v>
      </c>
      <c r="Q109" s="2">
        <v>-2881.73</v>
      </c>
      <c r="R109" s="2">
        <v>-2033.06</v>
      </c>
      <c r="S109" s="2">
        <v>-1272.58</v>
      </c>
      <c r="T109">
        <v>202.82</v>
      </c>
      <c r="U109" s="2">
        <v>3136.05</v>
      </c>
    </row>
    <row r="110" spans="1:21" x14ac:dyDescent="0.25">
      <c r="A110" t="s">
        <v>174</v>
      </c>
      <c r="D110">
        <v>-1.42</v>
      </c>
      <c r="E110">
        <v>-0.73</v>
      </c>
      <c r="F110">
        <v>-0.77</v>
      </c>
      <c r="G110">
        <v>-0.55000000000000004</v>
      </c>
      <c r="H110">
        <v>0.92</v>
      </c>
      <c r="I110">
        <v>4.26</v>
      </c>
      <c r="J110">
        <v>-2.29</v>
      </c>
      <c r="K110">
        <v>-16.36</v>
      </c>
      <c r="L110">
        <v>-3.09</v>
      </c>
      <c r="M110">
        <v>-0.34</v>
      </c>
      <c r="N110">
        <v>-0.26</v>
      </c>
      <c r="O110">
        <v>27.72</v>
      </c>
      <c r="P110">
        <v>88.98</v>
      </c>
      <c r="Q110">
        <v>182.45</v>
      </c>
      <c r="R110">
        <v>403.48</v>
      </c>
      <c r="S110">
        <v>728.3</v>
      </c>
      <c r="T110">
        <v>937.58</v>
      </c>
      <c r="U110">
        <v>-0.2</v>
      </c>
    </row>
    <row r="111" spans="1:21" x14ac:dyDescent="0.25">
      <c r="A111" t="s">
        <v>326</v>
      </c>
      <c r="B111">
        <v>59.72</v>
      </c>
      <c r="C111">
        <v>123.62</v>
      </c>
      <c r="D111">
        <v>265.24</v>
      </c>
      <c r="E111">
        <v>210.68</v>
      </c>
      <c r="F111">
        <v>214.61</v>
      </c>
      <c r="G111">
        <v>268.17</v>
      </c>
      <c r="H111">
        <v>582.66</v>
      </c>
      <c r="I111">
        <v>932.15</v>
      </c>
      <c r="J111" s="2">
        <v>1236.49</v>
      </c>
      <c r="K111" s="2">
        <v>1394.47</v>
      </c>
      <c r="L111" s="2">
        <v>1441.7</v>
      </c>
      <c r="M111" s="2">
        <v>1660.74</v>
      </c>
      <c r="N111" s="2">
        <v>2398.34</v>
      </c>
      <c r="O111" s="2">
        <v>2721.93</v>
      </c>
      <c r="P111" s="2">
        <v>3127.47</v>
      </c>
      <c r="Q111" s="2">
        <v>3851.22</v>
      </c>
      <c r="R111" s="2">
        <v>5085.01</v>
      </c>
      <c r="S111" s="2">
        <v>6317.93</v>
      </c>
      <c r="T111" s="2">
        <v>8889.2999999999993</v>
      </c>
      <c r="U111" s="2">
        <v>11719.94</v>
      </c>
    </row>
    <row r="112" spans="1:21" x14ac:dyDescent="0.25">
      <c r="A112" t="s">
        <v>17</v>
      </c>
    </row>
    <row r="113" spans="1:21" x14ac:dyDescent="0.25">
      <c r="A113" t="s">
        <v>176</v>
      </c>
    </row>
    <row r="114" spans="1:21" x14ac:dyDescent="0.25">
      <c r="A114" t="s">
        <v>609</v>
      </c>
      <c r="C114">
        <v>25.85</v>
      </c>
      <c r="D114">
        <v>42</v>
      </c>
      <c r="E114">
        <v>49</v>
      </c>
      <c r="F114">
        <v>49</v>
      </c>
      <c r="G114">
        <v>49</v>
      </c>
      <c r="H114">
        <v>49</v>
      </c>
      <c r="I114">
        <v>49</v>
      </c>
      <c r="J114">
        <v>49</v>
      </c>
      <c r="K114">
        <v>362</v>
      </c>
      <c r="L114">
        <v>363.3</v>
      </c>
      <c r="M114">
        <v>80.36</v>
      </c>
      <c r="N114">
        <v>80.319999999999993</v>
      </c>
      <c r="O114">
        <v>80.3</v>
      </c>
      <c r="P114">
        <v>80.3</v>
      </c>
      <c r="Q114">
        <v>80.3</v>
      </c>
      <c r="R114">
        <v>80.3</v>
      </c>
      <c r="S114">
        <v>80.3</v>
      </c>
      <c r="T114">
        <v>80.3</v>
      </c>
      <c r="U114">
        <v>80.31</v>
      </c>
    </row>
    <row r="115" spans="1:21" x14ac:dyDescent="0.25">
      <c r="A115" t="s">
        <v>178</v>
      </c>
    </row>
    <row r="116" spans="1:21" x14ac:dyDescent="0.25">
      <c r="A116" t="s">
        <v>333</v>
      </c>
      <c r="B116">
        <v>25.54</v>
      </c>
      <c r="C116">
        <v>76.61</v>
      </c>
      <c r="D116">
        <v>170.25</v>
      </c>
      <c r="E116">
        <v>77.7</v>
      </c>
      <c r="F116">
        <v>75.06</v>
      </c>
      <c r="G116">
        <v>126.54</v>
      </c>
      <c r="H116">
        <v>343.29</v>
      </c>
      <c r="I116">
        <v>663.61</v>
      </c>
      <c r="J116">
        <v>874.18</v>
      </c>
      <c r="K116">
        <v>901.32</v>
      </c>
      <c r="L116">
        <v>951.28</v>
      </c>
      <c r="M116" s="2">
        <v>1031.78</v>
      </c>
      <c r="N116" s="2">
        <v>1055.71</v>
      </c>
      <c r="O116" s="2">
        <v>1155.3399999999999</v>
      </c>
      <c r="P116" s="2">
        <v>1421.34</v>
      </c>
      <c r="Q116" s="2">
        <v>1970.85</v>
      </c>
      <c r="R116" s="2">
        <v>3390.85</v>
      </c>
      <c r="S116" s="2">
        <v>4085.8</v>
      </c>
      <c r="T116" s="2">
        <v>6338.67</v>
      </c>
    </row>
    <row r="117" spans="1:21" x14ac:dyDescent="0.25">
      <c r="A117" t="s">
        <v>611</v>
      </c>
      <c r="B117">
        <v>43.88</v>
      </c>
      <c r="C117">
        <v>13.62</v>
      </c>
      <c r="D117">
        <v>11.24</v>
      </c>
      <c r="E117">
        <v>23.07</v>
      </c>
      <c r="F117">
        <v>76.77</v>
      </c>
      <c r="G117">
        <v>88.15</v>
      </c>
      <c r="H117">
        <v>64.41</v>
      </c>
      <c r="I117">
        <v>73.540000000000006</v>
      </c>
      <c r="J117">
        <v>71.239999999999995</v>
      </c>
      <c r="K117">
        <v>108.75</v>
      </c>
      <c r="L117">
        <v>93.83</v>
      </c>
      <c r="M117">
        <v>67.760000000000005</v>
      </c>
      <c r="N117">
        <v>46.93</v>
      </c>
      <c r="O117">
        <v>46.45</v>
      </c>
      <c r="P117">
        <v>42.81</v>
      </c>
      <c r="Q117">
        <v>42.4</v>
      </c>
      <c r="R117">
        <v>46.31</v>
      </c>
      <c r="S117">
        <v>44.49</v>
      </c>
      <c r="T117">
        <v>31.03</v>
      </c>
    </row>
    <row r="118" spans="1:21" x14ac:dyDescent="0.25">
      <c r="A118" t="s">
        <v>424</v>
      </c>
      <c r="B118">
        <v>-15.24</v>
      </c>
      <c r="C118">
        <v>-9.3699999999999992</v>
      </c>
      <c r="D118">
        <v>3.67</v>
      </c>
      <c r="E118">
        <v>2.02</v>
      </c>
      <c r="F118">
        <v>0.47</v>
      </c>
      <c r="G118">
        <v>0.52</v>
      </c>
      <c r="H118">
        <v>3.57</v>
      </c>
      <c r="I118">
        <v>5.64</v>
      </c>
      <c r="J118">
        <v>6.87</v>
      </c>
      <c r="K118">
        <v>6.34</v>
      </c>
      <c r="L118">
        <v>6.4</v>
      </c>
      <c r="M118">
        <v>9.01</v>
      </c>
      <c r="N118">
        <v>12.26</v>
      </c>
      <c r="O118">
        <v>13.14</v>
      </c>
      <c r="P118">
        <v>15.37</v>
      </c>
      <c r="Q118">
        <v>18.989999999999998</v>
      </c>
      <c r="R118">
        <v>23.37</v>
      </c>
      <c r="S118">
        <v>31.6</v>
      </c>
      <c r="T118">
        <v>41.99</v>
      </c>
    </row>
    <row r="119" spans="1:21" x14ac:dyDescent="0.25">
      <c r="A119" t="s">
        <v>17</v>
      </c>
    </row>
    <row r="120" spans="1:21" x14ac:dyDescent="0.25">
      <c r="A120" t="s">
        <v>188</v>
      </c>
    </row>
    <row r="121" spans="1:21" x14ac:dyDescent="0.25">
      <c r="A121" t="s">
        <v>189</v>
      </c>
    </row>
    <row r="122" spans="1:21" x14ac:dyDescent="0.25">
      <c r="A122" t="s">
        <v>121</v>
      </c>
      <c r="D122">
        <v>-70.28</v>
      </c>
      <c r="E122">
        <v>-95.77</v>
      </c>
      <c r="F122">
        <v>-136.31</v>
      </c>
      <c r="G122">
        <v>-128.15</v>
      </c>
      <c r="H122">
        <v>-124.83</v>
      </c>
      <c r="I122">
        <v>-229.74</v>
      </c>
      <c r="J122">
        <v>-471.72</v>
      </c>
      <c r="K122">
        <v>-547.79999999999995</v>
      </c>
      <c r="L122">
        <v>-434.8</v>
      </c>
      <c r="M122">
        <v>-190.43</v>
      </c>
      <c r="N122">
        <v>-208.16</v>
      </c>
      <c r="O122">
        <v>-209.2</v>
      </c>
      <c r="P122">
        <v>-22.54</v>
      </c>
      <c r="Q122">
        <v>257.08999999999997</v>
      </c>
      <c r="R122">
        <v>543.66999999999996</v>
      </c>
      <c r="S122">
        <v>830.29</v>
      </c>
      <c r="T122" s="2">
        <v>1395.4</v>
      </c>
      <c r="U122" s="2">
        <v>1694</v>
      </c>
    </row>
    <row r="123" spans="1:21" x14ac:dyDescent="0.25">
      <c r="A123" t="s">
        <v>190</v>
      </c>
      <c r="B123">
        <v>2.5</v>
      </c>
      <c r="C123">
        <v>5.0999999999999996</v>
      </c>
      <c r="D123">
        <v>5.54</v>
      </c>
      <c r="E123">
        <v>6.18</v>
      </c>
      <c r="F123">
        <v>7.14</v>
      </c>
      <c r="G123">
        <v>7.5</v>
      </c>
      <c r="H123">
        <v>7.73</v>
      </c>
      <c r="I123">
        <v>8.61</v>
      </c>
      <c r="J123">
        <v>11.25</v>
      </c>
      <c r="K123">
        <v>16.7</v>
      </c>
      <c r="L123">
        <v>22.7</v>
      </c>
      <c r="M123">
        <v>30.7</v>
      </c>
      <c r="N123">
        <v>41.5</v>
      </c>
      <c r="O123">
        <v>54.17</v>
      </c>
      <c r="P123">
        <v>62.27</v>
      </c>
      <c r="Q123">
        <v>75.89</v>
      </c>
      <c r="R123">
        <v>97.37</v>
      </c>
      <c r="S123">
        <v>105.72</v>
      </c>
      <c r="T123">
        <v>120.09</v>
      </c>
      <c r="U123">
        <v>144.76</v>
      </c>
    </row>
    <row r="124" spans="1:21" x14ac:dyDescent="0.25">
      <c r="A124" t="s">
        <v>69</v>
      </c>
      <c r="B124">
        <v>4.58</v>
      </c>
      <c r="C124">
        <v>3.23</v>
      </c>
      <c r="D124">
        <v>2.91</v>
      </c>
      <c r="E124">
        <v>2.91</v>
      </c>
      <c r="F124">
        <v>3.41</v>
      </c>
      <c r="G124">
        <v>2.91</v>
      </c>
      <c r="H124">
        <v>2.56</v>
      </c>
      <c r="I124">
        <v>2.2000000000000002</v>
      </c>
      <c r="J124">
        <v>1.8</v>
      </c>
      <c r="K124">
        <v>2.04</v>
      </c>
      <c r="L124">
        <v>2.23</v>
      </c>
      <c r="M124">
        <v>1.82</v>
      </c>
      <c r="N124">
        <v>1.89</v>
      </c>
      <c r="O124">
        <v>1.99</v>
      </c>
      <c r="P124">
        <v>1.88</v>
      </c>
      <c r="Q124">
        <v>1.93</v>
      </c>
      <c r="R124">
        <v>2.02</v>
      </c>
      <c r="S124">
        <v>2</v>
      </c>
      <c r="T124">
        <v>2</v>
      </c>
      <c r="U124">
        <v>2</v>
      </c>
    </row>
    <row r="125" spans="1:21" x14ac:dyDescent="0.25">
      <c r="A125" t="s">
        <v>3229</v>
      </c>
      <c r="D125">
        <v>0.03</v>
      </c>
      <c r="E125">
        <v>0</v>
      </c>
      <c r="F125">
        <v>0.15</v>
      </c>
      <c r="G125">
        <v>0.39</v>
      </c>
      <c r="H125">
        <v>0.46</v>
      </c>
      <c r="I125">
        <v>0.15</v>
      </c>
      <c r="J125">
        <v>1.23</v>
      </c>
      <c r="K125">
        <v>1.26</v>
      </c>
      <c r="L125">
        <v>1.29</v>
      </c>
      <c r="M125">
        <v>0.99</v>
      </c>
      <c r="N125">
        <v>0</v>
      </c>
    </row>
    <row r="126" spans="1:21" x14ac:dyDescent="0.25">
      <c r="A126" t="s">
        <v>67</v>
      </c>
      <c r="B126">
        <v>1.66</v>
      </c>
      <c r="C126">
        <v>5.16</v>
      </c>
      <c r="D126">
        <v>7.33</v>
      </c>
      <c r="E126">
        <v>10.6</v>
      </c>
      <c r="F126">
        <v>11.4</v>
      </c>
      <c r="G126">
        <v>14.2</v>
      </c>
      <c r="H126">
        <v>28.62</v>
      </c>
      <c r="I126">
        <v>50.17</v>
      </c>
      <c r="J126">
        <v>115.22</v>
      </c>
      <c r="K126">
        <v>152.38</v>
      </c>
      <c r="L126">
        <v>191.81</v>
      </c>
      <c r="M126">
        <v>274.43</v>
      </c>
      <c r="N126">
        <v>354.4</v>
      </c>
      <c r="O126">
        <v>384.25</v>
      </c>
      <c r="P126">
        <v>411.88</v>
      </c>
      <c r="Q126">
        <v>455.37</v>
      </c>
      <c r="R126">
        <v>489.32</v>
      </c>
      <c r="S126">
        <v>524.02</v>
      </c>
      <c r="T126">
        <v>561.27</v>
      </c>
      <c r="U126">
        <v>448.9</v>
      </c>
    </row>
    <row r="127" spans="1:21" x14ac:dyDescent="0.25">
      <c r="A127" t="s">
        <v>338</v>
      </c>
    </row>
    <row r="128" spans="1:21" x14ac:dyDescent="0.25">
      <c r="A128" t="s">
        <v>141</v>
      </c>
      <c r="B128">
        <v>-5.85</v>
      </c>
      <c r="C128">
        <v>0.34</v>
      </c>
      <c r="D128">
        <v>-0.45</v>
      </c>
      <c r="E128">
        <v>-8.52</v>
      </c>
      <c r="F128">
        <v>6.32</v>
      </c>
      <c r="G128">
        <v>-18.09</v>
      </c>
      <c r="H128">
        <v>2.42</v>
      </c>
      <c r="I128">
        <v>-25.83</v>
      </c>
      <c r="J128">
        <v>-43.35</v>
      </c>
      <c r="K128">
        <v>-124.08</v>
      </c>
      <c r="L128">
        <v>-33.9</v>
      </c>
      <c r="M128">
        <v>-35.880000000000003</v>
      </c>
      <c r="N128">
        <v>20.75</v>
      </c>
      <c r="O128">
        <v>-63.37</v>
      </c>
      <c r="P128">
        <v>-38.46</v>
      </c>
      <c r="Q128">
        <v>-60.8</v>
      </c>
      <c r="R128">
        <v>-103.01</v>
      </c>
      <c r="S128">
        <v>-71.34</v>
      </c>
      <c r="T128">
        <v>-71.95</v>
      </c>
      <c r="U128">
        <v>-75.38</v>
      </c>
    </row>
    <row r="129" spans="1:21" x14ac:dyDescent="0.25">
      <c r="A129" t="s">
        <v>302</v>
      </c>
      <c r="B129">
        <v>-9.0500000000000007</v>
      </c>
      <c r="C129">
        <v>-0.89</v>
      </c>
      <c r="D129">
        <v>2.93</v>
      </c>
      <c r="E129">
        <v>-0.43</v>
      </c>
      <c r="F129">
        <v>-3.09</v>
      </c>
      <c r="G129">
        <v>-4.9000000000000004</v>
      </c>
      <c r="H129">
        <v>0.92</v>
      </c>
      <c r="I129">
        <v>-7.47</v>
      </c>
      <c r="J129">
        <v>-7.51</v>
      </c>
      <c r="K129">
        <v>-8.26</v>
      </c>
      <c r="L129">
        <v>-5.35</v>
      </c>
      <c r="M129">
        <v>-3.99</v>
      </c>
      <c r="N129">
        <v>-20.87</v>
      </c>
      <c r="O129">
        <v>-9.39</v>
      </c>
      <c r="P129">
        <v>-12.84</v>
      </c>
      <c r="Q129">
        <v>-11.26</v>
      </c>
      <c r="R129">
        <v>-19.899999999999999</v>
      </c>
      <c r="S129">
        <v>-15.3</v>
      </c>
      <c r="T129">
        <v>-14.51</v>
      </c>
      <c r="U129">
        <v>-3.65</v>
      </c>
    </row>
    <row r="130" spans="1:21" x14ac:dyDescent="0.25">
      <c r="A130" t="s">
        <v>428</v>
      </c>
      <c r="C130">
        <v>-0.14000000000000001</v>
      </c>
      <c r="D130">
        <v>-1.04</v>
      </c>
      <c r="E130">
        <v>-2.08</v>
      </c>
      <c r="F130">
        <v>-1.52</v>
      </c>
      <c r="G130">
        <v>2.64</v>
      </c>
      <c r="H130">
        <v>-13.96</v>
      </c>
      <c r="I130">
        <v>-23.39</v>
      </c>
      <c r="J130">
        <v>-10.55</v>
      </c>
      <c r="K130">
        <v>-1.2</v>
      </c>
      <c r="L130">
        <v>-26.07</v>
      </c>
      <c r="M130">
        <v>10.81</v>
      </c>
      <c r="N130">
        <v>-8.6300000000000008</v>
      </c>
      <c r="O130">
        <v>-11.15</v>
      </c>
      <c r="P130">
        <v>-14.62</v>
      </c>
      <c r="Q130">
        <v>-15.96</v>
      </c>
      <c r="R130">
        <v>-25.82</v>
      </c>
      <c r="S130">
        <v>-16.309999999999999</v>
      </c>
      <c r="T130">
        <v>-18.8</v>
      </c>
    </row>
    <row r="131" spans="1:21" x14ac:dyDescent="0.25">
      <c r="A131" t="s">
        <v>158</v>
      </c>
      <c r="B131">
        <v>6.79</v>
      </c>
      <c r="C131">
        <v>-2.4300000000000002</v>
      </c>
      <c r="D131">
        <v>1.35</v>
      </c>
      <c r="E131">
        <v>1.26</v>
      </c>
      <c r="F131">
        <v>0.22</v>
      </c>
      <c r="G131">
        <v>3.78</v>
      </c>
      <c r="H131">
        <v>-6.26</v>
      </c>
      <c r="I131">
        <v>-0.12</v>
      </c>
      <c r="J131">
        <v>19.22</v>
      </c>
      <c r="K131">
        <v>5.46</v>
      </c>
      <c r="L131">
        <v>-15.46</v>
      </c>
      <c r="M131">
        <v>13.21</v>
      </c>
      <c r="N131">
        <v>0.75</v>
      </c>
      <c r="O131">
        <v>18.239999999999998</v>
      </c>
      <c r="P131">
        <v>8.69</v>
      </c>
      <c r="Q131">
        <v>12.32</v>
      </c>
      <c r="R131">
        <v>20.010000000000002</v>
      </c>
      <c r="S131">
        <v>14.67</v>
      </c>
      <c r="T131">
        <v>9.0500000000000007</v>
      </c>
      <c r="U131">
        <v>10.57</v>
      </c>
    </row>
    <row r="132" spans="1:21" x14ac:dyDescent="0.25">
      <c r="A132" t="s">
        <v>160</v>
      </c>
      <c r="C132">
        <v>2.99</v>
      </c>
      <c r="D132">
        <v>2.57</v>
      </c>
      <c r="E132">
        <v>2.52</v>
      </c>
      <c r="F132">
        <v>-1.47</v>
      </c>
      <c r="G132">
        <v>3.07</v>
      </c>
      <c r="H132">
        <v>3.42</v>
      </c>
      <c r="I132">
        <v>14.28</v>
      </c>
      <c r="J132">
        <v>10.57</v>
      </c>
      <c r="K132">
        <v>3.07</v>
      </c>
      <c r="L132">
        <v>21.62</v>
      </c>
      <c r="M132">
        <v>-6.38</v>
      </c>
      <c r="N132">
        <v>31.35</v>
      </c>
      <c r="O132">
        <v>58.75</v>
      </c>
      <c r="P132">
        <v>22.34</v>
      </c>
      <c r="Q132">
        <v>27.02</v>
      </c>
      <c r="R132">
        <v>45.59</v>
      </c>
      <c r="S132">
        <v>29.19</v>
      </c>
      <c r="T132">
        <v>30.93</v>
      </c>
    </row>
    <row r="133" spans="1:21" x14ac:dyDescent="0.25">
      <c r="A133" t="s">
        <v>3228</v>
      </c>
      <c r="C133">
        <v>4.45</v>
      </c>
      <c r="D133">
        <v>8.0299999999999994</v>
      </c>
      <c r="E133">
        <v>7.41</v>
      </c>
      <c r="F133">
        <v>14.92</v>
      </c>
      <c r="G133">
        <v>-1.82</v>
      </c>
      <c r="H133">
        <v>8.61</v>
      </c>
      <c r="I133">
        <v>10.34</v>
      </c>
      <c r="J133">
        <v>32.68</v>
      </c>
      <c r="K133">
        <v>47.65</v>
      </c>
      <c r="L133">
        <v>10.35</v>
      </c>
      <c r="M133">
        <v>40.33</v>
      </c>
      <c r="N133">
        <v>60.27</v>
      </c>
      <c r="O133">
        <v>-4.5</v>
      </c>
      <c r="P133">
        <v>41.03</v>
      </c>
      <c r="Q133">
        <v>28.8</v>
      </c>
      <c r="R133">
        <v>74.75</v>
      </c>
    </row>
    <row r="134" spans="1:21" x14ac:dyDescent="0.25">
      <c r="A134" t="s">
        <v>161</v>
      </c>
      <c r="C134">
        <v>-0.86</v>
      </c>
      <c r="D134">
        <v>0.03</v>
      </c>
      <c r="E134">
        <v>0.43</v>
      </c>
      <c r="F134">
        <v>2.2999999999999998</v>
      </c>
      <c r="G134">
        <v>42.14</v>
      </c>
      <c r="H134">
        <v>40.85</v>
      </c>
      <c r="I134">
        <v>-6.9</v>
      </c>
      <c r="J134">
        <v>-44.21</v>
      </c>
      <c r="K134">
        <v>2.06</v>
      </c>
      <c r="L134">
        <v>4.96</v>
      </c>
      <c r="M134">
        <v>0.85</v>
      </c>
      <c r="N134">
        <v>2.75</v>
      </c>
      <c r="O134">
        <v>10.68</v>
      </c>
      <c r="P134">
        <v>7.31</v>
      </c>
      <c r="Q134">
        <v>8.4600000000000009</v>
      </c>
      <c r="R134">
        <v>15.75</v>
      </c>
      <c r="S134">
        <v>10.31</v>
      </c>
      <c r="T134">
        <v>11.12</v>
      </c>
    </row>
    <row r="135" spans="1:21" x14ac:dyDescent="0.25">
      <c r="A135" t="s">
        <v>17</v>
      </c>
    </row>
    <row r="136" spans="1:21" x14ac:dyDescent="0.25">
      <c r="A136" t="s">
        <v>204</v>
      </c>
      <c r="B136">
        <v>-24.13</v>
      </c>
      <c r="C136">
        <v>10.49</v>
      </c>
      <c r="D136">
        <v>-37.83</v>
      </c>
      <c r="E136">
        <v>-73.900000000000006</v>
      </c>
      <c r="F136">
        <v>-97.83</v>
      </c>
      <c r="G136">
        <v>-70.58</v>
      </c>
      <c r="H136">
        <v>-63.44</v>
      </c>
      <c r="I136">
        <v>-182.51</v>
      </c>
      <c r="J136">
        <v>-335.24</v>
      </c>
      <c r="K136">
        <v>-431.5</v>
      </c>
      <c r="L136">
        <v>-246.96</v>
      </c>
      <c r="M136">
        <v>135.66</v>
      </c>
      <c r="N136">
        <v>215.3</v>
      </c>
      <c r="O136">
        <v>262.94</v>
      </c>
      <c r="P136">
        <v>366.43</v>
      </c>
      <c r="Q136">
        <v>701.89</v>
      </c>
      <c r="R136" s="2">
        <v>1144.51</v>
      </c>
      <c r="S136" s="2">
        <v>1415.26</v>
      </c>
      <c r="T136" s="2">
        <v>2156.25</v>
      </c>
      <c r="U136" s="2">
        <v>2615.63</v>
      </c>
    </row>
    <row r="137" spans="1:21" x14ac:dyDescent="0.25">
      <c r="A137" t="s">
        <v>17</v>
      </c>
    </row>
    <row r="138" spans="1:21" x14ac:dyDescent="0.25">
      <c r="A138" t="s">
        <v>205</v>
      </c>
    </row>
    <row r="139" spans="1:21" x14ac:dyDescent="0.25">
      <c r="A139" t="s">
        <v>206</v>
      </c>
      <c r="B139">
        <v>-8.25</v>
      </c>
      <c r="C139">
        <v>-9.9600000000000009</v>
      </c>
      <c r="D139">
        <v>-7.85</v>
      </c>
      <c r="E139">
        <v>-23.14</v>
      </c>
      <c r="F139">
        <v>-9.8699999999999992</v>
      </c>
      <c r="G139">
        <v>-3.88</v>
      </c>
      <c r="H139">
        <v>-4.97</v>
      </c>
      <c r="I139">
        <v>-19.600000000000001</v>
      </c>
      <c r="J139">
        <v>-41.03</v>
      </c>
      <c r="K139">
        <v>-47.7</v>
      </c>
      <c r="L139">
        <v>-39.200000000000003</v>
      </c>
      <c r="M139">
        <v>-66.42</v>
      </c>
      <c r="N139">
        <v>-106.19</v>
      </c>
      <c r="O139">
        <v>-114.12</v>
      </c>
      <c r="P139">
        <v>-123.17</v>
      </c>
      <c r="Q139">
        <v>-161.07</v>
      </c>
      <c r="R139">
        <v>-184.33</v>
      </c>
      <c r="S139">
        <v>-211.63</v>
      </c>
      <c r="T139">
        <v>-234</v>
      </c>
      <c r="U139">
        <v>-247.25</v>
      </c>
    </row>
    <row r="140" spans="1:21" x14ac:dyDescent="0.25">
      <c r="A140" t="s">
        <v>61</v>
      </c>
      <c r="B140">
        <v>14.94</v>
      </c>
      <c r="C140">
        <v>6.25</v>
      </c>
      <c r="D140">
        <v>4.12</v>
      </c>
      <c r="E140">
        <v>10.89</v>
      </c>
      <c r="F140">
        <v>4.71</v>
      </c>
      <c r="G140">
        <v>1.51</v>
      </c>
      <c r="H140">
        <v>1.64</v>
      </c>
      <c r="I140">
        <v>5.01</v>
      </c>
      <c r="J140">
        <v>6.56</v>
      </c>
      <c r="K140">
        <v>5.82</v>
      </c>
      <c r="L140">
        <v>3.62</v>
      </c>
      <c r="M140">
        <v>3.91</v>
      </c>
      <c r="N140">
        <v>4.5999999999999996</v>
      </c>
      <c r="O140">
        <v>5.03</v>
      </c>
      <c r="P140">
        <v>4.4800000000000004</v>
      </c>
      <c r="Q140">
        <v>3.65</v>
      </c>
      <c r="R140">
        <v>4.4800000000000004</v>
      </c>
      <c r="S140">
        <v>4.5599999999999996</v>
      </c>
      <c r="T140">
        <v>4.5999999999999996</v>
      </c>
      <c r="U140">
        <v>5.73</v>
      </c>
    </row>
    <row r="141" spans="1:21" x14ac:dyDescent="0.25">
      <c r="A141" t="s">
        <v>3230</v>
      </c>
      <c r="E141">
        <v>123.69</v>
      </c>
      <c r="F141">
        <v>296.47000000000003</v>
      </c>
      <c r="G141">
        <v>168.99</v>
      </c>
      <c r="H141">
        <v>175.57</v>
      </c>
      <c r="I141">
        <v>373.38</v>
      </c>
      <c r="J141">
        <v>720.49</v>
      </c>
      <c r="K141">
        <v>464.98</v>
      </c>
      <c r="L141">
        <v>306</v>
      </c>
      <c r="M141">
        <v>339.22</v>
      </c>
      <c r="N141">
        <v>23</v>
      </c>
      <c r="O141">
        <v>0</v>
      </c>
      <c r="P141">
        <v>0</v>
      </c>
      <c r="Q141">
        <v>0</v>
      </c>
    </row>
    <row r="142" spans="1:21" x14ac:dyDescent="0.25">
      <c r="A142" t="s">
        <v>213</v>
      </c>
      <c r="B142">
        <v>-8.25</v>
      </c>
      <c r="C142">
        <v>-9.94</v>
      </c>
      <c r="D142">
        <v>-210.68</v>
      </c>
      <c r="E142">
        <v>47.03</v>
      </c>
      <c r="F142">
        <v>13.78</v>
      </c>
      <c r="G142">
        <v>-5.16</v>
      </c>
      <c r="H142">
        <v>-266.35000000000002</v>
      </c>
      <c r="I142">
        <v>-331.46</v>
      </c>
      <c r="J142">
        <v>-205.19</v>
      </c>
      <c r="K142">
        <v>330.34</v>
      </c>
      <c r="L142">
        <v>168.5</v>
      </c>
      <c r="M142">
        <v>137.62</v>
      </c>
      <c r="N142">
        <v>-132.21</v>
      </c>
      <c r="O142">
        <v>-126.06</v>
      </c>
      <c r="P142">
        <v>-122.01</v>
      </c>
      <c r="Q142">
        <v>-156.68</v>
      </c>
      <c r="R142">
        <v>-176.39</v>
      </c>
      <c r="S142">
        <v>-201.19</v>
      </c>
      <c r="T142">
        <v>-215.95</v>
      </c>
      <c r="U142">
        <v>-181.3</v>
      </c>
    </row>
    <row r="143" spans="1:21" x14ac:dyDescent="0.25">
      <c r="A143" t="s">
        <v>17</v>
      </c>
    </row>
    <row r="144" spans="1:21" x14ac:dyDescent="0.25">
      <c r="A144" t="s">
        <v>214</v>
      </c>
    </row>
    <row r="145" spans="1:21" x14ac:dyDescent="0.25">
      <c r="A145" t="s">
        <v>216</v>
      </c>
      <c r="D145">
        <v>1.26</v>
      </c>
      <c r="E145">
        <v>3.6</v>
      </c>
      <c r="F145">
        <v>2.3199999999999998</v>
      </c>
      <c r="G145">
        <v>13.33</v>
      </c>
      <c r="H145">
        <v>13.04</v>
      </c>
      <c r="I145">
        <v>23.52</v>
      </c>
      <c r="J145">
        <v>11.82</v>
      </c>
      <c r="K145">
        <v>6.41</v>
      </c>
      <c r="L145">
        <v>3.89</v>
      </c>
      <c r="M145">
        <v>12.99</v>
      </c>
      <c r="N145">
        <v>22.54</v>
      </c>
      <c r="O145">
        <v>9.83</v>
      </c>
      <c r="P145">
        <v>19.05</v>
      </c>
      <c r="Q145">
        <v>20.73</v>
      </c>
      <c r="R145">
        <v>19.71</v>
      </c>
      <c r="S145">
        <v>45.33</v>
      </c>
      <c r="T145">
        <v>52.13</v>
      </c>
    </row>
    <row r="146" spans="1:21" x14ac:dyDescent="0.25">
      <c r="A146" t="s">
        <v>215</v>
      </c>
      <c r="C146">
        <v>55.41</v>
      </c>
      <c r="D146">
        <v>0</v>
      </c>
      <c r="E146">
        <v>2.59</v>
      </c>
      <c r="F146">
        <v>3.34</v>
      </c>
      <c r="G146">
        <v>3.62</v>
      </c>
      <c r="H146">
        <v>4.32</v>
      </c>
      <c r="I146">
        <v>7.11</v>
      </c>
      <c r="J146">
        <v>13.55</v>
      </c>
      <c r="K146">
        <v>13.04</v>
      </c>
      <c r="L146">
        <v>15.13</v>
      </c>
      <c r="M146">
        <v>17.3</v>
      </c>
      <c r="N146">
        <v>25.04</v>
      </c>
      <c r="O146">
        <v>-0.08</v>
      </c>
      <c r="P146">
        <v>0</v>
      </c>
      <c r="Q146">
        <v>0</v>
      </c>
    </row>
    <row r="147" spans="1:21" x14ac:dyDescent="0.25">
      <c r="A147" t="s">
        <v>218</v>
      </c>
      <c r="C147">
        <v>56.13</v>
      </c>
      <c r="D147">
        <v>190.28</v>
      </c>
      <c r="E147">
        <v>13.18</v>
      </c>
      <c r="F147">
        <v>80.37</v>
      </c>
      <c r="G147">
        <v>113.73</v>
      </c>
      <c r="H147">
        <v>340.77</v>
      </c>
      <c r="I147">
        <v>500.85</v>
      </c>
      <c r="J147">
        <v>576.19000000000005</v>
      </c>
      <c r="K147">
        <v>482.64</v>
      </c>
      <c r="L147">
        <v>254.46</v>
      </c>
      <c r="M147">
        <v>30.2</v>
      </c>
      <c r="N147">
        <v>47.46</v>
      </c>
      <c r="O147">
        <v>14.3</v>
      </c>
      <c r="P147">
        <v>14.29</v>
      </c>
      <c r="Q147">
        <v>15.55</v>
      </c>
      <c r="R147">
        <v>19.71</v>
      </c>
      <c r="S147">
        <v>45.33</v>
      </c>
      <c r="T147">
        <v>52.13</v>
      </c>
    </row>
    <row r="148" spans="1:21" x14ac:dyDescent="0.25">
      <c r="A148" t="s">
        <v>17</v>
      </c>
    </row>
    <row r="149" spans="1:21" x14ac:dyDescent="0.25">
      <c r="A149" t="s">
        <v>176</v>
      </c>
    </row>
    <row r="150" spans="1:21" x14ac:dyDescent="0.25">
      <c r="A150" t="s">
        <v>220</v>
      </c>
      <c r="B150">
        <v>24.75</v>
      </c>
      <c r="C150">
        <v>56.68</v>
      </c>
      <c r="D150">
        <v>-58.23</v>
      </c>
      <c r="E150">
        <v>-13.69</v>
      </c>
      <c r="F150">
        <v>-3.67</v>
      </c>
      <c r="G150">
        <v>37.979999999999997</v>
      </c>
      <c r="H150">
        <v>10.98</v>
      </c>
      <c r="I150">
        <v>-13.13</v>
      </c>
      <c r="J150">
        <v>35.76</v>
      </c>
      <c r="K150">
        <v>381.48</v>
      </c>
      <c r="L150">
        <v>176</v>
      </c>
      <c r="M150">
        <v>303.49</v>
      </c>
      <c r="N150">
        <v>130.55000000000001</v>
      </c>
      <c r="O150">
        <v>147.87</v>
      </c>
      <c r="P150">
        <v>248.89</v>
      </c>
      <c r="Q150">
        <v>550.4</v>
      </c>
      <c r="R150">
        <v>973.75</v>
      </c>
      <c r="S150" s="2">
        <v>1221.6300000000001</v>
      </c>
      <c r="T150" s="2">
        <v>1953.33</v>
      </c>
      <c r="U150" s="2">
        <v>2434.33</v>
      </c>
    </row>
    <row r="151" spans="1:21" x14ac:dyDescent="0.25">
      <c r="A151" t="s">
        <v>221</v>
      </c>
      <c r="C151">
        <v>30.5</v>
      </c>
      <c r="D151">
        <v>87.18</v>
      </c>
      <c r="E151">
        <v>28.95</v>
      </c>
      <c r="F151">
        <v>16.690000000000001</v>
      </c>
      <c r="G151">
        <v>13.02</v>
      </c>
      <c r="H151">
        <v>51</v>
      </c>
      <c r="I151">
        <v>61.98</v>
      </c>
      <c r="J151">
        <v>48.86</v>
      </c>
      <c r="K151">
        <v>84.61</v>
      </c>
      <c r="L151">
        <v>466.09</v>
      </c>
      <c r="M151">
        <v>642.1</v>
      </c>
      <c r="N151">
        <v>945.59</v>
      </c>
      <c r="O151" s="2">
        <v>1076.1300000000001</v>
      </c>
      <c r="P151" s="2">
        <v>1227.25</v>
      </c>
      <c r="Q151" s="2">
        <v>1448.31</v>
      </c>
      <c r="R151" s="2">
        <v>2020.09</v>
      </c>
      <c r="S151" s="2">
        <v>2836.97</v>
      </c>
      <c r="T151" s="2">
        <v>4533.88</v>
      </c>
      <c r="U151" s="2">
        <v>7209.58</v>
      </c>
    </row>
    <row r="152" spans="1:21" x14ac:dyDescent="0.25">
      <c r="A152" t="s">
        <v>222</v>
      </c>
      <c r="C152">
        <v>87.18</v>
      </c>
      <c r="D152">
        <v>28.95</v>
      </c>
      <c r="E152">
        <v>15.26</v>
      </c>
      <c r="F152">
        <v>13.02</v>
      </c>
      <c r="G152">
        <v>51</v>
      </c>
      <c r="H152">
        <v>61.98</v>
      </c>
      <c r="I152">
        <v>48.86</v>
      </c>
      <c r="J152">
        <v>84.61</v>
      </c>
      <c r="K152">
        <v>466.09</v>
      </c>
      <c r="L152">
        <v>642.1</v>
      </c>
      <c r="M152">
        <v>945.59</v>
      </c>
      <c r="N152" s="2">
        <v>1076.1400000000001</v>
      </c>
      <c r="O152" s="2">
        <v>1215.79</v>
      </c>
      <c r="P152" s="2">
        <v>1491.23</v>
      </c>
      <c r="Q152" s="2">
        <v>2019.21</v>
      </c>
      <c r="R152" s="2">
        <v>3058.89</v>
      </c>
      <c r="S152" s="2">
        <v>4154.6899999999996</v>
      </c>
      <c r="T152" s="2">
        <v>7025.38</v>
      </c>
      <c r="U152" s="2">
        <v>9643.91</v>
      </c>
    </row>
    <row r="153" spans="1:21" x14ac:dyDescent="0.25">
      <c r="A153" t="s">
        <v>178</v>
      </c>
    </row>
    <row r="154" spans="1:21" x14ac:dyDescent="0.25">
      <c r="A154" t="s">
        <v>225</v>
      </c>
      <c r="B154">
        <v>-32.380000000000003</v>
      </c>
      <c r="C154">
        <v>0.53</v>
      </c>
      <c r="D154">
        <v>-45.68</v>
      </c>
      <c r="E154">
        <v>-97.04</v>
      </c>
      <c r="F154">
        <v>-107.69</v>
      </c>
      <c r="G154">
        <v>-74.459999999999994</v>
      </c>
      <c r="H154">
        <v>-68.41</v>
      </c>
      <c r="I154">
        <v>-202.12</v>
      </c>
      <c r="J154">
        <v>-376.27</v>
      </c>
      <c r="K154">
        <v>-479.2</v>
      </c>
      <c r="L154">
        <v>-286.14999999999998</v>
      </c>
      <c r="M154">
        <v>69.239999999999995</v>
      </c>
      <c r="N154">
        <v>109.11</v>
      </c>
      <c r="O154">
        <v>140.32</v>
      </c>
      <c r="P154">
        <v>275.08</v>
      </c>
      <c r="Q154">
        <v>602.5</v>
      </c>
      <c r="R154" s="2">
        <v>1073.95</v>
      </c>
      <c r="S154" s="2">
        <v>1420.97</v>
      </c>
      <c r="T154" s="2">
        <v>1816.95</v>
      </c>
      <c r="U154" s="2">
        <v>1996.83</v>
      </c>
    </row>
    <row r="155" spans="1:21" x14ac:dyDescent="0.25">
      <c r="A155" t="s">
        <v>17</v>
      </c>
    </row>
    <row r="156" spans="1:21" x14ac:dyDescent="0.25">
      <c r="A156" t="s">
        <v>231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3E5F-F966-4E31-8EC0-D58D46A15448}">
  <dimension ref="A1:U288"/>
  <sheetViews>
    <sheetView workbookViewId="0">
      <selection sqref="A1:U288"/>
    </sheetView>
  </sheetViews>
  <sheetFormatPr defaultRowHeight="15" x14ac:dyDescent="0.25"/>
  <sheetData>
    <row r="1" spans="1:21" x14ac:dyDescent="0.25">
      <c r="A1" t="s">
        <v>3232</v>
      </c>
    </row>
    <row r="2" spans="1:21" x14ac:dyDescent="0.25">
      <c r="A2" t="s">
        <v>3233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4.09</v>
      </c>
      <c r="C6">
        <v>4.5999999999999996</v>
      </c>
      <c r="D6">
        <v>4.82</v>
      </c>
      <c r="E6">
        <v>5.28</v>
      </c>
      <c r="F6">
        <v>5.59</v>
      </c>
      <c r="G6">
        <v>6.3</v>
      </c>
      <c r="H6">
        <v>6.3</v>
      </c>
      <c r="I6">
        <v>7.19</v>
      </c>
      <c r="J6">
        <v>5.99</v>
      </c>
      <c r="K6">
        <v>6.1</v>
      </c>
      <c r="L6">
        <v>5.73</v>
      </c>
      <c r="M6">
        <v>6.83</v>
      </c>
      <c r="N6">
        <v>7.36</v>
      </c>
      <c r="O6">
        <v>7.71</v>
      </c>
      <c r="P6">
        <v>8.36</v>
      </c>
      <c r="Q6">
        <v>9.0500000000000007</v>
      </c>
      <c r="R6">
        <v>9.7799999999999994</v>
      </c>
      <c r="S6">
        <v>10.46</v>
      </c>
      <c r="T6">
        <v>11.11</v>
      </c>
      <c r="U6">
        <v>11.51</v>
      </c>
    </row>
    <row r="7" spans="1:21" x14ac:dyDescent="0.25">
      <c r="A7" t="s">
        <v>16</v>
      </c>
      <c r="B7" s="2">
        <v>9661</v>
      </c>
      <c r="C7" s="2">
        <v>12301</v>
      </c>
      <c r="D7" s="2">
        <v>10337</v>
      </c>
      <c r="E7" s="2">
        <v>10630</v>
      </c>
      <c r="F7" s="2">
        <v>12607</v>
      </c>
      <c r="G7" s="2">
        <v>14212</v>
      </c>
      <c r="H7" s="2">
        <v>12669</v>
      </c>
      <c r="I7" s="2">
        <v>12177</v>
      </c>
      <c r="J7" s="2">
        <v>14964</v>
      </c>
      <c r="K7" s="2">
        <v>19228</v>
      </c>
      <c r="L7" s="2">
        <v>12745</v>
      </c>
      <c r="M7" s="2">
        <v>12457</v>
      </c>
      <c r="N7" s="2">
        <v>15814</v>
      </c>
      <c r="O7" s="2">
        <v>15978.14</v>
      </c>
      <c r="P7" s="2">
        <v>16525.21</v>
      </c>
      <c r="Q7" s="2">
        <v>17190.38</v>
      </c>
      <c r="R7" s="2">
        <v>17912</v>
      </c>
      <c r="S7" s="2">
        <v>18564.25</v>
      </c>
      <c r="T7" s="2">
        <v>20022</v>
      </c>
    </row>
    <row r="8" spans="1:21" x14ac:dyDescent="0.25">
      <c r="A8" t="s">
        <v>17</v>
      </c>
    </row>
    <row r="9" spans="1:21" x14ac:dyDescent="0.25">
      <c r="A9" t="s">
        <v>3234</v>
      </c>
    </row>
    <row r="10" spans="1:21" x14ac:dyDescent="0.25">
      <c r="A10" t="s">
        <v>60</v>
      </c>
    </row>
    <row r="11" spans="1:21" x14ac:dyDescent="0.25">
      <c r="A11" t="s">
        <v>3235</v>
      </c>
      <c r="B11" s="2">
        <v>5199</v>
      </c>
      <c r="C11" s="2">
        <v>5283</v>
      </c>
      <c r="D11" s="2">
        <v>4901</v>
      </c>
      <c r="E11" s="2">
        <v>5225</v>
      </c>
      <c r="F11" s="2">
        <v>5102</v>
      </c>
      <c r="G11" s="2">
        <v>5298</v>
      </c>
      <c r="H11" s="2">
        <v>5224</v>
      </c>
      <c r="I11" s="2">
        <v>5520</v>
      </c>
      <c r="J11" s="2">
        <v>5821</v>
      </c>
      <c r="K11" s="2">
        <v>6412</v>
      </c>
      <c r="L11" s="2">
        <v>5818</v>
      </c>
      <c r="M11" s="2">
        <v>6293</v>
      </c>
      <c r="N11" s="2">
        <v>6935</v>
      </c>
      <c r="O11" s="2">
        <v>7143.15</v>
      </c>
      <c r="P11" s="2">
        <v>7573.11</v>
      </c>
      <c r="Q11" s="2">
        <v>8065.59</v>
      </c>
      <c r="R11" s="2">
        <v>8367.69</v>
      </c>
      <c r="S11" s="2">
        <v>8821.0499999999993</v>
      </c>
      <c r="T11" s="2">
        <v>9812.3700000000008</v>
      </c>
    </row>
    <row r="12" spans="1:21" x14ac:dyDescent="0.25">
      <c r="A12" t="s">
        <v>3236</v>
      </c>
      <c r="B12" s="2">
        <v>1474</v>
      </c>
      <c r="C12" s="2">
        <v>1636</v>
      </c>
      <c r="D12" s="2">
        <v>1376</v>
      </c>
      <c r="E12" s="2">
        <v>1324</v>
      </c>
      <c r="F12" s="2">
        <v>1388</v>
      </c>
      <c r="G12" s="2">
        <v>1436</v>
      </c>
      <c r="H12" s="2">
        <v>1482</v>
      </c>
      <c r="I12" s="2">
        <v>1414</v>
      </c>
      <c r="J12" s="2">
        <v>1553</v>
      </c>
      <c r="K12" s="2">
        <v>1924</v>
      </c>
      <c r="L12" s="2">
        <v>1748</v>
      </c>
      <c r="M12" s="2">
        <v>1798</v>
      </c>
      <c r="N12" s="2">
        <v>2052</v>
      </c>
      <c r="O12" s="2">
        <v>2106.79</v>
      </c>
      <c r="P12" s="2">
        <v>2148.7399999999998</v>
      </c>
      <c r="Q12" s="2">
        <v>2176.39</v>
      </c>
      <c r="R12" s="2">
        <v>2202.92</v>
      </c>
      <c r="S12" s="2">
        <v>2237.64</v>
      </c>
      <c r="T12" s="2">
        <v>2483</v>
      </c>
    </row>
    <row r="13" spans="1:21" x14ac:dyDescent="0.25">
      <c r="A13" t="s">
        <v>3237</v>
      </c>
      <c r="B13" s="2">
        <v>1950</v>
      </c>
      <c r="C13" s="2">
        <v>2289</v>
      </c>
      <c r="D13" s="2">
        <v>2224</v>
      </c>
      <c r="E13" s="2">
        <v>1906</v>
      </c>
      <c r="F13" s="2">
        <v>2089</v>
      </c>
      <c r="G13" s="2">
        <v>2204</v>
      </c>
      <c r="H13" s="2">
        <v>1560</v>
      </c>
      <c r="I13" s="2">
        <v>1224</v>
      </c>
      <c r="J13" s="2">
        <v>1482</v>
      </c>
      <c r="K13">
        <v>848</v>
      </c>
      <c r="L13">
        <v>809</v>
      </c>
      <c r="M13">
        <v>753</v>
      </c>
      <c r="N13">
        <v>696</v>
      </c>
      <c r="O13">
        <v>865.7</v>
      </c>
      <c r="P13">
        <v>978.96</v>
      </c>
      <c r="Q13" s="2">
        <v>1005.8</v>
      </c>
      <c r="R13" s="2">
        <v>1049.24</v>
      </c>
      <c r="S13" s="2">
        <v>1099.53</v>
      </c>
      <c r="T13" s="2">
        <v>1081</v>
      </c>
    </row>
    <row r="14" spans="1:21" x14ac:dyDescent="0.25">
      <c r="A14" t="s">
        <v>3238</v>
      </c>
      <c r="B14" s="2">
        <v>1771</v>
      </c>
      <c r="C14" s="2">
        <v>3762</v>
      </c>
      <c r="D14" s="2">
        <v>2459</v>
      </c>
      <c r="E14" s="2">
        <v>2575</v>
      </c>
      <c r="F14" s="2">
        <v>4277</v>
      </c>
      <c r="G14" s="2">
        <v>5557</v>
      </c>
      <c r="H14" s="2">
        <v>4610</v>
      </c>
      <c r="I14" s="2">
        <v>3863</v>
      </c>
      <c r="J14" s="2">
        <v>6831</v>
      </c>
      <c r="K14" s="2">
        <v>10308</v>
      </c>
      <c r="L14" s="2">
        <v>4612</v>
      </c>
      <c r="M14" s="2">
        <v>3843</v>
      </c>
      <c r="N14" s="2">
        <v>6477</v>
      </c>
      <c r="O14" s="2">
        <v>5761.2</v>
      </c>
      <c r="P14" s="2">
        <v>5876.29</v>
      </c>
      <c r="Q14" s="2">
        <v>5982.05</v>
      </c>
      <c r="R14" s="2">
        <v>6027.99</v>
      </c>
      <c r="S14" s="2">
        <v>6059.24</v>
      </c>
      <c r="T14" s="2">
        <v>6646</v>
      </c>
    </row>
    <row r="15" spans="1:21" x14ac:dyDescent="0.25">
      <c r="A15" t="s">
        <v>121</v>
      </c>
    </row>
    <row r="16" spans="1:21" x14ac:dyDescent="0.25">
      <c r="A16" t="s">
        <v>3239</v>
      </c>
      <c r="B16">
        <v>484</v>
      </c>
      <c r="C16">
        <v>528</v>
      </c>
      <c r="D16">
        <v>562</v>
      </c>
      <c r="E16">
        <v>622</v>
      </c>
      <c r="F16">
        <v>617</v>
      </c>
      <c r="G16">
        <v>669</v>
      </c>
      <c r="H16">
        <v>716</v>
      </c>
      <c r="I16">
        <v>813</v>
      </c>
      <c r="J16">
        <v>864</v>
      </c>
      <c r="K16">
        <v>961</v>
      </c>
      <c r="L16">
        <v>791</v>
      </c>
      <c r="M16" s="2">
        <v>1072</v>
      </c>
      <c r="N16" s="2">
        <v>1158</v>
      </c>
      <c r="O16" s="2">
        <v>1350.25</v>
      </c>
      <c r="P16" s="2">
        <v>1499.8</v>
      </c>
      <c r="Q16" s="2">
        <v>1681.1</v>
      </c>
      <c r="R16" s="2">
        <v>1833.96</v>
      </c>
      <c r="S16" s="2">
        <v>1973.51</v>
      </c>
      <c r="T16" s="2">
        <v>2230.79</v>
      </c>
    </row>
    <row r="17" spans="1:20" x14ac:dyDescent="0.25">
      <c r="A17" t="s">
        <v>3236</v>
      </c>
      <c r="B17">
        <v>143</v>
      </c>
      <c r="C17">
        <v>140</v>
      </c>
      <c r="D17">
        <v>132</v>
      </c>
      <c r="E17">
        <v>138</v>
      </c>
      <c r="F17">
        <v>149</v>
      </c>
      <c r="G17">
        <v>159</v>
      </c>
      <c r="H17">
        <v>181</v>
      </c>
      <c r="I17">
        <v>196</v>
      </c>
      <c r="J17">
        <v>214</v>
      </c>
      <c r="K17">
        <v>272</v>
      </c>
      <c r="L17">
        <v>294</v>
      </c>
      <c r="M17">
        <v>257</v>
      </c>
      <c r="N17">
        <v>295</v>
      </c>
      <c r="O17">
        <v>320.18</v>
      </c>
      <c r="P17">
        <v>348.48</v>
      </c>
      <c r="Q17">
        <v>372.63</v>
      </c>
      <c r="R17">
        <v>394.91</v>
      </c>
      <c r="S17">
        <v>415.3</v>
      </c>
      <c r="T17">
        <v>441.31</v>
      </c>
    </row>
    <row r="18" spans="1:20" x14ac:dyDescent="0.25">
      <c r="A18" t="s">
        <v>3237</v>
      </c>
      <c r="B18">
        <v>70</v>
      </c>
      <c r="C18">
        <v>90</v>
      </c>
      <c r="D18">
        <v>95</v>
      </c>
      <c r="E18">
        <v>95</v>
      </c>
      <c r="F18">
        <v>124</v>
      </c>
      <c r="G18">
        <v>163</v>
      </c>
      <c r="H18">
        <v>133</v>
      </c>
      <c r="I18">
        <v>150</v>
      </c>
      <c r="J18">
        <v>176</v>
      </c>
      <c r="K18">
        <v>93</v>
      </c>
      <c r="L18">
        <v>153</v>
      </c>
      <c r="M18">
        <v>135</v>
      </c>
      <c r="N18">
        <v>154</v>
      </c>
      <c r="O18">
        <v>185.52</v>
      </c>
      <c r="P18">
        <v>214.14</v>
      </c>
      <c r="Q18">
        <v>227.17</v>
      </c>
      <c r="R18">
        <v>262.68</v>
      </c>
      <c r="S18">
        <v>275.16000000000003</v>
      </c>
      <c r="T18">
        <v>295.89999999999998</v>
      </c>
    </row>
    <row r="19" spans="1:20" x14ac:dyDescent="0.25">
      <c r="A19" t="s">
        <v>3238</v>
      </c>
      <c r="B19">
        <v>-3</v>
      </c>
      <c r="C19">
        <v>20</v>
      </c>
      <c r="D19">
        <v>15</v>
      </c>
      <c r="E19">
        <v>25</v>
      </c>
      <c r="F19">
        <v>20</v>
      </c>
      <c r="G19">
        <v>40</v>
      </c>
      <c r="H19">
        <v>30</v>
      </c>
      <c r="I19">
        <v>39</v>
      </c>
      <c r="J19">
        <v>52</v>
      </c>
      <c r="K19">
        <v>14</v>
      </c>
      <c r="L19">
        <v>105</v>
      </c>
      <c r="M19">
        <v>125</v>
      </c>
      <c r="N19">
        <v>123</v>
      </c>
      <c r="O19">
        <v>59.61</v>
      </c>
      <c r="P19">
        <v>52.88</v>
      </c>
      <c r="Q19">
        <v>54.41</v>
      </c>
      <c r="R19">
        <v>55.47</v>
      </c>
      <c r="S19">
        <v>59.38</v>
      </c>
      <c r="T19">
        <v>72.290000000000006</v>
      </c>
    </row>
    <row r="20" spans="1:20" x14ac:dyDescent="0.25">
      <c r="A20" t="s">
        <v>17</v>
      </c>
    </row>
    <row r="21" spans="1:20" x14ac:dyDescent="0.25">
      <c r="A21" t="s">
        <v>91</v>
      </c>
      <c r="B21" s="2">
        <v>1203</v>
      </c>
      <c r="C21" s="2">
        <v>1590</v>
      </c>
      <c r="D21" s="2">
        <v>1239</v>
      </c>
      <c r="E21" s="2">
        <v>1445</v>
      </c>
      <c r="F21" s="2">
        <v>1711</v>
      </c>
      <c r="G21" s="2">
        <v>1594</v>
      </c>
      <c r="H21" s="2">
        <v>1430</v>
      </c>
      <c r="I21" s="2">
        <v>1555</v>
      </c>
      <c r="J21" s="2">
        <v>1495</v>
      </c>
      <c r="K21" s="2">
        <v>1748</v>
      </c>
      <c r="L21" s="2">
        <v>2243</v>
      </c>
      <c r="M21" s="2">
        <v>2091</v>
      </c>
      <c r="N21" s="2">
        <v>2374</v>
      </c>
      <c r="O21" s="2">
        <v>2590.64</v>
      </c>
      <c r="P21" s="2">
        <v>2973.58</v>
      </c>
      <c r="Q21" s="2">
        <v>3270.45</v>
      </c>
      <c r="R21" s="2">
        <v>3556.71</v>
      </c>
      <c r="S21" s="2">
        <v>3730.88</v>
      </c>
      <c r="T21" s="2">
        <v>4482.5600000000004</v>
      </c>
    </row>
    <row r="22" spans="1:20" x14ac:dyDescent="0.25">
      <c r="A22" t="s">
        <v>17</v>
      </c>
    </row>
    <row r="23" spans="1:20" x14ac:dyDescent="0.25">
      <c r="A23" t="s">
        <v>204</v>
      </c>
      <c r="B23" s="2">
        <v>2154</v>
      </c>
      <c r="C23" s="2">
        <v>1845</v>
      </c>
      <c r="D23" s="2">
        <v>1916</v>
      </c>
      <c r="E23" s="2">
        <v>2084</v>
      </c>
      <c r="F23" s="2">
        <v>2117</v>
      </c>
      <c r="G23" s="2">
        <v>2680</v>
      </c>
      <c r="H23" s="2">
        <v>2649</v>
      </c>
      <c r="I23" s="2">
        <v>3697</v>
      </c>
      <c r="J23" s="2">
        <v>3067</v>
      </c>
      <c r="K23" s="2">
        <v>1977</v>
      </c>
      <c r="L23" s="2">
        <v>3220</v>
      </c>
      <c r="M23" s="2">
        <v>3643</v>
      </c>
      <c r="N23" s="2">
        <v>3409</v>
      </c>
      <c r="O23" s="2">
        <v>3617.53</v>
      </c>
      <c r="P23" s="2">
        <v>3997.67</v>
      </c>
      <c r="Q23" s="2">
        <v>4362.72</v>
      </c>
      <c r="R23" s="2">
        <v>4746.97</v>
      </c>
      <c r="S23" s="2">
        <v>5131.1499999999996</v>
      </c>
      <c r="T23" s="2">
        <v>5117.3999999999996</v>
      </c>
    </row>
    <row r="24" spans="1:20" x14ac:dyDescent="0.25">
      <c r="A24" t="s">
        <v>17</v>
      </c>
    </row>
    <row r="25" spans="1:20" x14ac:dyDescent="0.25">
      <c r="A25" t="s">
        <v>37</v>
      </c>
    </row>
    <row r="26" spans="1:20" x14ac:dyDescent="0.25">
      <c r="A26" t="s">
        <v>17</v>
      </c>
    </row>
    <row r="27" spans="1:20" x14ac:dyDescent="0.25">
      <c r="A27" t="s">
        <v>38</v>
      </c>
    </row>
    <row r="28" spans="1:20" x14ac:dyDescent="0.25">
      <c r="A28" t="s">
        <v>3240</v>
      </c>
      <c r="B28" s="2">
        <v>43179</v>
      </c>
      <c r="C28" s="2">
        <v>42448</v>
      </c>
      <c r="D28" s="2">
        <v>42174</v>
      </c>
      <c r="E28" s="2">
        <v>43664</v>
      </c>
      <c r="F28" s="2">
        <v>42323</v>
      </c>
      <c r="G28" s="2">
        <v>43786</v>
      </c>
      <c r="H28" s="2">
        <v>42073</v>
      </c>
      <c r="I28" s="2">
        <v>40629</v>
      </c>
      <c r="J28" s="2">
        <v>41482</v>
      </c>
      <c r="K28" s="2">
        <v>40898</v>
      </c>
      <c r="L28" s="2">
        <v>39123</v>
      </c>
      <c r="M28" s="2">
        <v>40105</v>
      </c>
      <c r="N28" s="2">
        <v>40078</v>
      </c>
      <c r="O28" s="2">
        <v>41111.269999999997</v>
      </c>
      <c r="P28" s="2">
        <v>42305.1</v>
      </c>
      <c r="Q28" s="2">
        <v>44168.18</v>
      </c>
      <c r="R28" s="2">
        <v>45286.18</v>
      </c>
      <c r="S28" s="2">
        <v>45846.04</v>
      </c>
    </row>
    <row r="29" spans="1:20" x14ac:dyDescent="0.25">
      <c r="A29" t="s">
        <v>3241</v>
      </c>
      <c r="B29" s="2">
        <v>15273</v>
      </c>
      <c r="C29" s="2">
        <v>14940</v>
      </c>
      <c r="D29" s="2">
        <v>15001</v>
      </c>
      <c r="E29" s="2">
        <v>15875</v>
      </c>
      <c r="F29" s="2">
        <v>14885</v>
      </c>
      <c r="G29" s="2">
        <v>15959</v>
      </c>
      <c r="H29" s="2">
        <v>15066</v>
      </c>
      <c r="I29" s="2">
        <v>16315</v>
      </c>
      <c r="J29" s="2">
        <v>16386</v>
      </c>
      <c r="K29" s="2">
        <v>15844</v>
      </c>
      <c r="L29" s="2">
        <v>14452</v>
      </c>
      <c r="M29" s="2">
        <v>15131</v>
      </c>
      <c r="N29" s="2">
        <v>15527</v>
      </c>
      <c r="O29" s="2">
        <v>15766.26</v>
      </c>
      <c r="P29" s="2">
        <v>16028.63</v>
      </c>
      <c r="Q29" s="2">
        <v>16283.28</v>
      </c>
      <c r="R29" s="2">
        <v>16543.080000000002</v>
      </c>
      <c r="S29" s="2">
        <v>16802.439999999999</v>
      </c>
    </row>
    <row r="30" spans="1:20" x14ac:dyDescent="0.25">
      <c r="A30" t="s">
        <v>1805</v>
      </c>
      <c r="B30" s="2">
        <v>16661</v>
      </c>
      <c r="C30" s="2">
        <v>16792</v>
      </c>
      <c r="D30" s="2">
        <v>17192</v>
      </c>
      <c r="E30" s="2">
        <v>17521</v>
      </c>
      <c r="F30" s="2">
        <v>17283</v>
      </c>
      <c r="G30" s="2">
        <v>17282</v>
      </c>
      <c r="H30" s="2">
        <v>16955</v>
      </c>
      <c r="I30" s="2">
        <v>15648</v>
      </c>
      <c r="J30" s="2">
        <v>16393</v>
      </c>
      <c r="K30" s="2">
        <v>16296</v>
      </c>
      <c r="L30" s="2">
        <v>15916</v>
      </c>
      <c r="M30" s="2">
        <v>16220</v>
      </c>
      <c r="N30" s="2">
        <v>16090</v>
      </c>
      <c r="O30" s="2">
        <v>16410.88</v>
      </c>
      <c r="P30" s="2">
        <v>16602.48</v>
      </c>
      <c r="Q30" s="2">
        <v>16796.400000000001</v>
      </c>
      <c r="R30" s="2">
        <v>16992.689999999999</v>
      </c>
      <c r="S30" s="2">
        <v>17191.36</v>
      </c>
    </row>
    <row r="31" spans="1:20" x14ac:dyDescent="0.25">
      <c r="A31" t="s">
        <v>566</v>
      </c>
      <c r="B31" s="2">
        <v>10303</v>
      </c>
      <c r="C31" s="2">
        <v>10199</v>
      </c>
      <c r="D31" s="2">
        <v>9690</v>
      </c>
      <c r="E31" s="2">
        <v>10004</v>
      </c>
      <c r="F31" s="2">
        <v>9897</v>
      </c>
      <c r="G31" s="2">
        <v>10324</v>
      </c>
      <c r="H31" s="2">
        <v>9826</v>
      </c>
      <c r="I31" s="2">
        <v>8446</v>
      </c>
      <c r="J31" s="2">
        <v>8487</v>
      </c>
      <c r="K31" s="2">
        <v>8548</v>
      </c>
      <c r="L31" s="2">
        <v>8551</v>
      </c>
      <c r="M31" s="2">
        <v>8555</v>
      </c>
      <c r="N31" s="2">
        <v>8269</v>
      </c>
      <c r="O31" s="2">
        <v>8741.1</v>
      </c>
      <c r="P31" s="2">
        <v>9481.52</v>
      </c>
      <c r="Q31" s="2">
        <v>10895.94</v>
      </c>
      <c r="R31" s="2">
        <v>11557.77</v>
      </c>
      <c r="S31" s="2">
        <v>11659.49</v>
      </c>
    </row>
    <row r="32" spans="1:20" x14ac:dyDescent="0.25">
      <c r="A32" t="s">
        <v>2241</v>
      </c>
      <c r="B32">
        <v>942</v>
      </c>
      <c r="C32">
        <v>517</v>
      </c>
      <c r="D32">
        <v>291</v>
      </c>
      <c r="E32">
        <v>264</v>
      </c>
      <c r="F32">
        <v>258</v>
      </c>
      <c r="G32">
        <v>221</v>
      </c>
      <c r="H32">
        <v>226</v>
      </c>
      <c r="I32">
        <v>220</v>
      </c>
      <c r="J32">
        <v>216</v>
      </c>
      <c r="K32">
        <v>210</v>
      </c>
      <c r="L32">
        <v>204</v>
      </c>
      <c r="M32">
        <v>199</v>
      </c>
      <c r="N32">
        <v>192</v>
      </c>
      <c r="O32">
        <v>193.02</v>
      </c>
      <c r="P32">
        <v>192.47</v>
      </c>
      <c r="Q32">
        <v>192.55</v>
      </c>
      <c r="R32">
        <v>192.65</v>
      </c>
      <c r="S32">
        <v>192.75</v>
      </c>
    </row>
    <row r="33" spans="1:20" x14ac:dyDescent="0.25">
      <c r="A33" t="s">
        <v>17</v>
      </c>
    </row>
    <row r="34" spans="1:20" x14ac:dyDescent="0.25">
      <c r="A34" t="s">
        <v>3242</v>
      </c>
      <c r="B34" s="2">
        <v>6616</v>
      </c>
      <c r="C34" s="2">
        <v>7242</v>
      </c>
      <c r="D34" s="2">
        <v>6283</v>
      </c>
      <c r="E34" s="2">
        <v>5812</v>
      </c>
      <c r="F34" s="2">
        <v>5834</v>
      </c>
      <c r="G34" s="2">
        <v>6445</v>
      </c>
      <c r="H34" s="2">
        <v>6625</v>
      </c>
      <c r="I34" s="2">
        <v>6082</v>
      </c>
      <c r="J34" s="2">
        <v>5845</v>
      </c>
      <c r="K34" s="2">
        <v>6422</v>
      </c>
      <c r="L34" s="2">
        <v>5564</v>
      </c>
      <c r="M34" s="2">
        <v>5306</v>
      </c>
      <c r="N34" s="2">
        <v>6482</v>
      </c>
    </row>
    <row r="35" spans="1:20" x14ac:dyDescent="0.25">
      <c r="A35" t="s">
        <v>3243</v>
      </c>
      <c r="B35">
        <v>865</v>
      </c>
      <c r="C35">
        <v>648</v>
      </c>
      <c r="D35">
        <v>836</v>
      </c>
      <c r="E35" s="2">
        <v>1123</v>
      </c>
      <c r="F35">
        <v>849</v>
      </c>
      <c r="G35" s="2">
        <v>1175</v>
      </c>
      <c r="H35">
        <v>863</v>
      </c>
      <c r="I35">
        <v>961</v>
      </c>
      <c r="J35" s="2">
        <v>1028</v>
      </c>
      <c r="K35">
        <v>980</v>
      </c>
      <c r="L35">
        <v>703</v>
      </c>
      <c r="M35">
        <v>926</v>
      </c>
      <c r="N35">
        <v>898</v>
      </c>
    </row>
    <row r="36" spans="1:20" x14ac:dyDescent="0.25">
      <c r="A36" t="s">
        <v>17</v>
      </c>
    </row>
    <row r="37" spans="1:20" x14ac:dyDescent="0.25">
      <c r="A37" t="s">
        <v>3244</v>
      </c>
    </row>
    <row r="38" spans="1:20" x14ac:dyDescent="0.25">
      <c r="A38" t="s">
        <v>3245</v>
      </c>
      <c r="O38">
        <v>3.34</v>
      </c>
      <c r="P38">
        <v>2.4700000000000002</v>
      </c>
      <c r="Q38">
        <v>1.97</v>
      </c>
      <c r="R38">
        <v>0.94</v>
      </c>
      <c r="S38">
        <v>0.94</v>
      </c>
    </row>
    <row r="39" spans="1:20" x14ac:dyDescent="0.25">
      <c r="A39" t="s">
        <v>3246</v>
      </c>
    </row>
    <row r="40" spans="1:20" x14ac:dyDescent="0.25">
      <c r="A40" t="s">
        <v>17</v>
      </c>
    </row>
    <row r="41" spans="1:20" x14ac:dyDescent="0.25">
      <c r="A41" t="s">
        <v>3247</v>
      </c>
    </row>
    <row r="42" spans="1:20" x14ac:dyDescent="0.25">
      <c r="A42" t="s">
        <v>3248</v>
      </c>
      <c r="O42" s="2">
        <v>29817.200000000001</v>
      </c>
      <c r="P42" s="2">
        <v>33514.730000000003</v>
      </c>
      <c r="Q42" s="2">
        <v>37210.129999999997</v>
      </c>
      <c r="R42" s="2">
        <v>41467.980000000003</v>
      </c>
      <c r="S42" s="2">
        <v>46023.76</v>
      </c>
    </row>
    <row r="43" spans="1:20" x14ac:dyDescent="0.25">
      <c r="A43" t="s">
        <v>3249</v>
      </c>
      <c r="O43">
        <v>87</v>
      </c>
      <c r="P43">
        <v>82</v>
      </c>
      <c r="Q43">
        <v>68</v>
      </c>
      <c r="R43">
        <v>65</v>
      </c>
      <c r="S43">
        <v>60</v>
      </c>
      <c r="T43">
        <v>60</v>
      </c>
    </row>
    <row r="44" spans="1:20" x14ac:dyDescent="0.25">
      <c r="A44" t="s">
        <v>17</v>
      </c>
    </row>
    <row r="45" spans="1:20" x14ac:dyDescent="0.25">
      <c r="A45" t="s">
        <v>3250</v>
      </c>
      <c r="H45" s="2">
        <v>23400</v>
      </c>
      <c r="I45" s="2">
        <v>23500</v>
      </c>
      <c r="J45" s="2">
        <v>26800</v>
      </c>
    </row>
    <row r="46" spans="1:20" x14ac:dyDescent="0.25">
      <c r="A46" t="s">
        <v>3251</v>
      </c>
      <c r="J46" s="2">
        <v>21300</v>
      </c>
      <c r="O46" s="2">
        <v>31696.77</v>
      </c>
      <c r="P46" s="2">
        <v>35637.49</v>
      </c>
      <c r="Q46" s="2">
        <v>39858.400000000001</v>
      </c>
      <c r="R46" s="2">
        <v>44415.43</v>
      </c>
      <c r="S46" s="2">
        <v>47776.33</v>
      </c>
      <c r="T46" s="2">
        <v>51938.91</v>
      </c>
    </row>
    <row r="47" spans="1:20" x14ac:dyDescent="0.25">
      <c r="A47" t="s">
        <v>3252</v>
      </c>
      <c r="J47" s="2">
        <v>5500</v>
      </c>
      <c r="O47" s="2">
        <v>8159.42</v>
      </c>
      <c r="P47" s="2">
        <v>8769.26</v>
      </c>
      <c r="Q47" s="2">
        <v>9379.7000000000007</v>
      </c>
      <c r="R47" s="2">
        <v>9993.52</v>
      </c>
      <c r="S47" s="2">
        <v>10620.07</v>
      </c>
      <c r="T47" s="2">
        <v>11191.61</v>
      </c>
    </row>
    <row r="48" spans="1:20" x14ac:dyDescent="0.25">
      <c r="A48" t="s">
        <v>17</v>
      </c>
    </row>
    <row r="49" spans="1:20" x14ac:dyDescent="0.25">
      <c r="A49" t="s">
        <v>3253</v>
      </c>
      <c r="B49" s="2">
        <v>48379</v>
      </c>
      <c r="C49" s="2">
        <v>47481</v>
      </c>
      <c r="D49" s="2">
        <v>47073</v>
      </c>
      <c r="E49" s="2">
        <v>48600</v>
      </c>
      <c r="F49" s="2">
        <v>47143</v>
      </c>
      <c r="G49" s="2">
        <v>48523</v>
      </c>
      <c r="H49" s="2">
        <v>46623</v>
      </c>
      <c r="I49" s="2">
        <v>44375</v>
      </c>
      <c r="J49" s="2">
        <v>45839</v>
      </c>
      <c r="K49" s="2">
        <v>45384</v>
      </c>
      <c r="L49" s="2">
        <v>51162</v>
      </c>
      <c r="M49" s="2">
        <v>53319</v>
      </c>
      <c r="N49" s="2">
        <v>56283</v>
      </c>
      <c r="O49" s="2">
        <v>46418.89</v>
      </c>
      <c r="P49" s="2">
        <v>48839.93</v>
      </c>
      <c r="Q49" s="2">
        <v>53285.18</v>
      </c>
      <c r="R49" s="2">
        <v>55474.879999999997</v>
      </c>
      <c r="S49" s="2">
        <v>55986.48</v>
      </c>
    </row>
    <row r="50" spans="1:20" x14ac:dyDescent="0.25">
      <c r="A50" t="s">
        <v>17</v>
      </c>
    </row>
    <row r="51" spans="1:20" x14ac:dyDescent="0.25">
      <c r="A51" t="s">
        <v>58</v>
      </c>
    </row>
    <row r="52" spans="1:20" x14ac:dyDescent="0.25">
      <c r="A52" t="s">
        <v>3254</v>
      </c>
    </row>
    <row r="53" spans="1:20" x14ac:dyDescent="0.25">
      <c r="A53" t="s">
        <v>60</v>
      </c>
      <c r="B53" s="2">
        <v>5199</v>
      </c>
      <c r="C53" s="2">
        <v>5283</v>
      </c>
      <c r="D53" s="2">
        <v>4901</v>
      </c>
      <c r="E53" s="2">
        <v>5225</v>
      </c>
      <c r="F53" s="2">
        <v>5102</v>
      </c>
      <c r="G53" s="2">
        <v>5298</v>
      </c>
      <c r="H53" s="2">
        <v>5224</v>
      </c>
      <c r="I53" s="2">
        <v>5520</v>
      </c>
      <c r="J53" s="2">
        <v>5821</v>
      </c>
      <c r="K53" s="2">
        <v>6412</v>
      </c>
      <c r="L53" s="2">
        <v>5818</v>
      </c>
      <c r="M53" s="2">
        <v>6293</v>
      </c>
      <c r="N53" s="2">
        <v>6935</v>
      </c>
      <c r="O53" s="2">
        <v>7143.15</v>
      </c>
      <c r="P53" s="2">
        <v>7573.11</v>
      </c>
      <c r="Q53" s="2">
        <v>8065.59</v>
      </c>
      <c r="R53" s="2">
        <v>8367.69</v>
      </c>
      <c r="S53" s="2">
        <v>8821.0499999999993</v>
      </c>
      <c r="T53" s="2">
        <v>9812.3700000000008</v>
      </c>
    </row>
    <row r="54" spans="1:20" x14ac:dyDescent="0.25">
      <c r="A54" t="s">
        <v>3255</v>
      </c>
      <c r="G54" s="2">
        <v>2494</v>
      </c>
      <c r="H54" s="2">
        <v>2427</v>
      </c>
      <c r="I54" s="2">
        <v>2825</v>
      </c>
      <c r="J54" s="2">
        <v>2926</v>
      </c>
      <c r="K54" s="2">
        <v>2911</v>
      </c>
      <c r="L54" s="2">
        <v>2847</v>
      </c>
      <c r="M54" s="2">
        <v>3045</v>
      </c>
      <c r="N54" s="2">
        <v>3144</v>
      </c>
      <c r="O54" s="2">
        <v>3302.71</v>
      </c>
      <c r="P54" s="2">
        <v>3403.69</v>
      </c>
      <c r="Q54" s="2">
        <v>3470.96</v>
      </c>
      <c r="R54" s="2">
        <v>3780.52</v>
      </c>
      <c r="S54" s="2">
        <v>3992.62</v>
      </c>
    </row>
    <row r="55" spans="1:20" x14ac:dyDescent="0.25">
      <c r="A55" t="s">
        <v>576</v>
      </c>
      <c r="G55">
        <v>690</v>
      </c>
      <c r="H55">
        <v>659</v>
      </c>
      <c r="I55">
        <v>592</v>
      </c>
      <c r="J55">
        <v>628</v>
      </c>
      <c r="K55">
        <v>659</v>
      </c>
      <c r="L55">
        <v>732</v>
      </c>
      <c r="M55">
        <v>715</v>
      </c>
      <c r="N55">
        <v>652</v>
      </c>
      <c r="O55">
        <v>737.26</v>
      </c>
      <c r="P55">
        <v>808.22</v>
      </c>
      <c r="Q55">
        <v>916.87</v>
      </c>
      <c r="R55" s="2">
        <v>1110.8399999999999</v>
      </c>
      <c r="S55" s="2">
        <v>1175.28</v>
      </c>
    </row>
    <row r="56" spans="1:20" x14ac:dyDescent="0.25">
      <c r="A56" t="s">
        <v>1643</v>
      </c>
      <c r="G56" s="2">
        <v>1794</v>
      </c>
      <c r="H56" s="2">
        <v>1795</v>
      </c>
      <c r="I56" s="2">
        <v>1739</v>
      </c>
      <c r="J56" s="2">
        <v>1908</v>
      </c>
      <c r="K56" s="2">
        <v>1958</v>
      </c>
      <c r="L56" s="2">
        <v>2114</v>
      </c>
      <c r="M56" s="2">
        <v>2263</v>
      </c>
      <c r="N56" s="2">
        <v>2195</v>
      </c>
      <c r="O56" s="2">
        <v>2356.86</v>
      </c>
      <c r="P56" s="2">
        <v>2430.0300000000002</v>
      </c>
      <c r="Q56" s="2">
        <v>2485.13</v>
      </c>
      <c r="R56" s="2">
        <v>2732.95</v>
      </c>
      <c r="S56" s="2">
        <v>2895.51</v>
      </c>
    </row>
    <row r="57" spans="1:20" x14ac:dyDescent="0.25">
      <c r="A57" t="s">
        <v>78</v>
      </c>
      <c r="G57">
        <v>320</v>
      </c>
      <c r="H57">
        <v>348</v>
      </c>
      <c r="I57">
        <v>364</v>
      </c>
      <c r="J57">
        <v>359</v>
      </c>
      <c r="K57">
        <v>884</v>
      </c>
      <c r="L57">
        <v>125</v>
      </c>
      <c r="M57">
        <v>270</v>
      </c>
      <c r="N57">
        <v>944</v>
      </c>
      <c r="O57">
        <v>657.48</v>
      </c>
      <c r="P57">
        <v>683.7</v>
      </c>
      <c r="Q57">
        <v>667.97</v>
      </c>
      <c r="R57">
        <v>584.45000000000005</v>
      </c>
      <c r="S57">
        <v>589.87</v>
      </c>
    </row>
    <row r="58" spans="1:20" x14ac:dyDescent="0.25">
      <c r="A58" t="s">
        <v>3256</v>
      </c>
      <c r="B58" s="2">
        <v>1377</v>
      </c>
      <c r="C58" s="2">
        <v>1264</v>
      </c>
      <c r="D58" s="2">
        <v>1280</v>
      </c>
      <c r="E58" s="2">
        <v>1408</v>
      </c>
      <c r="F58" s="2">
        <v>1382</v>
      </c>
      <c r="G58" s="2">
        <v>1437</v>
      </c>
      <c r="H58" s="2">
        <v>1434</v>
      </c>
      <c r="I58" s="2">
        <v>1489</v>
      </c>
      <c r="J58" s="2">
        <v>1556</v>
      </c>
      <c r="K58" s="2">
        <v>1564</v>
      </c>
      <c r="L58" s="2">
        <v>1417</v>
      </c>
      <c r="M58" s="2">
        <v>1439</v>
      </c>
      <c r="N58" s="2">
        <v>1475</v>
      </c>
      <c r="O58" s="2">
        <v>1497.13</v>
      </c>
      <c r="P58" s="2">
        <v>1538.17</v>
      </c>
      <c r="Q58" s="2">
        <v>1583.65</v>
      </c>
      <c r="R58" s="2">
        <v>1622.11</v>
      </c>
      <c r="S58" s="2">
        <v>1652.64</v>
      </c>
      <c r="T58" s="2">
        <v>1556</v>
      </c>
    </row>
    <row r="59" spans="1:20" x14ac:dyDescent="0.25">
      <c r="A59" t="s">
        <v>3257</v>
      </c>
      <c r="B59" s="2">
        <v>1668</v>
      </c>
      <c r="C59" s="2">
        <v>1705</v>
      </c>
      <c r="D59" s="2">
        <v>1573</v>
      </c>
      <c r="E59" s="2">
        <v>1532</v>
      </c>
      <c r="F59" s="2">
        <v>1454</v>
      </c>
      <c r="G59" s="2">
        <v>1552</v>
      </c>
      <c r="H59" s="2">
        <v>1387</v>
      </c>
      <c r="I59" s="2">
        <v>1386</v>
      </c>
      <c r="J59" s="2">
        <v>1531</v>
      </c>
      <c r="K59" s="2">
        <v>1978</v>
      </c>
      <c r="L59" s="2">
        <v>1481</v>
      </c>
      <c r="M59" s="2">
        <v>1605</v>
      </c>
      <c r="N59" s="2">
        <v>1804</v>
      </c>
      <c r="O59" s="2">
        <v>1887.14</v>
      </c>
      <c r="P59" s="2">
        <v>1923.96</v>
      </c>
      <c r="Q59" s="2">
        <v>1972.77</v>
      </c>
      <c r="R59" s="2">
        <v>1995.43</v>
      </c>
      <c r="S59" s="2">
        <v>2026.83</v>
      </c>
      <c r="T59" s="2">
        <v>1977</v>
      </c>
    </row>
    <row r="60" spans="1:20" x14ac:dyDescent="0.25">
      <c r="A60" t="s">
        <v>116</v>
      </c>
      <c r="B60">
        <v>994</v>
      </c>
      <c r="C60" s="2">
        <v>1046</v>
      </c>
      <c r="D60" s="2">
        <v>1070</v>
      </c>
      <c r="E60" s="2">
        <v>1251</v>
      </c>
      <c r="F60" s="2">
        <v>1211</v>
      </c>
      <c r="G60" s="2">
        <v>1167</v>
      </c>
      <c r="H60" s="2">
        <v>1135</v>
      </c>
      <c r="I60" s="2">
        <v>1250</v>
      </c>
      <c r="J60" s="2">
        <v>1290</v>
      </c>
      <c r="K60" s="2">
        <v>1305</v>
      </c>
      <c r="L60" s="2">
        <v>1214</v>
      </c>
      <c r="M60" s="2">
        <v>1437</v>
      </c>
      <c r="N60" s="2">
        <v>1661</v>
      </c>
      <c r="O60" s="2">
        <v>1879.98</v>
      </c>
      <c r="P60" s="2">
        <v>2071.64</v>
      </c>
      <c r="Q60" s="2">
        <v>2295.9699999999998</v>
      </c>
      <c r="R60" s="2">
        <v>2432.12</v>
      </c>
      <c r="S60" s="2">
        <v>2331.71</v>
      </c>
      <c r="T60" s="2">
        <v>3473.4</v>
      </c>
    </row>
    <row r="61" spans="1:20" x14ac:dyDescent="0.25">
      <c r="A61" t="s">
        <v>190</v>
      </c>
      <c r="B61">
        <v>902</v>
      </c>
      <c r="C61">
        <v>933</v>
      </c>
      <c r="D61">
        <v>637</v>
      </c>
      <c r="E61">
        <v>750</v>
      </c>
      <c r="F61">
        <v>753</v>
      </c>
      <c r="G61">
        <v>836</v>
      </c>
      <c r="H61">
        <v>949</v>
      </c>
      <c r="I61" s="2">
        <v>1057</v>
      </c>
      <c r="J61" s="2">
        <v>1122</v>
      </c>
      <c r="K61" s="2">
        <v>1218</v>
      </c>
      <c r="L61" s="2">
        <v>1340</v>
      </c>
      <c r="M61" s="2">
        <v>1447</v>
      </c>
      <c r="N61" s="2">
        <v>1553</v>
      </c>
      <c r="O61" s="2">
        <v>1634.76</v>
      </c>
      <c r="P61" s="2">
        <v>1790.81</v>
      </c>
      <c r="Q61" s="2">
        <v>1954.27</v>
      </c>
      <c r="R61" s="2">
        <v>2124.19</v>
      </c>
      <c r="S61" s="2">
        <v>2316.19</v>
      </c>
      <c r="T61" s="2">
        <v>2370.96</v>
      </c>
    </row>
    <row r="62" spans="1:20" x14ac:dyDescent="0.25">
      <c r="A62" t="s">
        <v>398</v>
      </c>
      <c r="B62">
        <v>1</v>
      </c>
      <c r="C62">
        <v>1</v>
      </c>
      <c r="D62">
        <v>0</v>
      </c>
      <c r="E62">
        <v>8</v>
      </c>
      <c r="F62">
        <v>0</v>
      </c>
      <c r="G62">
        <v>0</v>
      </c>
      <c r="H62">
        <v>2</v>
      </c>
      <c r="I62">
        <v>4</v>
      </c>
      <c r="J62">
        <v>0</v>
      </c>
      <c r="K62">
        <v>8</v>
      </c>
      <c r="L62">
        <v>20</v>
      </c>
      <c r="M62">
        <v>7</v>
      </c>
      <c r="N62">
        <v>9</v>
      </c>
      <c r="O62">
        <v>7.8</v>
      </c>
      <c r="P62">
        <v>8</v>
      </c>
      <c r="Q62">
        <v>8</v>
      </c>
      <c r="R62">
        <v>9.33</v>
      </c>
      <c r="S62">
        <v>9.33</v>
      </c>
    </row>
    <row r="63" spans="1:20" x14ac:dyDescent="0.25">
      <c r="A63" t="s">
        <v>484</v>
      </c>
      <c r="B63">
        <v>268</v>
      </c>
      <c r="C63">
        <v>250</v>
      </c>
      <c r="D63">
        <v>258</v>
      </c>
      <c r="E63">
        <v>264</v>
      </c>
      <c r="F63">
        <v>274</v>
      </c>
      <c r="G63">
        <v>283</v>
      </c>
      <c r="H63">
        <v>315</v>
      </c>
      <c r="I63">
        <v>337</v>
      </c>
      <c r="J63">
        <v>338</v>
      </c>
      <c r="K63">
        <v>372</v>
      </c>
      <c r="L63">
        <v>432</v>
      </c>
      <c r="M63">
        <v>498</v>
      </c>
      <c r="N63">
        <v>555</v>
      </c>
      <c r="O63">
        <v>631.42999999999995</v>
      </c>
      <c r="P63">
        <v>709.84</v>
      </c>
      <c r="Q63">
        <v>808.81</v>
      </c>
      <c r="R63">
        <v>914.49</v>
      </c>
      <c r="S63">
        <v>994.04</v>
      </c>
      <c r="T63" s="2">
        <v>1187.19</v>
      </c>
    </row>
    <row r="64" spans="1:20" x14ac:dyDescent="0.25">
      <c r="A64" t="s">
        <v>3258</v>
      </c>
      <c r="C64">
        <v>268</v>
      </c>
      <c r="D64">
        <v>277</v>
      </c>
      <c r="E64">
        <v>284</v>
      </c>
      <c r="F64">
        <v>302</v>
      </c>
      <c r="G64">
        <v>307</v>
      </c>
      <c r="H64">
        <v>311</v>
      </c>
      <c r="I64">
        <v>297</v>
      </c>
      <c r="J64">
        <v>321</v>
      </c>
      <c r="K64">
        <v>339</v>
      </c>
      <c r="L64">
        <v>339</v>
      </c>
      <c r="M64">
        <v>353</v>
      </c>
      <c r="N64">
        <v>382</v>
      </c>
      <c r="O64">
        <v>387.16</v>
      </c>
      <c r="P64">
        <v>392.79</v>
      </c>
      <c r="Q64">
        <v>401.4</v>
      </c>
      <c r="R64">
        <v>415.46</v>
      </c>
      <c r="S64">
        <v>436.52</v>
      </c>
      <c r="T64">
        <v>435.01</v>
      </c>
    </row>
    <row r="65" spans="1:20" x14ac:dyDescent="0.25">
      <c r="A65" t="s">
        <v>3259</v>
      </c>
      <c r="B65">
        <v>252</v>
      </c>
      <c r="C65">
        <v>296</v>
      </c>
      <c r="D65">
        <v>290</v>
      </c>
      <c r="E65">
        <v>353</v>
      </c>
      <c r="F65">
        <v>321</v>
      </c>
      <c r="G65">
        <v>193</v>
      </c>
      <c r="H65">
        <v>137</v>
      </c>
      <c r="I65">
        <v>108</v>
      </c>
      <c r="J65">
        <v>104</v>
      </c>
      <c r="K65">
        <v>25</v>
      </c>
      <c r="L65">
        <v>78</v>
      </c>
      <c r="M65">
        <v>-31</v>
      </c>
      <c r="N65">
        <v>73</v>
      </c>
      <c r="O65">
        <v>93.33</v>
      </c>
      <c r="P65">
        <v>123.74</v>
      </c>
      <c r="Q65">
        <v>142.19999999999999</v>
      </c>
      <c r="R65">
        <v>223.96</v>
      </c>
      <c r="S65">
        <v>220.93</v>
      </c>
      <c r="T65">
        <v>247.87</v>
      </c>
    </row>
    <row r="66" spans="1:20" x14ac:dyDescent="0.25">
      <c r="A66" t="s">
        <v>996</v>
      </c>
      <c r="C66">
        <v>222</v>
      </c>
      <c r="D66">
        <v>238</v>
      </c>
      <c r="E66">
        <v>276</v>
      </c>
      <c r="F66">
        <v>284</v>
      </c>
      <c r="G66">
        <v>310</v>
      </c>
      <c r="H66">
        <v>284</v>
      </c>
      <c r="I66">
        <v>365</v>
      </c>
      <c r="J66">
        <v>322</v>
      </c>
      <c r="K66">
        <v>324</v>
      </c>
      <c r="L66">
        <v>364</v>
      </c>
      <c r="M66">
        <v>396</v>
      </c>
      <c r="N66">
        <v>430</v>
      </c>
    </row>
    <row r="67" spans="1:20" x14ac:dyDescent="0.25">
      <c r="A67" t="s">
        <v>121</v>
      </c>
      <c r="B67">
        <v>484</v>
      </c>
      <c r="C67">
        <v>528</v>
      </c>
      <c r="D67">
        <v>542</v>
      </c>
      <c r="E67">
        <v>622</v>
      </c>
      <c r="F67">
        <v>606</v>
      </c>
      <c r="G67">
        <v>664</v>
      </c>
      <c r="H67">
        <v>714</v>
      </c>
      <c r="I67">
        <v>777</v>
      </c>
      <c r="J67">
        <v>864</v>
      </c>
      <c r="K67">
        <v>956</v>
      </c>
      <c r="L67">
        <v>772</v>
      </c>
      <c r="M67" s="2">
        <v>1072</v>
      </c>
      <c r="N67" s="2">
        <v>1158</v>
      </c>
      <c r="O67" s="2">
        <v>1353.52</v>
      </c>
      <c r="P67" s="2">
        <v>1512.68</v>
      </c>
      <c r="Q67" s="2">
        <v>1677</v>
      </c>
      <c r="R67" s="2">
        <v>1840.14</v>
      </c>
      <c r="S67" s="2">
        <v>1981.22</v>
      </c>
      <c r="T67" s="2">
        <v>2230.79</v>
      </c>
    </row>
    <row r="68" spans="1:20" x14ac:dyDescent="0.25">
      <c r="A68" t="s">
        <v>124</v>
      </c>
      <c r="B68">
        <v>2.76</v>
      </c>
      <c r="C68">
        <v>2.98</v>
      </c>
      <c r="D68">
        <v>3.03</v>
      </c>
      <c r="E68">
        <v>3.47</v>
      </c>
      <c r="F68">
        <v>3.38</v>
      </c>
      <c r="G68">
        <v>3.66</v>
      </c>
      <c r="H68">
        <v>3.86</v>
      </c>
      <c r="I68">
        <v>4.03</v>
      </c>
      <c r="J68">
        <v>4.46</v>
      </c>
      <c r="K68">
        <v>4.9000000000000004</v>
      </c>
      <c r="L68">
        <v>3.83</v>
      </c>
      <c r="M68">
        <v>5.18</v>
      </c>
      <c r="N68">
        <v>5.57</v>
      </c>
      <c r="O68">
        <v>6.46</v>
      </c>
      <c r="P68">
        <v>7.07</v>
      </c>
      <c r="Q68">
        <v>7.7</v>
      </c>
      <c r="R68">
        <v>8.2899999999999991</v>
      </c>
      <c r="S68">
        <v>8.8699999999999992</v>
      </c>
      <c r="T68">
        <v>9.81</v>
      </c>
    </row>
    <row r="69" spans="1:20" x14ac:dyDescent="0.25">
      <c r="A69" t="s">
        <v>3260</v>
      </c>
      <c r="B69">
        <v>484</v>
      </c>
      <c r="C69">
        <v>528</v>
      </c>
      <c r="D69">
        <v>562</v>
      </c>
      <c r="E69">
        <v>622</v>
      </c>
      <c r="F69">
        <v>617</v>
      </c>
      <c r="G69">
        <v>669</v>
      </c>
      <c r="H69">
        <v>716</v>
      </c>
      <c r="I69">
        <v>813</v>
      </c>
      <c r="J69">
        <v>864</v>
      </c>
      <c r="K69">
        <v>961</v>
      </c>
      <c r="L69">
        <v>791</v>
      </c>
      <c r="M69" s="2">
        <v>1072</v>
      </c>
      <c r="N69" s="2">
        <v>1158</v>
      </c>
      <c r="O69" s="2">
        <v>1350.25</v>
      </c>
      <c r="P69" s="2">
        <v>1499.8</v>
      </c>
      <c r="Q69" s="2">
        <v>1681.1</v>
      </c>
      <c r="R69" s="2">
        <v>1833.96</v>
      </c>
      <c r="S69" s="2">
        <v>1973.51</v>
      </c>
      <c r="T69" s="2">
        <v>2230.79</v>
      </c>
    </row>
    <row r="70" spans="1:20" x14ac:dyDescent="0.25">
      <c r="A70" t="s">
        <v>1021</v>
      </c>
      <c r="B70" s="2">
        <v>18730</v>
      </c>
      <c r="C70" s="2">
        <v>19805</v>
      </c>
      <c r="D70" s="2">
        <v>21391</v>
      </c>
      <c r="E70" s="2">
        <v>22094</v>
      </c>
      <c r="F70" s="2">
        <v>22972</v>
      </c>
      <c r="G70" s="2">
        <v>22747</v>
      </c>
      <c r="H70" s="2">
        <v>24279</v>
      </c>
      <c r="I70" s="2">
        <v>26171</v>
      </c>
      <c r="J70" s="2">
        <v>28849</v>
      </c>
      <c r="K70" s="2">
        <v>30591</v>
      </c>
      <c r="L70" s="2">
        <v>27936</v>
      </c>
      <c r="M70" s="2">
        <v>30801</v>
      </c>
      <c r="N70" s="2">
        <v>33807</v>
      </c>
      <c r="O70" s="2">
        <v>41243.03</v>
      </c>
      <c r="P70" s="2">
        <v>45760.67</v>
      </c>
      <c r="Q70" s="2">
        <v>50320.54</v>
      </c>
      <c r="R70" s="2">
        <v>54472.06</v>
      </c>
      <c r="S70" s="2">
        <v>57360.95</v>
      </c>
      <c r="T70" s="2">
        <v>68281.119999999995</v>
      </c>
    </row>
    <row r="71" spans="1:20" x14ac:dyDescent="0.25">
      <c r="A71" t="s">
        <v>3261</v>
      </c>
      <c r="B71" s="2">
        <v>17508</v>
      </c>
      <c r="C71" s="2">
        <v>18678</v>
      </c>
      <c r="D71" s="2">
        <v>19503</v>
      </c>
      <c r="E71" s="2">
        <v>20417</v>
      </c>
      <c r="F71" s="2">
        <v>21163</v>
      </c>
      <c r="G71" s="2">
        <v>22501</v>
      </c>
      <c r="H71" s="2">
        <v>24617</v>
      </c>
      <c r="I71" s="2">
        <v>26588</v>
      </c>
      <c r="J71" s="2">
        <v>28524</v>
      </c>
      <c r="K71" s="2">
        <v>30342</v>
      </c>
      <c r="L71" s="2">
        <v>32292</v>
      </c>
      <c r="M71" s="2">
        <v>35400</v>
      </c>
      <c r="N71" s="2">
        <v>39370</v>
      </c>
      <c r="O71" s="2">
        <v>42852.1</v>
      </c>
      <c r="P71" s="2">
        <v>46972.22</v>
      </c>
      <c r="Q71" s="2">
        <v>51321.760000000002</v>
      </c>
      <c r="R71" s="2">
        <v>56369.17</v>
      </c>
      <c r="S71" s="2">
        <v>61427.85</v>
      </c>
    </row>
    <row r="72" spans="1:20" x14ac:dyDescent="0.25">
      <c r="A72" t="s">
        <v>3262</v>
      </c>
      <c r="B72" s="2">
        <v>-6951</v>
      </c>
      <c r="C72" s="2">
        <v>-4483</v>
      </c>
      <c r="D72" s="2">
        <v>-7646</v>
      </c>
      <c r="E72" s="2">
        <v>-7721</v>
      </c>
      <c r="F72" s="2">
        <v>-7984</v>
      </c>
      <c r="G72" s="2">
        <v>-7310</v>
      </c>
      <c r="H72" s="2">
        <v>-6706</v>
      </c>
      <c r="I72" s="2">
        <v>-7050</v>
      </c>
      <c r="J72" s="2">
        <v>-7676</v>
      </c>
      <c r="K72" s="2">
        <v>-8095</v>
      </c>
      <c r="L72" s="2">
        <v>-6570</v>
      </c>
      <c r="M72" s="2">
        <v>-7404</v>
      </c>
      <c r="N72" s="2">
        <v>-8239</v>
      </c>
      <c r="O72" s="2">
        <v>-9764.69</v>
      </c>
      <c r="P72" s="2">
        <v>-11598.4</v>
      </c>
      <c r="Q72" s="2">
        <v>-13694.32</v>
      </c>
      <c r="R72" s="2">
        <v>-16064.23</v>
      </c>
      <c r="S72" s="2">
        <v>-18719.88</v>
      </c>
    </row>
    <row r="73" spans="1:20" x14ac:dyDescent="0.25">
      <c r="A73" t="s">
        <v>206</v>
      </c>
      <c r="B73" s="2">
        <v>1325</v>
      </c>
      <c r="C73" s="2">
        <v>1561</v>
      </c>
      <c r="D73" s="2">
        <v>1785</v>
      </c>
      <c r="E73" s="2">
        <v>1503</v>
      </c>
      <c r="F73" s="2">
        <v>1574</v>
      </c>
      <c r="G73" s="2">
        <v>1979</v>
      </c>
      <c r="H73" s="2">
        <v>2368</v>
      </c>
      <c r="I73" s="2">
        <v>2701</v>
      </c>
      <c r="J73" s="2">
        <v>3016</v>
      </c>
      <c r="K73" s="2">
        <v>2620</v>
      </c>
      <c r="L73" s="2">
        <v>3128</v>
      </c>
      <c r="M73" s="2">
        <v>3659</v>
      </c>
      <c r="N73" s="2">
        <v>3892</v>
      </c>
      <c r="O73" s="2">
        <v>5360</v>
      </c>
      <c r="P73" s="2">
        <v>5945.34</v>
      </c>
      <c r="Q73" s="2">
        <v>6246.59</v>
      </c>
      <c r="R73" s="2">
        <v>6670</v>
      </c>
      <c r="S73" s="2">
        <v>6955</v>
      </c>
    </row>
    <row r="74" spans="1:20" x14ac:dyDescent="0.25">
      <c r="A74" t="s">
        <v>17</v>
      </c>
    </row>
    <row r="75" spans="1:20" x14ac:dyDescent="0.25">
      <c r="A75" t="s">
        <v>3263</v>
      </c>
    </row>
    <row r="76" spans="1:20" x14ac:dyDescent="0.25">
      <c r="A76" t="s">
        <v>60</v>
      </c>
      <c r="B76" s="2">
        <v>1474</v>
      </c>
      <c r="C76" s="2">
        <v>1636</v>
      </c>
      <c r="D76" s="2">
        <v>1376</v>
      </c>
      <c r="E76" s="2">
        <v>1324</v>
      </c>
      <c r="F76" s="2">
        <v>1388</v>
      </c>
      <c r="G76" s="2">
        <v>1436</v>
      </c>
      <c r="H76" s="2">
        <v>1482</v>
      </c>
      <c r="I76" s="2">
        <v>1414</v>
      </c>
      <c r="J76" s="2">
        <v>1553</v>
      </c>
      <c r="K76" s="2">
        <v>1924</v>
      </c>
      <c r="L76" s="2">
        <v>1748</v>
      </c>
      <c r="M76" s="2">
        <v>1798</v>
      </c>
      <c r="N76" s="2">
        <v>2052</v>
      </c>
      <c r="O76" s="2">
        <v>2106.79</v>
      </c>
      <c r="P76" s="2">
        <v>2148.7399999999998</v>
      </c>
      <c r="Q76" s="2">
        <v>2176.39</v>
      </c>
      <c r="R76" s="2">
        <v>2202.92</v>
      </c>
      <c r="S76" s="2">
        <v>2237.64</v>
      </c>
      <c r="T76" s="2">
        <v>2483</v>
      </c>
    </row>
    <row r="77" spans="1:20" x14ac:dyDescent="0.25">
      <c r="A77" t="s">
        <v>3264</v>
      </c>
      <c r="H77" s="2">
        <v>1043</v>
      </c>
      <c r="I77">
        <v>971</v>
      </c>
      <c r="J77" s="2">
        <v>1058</v>
      </c>
      <c r="K77" s="2">
        <v>1442</v>
      </c>
      <c r="L77" s="2">
        <v>1324</v>
      </c>
      <c r="M77" s="2">
        <v>1307</v>
      </c>
      <c r="N77" s="2">
        <v>1521</v>
      </c>
    </row>
    <row r="78" spans="1:20" x14ac:dyDescent="0.25">
      <c r="A78" t="s">
        <v>3265</v>
      </c>
      <c r="H78">
        <v>219</v>
      </c>
      <c r="I78">
        <v>218</v>
      </c>
      <c r="J78">
        <v>233</v>
      </c>
      <c r="K78">
        <v>264</v>
      </c>
      <c r="L78">
        <v>250</v>
      </c>
      <c r="M78">
        <v>246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</row>
    <row r="79" spans="1:20" x14ac:dyDescent="0.25">
      <c r="A79" t="s">
        <v>3266</v>
      </c>
      <c r="H79">
        <v>78</v>
      </c>
      <c r="I79">
        <v>79</v>
      </c>
      <c r="J79">
        <v>82</v>
      </c>
      <c r="K79">
        <v>81</v>
      </c>
      <c r="L79">
        <v>85</v>
      </c>
      <c r="M79">
        <v>83</v>
      </c>
      <c r="N79">
        <v>87</v>
      </c>
    </row>
    <row r="80" spans="1:20" x14ac:dyDescent="0.25">
      <c r="A80" t="s">
        <v>3267</v>
      </c>
      <c r="B80">
        <v>850</v>
      </c>
      <c r="C80">
        <v>911</v>
      </c>
      <c r="D80">
        <v>850</v>
      </c>
      <c r="E80">
        <v>870</v>
      </c>
      <c r="F80">
        <v>945</v>
      </c>
      <c r="G80">
        <v>990</v>
      </c>
      <c r="H80" s="2">
        <v>1055</v>
      </c>
      <c r="I80" s="2">
        <v>1058</v>
      </c>
      <c r="J80" s="2">
        <v>1131</v>
      </c>
      <c r="K80" s="2">
        <v>1292</v>
      </c>
      <c r="L80" s="2">
        <v>1274</v>
      </c>
      <c r="M80" s="2">
        <v>1364</v>
      </c>
      <c r="N80" s="2">
        <v>1555</v>
      </c>
      <c r="O80" s="2">
        <v>1482.5</v>
      </c>
      <c r="P80" s="2">
        <v>1543.56</v>
      </c>
      <c r="Q80" s="2">
        <v>1602.38</v>
      </c>
      <c r="R80" s="2">
        <v>1632.91</v>
      </c>
      <c r="S80" s="2">
        <v>1650.7</v>
      </c>
      <c r="T80" s="2">
        <v>1847</v>
      </c>
    </row>
    <row r="81" spans="1:20" x14ac:dyDescent="0.25">
      <c r="A81" t="s">
        <v>3256</v>
      </c>
      <c r="B81">
        <v>429</v>
      </c>
      <c r="C81">
        <v>456</v>
      </c>
      <c r="D81">
        <v>430</v>
      </c>
      <c r="E81">
        <v>440</v>
      </c>
      <c r="F81">
        <v>502</v>
      </c>
      <c r="G81">
        <v>502</v>
      </c>
      <c r="H81">
        <v>515</v>
      </c>
      <c r="I81">
        <v>496</v>
      </c>
      <c r="J81">
        <v>521</v>
      </c>
      <c r="K81">
        <v>552</v>
      </c>
      <c r="L81">
        <v>488</v>
      </c>
      <c r="M81">
        <v>535</v>
      </c>
      <c r="N81">
        <v>606</v>
      </c>
      <c r="O81">
        <v>584.67999999999995</v>
      </c>
      <c r="P81">
        <v>594.86</v>
      </c>
      <c r="Q81">
        <v>604.79999999999995</v>
      </c>
      <c r="R81">
        <v>605.04999999999995</v>
      </c>
      <c r="S81">
        <v>604.58000000000004</v>
      </c>
      <c r="T81">
        <v>642.16999999999996</v>
      </c>
    </row>
    <row r="82" spans="1:20" x14ac:dyDescent="0.25">
      <c r="A82" t="s">
        <v>3268</v>
      </c>
      <c r="B82">
        <v>624</v>
      </c>
      <c r="C82">
        <v>725</v>
      </c>
      <c r="D82">
        <v>526</v>
      </c>
      <c r="E82">
        <v>454</v>
      </c>
      <c r="F82">
        <v>443</v>
      </c>
      <c r="G82">
        <v>446</v>
      </c>
      <c r="H82">
        <v>427</v>
      </c>
      <c r="I82">
        <v>356</v>
      </c>
      <c r="J82">
        <v>422</v>
      </c>
      <c r="K82">
        <v>632</v>
      </c>
      <c r="L82">
        <v>469</v>
      </c>
      <c r="M82">
        <v>484</v>
      </c>
      <c r="N82">
        <v>596</v>
      </c>
      <c r="O82">
        <v>616.29999999999995</v>
      </c>
      <c r="P82">
        <v>616.75</v>
      </c>
      <c r="Q82">
        <v>617.21</v>
      </c>
      <c r="R82">
        <v>617.67999999999995</v>
      </c>
      <c r="S82">
        <v>612.19000000000005</v>
      </c>
      <c r="T82">
        <v>636</v>
      </c>
    </row>
    <row r="83" spans="1:20" x14ac:dyDescent="0.25">
      <c r="A83" t="s">
        <v>116</v>
      </c>
      <c r="B83">
        <v>270</v>
      </c>
      <c r="C83">
        <v>295</v>
      </c>
      <c r="D83">
        <v>254</v>
      </c>
      <c r="E83">
        <v>256</v>
      </c>
      <c r="F83">
        <v>308</v>
      </c>
      <c r="G83">
        <v>282</v>
      </c>
      <c r="H83">
        <v>316</v>
      </c>
      <c r="I83">
        <v>307</v>
      </c>
      <c r="J83">
        <v>336</v>
      </c>
      <c r="K83">
        <v>447</v>
      </c>
      <c r="L83">
        <v>474</v>
      </c>
      <c r="M83">
        <v>434</v>
      </c>
      <c r="N83">
        <v>497</v>
      </c>
      <c r="O83">
        <v>528.59</v>
      </c>
      <c r="P83">
        <v>576.70000000000005</v>
      </c>
      <c r="Q83">
        <v>610.45000000000005</v>
      </c>
      <c r="R83">
        <v>637.89</v>
      </c>
      <c r="S83">
        <v>655.29999999999995</v>
      </c>
      <c r="T83">
        <v>710.41</v>
      </c>
    </row>
    <row r="84" spans="1:20" x14ac:dyDescent="0.25">
      <c r="A84" t="s">
        <v>190</v>
      </c>
      <c r="B84">
        <v>95</v>
      </c>
      <c r="C84">
        <v>99</v>
      </c>
      <c r="D84">
        <v>104</v>
      </c>
      <c r="E84">
        <v>106</v>
      </c>
      <c r="F84">
        <v>123</v>
      </c>
      <c r="G84">
        <v>133</v>
      </c>
      <c r="H84">
        <v>144</v>
      </c>
      <c r="I84">
        <v>157</v>
      </c>
      <c r="J84">
        <v>177</v>
      </c>
      <c r="K84">
        <v>192</v>
      </c>
      <c r="L84">
        <v>209</v>
      </c>
      <c r="M84">
        <v>221</v>
      </c>
      <c r="N84">
        <v>225</v>
      </c>
      <c r="O84">
        <v>240.73</v>
      </c>
      <c r="P84">
        <v>259.37</v>
      </c>
      <c r="Q84">
        <v>277.95999999999998</v>
      </c>
      <c r="R84">
        <v>293.89</v>
      </c>
      <c r="S84">
        <v>315.45999999999998</v>
      </c>
      <c r="T84">
        <v>340.65</v>
      </c>
    </row>
    <row r="85" spans="1:20" x14ac:dyDescent="0.25">
      <c r="A85" t="s">
        <v>398</v>
      </c>
      <c r="B85">
        <v>7</v>
      </c>
      <c r="C85">
        <v>7</v>
      </c>
      <c r="D85">
        <v>7</v>
      </c>
      <c r="E85">
        <v>6</v>
      </c>
      <c r="F85">
        <v>7</v>
      </c>
      <c r="G85">
        <v>6</v>
      </c>
      <c r="H85">
        <v>6</v>
      </c>
      <c r="I85">
        <v>5</v>
      </c>
      <c r="J85">
        <v>6</v>
      </c>
      <c r="K85">
        <v>8</v>
      </c>
      <c r="L85">
        <v>9</v>
      </c>
      <c r="M85">
        <v>10</v>
      </c>
      <c r="N85">
        <v>11</v>
      </c>
      <c r="O85">
        <v>10</v>
      </c>
      <c r="P85">
        <v>10</v>
      </c>
      <c r="Q85">
        <v>8.67</v>
      </c>
      <c r="R85">
        <v>7.33</v>
      </c>
      <c r="S85">
        <v>6</v>
      </c>
    </row>
    <row r="86" spans="1:20" x14ac:dyDescent="0.25">
      <c r="A86" t="s">
        <v>484</v>
      </c>
      <c r="B86">
        <v>58</v>
      </c>
      <c r="C86">
        <v>57</v>
      </c>
      <c r="D86">
        <v>62</v>
      </c>
      <c r="E86">
        <v>60</v>
      </c>
      <c r="F86">
        <v>65</v>
      </c>
      <c r="G86">
        <v>70</v>
      </c>
      <c r="H86">
        <v>78</v>
      </c>
      <c r="I86">
        <v>80</v>
      </c>
      <c r="J86">
        <v>81</v>
      </c>
      <c r="K86">
        <v>91</v>
      </c>
      <c r="L86">
        <v>102</v>
      </c>
      <c r="M86">
        <v>118</v>
      </c>
      <c r="N86">
        <v>132</v>
      </c>
      <c r="O86">
        <v>143.4</v>
      </c>
      <c r="P86">
        <v>155.82</v>
      </c>
      <c r="Q86">
        <v>164.3</v>
      </c>
      <c r="R86">
        <v>174.85</v>
      </c>
      <c r="S86">
        <v>178.97</v>
      </c>
      <c r="T86">
        <v>140</v>
      </c>
    </row>
    <row r="87" spans="1:20" x14ac:dyDescent="0.25">
      <c r="A87" t="s">
        <v>3269</v>
      </c>
      <c r="C87">
        <v>61</v>
      </c>
      <c r="D87">
        <v>62</v>
      </c>
      <c r="E87">
        <v>64</v>
      </c>
      <c r="F87">
        <v>65</v>
      </c>
      <c r="G87">
        <v>73</v>
      </c>
      <c r="H87">
        <v>80</v>
      </c>
      <c r="I87">
        <v>84</v>
      </c>
      <c r="J87">
        <v>93</v>
      </c>
      <c r="K87">
        <v>101</v>
      </c>
      <c r="L87">
        <v>108</v>
      </c>
      <c r="M87">
        <v>118</v>
      </c>
      <c r="N87">
        <v>128</v>
      </c>
      <c r="O87">
        <v>129.68</v>
      </c>
      <c r="P87">
        <v>130.74</v>
      </c>
      <c r="Q87">
        <v>132.49</v>
      </c>
      <c r="R87">
        <v>135.86000000000001</v>
      </c>
      <c r="S87">
        <v>141.1</v>
      </c>
    </row>
    <row r="88" spans="1:20" x14ac:dyDescent="0.25">
      <c r="A88" t="s">
        <v>3259</v>
      </c>
      <c r="B88">
        <v>77</v>
      </c>
      <c r="C88">
        <v>78</v>
      </c>
      <c r="D88">
        <v>72</v>
      </c>
      <c r="E88">
        <v>77</v>
      </c>
      <c r="F88">
        <v>78</v>
      </c>
      <c r="G88">
        <v>67</v>
      </c>
      <c r="H88">
        <v>62</v>
      </c>
      <c r="I88">
        <v>48</v>
      </c>
      <c r="J88">
        <v>38</v>
      </c>
      <c r="K88">
        <v>88</v>
      </c>
      <c r="L88">
        <v>93</v>
      </c>
      <c r="M88">
        <v>77</v>
      </c>
      <c r="N88">
        <v>88</v>
      </c>
      <c r="O88">
        <v>94.12</v>
      </c>
      <c r="P88">
        <v>105.32</v>
      </c>
      <c r="Q88">
        <v>113.89</v>
      </c>
      <c r="R88">
        <v>123.3</v>
      </c>
      <c r="S88">
        <v>132.81</v>
      </c>
      <c r="T88">
        <v>147.1</v>
      </c>
    </row>
    <row r="89" spans="1:20" x14ac:dyDescent="0.25">
      <c r="A89" t="s">
        <v>3270</v>
      </c>
      <c r="C89">
        <v>77</v>
      </c>
      <c r="D89">
        <v>50</v>
      </c>
      <c r="E89">
        <v>41</v>
      </c>
      <c r="F89">
        <v>84</v>
      </c>
      <c r="G89">
        <v>65</v>
      </c>
      <c r="H89">
        <v>69</v>
      </c>
      <c r="I89">
        <v>73</v>
      </c>
      <c r="J89">
        <v>84</v>
      </c>
      <c r="K89">
        <v>87</v>
      </c>
      <c r="L89">
        <v>87</v>
      </c>
      <c r="M89">
        <v>100</v>
      </c>
      <c r="N89">
        <v>114</v>
      </c>
      <c r="O89">
        <v>125.71</v>
      </c>
      <c r="P89">
        <v>153.68</v>
      </c>
      <c r="Q89">
        <v>179.38</v>
      </c>
      <c r="R89">
        <v>207.59</v>
      </c>
      <c r="S89">
        <v>238.49</v>
      </c>
    </row>
    <row r="90" spans="1:20" x14ac:dyDescent="0.25">
      <c r="A90" t="s">
        <v>121</v>
      </c>
      <c r="B90">
        <v>143</v>
      </c>
      <c r="C90">
        <v>140</v>
      </c>
      <c r="D90">
        <v>132</v>
      </c>
      <c r="E90">
        <v>138</v>
      </c>
      <c r="F90">
        <v>146</v>
      </c>
      <c r="G90">
        <v>150</v>
      </c>
      <c r="H90">
        <v>185</v>
      </c>
      <c r="I90">
        <v>186</v>
      </c>
      <c r="J90">
        <v>214</v>
      </c>
      <c r="K90">
        <v>272</v>
      </c>
      <c r="L90">
        <v>294</v>
      </c>
      <c r="M90">
        <v>257</v>
      </c>
      <c r="N90">
        <v>295</v>
      </c>
      <c r="O90">
        <v>320.74</v>
      </c>
      <c r="P90">
        <v>359.84</v>
      </c>
      <c r="Q90">
        <v>388.04</v>
      </c>
      <c r="R90">
        <v>419.95</v>
      </c>
      <c r="S90">
        <v>453.83</v>
      </c>
      <c r="T90">
        <v>441.31</v>
      </c>
    </row>
    <row r="91" spans="1:20" x14ac:dyDescent="0.25">
      <c r="A91" t="s">
        <v>3271</v>
      </c>
      <c r="B91">
        <v>143</v>
      </c>
      <c r="C91">
        <v>140</v>
      </c>
      <c r="D91">
        <v>132</v>
      </c>
      <c r="E91">
        <v>138</v>
      </c>
      <c r="F91">
        <v>149</v>
      </c>
      <c r="G91">
        <v>159</v>
      </c>
      <c r="H91">
        <v>181</v>
      </c>
      <c r="I91">
        <v>196</v>
      </c>
      <c r="J91">
        <v>214</v>
      </c>
      <c r="K91">
        <v>272</v>
      </c>
      <c r="L91">
        <v>294</v>
      </c>
      <c r="M91">
        <v>257</v>
      </c>
      <c r="N91">
        <v>295</v>
      </c>
      <c r="O91">
        <v>320.18</v>
      </c>
      <c r="P91">
        <v>348.48</v>
      </c>
      <c r="Q91">
        <v>372.63</v>
      </c>
      <c r="R91">
        <v>394.91</v>
      </c>
      <c r="S91">
        <v>415.3</v>
      </c>
      <c r="T91">
        <v>441.31</v>
      </c>
    </row>
    <row r="92" spans="1:20" x14ac:dyDescent="0.25">
      <c r="A92" t="s">
        <v>124</v>
      </c>
      <c r="B92">
        <v>0.8</v>
      </c>
      <c r="C92">
        <v>0.79</v>
      </c>
      <c r="D92">
        <v>0.73</v>
      </c>
      <c r="E92">
        <v>0.77</v>
      </c>
      <c r="F92">
        <v>0.81</v>
      </c>
      <c r="G92">
        <v>0.83</v>
      </c>
      <c r="H92">
        <v>1</v>
      </c>
      <c r="I92">
        <v>0.96</v>
      </c>
      <c r="J92">
        <v>1.1000000000000001</v>
      </c>
      <c r="K92">
        <v>1.39</v>
      </c>
      <c r="L92">
        <v>1.43</v>
      </c>
      <c r="M92">
        <v>1.24</v>
      </c>
      <c r="N92">
        <v>1.42</v>
      </c>
      <c r="O92">
        <v>1.53</v>
      </c>
      <c r="P92">
        <v>1.69</v>
      </c>
      <c r="Q92">
        <v>1.78</v>
      </c>
      <c r="R92">
        <v>1.89</v>
      </c>
      <c r="S92">
        <v>2.0299999999999998</v>
      </c>
      <c r="T92">
        <v>1.94</v>
      </c>
    </row>
    <row r="93" spans="1:20" x14ac:dyDescent="0.25">
      <c r="A93" t="s">
        <v>1021</v>
      </c>
      <c r="B93" s="2">
        <v>4101</v>
      </c>
      <c r="C93" s="2">
        <v>4257</v>
      </c>
      <c r="D93" s="2">
        <v>4467</v>
      </c>
      <c r="E93" s="2">
        <v>4810</v>
      </c>
      <c r="F93" s="2">
        <v>5174</v>
      </c>
      <c r="G93" s="2">
        <v>5575</v>
      </c>
      <c r="H93" s="2">
        <v>5978</v>
      </c>
      <c r="I93" s="2">
        <v>6434</v>
      </c>
      <c r="J93" s="2">
        <v>6908</v>
      </c>
      <c r="K93" s="2">
        <v>7517</v>
      </c>
      <c r="L93" s="2">
        <v>8029</v>
      </c>
      <c r="M93" s="2">
        <v>8632</v>
      </c>
      <c r="N93" s="2">
        <v>9212</v>
      </c>
      <c r="O93" s="2">
        <v>9916.58</v>
      </c>
      <c r="P93" s="2">
        <v>10608.71</v>
      </c>
      <c r="Q93" s="2">
        <v>11303.58</v>
      </c>
      <c r="R93" s="2">
        <v>12064.96</v>
      </c>
      <c r="S93" s="2">
        <v>12899.13</v>
      </c>
    </row>
    <row r="94" spans="1:20" x14ac:dyDescent="0.25">
      <c r="A94" t="s">
        <v>3262</v>
      </c>
      <c r="B94" s="2">
        <v>-1605</v>
      </c>
      <c r="C94" s="2">
        <v>-1635</v>
      </c>
      <c r="D94" s="2">
        <v>-1680</v>
      </c>
      <c r="E94" s="2">
        <v>-1720</v>
      </c>
      <c r="F94" s="2">
        <v>-1781</v>
      </c>
      <c r="G94" s="2">
        <v>-1852</v>
      </c>
      <c r="H94" s="2">
        <v>-1915</v>
      </c>
      <c r="I94" s="2">
        <v>-1764</v>
      </c>
      <c r="J94" s="2">
        <v>-1845</v>
      </c>
      <c r="K94" s="2">
        <v>-1954</v>
      </c>
      <c r="L94" s="2">
        <v>-1990</v>
      </c>
      <c r="M94" s="2">
        <v>-1945</v>
      </c>
      <c r="N94" s="2">
        <v>-2072</v>
      </c>
      <c r="O94" s="2">
        <v>-2258.69</v>
      </c>
      <c r="P94" s="2">
        <v>-2512.27</v>
      </c>
      <c r="Q94" s="2">
        <v>-2784.32</v>
      </c>
      <c r="R94" s="2">
        <v>-3077.92</v>
      </c>
      <c r="S94" s="2">
        <v>-3399.23</v>
      </c>
    </row>
    <row r="95" spans="1:20" x14ac:dyDescent="0.25">
      <c r="A95" t="s">
        <v>206</v>
      </c>
      <c r="B95">
        <v>209</v>
      </c>
      <c r="C95">
        <v>224</v>
      </c>
      <c r="D95">
        <v>273</v>
      </c>
      <c r="E95">
        <v>395</v>
      </c>
      <c r="F95">
        <v>463</v>
      </c>
      <c r="G95">
        <v>460</v>
      </c>
      <c r="H95">
        <v>530</v>
      </c>
      <c r="I95">
        <v>574</v>
      </c>
      <c r="J95">
        <v>621</v>
      </c>
      <c r="K95">
        <v>693</v>
      </c>
      <c r="L95">
        <v>746</v>
      </c>
      <c r="M95">
        <v>740</v>
      </c>
      <c r="N95">
        <v>661</v>
      </c>
      <c r="O95">
        <v>-867.64</v>
      </c>
      <c r="P95">
        <v>-865.44</v>
      </c>
      <c r="Q95">
        <v>-867.62</v>
      </c>
      <c r="R95">
        <v>-925.85</v>
      </c>
      <c r="S95">
        <v>-998.65</v>
      </c>
    </row>
    <row r="96" spans="1:20" x14ac:dyDescent="0.25">
      <c r="A96" t="s">
        <v>17</v>
      </c>
    </row>
    <row r="97" spans="1:20" x14ac:dyDescent="0.25">
      <c r="A97" t="s">
        <v>3272</v>
      </c>
    </row>
    <row r="98" spans="1:20" x14ac:dyDescent="0.25">
      <c r="A98" t="s">
        <v>116</v>
      </c>
      <c r="B98">
        <v>-54</v>
      </c>
      <c r="C98">
        <v>255</v>
      </c>
      <c r="D98">
        <v>-72</v>
      </c>
      <c r="E98">
        <v>-14</v>
      </c>
      <c r="F98">
        <v>208</v>
      </c>
      <c r="G98">
        <v>172</v>
      </c>
      <c r="H98">
        <v>261</v>
      </c>
      <c r="O98" s="2">
        <v>6478.83</v>
      </c>
      <c r="P98" s="2">
        <v>6487.23</v>
      </c>
      <c r="Q98" s="2">
        <v>6719.3</v>
      </c>
      <c r="R98" s="2">
        <v>6877.06</v>
      </c>
      <c r="S98" s="2">
        <v>7133.57</v>
      </c>
    </row>
    <row r="99" spans="1:20" x14ac:dyDescent="0.25">
      <c r="A99" t="s">
        <v>17</v>
      </c>
    </row>
    <row r="100" spans="1:20" x14ac:dyDescent="0.25">
      <c r="A100" t="s">
        <v>3273</v>
      </c>
    </row>
    <row r="101" spans="1:20" x14ac:dyDescent="0.25">
      <c r="A101" t="s">
        <v>60</v>
      </c>
      <c r="B101">
        <v>132</v>
      </c>
      <c r="C101">
        <v>203</v>
      </c>
      <c r="D101">
        <v>243</v>
      </c>
      <c r="E101">
        <v>302</v>
      </c>
      <c r="F101">
        <v>453</v>
      </c>
      <c r="G101">
        <v>485</v>
      </c>
      <c r="H101">
        <v>501</v>
      </c>
      <c r="I101">
        <v>754</v>
      </c>
    </row>
    <row r="102" spans="1:20" x14ac:dyDescent="0.25">
      <c r="A102" t="s">
        <v>3256</v>
      </c>
      <c r="B102">
        <v>25</v>
      </c>
      <c r="C102">
        <v>46</v>
      </c>
      <c r="D102">
        <v>58</v>
      </c>
      <c r="E102">
        <v>81</v>
      </c>
      <c r="F102">
        <v>83</v>
      </c>
      <c r="G102">
        <v>103</v>
      </c>
      <c r="H102">
        <v>120</v>
      </c>
      <c r="I102">
        <v>151</v>
      </c>
    </row>
    <row r="103" spans="1:20" x14ac:dyDescent="0.25">
      <c r="A103" t="s">
        <v>3257</v>
      </c>
      <c r="E103">
        <v>6</v>
      </c>
      <c r="F103">
        <v>30</v>
      </c>
      <c r="G103">
        <v>22</v>
      </c>
      <c r="H103">
        <v>18</v>
      </c>
      <c r="I103">
        <v>21</v>
      </c>
    </row>
    <row r="104" spans="1:20" x14ac:dyDescent="0.25">
      <c r="A104" t="s">
        <v>116</v>
      </c>
      <c r="B104">
        <v>81</v>
      </c>
      <c r="C104">
        <v>118</v>
      </c>
      <c r="D104">
        <v>150</v>
      </c>
      <c r="E104">
        <v>166</v>
      </c>
      <c r="F104">
        <v>254</v>
      </c>
      <c r="G104">
        <v>270</v>
      </c>
      <c r="H104">
        <v>260</v>
      </c>
      <c r="I104">
        <v>418</v>
      </c>
    </row>
    <row r="105" spans="1:20" x14ac:dyDescent="0.25">
      <c r="A105" t="s">
        <v>190</v>
      </c>
      <c r="B105">
        <v>23</v>
      </c>
      <c r="C105">
        <v>34</v>
      </c>
      <c r="D105">
        <v>30</v>
      </c>
      <c r="E105">
        <v>45</v>
      </c>
      <c r="F105">
        <v>76</v>
      </c>
      <c r="G105">
        <v>82</v>
      </c>
      <c r="H105">
        <v>94</v>
      </c>
      <c r="I105">
        <v>151</v>
      </c>
    </row>
    <row r="106" spans="1:20" x14ac:dyDescent="0.25">
      <c r="A106" t="s">
        <v>3274</v>
      </c>
      <c r="C106">
        <v>-19</v>
      </c>
      <c r="D106">
        <v>-29</v>
      </c>
      <c r="E106">
        <v>-31</v>
      </c>
      <c r="F106">
        <v>-18</v>
      </c>
      <c r="G106">
        <v>-61</v>
      </c>
      <c r="H106">
        <v>-34</v>
      </c>
      <c r="I106">
        <v>-25</v>
      </c>
      <c r="O106">
        <v>-5.18</v>
      </c>
      <c r="P106">
        <v>-7.96</v>
      </c>
      <c r="Q106">
        <v>-3.69</v>
      </c>
      <c r="R106">
        <v>-3</v>
      </c>
      <c r="S106">
        <v>-3</v>
      </c>
    </row>
    <row r="107" spans="1:20" x14ac:dyDescent="0.25">
      <c r="A107" t="s">
        <v>121</v>
      </c>
      <c r="B107">
        <v>70</v>
      </c>
      <c r="C107">
        <v>82</v>
      </c>
      <c r="D107">
        <v>107</v>
      </c>
      <c r="E107">
        <v>127</v>
      </c>
      <c r="F107">
        <v>160</v>
      </c>
      <c r="G107">
        <v>233</v>
      </c>
      <c r="H107">
        <v>213</v>
      </c>
      <c r="I107">
        <v>303</v>
      </c>
      <c r="O107">
        <v>424.87</v>
      </c>
      <c r="P107">
        <v>561.29</v>
      </c>
      <c r="Q107">
        <v>621.97</v>
      </c>
      <c r="R107">
        <v>692.83</v>
      </c>
      <c r="S107">
        <v>754.51</v>
      </c>
      <c r="T107">
        <v>788.69</v>
      </c>
    </row>
    <row r="108" spans="1:20" x14ac:dyDescent="0.25">
      <c r="A108" t="s">
        <v>17</v>
      </c>
    </row>
    <row r="109" spans="1:20" x14ac:dyDescent="0.25">
      <c r="A109" t="s">
        <v>3275</v>
      </c>
    </row>
    <row r="110" spans="1:20" x14ac:dyDescent="0.25">
      <c r="A110" t="s">
        <v>60</v>
      </c>
      <c r="B110" s="2">
        <v>1950</v>
      </c>
      <c r="C110" s="2">
        <v>2289</v>
      </c>
      <c r="D110" s="2">
        <v>2224</v>
      </c>
      <c r="E110" s="2">
        <v>1906</v>
      </c>
      <c r="F110" s="2">
        <v>2089</v>
      </c>
      <c r="G110" s="2">
        <v>2204</v>
      </c>
      <c r="H110" s="2">
        <v>1560</v>
      </c>
      <c r="I110" s="2">
        <v>1224</v>
      </c>
      <c r="J110" s="2">
        <v>1482</v>
      </c>
      <c r="K110">
        <v>848</v>
      </c>
      <c r="L110">
        <v>809</v>
      </c>
      <c r="M110">
        <v>753</v>
      </c>
      <c r="N110">
        <v>696</v>
      </c>
      <c r="O110">
        <v>865.7</v>
      </c>
      <c r="P110">
        <v>978.96</v>
      </c>
      <c r="Q110" s="2">
        <v>1005.8</v>
      </c>
      <c r="R110" s="2">
        <v>1049.24</v>
      </c>
      <c r="S110" s="2">
        <v>1099.53</v>
      </c>
      <c r="T110" s="2">
        <v>1081</v>
      </c>
    </row>
    <row r="111" spans="1:20" x14ac:dyDescent="0.25">
      <c r="A111" t="s">
        <v>3256</v>
      </c>
      <c r="B111">
        <v>343</v>
      </c>
      <c r="C111">
        <v>368</v>
      </c>
      <c r="D111">
        <v>379</v>
      </c>
      <c r="E111">
        <v>317</v>
      </c>
      <c r="F111">
        <v>342</v>
      </c>
      <c r="G111">
        <v>363</v>
      </c>
      <c r="H111">
        <v>328</v>
      </c>
      <c r="I111">
        <v>294</v>
      </c>
      <c r="J111">
        <v>301</v>
      </c>
      <c r="K111">
        <v>267</v>
      </c>
      <c r="L111">
        <v>232</v>
      </c>
      <c r="M111">
        <v>261</v>
      </c>
      <c r="N111">
        <v>265</v>
      </c>
      <c r="O111">
        <v>306.39</v>
      </c>
      <c r="P111">
        <v>295.02999999999997</v>
      </c>
      <c r="Q111">
        <v>296.23</v>
      </c>
      <c r="R111">
        <v>302.69</v>
      </c>
      <c r="S111">
        <v>306.63</v>
      </c>
      <c r="T111">
        <v>389</v>
      </c>
    </row>
    <row r="112" spans="1:20" x14ac:dyDescent="0.25">
      <c r="A112" t="s">
        <v>3257</v>
      </c>
      <c r="C112" s="2">
        <v>1913</v>
      </c>
      <c r="D112" s="2">
        <v>1837</v>
      </c>
      <c r="E112" s="2">
        <v>1640</v>
      </c>
      <c r="F112" s="2">
        <v>1813</v>
      </c>
      <c r="G112" s="2">
        <v>1888</v>
      </c>
      <c r="H112" s="2">
        <v>1220</v>
      </c>
      <c r="I112">
        <v>901</v>
      </c>
      <c r="J112" s="2">
        <v>1086</v>
      </c>
      <c r="K112">
        <v>431</v>
      </c>
      <c r="L112">
        <v>421</v>
      </c>
      <c r="M112">
        <v>378</v>
      </c>
      <c r="N112">
        <v>341</v>
      </c>
      <c r="O112">
        <v>434.99</v>
      </c>
      <c r="P112">
        <v>461.35</v>
      </c>
      <c r="Q112">
        <v>463.74</v>
      </c>
      <c r="R112">
        <v>467.39</v>
      </c>
      <c r="S112">
        <v>484.13</v>
      </c>
      <c r="T112">
        <v>397</v>
      </c>
    </row>
    <row r="113" spans="1:20" x14ac:dyDescent="0.25">
      <c r="A113" t="s">
        <v>3258</v>
      </c>
      <c r="C113">
        <v>15</v>
      </c>
      <c r="D113">
        <v>15</v>
      </c>
      <c r="E113">
        <v>13</v>
      </c>
      <c r="F113">
        <v>11</v>
      </c>
      <c r="G113">
        <v>12</v>
      </c>
      <c r="H113">
        <v>11</v>
      </c>
      <c r="I113">
        <v>10</v>
      </c>
      <c r="J113">
        <v>11</v>
      </c>
      <c r="K113">
        <v>10</v>
      </c>
      <c r="L113">
        <v>9</v>
      </c>
      <c r="M113">
        <v>11</v>
      </c>
      <c r="N113">
        <v>14</v>
      </c>
      <c r="O113">
        <v>16.61</v>
      </c>
      <c r="P113">
        <v>15</v>
      </c>
      <c r="Q113">
        <v>15.06</v>
      </c>
      <c r="R113">
        <v>15.35</v>
      </c>
      <c r="S113">
        <v>15.28</v>
      </c>
      <c r="T113">
        <v>14</v>
      </c>
    </row>
    <row r="114" spans="1:20" x14ac:dyDescent="0.25">
      <c r="A114" t="s">
        <v>116</v>
      </c>
      <c r="B114">
        <v>-47</v>
      </c>
      <c r="C114">
        <v>-72</v>
      </c>
      <c r="D114">
        <v>-191</v>
      </c>
      <c r="E114">
        <v>-135</v>
      </c>
      <c r="F114">
        <v>-169</v>
      </c>
      <c r="G114">
        <v>-153</v>
      </c>
      <c r="H114">
        <v>-69</v>
      </c>
      <c r="I114">
        <v>-35</v>
      </c>
      <c r="J114">
        <v>-15</v>
      </c>
      <c r="K114">
        <v>95</v>
      </c>
      <c r="L114">
        <v>104</v>
      </c>
      <c r="M114">
        <v>34</v>
      </c>
      <c r="N114">
        <v>15</v>
      </c>
      <c r="O114">
        <v>38.270000000000003</v>
      </c>
      <c r="P114">
        <v>133.59</v>
      </c>
      <c r="Q114">
        <v>151.41999999999999</v>
      </c>
      <c r="R114">
        <v>183.46</v>
      </c>
      <c r="S114">
        <v>213.36</v>
      </c>
      <c r="T114">
        <v>180</v>
      </c>
    </row>
    <row r="115" spans="1:20" x14ac:dyDescent="0.25">
      <c r="A115" t="s">
        <v>190</v>
      </c>
      <c r="B115">
        <v>72</v>
      </c>
      <c r="C115">
        <v>77</v>
      </c>
      <c r="D115">
        <v>78</v>
      </c>
      <c r="E115">
        <v>72</v>
      </c>
      <c r="F115">
        <v>72</v>
      </c>
      <c r="G115">
        <v>67</v>
      </c>
      <c r="H115">
        <v>69</v>
      </c>
      <c r="I115">
        <v>72</v>
      </c>
      <c r="J115">
        <v>71</v>
      </c>
      <c r="K115">
        <v>52</v>
      </c>
      <c r="L115">
        <v>53</v>
      </c>
      <c r="M115">
        <v>59</v>
      </c>
      <c r="N115">
        <v>59</v>
      </c>
      <c r="O115">
        <v>64.010000000000005</v>
      </c>
      <c r="P115">
        <v>70.180000000000007</v>
      </c>
      <c r="Q115">
        <v>76.06</v>
      </c>
      <c r="R115">
        <v>78.59</v>
      </c>
      <c r="S115">
        <v>82.13</v>
      </c>
      <c r="T115">
        <v>101</v>
      </c>
    </row>
    <row r="116" spans="1:20" x14ac:dyDescent="0.25">
      <c r="A116" t="s">
        <v>484</v>
      </c>
      <c r="B116">
        <v>27</v>
      </c>
      <c r="C116">
        <v>28</v>
      </c>
      <c r="D116">
        <v>32</v>
      </c>
      <c r="E116">
        <v>32</v>
      </c>
      <c r="F116">
        <v>29</v>
      </c>
      <c r="G116">
        <v>31</v>
      </c>
      <c r="H116">
        <v>33</v>
      </c>
      <c r="I116">
        <v>37</v>
      </c>
      <c r="J116">
        <v>28</v>
      </c>
      <c r="K116">
        <v>15</v>
      </c>
      <c r="L116">
        <v>15</v>
      </c>
      <c r="M116">
        <v>28</v>
      </c>
      <c r="N116">
        <v>30</v>
      </c>
      <c r="O116">
        <v>29</v>
      </c>
      <c r="P116">
        <v>29</v>
      </c>
      <c r="Q116">
        <v>29</v>
      </c>
      <c r="R116">
        <v>29</v>
      </c>
      <c r="S116">
        <v>30</v>
      </c>
    </row>
    <row r="117" spans="1:20" x14ac:dyDescent="0.25">
      <c r="A117" t="s">
        <v>996</v>
      </c>
      <c r="C117">
        <v>-66</v>
      </c>
      <c r="D117">
        <v>-58</v>
      </c>
      <c r="E117">
        <v>-49</v>
      </c>
      <c r="F117">
        <v>-63</v>
      </c>
      <c r="G117">
        <v>-89</v>
      </c>
      <c r="H117">
        <v>-126</v>
      </c>
      <c r="I117">
        <v>-120</v>
      </c>
      <c r="J117">
        <v>-142</v>
      </c>
      <c r="K117">
        <v>-15</v>
      </c>
      <c r="L117">
        <v>-27</v>
      </c>
      <c r="M117">
        <v>-64</v>
      </c>
      <c r="N117">
        <v>-78</v>
      </c>
      <c r="O117">
        <v>-75.459999999999994</v>
      </c>
      <c r="P117">
        <v>-88.92</v>
      </c>
      <c r="Q117">
        <v>-88.92</v>
      </c>
      <c r="R117">
        <v>-121.84</v>
      </c>
      <c r="S117">
        <v>-121.84</v>
      </c>
    </row>
    <row r="118" spans="1:20" x14ac:dyDescent="0.25">
      <c r="A118" t="s">
        <v>3259</v>
      </c>
      <c r="B118">
        <v>-45</v>
      </c>
      <c r="C118">
        <v>-100</v>
      </c>
      <c r="D118">
        <v>-140</v>
      </c>
      <c r="E118">
        <v>-140</v>
      </c>
      <c r="F118">
        <v>-195</v>
      </c>
      <c r="G118">
        <v>-195</v>
      </c>
      <c r="H118">
        <v>-63</v>
      </c>
      <c r="I118">
        <v>-40</v>
      </c>
      <c r="J118">
        <v>-31</v>
      </c>
      <c r="K118">
        <v>18</v>
      </c>
      <c r="L118">
        <v>-22</v>
      </c>
      <c r="M118">
        <v>-37</v>
      </c>
      <c r="N118">
        <v>-61</v>
      </c>
      <c r="O118">
        <v>-35.08</v>
      </c>
      <c r="P118">
        <v>1.78</v>
      </c>
      <c r="Q118">
        <v>24.69</v>
      </c>
      <c r="R118">
        <v>58.86</v>
      </c>
      <c r="S118">
        <v>68.569999999999993</v>
      </c>
      <c r="T118">
        <v>-16.190000000000001</v>
      </c>
    </row>
    <row r="119" spans="1:20" x14ac:dyDescent="0.25">
      <c r="A119" t="s">
        <v>121</v>
      </c>
      <c r="B119">
        <v>70</v>
      </c>
      <c r="C119">
        <v>90</v>
      </c>
      <c r="D119">
        <v>95</v>
      </c>
      <c r="E119">
        <v>95</v>
      </c>
      <c r="F119">
        <v>124</v>
      </c>
      <c r="G119">
        <v>163</v>
      </c>
      <c r="H119">
        <v>133</v>
      </c>
      <c r="I119">
        <v>150</v>
      </c>
      <c r="J119">
        <v>176</v>
      </c>
      <c r="K119">
        <v>93</v>
      </c>
      <c r="L119">
        <v>153</v>
      </c>
      <c r="M119">
        <v>135</v>
      </c>
      <c r="N119">
        <v>154</v>
      </c>
      <c r="O119">
        <v>185.52</v>
      </c>
      <c r="P119">
        <v>214.14</v>
      </c>
      <c r="Q119">
        <v>227.17</v>
      </c>
      <c r="R119">
        <v>262.68</v>
      </c>
      <c r="S119">
        <v>275.16000000000003</v>
      </c>
      <c r="T119">
        <v>295.89999999999998</v>
      </c>
    </row>
    <row r="120" spans="1:20" x14ac:dyDescent="0.25">
      <c r="A120" t="s">
        <v>3271</v>
      </c>
      <c r="B120">
        <v>66</v>
      </c>
      <c r="C120">
        <v>90</v>
      </c>
      <c r="D120">
        <v>16</v>
      </c>
      <c r="E120">
        <v>95</v>
      </c>
      <c r="F120">
        <v>138</v>
      </c>
      <c r="G120">
        <v>161</v>
      </c>
      <c r="H120">
        <v>133</v>
      </c>
      <c r="I120">
        <v>134</v>
      </c>
      <c r="J120">
        <v>168</v>
      </c>
      <c r="K120">
        <v>92</v>
      </c>
      <c r="L120">
        <v>153</v>
      </c>
      <c r="M120">
        <v>135</v>
      </c>
      <c r="N120">
        <v>154</v>
      </c>
      <c r="O120">
        <v>120.7</v>
      </c>
      <c r="P120">
        <v>214.65</v>
      </c>
      <c r="Q120">
        <v>227.35</v>
      </c>
      <c r="R120">
        <v>269.19</v>
      </c>
      <c r="S120">
        <v>306.89999999999998</v>
      </c>
      <c r="T120">
        <v>295.89999999999998</v>
      </c>
    </row>
    <row r="121" spans="1:20" x14ac:dyDescent="0.25">
      <c r="A121" t="s">
        <v>124</v>
      </c>
      <c r="B121">
        <v>0.38</v>
      </c>
      <c r="C121">
        <v>0.51</v>
      </c>
      <c r="D121">
        <v>0.09</v>
      </c>
      <c r="E121">
        <v>0.53</v>
      </c>
      <c r="F121">
        <v>0.77</v>
      </c>
      <c r="G121">
        <v>0.89</v>
      </c>
      <c r="H121">
        <v>0.72</v>
      </c>
      <c r="I121">
        <v>0.69</v>
      </c>
      <c r="J121">
        <v>0.28000000000000003</v>
      </c>
      <c r="K121">
        <v>0.48</v>
      </c>
      <c r="L121">
        <v>0.74</v>
      </c>
      <c r="M121">
        <v>0.65</v>
      </c>
      <c r="N121">
        <v>0.74</v>
      </c>
      <c r="O121">
        <v>0.74</v>
      </c>
      <c r="P121">
        <v>0.99</v>
      </c>
      <c r="Q121">
        <v>1.04</v>
      </c>
      <c r="R121">
        <v>1.1499999999999999</v>
      </c>
      <c r="S121">
        <v>1.2</v>
      </c>
      <c r="T121">
        <v>1.3</v>
      </c>
    </row>
    <row r="122" spans="1:20" x14ac:dyDescent="0.25">
      <c r="A122" t="s">
        <v>3276</v>
      </c>
      <c r="B122">
        <v>93</v>
      </c>
      <c r="C122">
        <v>77</v>
      </c>
      <c r="D122">
        <v>36</v>
      </c>
      <c r="E122">
        <v>39</v>
      </c>
      <c r="F122">
        <v>56</v>
      </c>
      <c r="G122">
        <v>91</v>
      </c>
      <c r="H122">
        <v>54</v>
      </c>
      <c r="I122">
        <v>186</v>
      </c>
      <c r="J122">
        <v>69</v>
      </c>
      <c r="K122">
        <v>62</v>
      </c>
      <c r="L122">
        <v>57</v>
      </c>
      <c r="M122">
        <v>65</v>
      </c>
      <c r="N122">
        <v>80</v>
      </c>
      <c r="O122">
        <v>-337.5</v>
      </c>
      <c r="P122">
        <v>-375</v>
      </c>
      <c r="Q122">
        <v>-412.5</v>
      </c>
      <c r="R122">
        <v>-437.5</v>
      </c>
      <c r="S122">
        <v>-437.5</v>
      </c>
      <c r="T122">
        <v>-400</v>
      </c>
    </row>
    <row r="123" spans="1:20" x14ac:dyDescent="0.25">
      <c r="A123" t="s">
        <v>17</v>
      </c>
    </row>
    <row r="124" spans="1:20" x14ac:dyDescent="0.25">
      <c r="A124" t="s">
        <v>3277</v>
      </c>
    </row>
    <row r="125" spans="1:20" x14ac:dyDescent="0.25">
      <c r="A125" t="s">
        <v>60</v>
      </c>
      <c r="B125" s="2">
        <v>1771</v>
      </c>
      <c r="C125" s="2">
        <v>3762</v>
      </c>
      <c r="D125" s="2">
        <v>2459</v>
      </c>
      <c r="E125" s="2">
        <v>2575</v>
      </c>
      <c r="F125" s="2">
        <v>4277</v>
      </c>
      <c r="G125" s="2">
        <v>5557</v>
      </c>
      <c r="H125" s="2">
        <v>4610</v>
      </c>
      <c r="I125" s="2">
        <v>3863</v>
      </c>
      <c r="J125" s="2">
        <v>6831</v>
      </c>
      <c r="K125" s="2">
        <v>10308</v>
      </c>
      <c r="L125" s="2">
        <v>4612</v>
      </c>
      <c r="M125" s="2">
        <v>3843</v>
      </c>
      <c r="N125" s="2">
        <v>6477</v>
      </c>
      <c r="O125" s="2">
        <v>5761.2</v>
      </c>
      <c r="P125" s="2">
        <v>5876.29</v>
      </c>
      <c r="Q125" s="2">
        <v>5982.05</v>
      </c>
      <c r="R125" s="2">
        <v>6027.99</v>
      </c>
      <c r="S125" s="2">
        <v>6059.24</v>
      </c>
      <c r="T125" s="2">
        <v>6646</v>
      </c>
    </row>
    <row r="126" spans="1:20" x14ac:dyDescent="0.25">
      <c r="A126" t="s">
        <v>3278</v>
      </c>
      <c r="B126">
        <v>-11</v>
      </c>
      <c r="C126">
        <v>284</v>
      </c>
      <c r="D126">
        <v>42</v>
      </c>
      <c r="E126">
        <v>23</v>
      </c>
      <c r="F126">
        <v>200</v>
      </c>
      <c r="G126">
        <v>140</v>
      </c>
      <c r="H126">
        <v>155</v>
      </c>
      <c r="I126">
        <v>138</v>
      </c>
      <c r="J126">
        <v>6</v>
      </c>
      <c r="K126">
        <v>-23</v>
      </c>
      <c r="L126">
        <v>0</v>
      </c>
      <c r="M126">
        <v>0</v>
      </c>
      <c r="O126">
        <v>175.65</v>
      </c>
      <c r="P126">
        <v>199.86</v>
      </c>
      <c r="Q126">
        <v>204.13</v>
      </c>
      <c r="R126">
        <v>201.38</v>
      </c>
      <c r="S126">
        <v>204.4</v>
      </c>
      <c r="T126">
        <v>217</v>
      </c>
    </row>
    <row r="127" spans="1:20" x14ac:dyDescent="0.25">
      <c r="A127" t="s">
        <v>3256</v>
      </c>
      <c r="B127">
        <v>72</v>
      </c>
      <c r="C127">
        <v>70</v>
      </c>
      <c r="D127">
        <v>67</v>
      </c>
      <c r="E127">
        <v>63</v>
      </c>
      <c r="F127">
        <v>68</v>
      </c>
      <c r="G127">
        <v>75</v>
      </c>
      <c r="H127">
        <v>75</v>
      </c>
      <c r="I127">
        <v>77</v>
      </c>
      <c r="J127">
        <v>81</v>
      </c>
      <c r="K127">
        <v>64</v>
      </c>
      <c r="L127">
        <v>78</v>
      </c>
      <c r="M127">
        <v>83</v>
      </c>
      <c r="N127">
        <v>88</v>
      </c>
      <c r="O127">
        <v>90.2</v>
      </c>
      <c r="P127">
        <v>93.67</v>
      </c>
      <c r="Q127">
        <v>94.72</v>
      </c>
      <c r="R127">
        <v>96.06</v>
      </c>
      <c r="S127">
        <v>97.82</v>
      </c>
      <c r="T127">
        <v>89</v>
      </c>
    </row>
    <row r="128" spans="1:20" x14ac:dyDescent="0.25">
      <c r="A128" t="s">
        <v>3257</v>
      </c>
      <c r="B128" s="2">
        <v>1782</v>
      </c>
      <c r="C128" s="2">
        <v>3478</v>
      </c>
      <c r="D128" s="2">
        <v>2417</v>
      </c>
      <c r="E128" s="2">
        <v>2552</v>
      </c>
      <c r="F128" s="2">
        <v>4077</v>
      </c>
      <c r="G128" s="2">
        <v>5417</v>
      </c>
      <c r="H128" s="2">
        <v>4455</v>
      </c>
      <c r="I128" s="2">
        <v>3725</v>
      </c>
      <c r="J128" s="2">
        <v>6825</v>
      </c>
      <c r="K128" s="2">
        <v>10331</v>
      </c>
      <c r="L128" s="2">
        <v>4068</v>
      </c>
      <c r="M128" s="2">
        <v>3562</v>
      </c>
      <c r="N128" s="2">
        <v>6174</v>
      </c>
      <c r="O128" s="2">
        <v>5566.88</v>
      </c>
      <c r="P128" s="2">
        <v>5659.9</v>
      </c>
      <c r="Q128" s="2">
        <v>5760.65</v>
      </c>
      <c r="R128" s="2">
        <v>5805.2</v>
      </c>
      <c r="S128" s="2">
        <v>5828.75</v>
      </c>
      <c r="T128" s="2">
        <v>6429</v>
      </c>
    </row>
    <row r="129" spans="1:20" x14ac:dyDescent="0.25">
      <c r="A129" t="s">
        <v>116</v>
      </c>
      <c r="B129">
        <v>-88</v>
      </c>
      <c r="C129">
        <v>209</v>
      </c>
      <c r="D129">
        <v>-31</v>
      </c>
      <c r="E129">
        <v>-45</v>
      </c>
      <c r="F129">
        <v>123</v>
      </c>
      <c r="G129">
        <v>55</v>
      </c>
      <c r="H129">
        <v>70</v>
      </c>
      <c r="I129">
        <v>52</v>
      </c>
      <c r="J129">
        <v>-86</v>
      </c>
      <c r="K129">
        <v>-101</v>
      </c>
      <c r="L129">
        <v>457</v>
      </c>
      <c r="M129">
        <v>189</v>
      </c>
      <c r="N129">
        <v>206</v>
      </c>
      <c r="O129">
        <v>75.75</v>
      </c>
      <c r="P129">
        <v>96.47</v>
      </c>
      <c r="Q129">
        <v>98.78</v>
      </c>
      <c r="R129">
        <v>97.73</v>
      </c>
      <c r="S129">
        <v>99.1</v>
      </c>
      <c r="T129">
        <v>119.12</v>
      </c>
    </row>
    <row r="130" spans="1:20" x14ac:dyDescent="0.25">
      <c r="A130" t="s">
        <v>190</v>
      </c>
      <c r="B130">
        <v>1</v>
      </c>
      <c r="C130">
        <v>1</v>
      </c>
      <c r="D130">
        <v>2</v>
      </c>
      <c r="E130">
        <v>3</v>
      </c>
      <c r="F130">
        <v>5</v>
      </c>
      <c r="G130">
        <v>5</v>
      </c>
      <c r="H130">
        <v>6</v>
      </c>
      <c r="I130">
        <v>5</v>
      </c>
      <c r="J130">
        <v>6</v>
      </c>
      <c r="K130">
        <v>5</v>
      </c>
      <c r="L130">
        <v>4</v>
      </c>
      <c r="M130">
        <v>5</v>
      </c>
      <c r="N130">
        <v>4</v>
      </c>
      <c r="O130">
        <v>4.8099999999999996</v>
      </c>
      <c r="P130">
        <v>5.75</v>
      </c>
      <c r="Q130">
        <v>6.69</v>
      </c>
      <c r="R130">
        <v>4.49</v>
      </c>
      <c r="S130">
        <v>4.9800000000000004</v>
      </c>
      <c r="T130">
        <v>3.88</v>
      </c>
    </row>
    <row r="131" spans="1:20" x14ac:dyDescent="0.25">
      <c r="A131" t="s">
        <v>484</v>
      </c>
      <c r="B131">
        <v>8</v>
      </c>
      <c r="C131">
        <v>7</v>
      </c>
      <c r="D131">
        <v>6</v>
      </c>
      <c r="E131">
        <v>6</v>
      </c>
      <c r="F131">
        <v>5</v>
      </c>
      <c r="G131">
        <v>6</v>
      </c>
      <c r="H131">
        <v>8</v>
      </c>
      <c r="I131">
        <v>6</v>
      </c>
      <c r="J131">
        <v>5</v>
      </c>
      <c r="K131">
        <v>17</v>
      </c>
      <c r="L131">
        <v>18</v>
      </c>
      <c r="M131">
        <v>14</v>
      </c>
      <c r="N131">
        <v>10</v>
      </c>
      <c r="O131">
        <v>12.5</v>
      </c>
      <c r="P131">
        <v>11</v>
      </c>
      <c r="Q131">
        <v>11</v>
      </c>
      <c r="R131">
        <v>11</v>
      </c>
      <c r="S131">
        <v>10</v>
      </c>
    </row>
    <row r="132" spans="1:20" x14ac:dyDescent="0.25">
      <c r="A132" t="s">
        <v>3270</v>
      </c>
      <c r="C132">
        <v>10</v>
      </c>
      <c r="D132">
        <v>6</v>
      </c>
      <c r="E132">
        <v>29</v>
      </c>
      <c r="F132">
        <v>2</v>
      </c>
      <c r="G132">
        <v>3</v>
      </c>
      <c r="H132">
        <v>4</v>
      </c>
      <c r="I132">
        <v>4</v>
      </c>
      <c r="J132">
        <v>24</v>
      </c>
      <c r="K132">
        <v>22</v>
      </c>
      <c r="L132">
        <v>9</v>
      </c>
      <c r="M132">
        <v>22</v>
      </c>
      <c r="N132">
        <v>42</v>
      </c>
      <c r="O132">
        <v>22.63</v>
      </c>
      <c r="P132">
        <v>32.869999999999997</v>
      </c>
      <c r="Q132">
        <v>35.1</v>
      </c>
      <c r="R132">
        <v>31.8</v>
      </c>
      <c r="S132">
        <v>34.26</v>
      </c>
    </row>
    <row r="133" spans="1:20" x14ac:dyDescent="0.25">
      <c r="A133" t="s">
        <v>3269</v>
      </c>
      <c r="C133">
        <v>4</v>
      </c>
      <c r="D133">
        <v>4</v>
      </c>
      <c r="E133">
        <v>2</v>
      </c>
      <c r="F133">
        <v>4</v>
      </c>
      <c r="G133">
        <v>5</v>
      </c>
      <c r="H133">
        <v>4</v>
      </c>
      <c r="I133">
        <v>4</v>
      </c>
      <c r="J133">
        <v>5</v>
      </c>
      <c r="K133">
        <v>7</v>
      </c>
      <c r="L133">
        <v>5</v>
      </c>
      <c r="M133">
        <v>4</v>
      </c>
      <c r="N133">
        <v>5</v>
      </c>
      <c r="O133">
        <v>5.04</v>
      </c>
      <c r="P133">
        <v>5</v>
      </c>
      <c r="Q133">
        <v>5.03</v>
      </c>
      <c r="R133">
        <v>5.05</v>
      </c>
      <c r="S133">
        <v>5.08</v>
      </c>
      <c r="T133">
        <v>5</v>
      </c>
    </row>
    <row r="134" spans="1:20" x14ac:dyDescent="0.25">
      <c r="A134" t="s">
        <v>3259</v>
      </c>
      <c r="B134">
        <v>-38</v>
      </c>
      <c r="C134">
        <v>77</v>
      </c>
      <c r="D134">
        <v>-15</v>
      </c>
      <c r="E134">
        <v>-29</v>
      </c>
      <c r="F134">
        <v>49</v>
      </c>
      <c r="G134">
        <v>13</v>
      </c>
      <c r="H134">
        <v>17</v>
      </c>
      <c r="I134">
        <v>12</v>
      </c>
      <c r="J134">
        <v>-27</v>
      </c>
      <c r="K134">
        <v>-31</v>
      </c>
      <c r="L134">
        <v>112</v>
      </c>
      <c r="M134">
        <v>42</v>
      </c>
      <c r="N134">
        <v>41</v>
      </c>
      <c r="O134">
        <v>11.01</v>
      </c>
      <c r="P134">
        <v>15.97</v>
      </c>
      <c r="Q134">
        <v>16.3</v>
      </c>
      <c r="R134">
        <v>16.14</v>
      </c>
      <c r="S134">
        <v>16.98</v>
      </c>
      <c r="T134">
        <v>22.83</v>
      </c>
    </row>
    <row r="135" spans="1:20" x14ac:dyDescent="0.25">
      <c r="A135" t="s">
        <v>121</v>
      </c>
      <c r="B135">
        <v>-58</v>
      </c>
      <c r="C135">
        <v>122</v>
      </c>
      <c r="D135">
        <v>-22</v>
      </c>
      <c r="E135">
        <v>-45</v>
      </c>
      <c r="F135">
        <v>72</v>
      </c>
      <c r="G135">
        <v>39</v>
      </c>
      <c r="H135">
        <v>49</v>
      </c>
      <c r="I135">
        <v>36</v>
      </c>
      <c r="J135">
        <v>-83</v>
      </c>
      <c r="K135">
        <v>-92</v>
      </c>
      <c r="L135">
        <v>336</v>
      </c>
      <c r="M135">
        <v>125</v>
      </c>
      <c r="N135">
        <v>123</v>
      </c>
      <c r="O135">
        <v>32.299999999999997</v>
      </c>
      <c r="P135">
        <v>50.71</v>
      </c>
      <c r="Q135">
        <v>52.29</v>
      </c>
      <c r="R135">
        <v>53.21</v>
      </c>
      <c r="S135">
        <v>58.3</v>
      </c>
      <c r="T135">
        <v>72.290000000000006</v>
      </c>
    </row>
    <row r="136" spans="1:20" x14ac:dyDescent="0.25">
      <c r="A136" t="s">
        <v>3271</v>
      </c>
      <c r="B136">
        <v>-3</v>
      </c>
      <c r="C136">
        <v>20</v>
      </c>
      <c r="D136">
        <v>15</v>
      </c>
      <c r="E136">
        <v>25</v>
      </c>
      <c r="F136">
        <v>20</v>
      </c>
      <c r="G136">
        <v>40</v>
      </c>
      <c r="H136">
        <v>30</v>
      </c>
      <c r="I136">
        <v>39</v>
      </c>
      <c r="J136">
        <v>52</v>
      </c>
      <c r="K136">
        <v>14</v>
      </c>
      <c r="L136">
        <v>105</v>
      </c>
      <c r="M136">
        <v>125</v>
      </c>
      <c r="N136">
        <v>123</v>
      </c>
      <c r="O136">
        <v>59.61</v>
      </c>
      <c r="P136">
        <v>52.88</v>
      </c>
      <c r="Q136">
        <v>54.41</v>
      </c>
      <c r="R136">
        <v>55.47</v>
      </c>
      <c r="S136">
        <v>59.38</v>
      </c>
      <c r="T136">
        <v>72.290000000000006</v>
      </c>
    </row>
    <row r="137" spans="1:20" x14ac:dyDescent="0.25">
      <c r="A137" t="s">
        <v>124</v>
      </c>
      <c r="B137">
        <v>-0.33</v>
      </c>
      <c r="C137">
        <v>0.69</v>
      </c>
      <c r="D137">
        <v>-0.12</v>
      </c>
      <c r="E137">
        <v>-0.25</v>
      </c>
      <c r="F137">
        <v>0.4</v>
      </c>
      <c r="G137">
        <v>0.22</v>
      </c>
      <c r="H137">
        <v>0.26</v>
      </c>
      <c r="I137">
        <v>0.19</v>
      </c>
      <c r="J137">
        <v>-0.43</v>
      </c>
      <c r="K137">
        <v>7.0000000000000007E-2</v>
      </c>
      <c r="L137">
        <v>0.51</v>
      </c>
      <c r="M137">
        <v>0.6</v>
      </c>
      <c r="N137">
        <v>0.59</v>
      </c>
      <c r="O137">
        <v>0.28000000000000003</v>
      </c>
      <c r="P137">
        <v>0.25</v>
      </c>
      <c r="Q137">
        <v>0.25</v>
      </c>
      <c r="R137">
        <v>0.25</v>
      </c>
      <c r="S137">
        <v>0.26</v>
      </c>
      <c r="T137">
        <v>0.32</v>
      </c>
    </row>
    <row r="138" spans="1:20" x14ac:dyDescent="0.25">
      <c r="A138" t="s">
        <v>206</v>
      </c>
      <c r="B138">
        <v>3</v>
      </c>
      <c r="C138">
        <v>3</v>
      </c>
      <c r="D138">
        <v>6</v>
      </c>
      <c r="E138">
        <v>7</v>
      </c>
      <c r="F138">
        <v>7</v>
      </c>
      <c r="G138">
        <v>5</v>
      </c>
      <c r="H138">
        <v>5</v>
      </c>
      <c r="I138">
        <v>5</v>
      </c>
      <c r="J138">
        <v>6</v>
      </c>
      <c r="K138">
        <v>3</v>
      </c>
      <c r="L138">
        <v>3</v>
      </c>
      <c r="M138">
        <v>3</v>
      </c>
      <c r="N138">
        <v>6</v>
      </c>
    </row>
    <row r="139" spans="1:20" x14ac:dyDescent="0.25">
      <c r="A139" t="s">
        <v>17</v>
      </c>
    </row>
    <row r="140" spans="1:20" x14ac:dyDescent="0.25">
      <c r="A140" t="s">
        <v>3279</v>
      </c>
    </row>
    <row r="141" spans="1:20" x14ac:dyDescent="0.25">
      <c r="A141" t="s">
        <v>599</v>
      </c>
      <c r="B141">
        <v>-44</v>
      </c>
      <c r="C141">
        <v>-44</v>
      </c>
      <c r="D141">
        <v>-48</v>
      </c>
      <c r="E141">
        <v>-59</v>
      </c>
      <c r="F141">
        <v>-69</v>
      </c>
      <c r="G141">
        <v>-122</v>
      </c>
      <c r="H141">
        <v>-107</v>
      </c>
      <c r="I141">
        <v>-111</v>
      </c>
      <c r="J141">
        <v>-145</v>
      </c>
      <c r="K141">
        <v>-144</v>
      </c>
      <c r="L141">
        <v>-159</v>
      </c>
      <c r="M141">
        <v>-185</v>
      </c>
      <c r="N141">
        <v>-268</v>
      </c>
      <c r="O141">
        <v>-301.72000000000003</v>
      </c>
      <c r="P141">
        <v>-345.35</v>
      </c>
      <c r="Q141">
        <v>-393.75</v>
      </c>
      <c r="R141">
        <v>-421.64</v>
      </c>
      <c r="S141">
        <v>-423.65</v>
      </c>
      <c r="T141">
        <v>-465.63</v>
      </c>
    </row>
    <row r="142" spans="1:20" x14ac:dyDescent="0.25">
      <c r="A142" t="s">
        <v>17</v>
      </c>
    </row>
    <row r="143" spans="1:20" x14ac:dyDescent="0.25">
      <c r="A143" t="s">
        <v>79</v>
      </c>
    </row>
    <row r="144" spans="1:20" x14ac:dyDescent="0.25">
      <c r="A144" t="s">
        <v>80</v>
      </c>
      <c r="B144" s="2">
        <v>9661</v>
      </c>
      <c r="C144" s="2">
        <v>12301</v>
      </c>
      <c r="D144" s="2">
        <v>10337</v>
      </c>
      <c r="E144" s="2">
        <v>10630</v>
      </c>
      <c r="F144" s="2">
        <v>12607</v>
      </c>
      <c r="G144" s="2">
        <v>14212</v>
      </c>
      <c r="H144" s="2">
        <v>12669</v>
      </c>
      <c r="I144" s="2">
        <v>12177</v>
      </c>
      <c r="J144" s="2">
        <v>14964</v>
      </c>
      <c r="K144" s="2">
        <v>19228</v>
      </c>
      <c r="L144" s="2">
        <v>12745</v>
      </c>
      <c r="M144" s="2">
        <v>12457</v>
      </c>
      <c r="N144" s="2">
        <v>15814</v>
      </c>
      <c r="O144" s="2">
        <v>15978.14</v>
      </c>
      <c r="P144" s="2">
        <v>16525.21</v>
      </c>
      <c r="Q144" s="2">
        <v>17190.38</v>
      </c>
      <c r="R144" s="2">
        <v>17912</v>
      </c>
      <c r="S144" s="2">
        <v>18564.25</v>
      </c>
      <c r="T144" s="2">
        <v>20022</v>
      </c>
    </row>
    <row r="145" spans="1:20" x14ac:dyDescent="0.25">
      <c r="A145" t="s">
        <v>17</v>
      </c>
    </row>
    <row r="146" spans="1:20" x14ac:dyDescent="0.25">
      <c r="A146" t="s">
        <v>3280</v>
      </c>
      <c r="B146" s="2">
        <v>5078</v>
      </c>
      <c r="C146" s="2">
        <v>5190</v>
      </c>
      <c r="D146" s="2">
        <v>4813</v>
      </c>
      <c r="E146" s="2">
        <v>5175</v>
      </c>
      <c r="F146" s="2">
        <v>5048</v>
      </c>
      <c r="G146" s="2">
        <v>5298</v>
      </c>
      <c r="H146" s="2">
        <v>5224</v>
      </c>
      <c r="I146" s="2">
        <v>5506</v>
      </c>
      <c r="J146" s="2">
        <v>5809</v>
      </c>
      <c r="K146" s="2">
        <v>6397</v>
      </c>
      <c r="L146" s="2">
        <v>5804</v>
      </c>
      <c r="M146" s="2">
        <v>6277</v>
      </c>
      <c r="N146" s="2">
        <v>6885</v>
      </c>
      <c r="O146" s="2">
        <v>7183.85</v>
      </c>
      <c r="P146" s="2">
        <v>7530.15</v>
      </c>
      <c r="Q146" s="2">
        <v>7960.93</v>
      </c>
      <c r="R146" s="2">
        <v>8197.5400000000009</v>
      </c>
      <c r="S146" s="2">
        <v>8240.66</v>
      </c>
    </row>
    <row r="147" spans="1:20" x14ac:dyDescent="0.25">
      <c r="A147" t="s">
        <v>17</v>
      </c>
    </row>
    <row r="148" spans="1:20" x14ac:dyDescent="0.25">
      <c r="A148" t="s">
        <v>82</v>
      </c>
      <c r="B148" s="2">
        <v>4825</v>
      </c>
      <c r="C148" s="2">
        <v>7022</v>
      </c>
      <c r="D148" s="2">
        <v>5562</v>
      </c>
      <c r="E148" s="2">
        <v>5530</v>
      </c>
      <c r="F148" s="2">
        <v>7164</v>
      </c>
      <c r="G148" s="2">
        <v>8611</v>
      </c>
      <c r="H148" s="2">
        <v>6833</v>
      </c>
      <c r="I148" s="2">
        <v>5839</v>
      </c>
      <c r="J148" s="2">
        <v>9208</v>
      </c>
      <c r="K148" s="2">
        <v>13160</v>
      </c>
      <c r="L148" s="2">
        <v>6258</v>
      </c>
      <c r="M148" s="2">
        <v>5857</v>
      </c>
      <c r="N148" s="2">
        <v>8639</v>
      </c>
      <c r="O148" s="2">
        <v>8615.08</v>
      </c>
      <c r="P148" s="2">
        <v>8487.9500000000007</v>
      </c>
      <c r="Q148" s="2">
        <v>8626.2099999999991</v>
      </c>
      <c r="R148" s="2">
        <v>8516.42</v>
      </c>
      <c r="S148" s="2">
        <v>8558.48</v>
      </c>
      <c r="T148" s="2">
        <v>9439</v>
      </c>
    </row>
    <row r="149" spans="1:20" x14ac:dyDescent="0.25">
      <c r="A149" t="s">
        <v>84</v>
      </c>
      <c r="B149" s="2">
        <v>4836</v>
      </c>
      <c r="C149" s="2">
        <v>5279</v>
      </c>
      <c r="D149" s="2">
        <v>4775</v>
      </c>
      <c r="E149" s="2">
        <v>5100</v>
      </c>
      <c r="F149" s="2">
        <v>5443</v>
      </c>
      <c r="G149" s="2">
        <v>5601</v>
      </c>
      <c r="H149" s="2">
        <v>5335</v>
      </c>
      <c r="I149" s="2">
        <v>5584</v>
      </c>
      <c r="J149" s="2">
        <v>5756</v>
      </c>
      <c r="K149" s="2">
        <v>6068</v>
      </c>
      <c r="L149" s="2">
        <v>6487</v>
      </c>
      <c r="M149" s="2">
        <v>6600</v>
      </c>
      <c r="N149" s="2">
        <v>7175</v>
      </c>
      <c r="O149" s="2">
        <v>7508.02</v>
      </c>
      <c r="P149" s="2">
        <v>8085.86</v>
      </c>
      <c r="Q149" s="2">
        <v>8615.91</v>
      </c>
      <c r="R149" s="2">
        <v>9065.32</v>
      </c>
      <c r="S149" s="2">
        <v>9392.02</v>
      </c>
      <c r="T149" s="2">
        <v>10583.37</v>
      </c>
    </row>
    <row r="150" spans="1:20" x14ac:dyDescent="0.25">
      <c r="A150" t="s">
        <v>85</v>
      </c>
      <c r="O150">
        <v>44.7</v>
      </c>
      <c r="P150">
        <v>46.9</v>
      </c>
      <c r="Q150">
        <v>48.4</v>
      </c>
    </row>
    <row r="151" spans="1:20" x14ac:dyDescent="0.25">
      <c r="A151" t="s">
        <v>17</v>
      </c>
    </row>
    <row r="152" spans="1:20" x14ac:dyDescent="0.25">
      <c r="A152" t="s">
        <v>275</v>
      </c>
      <c r="B152" s="2">
        <v>8458</v>
      </c>
      <c r="C152" s="2">
        <v>10711</v>
      </c>
      <c r="D152" s="2">
        <v>9098</v>
      </c>
      <c r="E152" s="2">
        <v>9185</v>
      </c>
      <c r="F152" s="2">
        <v>10896</v>
      </c>
      <c r="G152" s="2">
        <v>12618</v>
      </c>
      <c r="H152" s="2">
        <v>10738</v>
      </c>
      <c r="I152" s="2">
        <v>9868</v>
      </c>
      <c r="J152" s="2">
        <v>13469</v>
      </c>
      <c r="K152" s="2">
        <v>17480</v>
      </c>
      <c r="L152" s="2">
        <v>10502</v>
      </c>
      <c r="M152" s="2">
        <v>10366</v>
      </c>
      <c r="N152" s="2">
        <v>13440</v>
      </c>
      <c r="O152" s="2">
        <v>13341.33</v>
      </c>
      <c r="P152" s="2">
        <v>13417.65</v>
      </c>
      <c r="Q152" s="2">
        <v>13994.65</v>
      </c>
      <c r="R152" s="2">
        <v>14566.87</v>
      </c>
      <c r="S152" s="2">
        <v>15137.67</v>
      </c>
    </row>
    <row r="153" spans="1:20" x14ac:dyDescent="0.25">
      <c r="A153" t="s">
        <v>3281</v>
      </c>
      <c r="C153" s="2">
        <v>2204</v>
      </c>
      <c r="D153" s="2">
        <v>2214</v>
      </c>
      <c r="E153" s="2">
        <v>2302</v>
      </c>
      <c r="F153" s="2">
        <v>2270</v>
      </c>
      <c r="G153" s="2">
        <v>2451</v>
      </c>
      <c r="H153" s="2">
        <v>2316</v>
      </c>
      <c r="I153" s="2">
        <v>2305</v>
      </c>
      <c r="J153" s="2">
        <v>2420</v>
      </c>
      <c r="K153" s="2">
        <v>2400</v>
      </c>
      <c r="L153" s="2">
        <v>2160</v>
      </c>
      <c r="M153" s="2">
        <v>2262</v>
      </c>
      <c r="N153" s="2">
        <v>2382</v>
      </c>
      <c r="O153" s="2">
        <v>2486.84</v>
      </c>
      <c r="P153" s="2">
        <v>2496.7399999999998</v>
      </c>
      <c r="Q153" s="2">
        <v>2533.9</v>
      </c>
      <c r="R153" s="2">
        <v>2560.7800000000002</v>
      </c>
      <c r="S153" s="2">
        <v>2580.94</v>
      </c>
      <c r="T153" s="2">
        <v>2676.17</v>
      </c>
    </row>
    <row r="154" spans="1:20" x14ac:dyDescent="0.25">
      <c r="A154" t="s">
        <v>3282</v>
      </c>
      <c r="B154">
        <v>340</v>
      </c>
      <c r="C154">
        <v>352</v>
      </c>
      <c r="D154">
        <v>364</v>
      </c>
      <c r="E154">
        <v>370</v>
      </c>
      <c r="F154">
        <v>391</v>
      </c>
      <c r="G154">
        <v>405</v>
      </c>
      <c r="H154">
        <v>406</v>
      </c>
      <c r="I154">
        <v>395</v>
      </c>
      <c r="J154">
        <v>431</v>
      </c>
      <c r="K154">
        <v>457</v>
      </c>
      <c r="L154">
        <v>462</v>
      </c>
      <c r="M154">
        <v>487</v>
      </c>
      <c r="N154">
        <v>529</v>
      </c>
      <c r="O154">
        <v>531.47</v>
      </c>
      <c r="P154">
        <v>542.57000000000005</v>
      </c>
      <c r="Q154">
        <v>557.87</v>
      </c>
      <c r="R154">
        <v>578.89</v>
      </c>
      <c r="S154">
        <v>606.64</v>
      </c>
      <c r="T154">
        <v>607.78</v>
      </c>
    </row>
    <row r="155" spans="1:20" x14ac:dyDescent="0.25">
      <c r="A155" t="s">
        <v>17</v>
      </c>
    </row>
    <row r="156" spans="1:20" x14ac:dyDescent="0.25">
      <c r="A156" t="s">
        <v>91</v>
      </c>
      <c r="B156" s="2">
        <v>1203</v>
      </c>
      <c r="C156" s="2">
        <v>1590</v>
      </c>
      <c r="D156" s="2">
        <v>1239</v>
      </c>
      <c r="E156" s="2">
        <v>1445</v>
      </c>
      <c r="F156" s="2">
        <v>1711</v>
      </c>
      <c r="G156" s="2">
        <v>1594</v>
      </c>
      <c r="H156" s="2">
        <v>1430</v>
      </c>
      <c r="I156" s="2">
        <v>1555</v>
      </c>
      <c r="J156" s="2">
        <v>1495</v>
      </c>
      <c r="K156" s="2">
        <v>1748</v>
      </c>
      <c r="L156" s="2">
        <v>2243</v>
      </c>
      <c r="M156" s="2">
        <v>2091</v>
      </c>
      <c r="N156" s="2">
        <v>2374</v>
      </c>
      <c r="O156" s="2">
        <v>2590.64</v>
      </c>
      <c r="P156" s="2">
        <v>2973.58</v>
      </c>
      <c r="Q156" s="2">
        <v>3270.45</v>
      </c>
      <c r="R156" s="2">
        <v>3556.71</v>
      </c>
      <c r="S156" s="2">
        <v>3730.88</v>
      </c>
      <c r="T156" s="2">
        <v>4482.5600000000004</v>
      </c>
    </row>
    <row r="157" spans="1:20" x14ac:dyDescent="0.25">
      <c r="A157" t="s">
        <v>17</v>
      </c>
    </row>
    <row r="158" spans="1:20" x14ac:dyDescent="0.25">
      <c r="A158" t="s">
        <v>93</v>
      </c>
      <c r="B158" s="2">
        <v>1094</v>
      </c>
      <c r="C158" s="2">
        <v>1145</v>
      </c>
      <c r="D158">
        <v>852</v>
      </c>
      <c r="E158">
        <v>976</v>
      </c>
      <c r="F158" s="2">
        <v>1030</v>
      </c>
      <c r="G158" s="2">
        <v>1124</v>
      </c>
      <c r="H158" s="2">
        <v>1169</v>
      </c>
      <c r="I158" s="2">
        <v>1292</v>
      </c>
      <c r="J158" s="2">
        <v>1377</v>
      </c>
      <c r="K158" s="2">
        <v>1468</v>
      </c>
      <c r="L158" s="2">
        <v>1606</v>
      </c>
      <c r="M158" s="2">
        <v>1732</v>
      </c>
      <c r="N158" s="2">
        <v>1841</v>
      </c>
      <c r="O158" s="2">
        <v>1952.91</v>
      </c>
      <c r="P158" s="2">
        <v>2129.65</v>
      </c>
      <c r="Q158" s="2">
        <v>2325.67</v>
      </c>
      <c r="R158" s="2">
        <v>2507.14</v>
      </c>
      <c r="S158" s="2">
        <v>2710.31</v>
      </c>
      <c r="T158" s="2">
        <v>2816.85</v>
      </c>
    </row>
    <row r="159" spans="1:20" x14ac:dyDescent="0.25">
      <c r="A159" t="s">
        <v>277</v>
      </c>
      <c r="B159" s="2">
        <v>2297</v>
      </c>
      <c r="C159" s="2">
        <v>2633</v>
      </c>
      <c r="D159" s="2">
        <v>2197</v>
      </c>
      <c r="E159" s="2">
        <v>2500</v>
      </c>
      <c r="F159" s="2">
        <v>2717</v>
      </c>
      <c r="G159" s="2">
        <v>2719</v>
      </c>
      <c r="H159" s="2">
        <v>2966</v>
      </c>
      <c r="I159" s="2">
        <v>3433</v>
      </c>
      <c r="J159" s="2">
        <v>2872</v>
      </c>
      <c r="K159" s="2">
        <v>3216</v>
      </c>
      <c r="L159" s="2">
        <v>3849</v>
      </c>
      <c r="M159" s="2">
        <v>3823</v>
      </c>
      <c r="N159" s="2">
        <v>4215</v>
      </c>
      <c r="O159" s="2">
        <v>4652.83</v>
      </c>
      <c r="P159" s="2">
        <v>5230</v>
      </c>
      <c r="Q159" s="2">
        <v>5631</v>
      </c>
      <c r="R159" s="2">
        <v>6296.13</v>
      </c>
      <c r="S159" s="2">
        <v>6691.43</v>
      </c>
      <c r="T159" s="2">
        <v>7655</v>
      </c>
    </row>
    <row r="160" spans="1:20" x14ac:dyDescent="0.25">
      <c r="A160" t="s">
        <v>17</v>
      </c>
    </row>
    <row r="161" spans="1:21" x14ac:dyDescent="0.25">
      <c r="A161" t="s">
        <v>392</v>
      </c>
      <c r="B161">
        <v>427</v>
      </c>
      <c r="C161">
        <v>419</v>
      </c>
      <c r="D161">
        <v>437</v>
      </c>
      <c r="E161">
        <v>452</v>
      </c>
      <c r="F161">
        <v>524</v>
      </c>
      <c r="G161">
        <v>547</v>
      </c>
      <c r="H161">
        <v>559</v>
      </c>
      <c r="I161">
        <v>572</v>
      </c>
      <c r="J161">
        <v>608</v>
      </c>
      <c r="K161">
        <v>629</v>
      </c>
      <c r="L161">
        <v>734</v>
      </c>
      <c r="M161">
        <v>815</v>
      </c>
      <c r="N161">
        <v>953</v>
      </c>
      <c r="O161" s="2">
        <v>1088.6099999999999</v>
      </c>
      <c r="P161" s="2">
        <v>1268.54</v>
      </c>
      <c r="Q161" s="2">
        <v>1475.18</v>
      </c>
      <c r="R161" s="2">
        <v>1667.84</v>
      </c>
      <c r="S161" s="2">
        <v>1854.38</v>
      </c>
    </row>
    <row r="162" spans="1:21" x14ac:dyDescent="0.25">
      <c r="A162" t="s">
        <v>484</v>
      </c>
      <c r="B162">
        <v>436</v>
      </c>
      <c r="C162">
        <v>429</v>
      </c>
      <c r="D162">
        <v>450</v>
      </c>
      <c r="E162">
        <v>472</v>
      </c>
      <c r="F162">
        <v>536</v>
      </c>
      <c r="G162">
        <v>559</v>
      </c>
      <c r="H162">
        <v>568</v>
      </c>
      <c r="I162">
        <v>601</v>
      </c>
      <c r="J162">
        <v>630</v>
      </c>
      <c r="K162">
        <v>675</v>
      </c>
      <c r="L162">
        <v>791</v>
      </c>
      <c r="M162">
        <v>951</v>
      </c>
      <c r="N162" s="2">
        <v>1056</v>
      </c>
      <c r="O162" s="2">
        <v>1222.1400000000001</v>
      </c>
      <c r="P162" s="2">
        <v>1353.93</v>
      </c>
      <c r="Q162" s="2">
        <v>1507.06</v>
      </c>
      <c r="R162" s="2">
        <v>1675.3</v>
      </c>
      <c r="S162" s="2">
        <v>1786.83</v>
      </c>
      <c r="T162" s="2">
        <v>2171.88</v>
      </c>
    </row>
    <row r="163" spans="1:21" x14ac:dyDescent="0.25">
      <c r="A163" t="s">
        <v>398</v>
      </c>
      <c r="B163">
        <v>9</v>
      </c>
      <c r="C163">
        <v>10</v>
      </c>
      <c r="D163">
        <v>13</v>
      </c>
      <c r="E163">
        <v>20</v>
      </c>
      <c r="F163">
        <v>12</v>
      </c>
      <c r="G163">
        <v>12</v>
      </c>
      <c r="H163">
        <v>9</v>
      </c>
      <c r="I163">
        <v>29</v>
      </c>
      <c r="J163">
        <v>22</v>
      </c>
      <c r="K163">
        <v>46</v>
      </c>
      <c r="L163">
        <v>57</v>
      </c>
      <c r="M163">
        <v>136</v>
      </c>
      <c r="N163">
        <v>103</v>
      </c>
      <c r="O163">
        <v>106.33</v>
      </c>
      <c r="P163">
        <v>104.67</v>
      </c>
      <c r="Q163">
        <v>103.33</v>
      </c>
      <c r="R163">
        <v>102</v>
      </c>
      <c r="S163">
        <v>100.67</v>
      </c>
    </row>
    <row r="164" spans="1:21" x14ac:dyDescent="0.25">
      <c r="A164" t="s">
        <v>482</v>
      </c>
      <c r="B164">
        <v>281</v>
      </c>
      <c r="C164">
        <v>315</v>
      </c>
      <c r="D164">
        <v>289</v>
      </c>
      <c r="E164">
        <v>340</v>
      </c>
      <c r="F164">
        <v>424</v>
      </c>
      <c r="G164">
        <v>378</v>
      </c>
      <c r="H164">
        <v>417</v>
      </c>
      <c r="I164">
        <v>473</v>
      </c>
      <c r="J164">
        <v>839</v>
      </c>
      <c r="K164">
        <v>636</v>
      </c>
      <c r="L164">
        <v>677</v>
      </c>
      <c r="M164">
        <v>721</v>
      </c>
      <c r="N164">
        <v>824</v>
      </c>
      <c r="O164">
        <v>919.97</v>
      </c>
      <c r="P164" s="2">
        <v>1021.92</v>
      </c>
      <c r="Q164" s="2">
        <v>1183.6400000000001</v>
      </c>
      <c r="R164" s="2">
        <v>1351.04</v>
      </c>
      <c r="S164" s="2">
        <v>1560.76</v>
      </c>
    </row>
    <row r="165" spans="1:21" x14ac:dyDescent="0.25">
      <c r="A165" t="s">
        <v>3283</v>
      </c>
      <c r="F165">
        <v>65</v>
      </c>
      <c r="G165">
        <v>37</v>
      </c>
      <c r="H165">
        <v>39</v>
      </c>
      <c r="I165">
        <v>50</v>
      </c>
      <c r="J165">
        <v>17</v>
      </c>
      <c r="K165">
        <v>-1</v>
      </c>
      <c r="L165">
        <v>9</v>
      </c>
      <c r="M165">
        <v>0</v>
      </c>
      <c r="N165">
        <v>0</v>
      </c>
    </row>
    <row r="166" spans="1:21" x14ac:dyDescent="0.25">
      <c r="A166" t="s">
        <v>3284</v>
      </c>
      <c r="C166">
        <v>-196</v>
      </c>
      <c r="D166">
        <v>-209</v>
      </c>
      <c r="E166">
        <v>-207</v>
      </c>
      <c r="F166">
        <v>-268</v>
      </c>
      <c r="G166">
        <v>-333</v>
      </c>
      <c r="H166">
        <v>-250</v>
      </c>
      <c r="I166">
        <v>-259</v>
      </c>
      <c r="J166">
        <v>-254</v>
      </c>
      <c r="K166">
        <v>-58</v>
      </c>
      <c r="L166">
        <v>-102</v>
      </c>
      <c r="M166">
        <v>-167</v>
      </c>
      <c r="N166">
        <v>-230</v>
      </c>
    </row>
    <row r="167" spans="1:21" x14ac:dyDescent="0.25">
      <c r="A167" t="s">
        <v>3285</v>
      </c>
      <c r="C167">
        <v>92</v>
      </c>
      <c r="D167">
        <v>61</v>
      </c>
      <c r="E167">
        <v>95</v>
      </c>
      <c r="F167">
        <v>103</v>
      </c>
      <c r="G167">
        <v>127</v>
      </c>
      <c r="H167">
        <v>69</v>
      </c>
      <c r="I167">
        <v>104</v>
      </c>
      <c r="J167">
        <v>75</v>
      </c>
      <c r="K167">
        <v>66</v>
      </c>
      <c r="L167">
        <v>36</v>
      </c>
      <c r="M167">
        <v>73</v>
      </c>
      <c r="N167">
        <v>101</v>
      </c>
      <c r="O167">
        <v>67</v>
      </c>
      <c r="P167">
        <v>61</v>
      </c>
      <c r="Q167">
        <v>61</v>
      </c>
      <c r="R167">
        <v>61</v>
      </c>
      <c r="S167">
        <v>61</v>
      </c>
    </row>
    <row r="168" spans="1:21" x14ac:dyDescent="0.25">
      <c r="A168" t="s">
        <v>100</v>
      </c>
      <c r="B168" s="2">
        <v>1358</v>
      </c>
      <c r="C168" s="2">
        <v>1173</v>
      </c>
      <c r="D168" s="2">
        <v>1056</v>
      </c>
      <c r="E168" s="2">
        <v>1184</v>
      </c>
      <c r="F168" s="2">
        <v>1328</v>
      </c>
      <c r="G168" s="2">
        <v>1121</v>
      </c>
      <c r="H168" s="2">
        <v>1167</v>
      </c>
      <c r="I168" s="2">
        <v>1443</v>
      </c>
      <c r="J168">
        <v>656</v>
      </c>
      <c r="K168" s="2">
        <v>1112</v>
      </c>
      <c r="L168" s="2">
        <v>1566</v>
      </c>
      <c r="M168" s="2">
        <v>1370</v>
      </c>
      <c r="N168" s="2">
        <v>1550</v>
      </c>
      <c r="O168" s="2">
        <v>1598.91</v>
      </c>
      <c r="P168" s="2">
        <v>1910.45</v>
      </c>
      <c r="Q168" s="2">
        <v>1991.4</v>
      </c>
      <c r="R168" s="2">
        <v>2305</v>
      </c>
      <c r="S168" s="2">
        <v>2486.67</v>
      </c>
      <c r="T168" s="2">
        <v>2666</v>
      </c>
    </row>
    <row r="169" spans="1:21" x14ac:dyDescent="0.25">
      <c r="A169" t="s">
        <v>17</v>
      </c>
    </row>
    <row r="170" spans="1:21" x14ac:dyDescent="0.25">
      <c r="A170" t="s">
        <v>101</v>
      </c>
      <c r="B170">
        <v>254</v>
      </c>
      <c r="C170">
        <v>364</v>
      </c>
      <c r="D170">
        <v>230</v>
      </c>
      <c r="E170">
        <v>271</v>
      </c>
      <c r="F170">
        <v>175</v>
      </c>
      <c r="G170">
        <v>98</v>
      </c>
      <c r="H170">
        <v>71</v>
      </c>
      <c r="I170">
        <v>37</v>
      </c>
      <c r="J170">
        <v>-130</v>
      </c>
      <c r="K170">
        <v>29</v>
      </c>
      <c r="L170">
        <v>169</v>
      </c>
      <c r="M170">
        <v>-34</v>
      </c>
      <c r="N170">
        <v>88</v>
      </c>
      <c r="O170">
        <v>89.21</v>
      </c>
      <c r="P170">
        <v>144.41</v>
      </c>
      <c r="Q170">
        <v>166.39</v>
      </c>
      <c r="R170">
        <v>202.67</v>
      </c>
      <c r="S170">
        <v>207.04</v>
      </c>
      <c r="T170">
        <v>91.19</v>
      </c>
    </row>
    <row r="171" spans="1:21" x14ac:dyDescent="0.25">
      <c r="A171" t="s">
        <v>102</v>
      </c>
      <c r="B171">
        <v>27.55</v>
      </c>
      <c r="C171">
        <v>28.55</v>
      </c>
      <c r="D171">
        <v>24.21</v>
      </c>
      <c r="E171">
        <v>24.52</v>
      </c>
      <c r="F171">
        <v>13.6</v>
      </c>
      <c r="G171">
        <v>8.06</v>
      </c>
      <c r="H171">
        <v>7.01</v>
      </c>
      <c r="I171">
        <v>3.42</v>
      </c>
      <c r="J171">
        <v>10.7</v>
      </c>
      <c r="K171">
        <v>2.61</v>
      </c>
      <c r="L171">
        <v>10.79</v>
      </c>
      <c r="M171">
        <v>2.5</v>
      </c>
      <c r="N171">
        <v>5.68</v>
      </c>
      <c r="O171">
        <v>-0.44</v>
      </c>
      <c r="P171">
        <v>3.81</v>
      </c>
      <c r="Q171">
        <v>4.43</v>
      </c>
      <c r="R171">
        <v>5.31</v>
      </c>
      <c r="S171">
        <v>3.41</v>
      </c>
      <c r="T171">
        <v>3.42</v>
      </c>
    </row>
    <row r="172" spans="1:21" x14ac:dyDescent="0.25">
      <c r="A172" t="s">
        <v>17</v>
      </c>
    </row>
    <row r="173" spans="1:21" x14ac:dyDescent="0.25">
      <c r="A173" t="s">
        <v>2674</v>
      </c>
      <c r="B173">
        <v>661</v>
      </c>
      <c r="C173">
        <v>911</v>
      </c>
      <c r="D173">
        <v>720</v>
      </c>
      <c r="E173">
        <v>834</v>
      </c>
      <c r="F173" s="2">
        <v>1112</v>
      </c>
      <c r="G173" s="2">
        <v>1118</v>
      </c>
      <c r="H173">
        <v>942</v>
      </c>
      <c r="I173" s="2">
        <v>1045</v>
      </c>
      <c r="J173">
        <v>786</v>
      </c>
      <c r="K173" s="2">
        <v>1083</v>
      </c>
      <c r="L173" s="2">
        <v>1397</v>
      </c>
      <c r="M173" s="2">
        <v>1404</v>
      </c>
      <c r="N173" s="2">
        <v>1462</v>
      </c>
      <c r="O173" s="2">
        <v>1516.77</v>
      </c>
      <c r="P173" s="2">
        <v>1799.84</v>
      </c>
      <c r="Q173" s="2">
        <v>1973.9</v>
      </c>
      <c r="R173" s="2">
        <v>2173.59</v>
      </c>
      <c r="S173" s="2">
        <v>2347.7800000000002</v>
      </c>
      <c r="T173" s="2">
        <v>2523.14</v>
      </c>
      <c r="U173" s="2">
        <v>2644.63</v>
      </c>
    </row>
    <row r="174" spans="1:21" x14ac:dyDescent="0.25">
      <c r="A174" t="s">
        <v>105</v>
      </c>
      <c r="B174">
        <v>7</v>
      </c>
      <c r="C174">
        <v>6</v>
      </c>
      <c r="D174">
        <v>-7</v>
      </c>
      <c r="E174">
        <v>-34</v>
      </c>
      <c r="F174">
        <v>-22</v>
      </c>
      <c r="G174">
        <v>-2</v>
      </c>
      <c r="H174">
        <v>3</v>
      </c>
      <c r="I174">
        <v>3</v>
      </c>
      <c r="J174">
        <v>-4</v>
      </c>
      <c r="K174">
        <v>0</v>
      </c>
      <c r="L174">
        <v>0</v>
      </c>
      <c r="M174">
        <v>0</v>
      </c>
      <c r="N174">
        <v>0</v>
      </c>
      <c r="O174">
        <v>-20.85</v>
      </c>
      <c r="P174">
        <v>-41.66</v>
      </c>
      <c r="Q174">
        <v>-124.95</v>
      </c>
      <c r="R174">
        <v>-83.29</v>
      </c>
      <c r="S174">
        <v>-104.1</v>
      </c>
    </row>
    <row r="175" spans="1:21" x14ac:dyDescent="0.25">
      <c r="A175" t="s">
        <v>106</v>
      </c>
      <c r="B175">
        <v>661</v>
      </c>
      <c r="C175">
        <v>905</v>
      </c>
      <c r="D175">
        <v>727</v>
      </c>
      <c r="E175">
        <v>868</v>
      </c>
      <c r="F175" s="2">
        <v>1134</v>
      </c>
      <c r="G175" s="2">
        <v>1120</v>
      </c>
      <c r="H175" s="2">
        <v>1169</v>
      </c>
      <c r="I175" s="2">
        <v>1368</v>
      </c>
      <c r="J175">
        <v>907</v>
      </c>
      <c r="K175" s="2">
        <v>1083</v>
      </c>
      <c r="L175" s="2">
        <v>1397</v>
      </c>
      <c r="M175" s="2">
        <v>1404</v>
      </c>
      <c r="N175" s="2">
        <v>1462</v>
      </c>
      <c r="O175" s="2">
        <v>1618.5</v>
      </c>
      <c r="P175" s="2">
        <v>1798.54</v>
      </c>
      <c r="Q175" s="2">
        <v>1980.42</v>
      </c>
      <c r="R175" s="2">
        <v>2184.8000000000002</v>
      </c>
      <c r="S175" s="2">
        <v>2351.13</v>
      </c>
      <c r="T175" s="2">
        <v>2575</v>
      </c>
    </row>
    <row r="176" spans="1:21" x14ac:dyDescent="0.25">
      <c r="A176" t="s">
        <v>17</v>
      </c>
    </row>
    <row r="177" spans="1:21" x14ac:dyDescent="0.25">
      <c r="A177" t="s">
        <v>108</v>
      </c>
      <c r="B177">
        <v>175</v>
      </c>
      <c r="C177">
        <v>177</v>
      </c>
      <c r="D177">
        <v>179</v>
      </c>
      <c r="E177">
        <v>179</v>
      </c>
      <c r="F177">
        <v>179</v>
      </c>
      <c r="G177">
        <v>181</v>
      </c>
      <c r="H177">
        <v>185</v>
      </c>
      <c r="I177">
        <v>193</v>
      </c>
      <c r="J177">
        <v>193</v>
      </c>
      <c r="K177">
        <v>195</v>
      </c>
      <c r="L177">
        <v>206</v>
      </c>
      <c r="M177">
        <v>207</v>
      </c>
      <c r="N177">
        <v>207</v>
      </c>
      <c r="O177">
        <v>209.28</v>
      </c>
      <c r="P177">
        <v>213.56</v>
      </c>
      <c r="Q177">
        <v>217.36</v>
      </c>
      <c r="R177">
        <v>221.42</v>
      </c>
      <c r="S177">
        <v>223.48</v>
      </c>
      <c r="T177">
        <v>228.87</v>
      </c>
    </row>
    <row r="178" spans="1:21" x14ac:dyDescent="0.25">
      <c r="A178" t="s">
        <v>17</v>
      </c>
    </row>
    <row r="179" spans="1:21" x14ac:dyDescent="0.25">
      <c r="A179" t="s">
        <v>109</v>
      </c>
      <c r="B179">
        <v>175</v>
      </c>
      <c r="C179">
        <v>177</v>
      </c>
      <c r="D179">
        <v>179</v>
      </c>
      <c r="E179">
        <v>179</v>
      </c>
      <c r="F179">
        <v>179</v>
      </c>
      <c r="G179">
        <v>181</v>
      </c>
      <c r="H179">
        <v>185</v>
      </c>
      <c r="I179">
        <v>193</v>
      </c>
      <c r="J179">
        <v>194</v>
      </c>
      <c r="K179">
        <v>196</v>
      </c>
      <c r="L179">
        <v>206</v>
      </c>
      <c r="M179">
        <v>207</v>
      </c>
      <c r="N179">
        <v>207</v>
      </c>
      <c r="O179">
        <v>209.45</v>
      </c>
      <c r="P179">
        <v>213.87</v>
      </c>
      <c r="Q179">
        <v>217.7</v>
      </c>
      <c r="R179">
        <v>221.46</v>
      </c>
      <c r="S179">
        <v>223.42</v>
      </c>
      <c r="T179">
        <v>227.35</v>
      </c>
    </row>
    <row r="180" spans="1:21" x14ac:dyDescent="0.25">
      <c r="A180" t="s">
        <v>110</v>
      </c>
      <c r="B180">
        <v>3.76</v>
      </c>
      <c r="C180">
        <v>5.0999999999999996</v>
      </c>
      <c r="D180">
        <v>4.05</v>
      </c>
      <c r="E180">
        <v>4.83</v>
      </c>
      <c r="F180">
        <v>6.32</v>
      </c>
      <c r="G180">
        <v>6.17</v>
      </c>
      <c r="H180">
        <v>6.31</v>
      </c>
      <c r="I180">
        <v>7.08</v>
      </c>
      <c r="J180">
        <v>4.67</v>
      </c>
      <c r="K180">
        <v>5.52</v>
      </c>
      <c r="L180">
        <v>6.77</v>
      </c>
      <c r="M180">
        <v>6.77</v>
      </c>
      <c r="N180">
        <v>7.03</v>
      </c>
      <c r="O180">
        <v>7.71</v>
      </c>
      <c r="P180">
        <v>8.36</v>
      </c>
      <c r="Q180">
        <v>9.0500000000000007</v>
      </c>
      <c r="R180">
        <v>9.7799999999999994</v>
      </c>
      <c r="S180">
        <v>10.46</v>
      </c>
      <c r="T180">
        <v>11.11</v>
      </c>
      <c r="U180">
        <v>11.51</v>
      </c>
    </row>
    <row r="181" spans="1:21" x14ac:dyDescent="0.25">
      <c r="A181" t="s">
        <v>17</v>
      </c>
    </row>
    <row r="182" spans="1:21" x14ac:dyDescent="0.25">
      <c r="A182" t="s">
        <v>1276</v>
      </c>
      <c r="B182">
        <v>2.59</v>
      </c>
      <c r="C182">
        <v>2.69</v>
      </c>
      <c r="D182">
        <v>2.84</v>
      </c>
      <c r="E182">
        <v>3.06</v>
      </c>
      <c r="F182">
        <v>3.36</v>
      </c>
      <c r="G182">
        <v>3.6</v>
      </c>
      <c r="H182">
        <v>3.85</v>
      </c>
      <c r="I182">
        <v>4.12</v>
      </c>
      <c r="J182">
        <v>3.88</v>
      </c>
      <c r="K182">
        <v>3.61</v>
      </c>
      <c r="L182">
        <v>3.88</v>
      </c>
      <c r="M182">
        <v>4.1500000000000004</v>
      </c>
      <c r="N182">
        <v>4.4400000000000004</v>
      </c>
      <c r="O182">
        <v>4.71</v>
      </c>
      <c r="P182">
        <v>5.07</v>
      </c>
      <c r="Q182">
        <v>5.37</v>
      </c>
      <c r="R182">
        <v>5.72</v>
      </c>
      <c r="S182">
        <v>6.06</v>
      </c>
      <c r="T182">
        <v>6.41</v>
      </c>
    </row>
    <row r="183" spans="1:21" x14ac:dyDescent="0.25">
      <c r="A183" t="s">
        <v>1123</v>
      </c>
      <c r="B183">
        <v>68.53</v>
      </c>
      <c r="C183">
        <v>52.6</v>
      </c>
      <c r="D183">
        <v>70.150000000000006</v>
      </c>
      <c r="E183">
        <v>63.13</v>
      </c>
      <c r="F183">
        <v>53.04</v>
      </c>
      <c r="G183">
        <v>58.18</v>
      </c>
      <c r="H183">
        <v>75.849999999999994</v>
      </c>
      <c r="I183">
        <v>76.31</v>
      </c>
      <c r="J183">
        <v>94.79</v>
      </c>
      <c r="K183">
        <v>65</v>
      </c>
      <c r="L183">
        <v>57.21</v>
      </c>
      <c r="M183">
        <v>61.19</v>
      </c>
      <c r="N183">
        <v>62.79</v>
      </c>
      <c r="O183">
        <v>61.05</v>
      </c>
      <c r="P183">
        <v>59.7</v>
      </c>
      <c r="Q183">
        <v>59.03</v>
      </c>
      <c r="R183">
        <v>58.35</v>
      </c>
      <c r="S183">
        <v>57.77</v>
      </c>
      <c r="T183">
        <v>56.62</v>
      </c>
    </row>
    <row r="184" spans="1:21" x14ac:dyDescent="0.25">
      <c r="A184" t="s">
        <v>17</v>
      </c>
    </row>
    <row r="185" spans="1:21" x14ac:dyDescent="0.25">
      <c r="A185" t="s">
        <v>111</v>
      </c>
    </row>
    <row r="186" spans="1:21" x14ac:dyDescent="0.25">
      <c r="A186" t="s">
        <v>116</v>
      </c>
      <c r="B186" s="2">
        <v>1203</v>
      </c>
      <c r="C186" s="2">
        <v>1488</v>
      </c>
      <c r="D186" s="2">
        <v>1345</v>
      </c>
      <c r="E186" s="2">
        <v>1524</v>
      </c>
      <c r="F186" s="2">
        <v>1687</v>
      </c>
      <c r="G186" s="2">
        <v>1595</v>
      </c>
      <c r="H186" s="2">
        <v>1703</v>
      </c>
      <c r="I186" s="2">
        <v>2096</v>
      </c>
      <c r="J186" s="2">
        <v>14195</v>
      </c>
      <c r="K186" s="2">
        <v>1748</v>
      </c>
      <c r="L186" s="2">
        <v>2243</v>
      </c>
      <c r="M186" s="2">
        <v>2091</v>
      </c>
      <c r="N186" s="2">
        <v>2374</v>
      </c>
      <c r="O186" s="2">
        <v>2646.43</v>
      </c>
      <c r="P186" s="2">
        <v>3032.57</v>
      </c>
      <c r="Q186" s="2">
        <v>3286.64</v>
      </c>
      <c r="R186" s="2">
        <v>3905.88</v>
      </c>
      <c r="S186" s="2">
        <v>4236.17</v>
      </c>
    </row>
    <row r="187" spans="1:21" x14ac:dyDescent="0.25">
      <c r="A187" t="s">
        <v>121</v>
      </c>
      <c r="B187">
        <v>720</v>
      </c>
      <c r="C187">
        <v>816</v>
      </c>
      <c r="D187">
        <v>863</v>
      </c>
      <c r="E187">
        <v>948</v>
      </c>
      <c r="F187" s="2">
        <v>1001</v>
      </c>
      <c r="G187" s="2">
        <v>1142</v>
      </c>
      <c r="H187" s="2">
        <v>1166</v>
      </c>
      <c r="I187" s="2">
        <v>1390</v>
      </c>
      <c r="J187" s="2">
        <v>1161</v>
      </c>
      <c r="K187" s="2">
        <v>1196</v>
      </c>
      <c r="L187" s="2">
        <v>1184</v>
      </c>
      <c r="M187" s="2">
        <v>1416</v>
      </c>
      <c r="N187" s="2">
        <v>1530</v>
      </c>
      <c r="O187" s="2">
        <v>1616.85</v>
      </c>
      <c r="P187" s="2">
        <v>1793.57</v>
      </c>
      <c r="Q187" s="2">
        <v>1972.15</v>
      </c>
      <c r="R187" s="2">
        <v>2184.8000000000002</v>
      </c>
      <c r="S187" s="2">
        <v>2351.13</v>
      </c>
      <c r="T187" s="2">
        <v>2575</v>
      </c>
    </row>
    <row r="188" spans="1:21" x14ac:dyDescent="0.25">
      <c r="A188" t="s">
        <v>124</v>
      </c>
      <c r="B188">
        <v>4.09</v>
      </c>
      <c r="C188">
        <v>4.5999999999999996</v>
      </c>
      <c r="D188">
        <v>4.82</v>
      </c>
      <c r="E188">
        <v>5.28</v>
      </c>
      <c r="F188">
        <v>5.59</v>
      </c>
      <c r="G188">
        <v>6.3</v>
      </c>
      <c r="H188">
        <v>6.3</v>
      </c>
      <c r="I188">
        <v>7.19</v>
      </c>
      <c r="J188">
        <v>5.99</v>
      </c>
      <c r="K188">
        <v>6.1</v>
      </c>
      <c r="L188">
        <v>5.73</v>
      </c>
      <c r="M188">
        <v>6.83</v>
      </c>
      <c r="N188">
        <v>7.36</v>
      </c>
      <c r="O188">
        <v>7.71</v>
      </c>
      <c r="P188">
        <v>8.36</v>
      </c>
      <c r="Q188">
        <v>9.0500000000000007</v>
      </c>
      <c r="R188">
        <v>9.7799999999999994</v>
      </c>
      <c r="S188">
        <v>10.46</v>
      </c>
      <c r="T188">
        <v>11.11</v>
      </c>
      <c r="U188">
        <v>11.51</v>
      </c>
    </row>
    <row r="189" spans="1:21" x14ac:dyDescent="0.25">
      <c r="A189" t="s">
        <v>17</v>
      </c>
    </row>
    <row r="190" spans="1:21" x14ac:dyDescent="0.25">
      <c r="A190" t="s">
        <v>3286</v>
      </c>
    </row>
    <row r="191" spans="1:21" x14ac:dyDescent="0.25">
      <c r="A191" t="s">
        <v>3287</v>
      </c>
      <c r="B191">
        <v>223.67</v>
      </c>
      <c r="C191">
        <v>233.73</v>
      </c>
      <c r="F191" s="2">
        <v>1388</v>
      </c>
      <c r="G191" s="2">
        <v>1436</v>
      </c>
      <c r="H191" s="2">
        <v>1482</v>
      </c>
      <c r="I191" s="2">
        <v>1414</v>
      </c>
      <c r="J191" s="2">
        <v>1553</v>
      </c>
      <c r="K191" s="2">
        <v>1924</v>
      </c>
      <c r="L191" s="2">
        <v>1748</v>
      </c>
      <c r="M191" s="2">
        <v>1798</v>
      </c>
      <c r="N191" s="2">
        <v>2052</v>
      </c>
      <c r="O191" s="2">
        <v>2085.66</v>
      </c>
      <c r="P191" s="2">
        <v>2196.8000000000002</v>
      </c>
      <c r="Q191" s="2">
        <v>2284.66</v>
      </c>
      <c r="R191" s="2">
        <v>2366.39</v>
      </c>
      <c r="S191" s="2">
        <v>2454.14</v>
      </c>
    </row>
    <row r="192" spans="1:21" x14ac:dyDescent="0.25">
      <c r="A192" t="s">
        <v>3288</v>
      </c>
      <c r="F192">
        <v>41</v>
      </c>
      <c r="G192">
        <v>27</v>
      </c>
      <c r="H192">
        <v>14</v>
      </c>
      <c r="I192">
        <v>37</v>
      </c>
      <c r="J192">
        <v>33</v>
      </c>
      <c r="K192">
        <v>-5</v>
      </c>
      <c r="L192">
        <v>16</v>
      </c>
      <c r="M192">
        <v>28</v>
      </c>
      <c r="N192">
        <v>49</v>
      </c>
      <c r="O192">
        <v>15.57</v>
      </c>
      <c r="P192">
        <v>25.96</v>
      </c>
      <c r="Q192">
        <v>26.17</v>
      </c>
      <c r="R192">
        <v>18.86</v>
      </c>
      <c r="S192">
        <v>19.149999999999999</v>
      </c>
    </row>
    <row r="193" spans="1:20" x14ac:dyDescent="0.25">
      <c r="A193" t="s">
        <v>17</v>
      </c>
    </row>
    <row r="194" spans="1:20" x14ac:dyDescent="0.25">
      <c r="A194" t="s">
        <v>134</v>
      </c>
    </row>
    <row r="195" spans="1:20" x14ac:dyDescent="0.25">
      <c r="A195" t="s">
        <v>135</v>
      </c>
    </row>
    <row r="196" spans="1:20" x14ac:dyDescent="0.25">
      <c r="A196" t="s">
        <v>3289</v>
      </c>
      <c r="B196" s="2">
        <v>2806</v>
      </c>
      <c r="C196" s="2">
        <v>3012</v>
      </c>
      <c r="D196" s="2">
        <v>2575</v>
      </c>
      <c r="E196" s="2">
        <v>2762</v>
      </c>
      <c r="F196" s="2">
        <v>3081</v>
      </c>
      <c r="G196" s="2">
        <v>3260</v>
      </c>
      <c r="H196" s="2">
        <v>3086</v>
      </c>
      <c r="I196" s="2">
        <v>3498</v>
      </c>
      <c r="J196" s="2">
        <v>3317</v>
      </c>
      <c r="K196" s="2">
        <v>4180</v>
      </c>
      <c r="L196" s="2">
        <v>3539</v>
      </c>
      <c r="M196" s="2">
        <v>3607</v>
      </c>
      <c r="N196" s="2">
        <v>4348</v>
      </c>
      <c r="O196" s="2">
        <v>4387.47</v>
      </c>
      <c r="P196" s="2">
        <v>4486.8</v>
      </c>
      <c r="Q196" s="2">
        <v>4544.84</v>
      </c>
      <c r="R196" s="2">
        <v>4758.2</v>
      </c>
      <c r="S196" s="2">
        <v>4896.29</v>
      </c>
      <c r="T196" s="2">
        <v>5975.15</v>
      </c>
    </row>
    <row r="197" spans="1:20" x14ac:dyDescent="0.25">
      <c r="A197" t="s">
        <v>536</v>
      </c>
      <c r="B197">
        <v>52</v>
      </c>
      <c r="C197">
        <v>48</v>
      </c>
      <c r="D197">
        <v>37</v>
      </c>
      <c r="E197">
        <v>92</v>
      </c>
      <c r="F197">
        <v>66</v>
      </c>
      <c r="G197">
        <v>71</v>
      </c>
      <c r="H197">
        <v>93</v>
      </c>
      <c r="I197">
        <v>472</v>
      </c>
      <c r="J197">
        <v>28</v>
      </c>
      <c r="K197">
        <v>33</v>
      </c>
      <c r="L197">
        <v>26</v>
      </c>
      <c r="M197">
        <v>24</v>
      </c>
      <c r="N197">
        <v>208</v>
      </c>
      <c r="O197">
        <v>215.21</v>
      </c>
      <c r="P197">
        <v>273.04000000000002</v>
      </c>
      <c r="Q197">
        <v>276.2</v>
      </c>
      <c r="R197">
        <v>296.27</v>
      </c>
      <c r="S197">
        <v>367.22</v>
      </c>
    </row>
    <row r="198" spans="1:20" x14ac:dyDescent="0.25">
      <c r="A198" t="s">
        <v>141</v>
      </c>
      <c r="O198" s="2">
        <v>2116.64</v>
      </c>
      <c r="P198" s="2">
        <v>2156.92</v>
      </c>
      <c r="Q198" s="2">
        <v>2207.65</v>
      </c>
      <c r="R198" s="2">
        <v>2275.71</v>
      </c>
      <c r="S198" s="2">
        <v>2419.36</v>
      </c>
      <c r="T198" s="2">
        <v>1950</v>
      </c>
    </row>
    <row r="199" spans="1:20" x14ac:dyDescent="0.25">
      <c r="A199" t="s">
        <v>340</v>
      </c>
      <c r="B199">
        <v>628</v>
      </c>
      <c r="C199">
        <v>804</v>
      </c>
      <c r="D199">
        <v>803</v>
      </c>
      <c r="E199">
        <v>772</v>
      </c>
      <c r="F199">
        <v>779</v>
      </c>
      <c r="G199">
        <v>811</v>
      </c>
      <c r="H199">
        <v>759</v>
      </c>
      <c r="I199">
        <v>708</v>
      </c>
      <c r="J199">
        <v>368</v>
      </c>
      <c r="K199">
        <v>942</v>
      </c>
      <c r="L199" s="2">
        <v>1054</v>
      </c>
      <c r="M199" s="2">
        <v>1245</v>
      </c>
      <c r="N199" s="2">
        <v>1375</v>
      </c>
      <c r="O199" s="2">
        <v>1297.95</v>
      </c>
      <c r="P199" s="2">
        <v>1310.54</v>
      </c>
      <c r="Q199" s="2">
        <v>1335.95</v>
      </c>
      <c r="R199" s="2">
        <v>1358.89</v>
      </c>
      <c r="S199" s="2">
        <v>1379.15</v>
      </c>
    </row>
    <row r="200" spans="1:20" x14ac:dyDescent="0.25">
      <c r="A200" t="s">
        <v>408</v>
      </c>
      <c r="C200">
        <v>120</v>
      </c>
      <c r="D200">
        <v>23</v>
      </c>
      <c r="E200">
        <v>21</v>
      </c>
      <c r="F200">
        <v>23</v>
      </c>
      <c r="G200">
        <v>5</v>
      </c>
      <c r="H200">
        <v>0</v>
      </c>
      <c r="I200">
        <v>2</v>
      </c>
      <c r="J200">
        <v>7</v>
      </c>
      <c r="K200">
        <v>10</v>
      </c>
      <c r="L200">
        <v>25</v>
      </c>
      <c r="M200">
        <v>64</v>
      </c>
      <c r="N200">
        <v>42</v>
      </c>
      <c r="O200">
        <v>817.5</v>
      </c>
      <c r="P200">
        <v>931</v>
      </c>
      <c r="Q200" s="2">
        <v>1058.5</v>
      </c>
      <c r="R200">
        <v>42</v>
      </c>
      <c r="S200">
        <v>42</v>
      </c>
    </row>
    <row r="201" spans="1:20" x14ac:dyDescent="0.25">
      <c r="A201" t="s">
        <v>3290</v>
      </c>
      <c r="C201">
        <v>128</v>
      </c>
      <c r="D201">
        <v>129</v>
      </c>
      <c r="E201">
        <v>47</v>
      </c>
      <c r="F201">
        <v>103</v>
      </c>
      <c r="G201">
        <v>102</v>
      </c>
      <c r="H201">
        <v>133</v>
      </c>
      <c r="I201">
        <v>116</v>
      </c>
      <c r="J201">
        <v>181</v>
      </c>
      <c r="K201">
        <v>328</v>
      </c>
      <c r="L201">
        <v>297</v>
      </c>
      <c r="M201">
        <v>162</v>
      </c>
      <c r="N201">
        <v>143</v>
      </c>
      <c r="O201">
        <v>157.94999999999999</v>
      </c>
      <c r="P201">
        <v>158.93</v>
      </c>
      <c r="Q201">
        <v>159.91999999999999</v>
      </c>
      <c r="R201">
        <v>160.93</v>
      </c>
      <c r="S201">
        <v>161.96</v>
      </c>
    </row>
    <row r="202" spans="1:20" x14ac:dyDescent="0.25">
      <c r="A202" t="s">
        <v>3291</v>
      </c>
      <c r="C202">
        <v>76</v>
      </c>
      <c r="D202">
        <v>32</v>
      </c>
      <c r="E202">
        <v>42</v>
      </c>
      <c r="F202">
        <v>55</v>
      </c>
      <c r="G202">
        <v>153</v>
      </c>
      <c r="H202">
        <v>5</v>
      </c>
      <c r="I202">
        <v>129</v>
      </c>
      <c r="J202">
        <v>195</v>
      </c>
      <c r="K202">
        <v>450</v>
      </c>
      <c r="L202">
        <v>108</v>
      </c>
      <c r="M202">
        <v>50</v>
      </c>
      <c r="N202">
        <v>170</v>
      </c>
      <c r="O202">
        <v>206.2</v>
      </c>
      <c r="P202">
        <v>207.93</v>
      </c>
      <c r="Q202">
        <v>209.7</v>
      </c>
      <c r="R202">
        <v>211.51</v>
      </c>
      <c r="S202">
        <v>187.69</v>
      </c>
    </row>
    <row r="203" spans="1:20" x14ac:dyDescent="0.25">
      <c r="A203" t="s">
        <v>688</v>
      </c>
    </row>
    <row r="204" spans="1:20" x14ac:dyDescent="0.25">
      <c r="A204" t="s">
        <v>146</v>
      </c>
    </row>
    <row r="205" spans="1:20" x14ac:dyDescent="0.25">
      <c r="A205" t="s">
        <v>3292</v>
      </c>
      <c r="B205" s="2">
        <v>1191</v>
      </c>
      <c r="C205" s="2">
        <v>1241</v>
      </c>
      <c r="D205" s="2">
        <v>1236</v>
      </c>
      <c r="E205" s="2">
        <v>1320</v>
      </c>
      <c r="F205" s="2">
        <v>1492</v>
      </c>
      <c r="G205" s="2">
        <v>1378</v>
      </c>
      <c r="H205" s="2">
        <v>1661</v>
      </c>
      <c r="I205" s="2">
        <v>1855</v>
      </c>
      <c r="J205" s="2">
        <v>2071</v>
      </c>
      <c r="K205" s="2">
        <v>1825</v>
      </c>
      <c r="L205" s="2">
        <v>2041</v>
      </c>
      <c r="M205" s="2">
        <v>2256</v>
      </c>
      <c r="N205" s="2">
        <v>2552</v>
      </c>
      <c r="O205" s="2">
        <v>2615.7600000000002</v>
      </c>
      <c r="P205" s="2">
        <v>2628.78</v>
      </c>
      <c r="Q205" s="2">
        <v>2642.05</v>
      </c>
      <c r="R205" s="2">
        <v>2690.12</v>
      </c>
      <c r="S205" s="2">
        <v>2708.54</v>
      </c>
    </row>
    <row r="206" spans="1:20" x14ac:dyDescent="0.25">
      <c r="A206" t="s">
        <v>409</v>
      </c>
      <c r="O206" s="2">
        <v>38611.65</v>
      </c>
      <c r="P206" s="2">
        <v>43691.34</v>
      </c>
      <c r="Q206" s="2">
        <v>48873.14</v>
      </c>
      <c r="R206" s="2">
        <v>53891.35</v>
      </c>
      <c r="S206" s="2">
        <v>58159.53</v>
      </c>
      <c r="T206" s="2">
        <v>62119.55</v>
      </c>
    </row>
    <row r="207" spans="1:20" x14ac:dyDescent="0.25">
      <c r="A207" t="s">
        <v>1187</v>
      </c>
      <c r="B207" s="2">
        <v>25123</v>
      </c>
      <c r="C207" s="2">
        <v>26538</v>
      </c>
      <c r="D207" s="2">
        <v>28121</v>
      </c>
      <c r="E207" s="2">
        <v>30029</v>
      </c>
      <c r="F207" s="2">
        <v>31424</v>
      </c>
      <c r="G207" s="2">
        <v>31810</v>
      </c>
      <c r="H207" s="2">
        <v>35072</v>
      </c>
      <c r="I207" s="2">
        <v>34016</v>
      </c>
      <c r="J207" s="2">
        <v>37083</v>
      </c>
      <c r="K207" s="2">
        <v>39346</v>
      </c>
      <c r="L207" s="2">
        <v>37274</v>
      </c>
      <c r="M207" s="2">
        <v>40840</v>
      </c>
      <c r="N207" s="2">
        <v>44623</v>
      </c>
      <c r="O207" s="2">
        <v>50637.21</v>
      </c>
      <c r="P207" s="2">
        <v>57617.48</v>
      </c>
      <c r="Q207" s="2">
        <v>64809.96</v>
      </c>
      <c r="R207" s="2">
        <v>72290.61</v>
      </c>
      <c r="S207" s="2">
        <v>80037.02</v>
      </c>
    </row>
    <row r="208" spans="1:20" x14ac:dyDescent="0.25">
      <c r="A208" t="s">
        <v>3293</v>
      </c>
      <c r="B208" s="2">
        <v>18730</v>
      </c>
      <c r="C208" s="2">
        <v>18126</v>
      </c>
      <c r="D208" s="2">
        <v>19583</v>
      </c>
      <c r="E208" s="2">
        <v>20124</v>
      </c>
      <c r="F208" s="2">
        <v>20803</v>
      </c>
      <c r="G208" s="2">
        <v>20180</v>
      </c>
      <c r="H208" s="2">
        <v>24279</v>
      </c>
      <c r="I208" s="2">
        <v>26171</v>
      </c>
      <c r="J208" s="2">
        <v>28849</v>
      </c>
      <c r="K208" s="2">
        <v>30591</v>
      </c>
      <c r="L208" s="2">
        <v>27936</v>
      </c>
      <c r="M208" s="2">
        <v>30801</v>
      </c>
      <c r="N208" s="2">
        <v>33807</v>
      </c>
      <c r="O208" s="2">
        <v>38223.07</v>
      </c>
      <c r="P208" s="2">
        <v>43037.91</v>
      </c>
      <c r="Q208" s="2">
        <v>48168.07</v>
      </c>
      <c r="R208" s="2">
        <v>53551.6</v>
      </c>
      <c r="S208" s="2">
        <v>59164.1</v>
      </c>
    </row>
    <row r="209" spans="1:20" x14ac:dyDescent="0.25">
      <c r="A209" t="s">
        <v>3294</v>
      </c>
      <c r="F209" s="2">
        <v>3393</v>
      </c>
      <c r="G209" s="2">
        <v>3723</v>
      </c>
      <c r="H209" s="2">
        <v>4037</v>
      </c>
      <c r="I209" s="2">
        <v>4393</v>
      </c>
      <c r="J209" s="2">
        <v>5029</v>
      </c>
      <c r="K209" s="2">
        <v>5647</v>
      </c>
      <c r="O209" s="2">
        <v>7761.96</v>
      </c>
      <c r="P209" s="2">
        <v>8367.27</v>
      </c>
      <c r="Q209" s="2">
        <v>8956.15</v>
      </c>
      <c r="R209" s="2">
        <v>9568.34</v>
      </c>
      <c r="S209" s="2">
        <v>10253.06</v>
      </c>
    </row>
    <row r="210" spans="1:20" x14ac:dyDescent="0.25">
      <c r="A210" t="s">
        <v>900</v>
      </c>
      <c r="B210" s="2">
        <v>9323</v>
      </c>
      <c r="C210" s="2">
        <v>9718</v>
      </c>
      <c r="D210" s="2">
        <v>10087</v>
      </c>
      <c r="E210" s="2">
        <v>10299</v>
      </c>
      <c r="F210" s="2">
        <v>10703</v>
      </c>
      <c r="G210" s="2">
        <v>10160</v>
      </c>
      <c r="H210" s="2">
        <v>9755</v>
      </c>
      <c r="I210" s="2">
        <v>9517</v>
      </c>
      <c r="J210" s="2">
        <v>10139</v>
      </c>
      <c r="K210" s="2">
        <v>10579</v>
      </c>
      <c r="L210" s="2">
        <v>9105</v>
      </c>
      <c r="M210" s="2">
        <v>9947</v>
      </c>
      <c r="N210" s="2">
        <v>10970</v>
      </c>
      <c r="O210" s="2">
        <v>12423.19</v>
      </c>
      <c r="P210" s="2">
        <v>14541.84</v>
      </c>
      <c r="Q210" s="2">
        <v>16875.439999999999</v>
      </c>
      <c r="R210" s="2">
        <v>19433.64</v>
      </c>
      <c r="S210" s="2">
        <v>22227.19</v>
      </c>
    </row>
    <row r="211" spans="1:20" x14ac:dyDescent="0.25">
      <c r="A211" t="s">
        <v>3295</v>
      </c>
      <c r="B211" s="2">
        <v>15800</v>
      </c>
      <c r="C211" s="2">
        <v>16820</v>
      </c>
      <c r="D211" s="2">
        <v>18034</v>
      </c>
      <c r="E211" s="2">
        <v>19730</v>
      </c>
      <c r="F211" s="2">
        <v>20721</v>
      </c>
      <c r="G211" s="2">
        <v>21650</v>
      </c>
      <c r="H211" s="2">
        <v>25317</v>
      </c>
      <c r="I211" s="2">
        <v>24499</v>
      </c>
      <c r="J211" s="2">
        <v>26944</v>
      </c>
      <c r="K211" s="2">
        <v>28767</v>
      </c>
      <c r="L211" s="2">
        <v>28169</v>
      </c>
      <c r="M211" s="2">
        <v>30893</v>
      </c>
      <c r="N211" s="2">
        <v>33653</v>
      </c>
      <c r="O211" s="2">
        <v>37865.69</v>
      </c>
      <c r="P211" s="2">
        <v>43365.69</v>
      </c>
      <c r="Q211" s="2">
        <v>49365.69</v>
      </c>
      <c r="R211" s="2">
        <v>55865.69</v>
      </c>
      <c r="S211" s="2">
        <v>62865.69</v>
      </c>
    </row>
    <row r="212" spans="1:20" x14ac:dyDescent="0.25">
      <c r="A212" t="s">
        <v>2400</v>
      </c>
      <c r="B212">
        <v>603</v>
      </c>
      <c r="C212">
        <v>628</v>
      </c>
      <c r="D212">
        <v>700</v>
      </c>
      <c r="E212">
        <v>953</v>
      </c>
      <c r="F212" s="2">
        <v>1305</v>
      </c>
      <c r="G212" s="2">
        <v>1990</v>
      </c>
      <c r="H212" s="2">
        <v>2127</v>
      </c>
      <c r="I212">
        <v>373</v>
      </c>
      <c r="J212">
        <v>381</v>
      </c>
      <c r="K212">
        <v>330</v>
      </c>
      <c r="L212">
        <v>334</v>
      </c>
      <c r="M212">
        <v>304</v>
      </c>
      <c r="N212">
        <v>316</v>
      </c>
      <c r="O212">
        <v>318</v>
      </c>
      <c r="P212">
        <v>318</v>
      </c>
      <c r="Q212">
        <v>318</v>
      </c>
      <c r="R212">
        <v>318</v>
      </c>
      <c r="S212">
        <v>318</v>
      </c>
    </row>
    <row r="213" spans="1:20" x14ac:dyDescent="0.25">
      <c r="A213" t="s">
        <v>312</v>
      </c>
    </row>
    <row r="214" spans="1:20" x14ac:dyDescent="0.25">
      <c r="A214" t="s">
        <v>152</v>
      </c>
      <c r="B214" s="2">
        <v>2018</v>
      </c>
      <c r="C214" s="2">
        <v>2018</v>
      </c>
      <c r="D214" s="2">
        <v>2018</v>
      </c>
      <c r="E214" s="2">
        <v>2286</v>
      </c>
      <c r="F214" s="2">
        <v>2293</v>
      </c>
      <c r="G214" s="2">
        <v>2293</v>
      </c>
      <c r="H214" s="2">
        <v>2464</v>
      </c>
      <c r="I214" s="2">
        <v>1993</v>
      </c>
      <c r="J214" s="2">
        <v>1993</v>
      </c>
      <c r="K214" s="2">
        <v>1993</v>
      </c>
      <c r="L214" s="2">
        <v>1993</v>
      </c>
      <c r="M214" s="2">
        <v>1993</v>
      </c>
      <c r="N214" s="2">
        <v>1993</v>
      </c>
      <c r="O214" s="2">
        <v>1993</v>
      </c>
      <c r="P214" s="2">
        <v>1993</v>
      </c>
      <c r="Q214" s="2">
        <v>1993</v>
      </c>
      <c r="R214" s="2">
        <v>1993</v>
      </c>
      <c r="S214" s="2">
        <v>1993</v>
      </c>
    </row>
    <row r="215" spans="1:20" x14ac:dyDescent="0.25">
      <c r="A215" t="s">
        <v>151</v>
      </c>
      <c r="C215">
        <v>102</v>
      </c>
      <c r="D215">
        <v>89</v>
      </c>
      <c r="E215">
        <v>842</v>
      </c>
      <c r="F215">
        <v>867</v>
      </c>
      <c r="G215">
        <v>849</v>
      </c>
      <c r="H215" s="2">
        <v>2393</v>
      </c>
      <c r="I215">
        <v>199</v>
      </c>
      <c r="J215">
        <v>177</v>
      </c>
      <c r="K215">
        <v>166</v>
      </c>
      <c r="L215">
        <v>156</v>
      </c>
      <c r="M215">
        <v>144</v>
      </c>
      <c r="N215">
        <v>459</v>
      </c>
      <c r="O215">
        <v>184.33</v>
      </c>
      <c r="P215">
        <v>184.33</v>
      </c>
      <c r="Q215">
        <v>184.33</v>
      </c>
      <c r="R215">
        <v>184.33</v>
      </c>
      <c r="S215">
        <v>184.33</v>
      </c>
    </row>
    <row r="216" spans="1:20" x14ac:dyDescent="0.25">
      <c r="A216" t="s">
        <v>3296</v>
      </c>
      <c r="C216" s="2">
        <v>3685</v>
      </c>
      <c r="D216" s="2">
        <v>3692</v>
      </c>
      <c r="E216" s="2">
        <v>3871</v>
      </c>
      <c r="F216" s="2">
        <v>3723</v>
      </c>
      <c r="G216" s="2">
        <v>4568</v>
      </c>
      <c r="H216" s="2">
        <v>4171</v>
      </c>
      <c r="I216" s="2">
        <v>4125</v>
      </c>
      <c r="J216" s="2">
        <v>3482</v>
      </c>
      <c r="K216" s="2">
        <v>3886</v>
      </c>
      <c r="L216" s="2">
        <v>6209</v>
      </c>
      <c r="M216" s="2">
        <v>6771</v>
      </c>
      <c r="N216" s="2">
        <v>7380</v>
      </c>
      <c r="O216" s="2">
        <v>7602.48</v>
      </c>
      <c r="P216" s="2">
        <v>7697.74</v>
      </c>
      <c r="Q216" s="2">
        <v>7793.61</v>
      </c>
      <c r="R216" s="2">
        <v>8017.62</v>
      </c>
      <c r="S216" s="2">
        <v>8139.01</v>
      </c>
      <c r="T216" s="2">
        <v>7593</v>
      </c>
    </row>
    <row r="217" spans="1:20" x14ac:dyDescent="0.25">
      <c r="A217" t="s">
        <v>155</v>
      </c>
      <c r="B217" s="2">
        <v>25864</v>
      </c>
      <c r="C217" s="2">
        <v>27899</v>
      </c>
      <c r="D217" s="2">
        <v>28662</v>
      </c>
      <c r="E217" s="2">
        <v>32041</v>
      </c>
      <c r="F217" s="2">
        <v>33767</v>
      </c>
      <c r="G217" s="2">
        <v>36288</v>
      </c>
      <c r="H217" s="2">
        <v>42268</v>
      </c>
      <c r="I217" s="2">
        <v>45496</v>
      </c>
      <c r="J217" s="2">
        <v>39719</v>
      </c>
      <c r="K217" s="2">
        <v>42683</v>
      </c>
      <c r="L217" s="2">
        <v>44755</v>
      </c>
      <c r="M217" s="2">
        <v>48846</v>
      </c>
      <c r="N217" s="2">
        <v>54066</v>
      </c>
      <c r="O217" s="2">
        <v>58735.16</v>
      </c>
      <c r="P217" s="2">
        <v>64131.86</v>
      </c>
      <c r="Q217" s="2">
        <v>69482.83</v>
      </c>
      <c r="R217" s="2">
        <v>75135.839999999997</v>
      </c>
      <c r="S217" s="2">
        <v>79431.839999999997</v>
      </c>
      <c r="T217" s="2">
        <v>85078.7</v>
      </c>
    </row>
    <row r="218" spans="1:20" x14ac:dyDescent="0.25">
      <c r="A218" t="s">
        <v>17</v>
      </c>
    </row>
    <row r="219" spans="1:20" x14ac:dyDescent="0.25">
      <c r="A219" t="s">
        <v>156</v>
      </c>
    </row>
    <row r="220" spans="1:20" x14ac:dyDescent="0.25">
      <c r="A220" t="s">
        <v>3297</v>
      </c>
      <c r="B220" s="2">
        <v>3189</v>
      </c>
      <c r="C220" s="2">
        <v>2577</v>
      </c>
      <c r="D220" s="2">
        <v>2528</v>
      </c>
      <c r="E220" s="2">
        <v>2437</v>
      </c>
      <c r="F220" s="2">
        <v>2812</v>
      </c>
      <c r="G220" s="2">
        <v>4438</v>
      </c>
      <c r="H220" s="2">
        <v>3997</v>
      </c>
      <c r="I220" s="2">
        <v>2691</v>
      </c>
      <c r="J220" s="2">
        <v>6346</v>
      </c>
      <c r="K220" s="2">
        <v>5173</v>
      </c>
      <c r="L220" s="2">
        <v>5883</v>
      </c>
      <c r="M220" s="2">
        <v>5106</v>
      </c>
      <c r="N220" s="2">
        <v>5409</v>
      </c>
      <c r="O220" s="2">
        <v>5910.67</v>
      </c>
      <c r="P220" s="2">
        <v>6910.53</v>
      </c>
      <c r="Q220" s="2">
        <v>7462.65</v>
      </c>
      <c r="R220" s="2">
        <v>8811.81</v>
      </c>
      <c r="S220" s="2">
        <v>8544.59</v>
      </c>
      <c r="T220" s="2">
        <v>17127.05</v>
      </c>
    </row>
    <row r="221" spans="1:20" x14ac:dyDescent="0.25">
      <c r="A221" t="s">
        <v>158</v>
      </c>
      <c r="B221">
        <v>962</v>
      </c>
      <c r="C221">
        <v>973</v>
      </c>
      <c r="D221">
        <v>809</v>
      </c>
      <c r="E221" s="2">
        <v>1079</v>
      </c>
      <c r="F221" s="2">
        <v>1171</v>
      </c>
      <c r="G221" s="2">
        <v>1329</v>
      </c>
      <c r="H221" s="2">
        <v>1076</v>
      </c>
      <c r="I221" s="2">
        <v>1000</v>
      </c>
      <c r="J221" s="2">
        <v>1414</v>
      </c>
      <c r="K221" s="2">
        <v>1604</v>
      </c>
      <c r="L221" s="2">
        <v>1361</v>
      </c>
      <c r="M221" s="2">
        <v>1387</v>
      </c>
      <c r="N221" s="2">
        <v>1753</v>
      </c>
      <c r="O221" s="2">
        <v>1735.38</v>
      </c>
      <c r="P221" s="2">
        <v>1746.74</v>
      </c>
      <c r="Q221" s="2">
        <v>1759.85</v>
      </c>
      <c r="R221" s="2">
        <v>1775.44</v>
      </c>
      <c r="S221" s="2">
        <v>1815.99</v>
      </c>
      <c r="T221" s="2">
        <v>1697</v>
      </c>
    </row>
    <row r="222" spans="1:20" x14ac:dyDescent="0.25">
      <c r="A222" t="s">
        <v>1921</v>
      </c>
      <c r="B222">
        <v>206</v>
      </c>
      <c r="C222">
        <v>208</v>
      </c>
      <c r="D222">
        <v>220</v>
      </c>
      <c r="E222">
        <v>244</v>
      </c>
      <c r="F222">
        <v>269</v>
      </c>
      <c r="G222">
        <v>299</v>
      </c>
      <c r="H222">
        <v>342</v>
      </c>
      <c r="I222">
        <v>368</v>
      </c>
      <c r="J222">
        <v>311</v>
      </c>
      <c r="K222">
        <v>350</v>
      </c>
      <c r="L222">
        <v>380</v>
      </c>
      <c r="M222">
        <v>450</v>
      </c>
      <c r="N222">
        <v>515</v>
      </c>
    </row>
    <row r="223" spans="1:20" x14ac:dyDescent="0.25">
      <c r="A223" t="s">
        <v>313</v>
      </c>
      <c r="C223">
        <v>398</v>
      </c>
      <c r="D223">
        <v>499</v>
      </c>
      <c r="E223">
        <v>499</v>
      </c>
      <c r="F223">
        <v>621</v>
      </c>
      <c r="G223">
        <v>609</v>
      </c>
      <c r="H223">
        <v>828</v>
      </c>
      <c r="I223">
        <v>38</v>
      </c>
      <c r="J223">
        <v>758</v>
      </c>
      <c r="K223" s="2">
        <v>1162</v>
      </c>
      <c r="L223" s="2">
        <v>1283</v>
      </c>
      <c r="M223" s="2">
        <v>1067</v>
      </c>
      <c r="N223">
        <v>882</v>
      </c>
      <c r="O223">
        <v>987.33</v>
      </c>
      <c r="P223" s="2">
        <v>1038</v>
      </c>
      <c r="Q223">
        <v>704.67</v>
      </c>
      <c r="R223">
        <v>668.5</v>
      </c>
      <c r="S223">
        <v>751.5</v>
      </c>
    </row>
    <row r="224" spans="1:20" x14ac:dyDescent="0.25">
      <c r="A224" t="s">
        <v>694</v>
      </c>
      <c r="C224">
        <v>274</v>
      </c>
      <c r="D224">
        <v>473</v>
      </c>
      <c r="E224">
        <v>14</v>
      </c>
      <c r="F224">
        <v>109</v>
      </c>
      <c r="G224" s="2">
        <v>1499</v>
      </c>
      <c r="H224">
        <v>687</v>
      </c>
      <c r="I224">
        <v>469</v>
      </c>
      <c r="J224" s="2">
        <v>2874</v>
      </c>
      <c r="K224" s="2">
        <v>1124</v>
      </c>
      <c r="L224" s="2">
        <v>2142</v>
      </c>
      <c r="M224" s="2">
        <v>1296</v>
      </c>
      <c r="N224" s="2">
        <v>1356</v>
      </c>
      <c r="O224" s="2">
        <v>1339.8</v>
      </c>
      <c r="P224" s="2">
        <v>1574.4</v>
      </c>
      <c r="Q224" s="2">
        <v>1421</v>
      </c>
      <c r="R224" s="2">
        <v>1690.75</v>
      </c>
      <c r="S224" s="2">
        <v>1225.75</v>
      </c>
    </row>
    <row r="225" spans="1:20" x14ac:dyDescent="0.25">
      <c r="A225" t="s">
        <v>3298</v>
      </c>
      <c r="C225">
        <v>77</v>
      </c>
      <c r="D225">
        <v>57</v>
      </c>
      <c r="E225">
        <v>69</v>
      </c>
      <c r="F225">
        <v>99</v>
      </c>
      <c r="G225">
        <v>67</v>
      </c>
      <c r="H225">
        <v>83</v>
      </c>
      <c r="I225">
        <v>68</v>
      </c>
      <c r="J225">
        <v>238</v>
      </c>
      <c r="K225">
        <v>342</v>
      </c>
      <c r="L225">
        <v>177</v>
      </c>
      <c r="M225">
        <v>118</v>
      </c>
      <c r="N225">
        <v>86</v>
      </c>
      <c r="O225">
        <v>86.86</v>
      </c>
      <c r="P225">
        <v>87.74</v>
      </c>
      <c r="Q225">
        <v>88.63</v>
      </c>
      <c r="R225">
        <v>89.54</v>
      </c>
      <c r="S225">
        <v>90.48</v>
      </c>
    </row>
    <row r="226" spans="1:20" x14ac:dyDescent="0.25">
      <c r="A226" t="s">
        <v>3299</v>
      </c>
      <c r="C226">
        <v>153</v>
      </c>
      <c r="D226">
        <v>41</v>
      </c>
      <c r="E226">
        <v>34</v>
      </c>
      <c r="F226">
        <v>18</v>
      </c>
      <c r="G226">
        <v>126</v>
      </c>
      <c r="H226">
        <v>65</v>
      </c>
      <c r="I226">
        <v>39</v>
      </c>
      <c r="J226">
        <v>156</v>
      </c>
      <c r="K226">
        <v>34</v>
      </c>
      <c r="L226">
        <v>71</v>
      </c>
      <c r="M226">
        <v>181</v>
      </c>
      <c r="N226">
        <v>107</v>
      </c>
      <c r="O226">
        <v>71.069999999999993</v>
      </c>
      <c r="P226">
        <v>72.16</v>
      </c>
      <c r="Q226">
        <v>73.27</v>
      </c>
      <c r="R226">
        <v>74.41</v>
      </c>
      <c r="S226">
        <v>118.14</v>
      </c>
    </row>
    <row r="227" spans="1:20" x14ac:dyDescent="0.25">
      <c r="A227" t="s">
        <v>2277</v>
      </c>
    </row>
    <row r="228" spans="1:20" x14ac:dyDescent="0.25">
      <c r="A228" t="s">
        <v>3300</v>
      </c>
      <c r="C228">
        <v>86</v>
      </c>
      <c r="D228">
        <v>89</v>
      </c>
      <c r="E228">
        <v>96</v>
      </c>
      <c r="F228">
        <v>111</v>
      </c>
      <c r="G228">
        <v>127</v>
      </c>
      <c r="H228">
        <v>147</v>
      </c>
      <c r="I228">
        <v>158</v>
      </c>
      <c r="J228">
        <v>140</v>
      </c>
      <c r="K228">
        <v>154</v>
      </c>
      <c r="L228">
        <v>170</v>
      </c>
      <c r="M228">
        <v>224</v>
      </c>
      <c r="N228">
        <v>273</v>
      </c>
      <c r="O228">
        <v>275.73</v>
      </c>
      <c r="P228">
        <v>278.51</v>
      </c>
      <c r="Q228">
        <v>281.35000000000002</v>
      </c>
      <c r="R228">
        <v>295.5</v>
      </c>
      <c r="S228">
        <v>301.41000000000003</v>
      </c>
    </row>
    <row r="229" spans="1:20" x14ac:dyDescent="0.25">
      <c r="A229" t="s">
        <v>164</v>
      </c>
    </row>
    <row r="230" spans="1:20" x14ac:dyDescent="0.25">
      <c r="A230" t="s">
        <v>165</v>
      </c>
      <c r="C230" s="2">
        <v>8340</v>
      </c>
      <c r="D230" s="2">
        <v>8745</v>
      </c>
      <c r="E230" s="2">
        <v>11262</v>
      </c>
      <c r="F230" s="2">
        <v>12184</v>
      </c>
      <c r="G230" s="2">
        <v>12127</v>
      </c>
      <c r="H230" s="2">
        <v>15924</v>
      </c>
      <c r="I230" s="2">
        <v>18977</v>
      </c>
      <c r="J230" s="2">
        <v>14512</v>
      </c>
      <c r="K230" s="2">
        <v>16862</v>
      </c>
      <c r="L230" s="2">
        <v>17407</v>
      </c>
      <c r="M230" s="2">
        <v>20672</v>
      </c>
      <c r="N230" s="2">
        <v>23771</v>
      </c>
      <c r="O230" s="2">
        <v>26765.119999999999</v>
      </c>
      <c r="P230" s="2">
        <v>29514.240000000002</v>
      </c>
      <c r="Q230" s="2">
        <v>32572.93</v>
      </c>
      <c r="R230" s="2">
        <v>35024.82</v>
      </c>
      <c r="S230" s="2">
        <v>38596.33</v>
      </c>
      <c r="T230" s="2">
        <v>34075.379999999997</v>
      </c>
    </row>
    <row r="231" spans="1:20" x14ac:dyDescent="0.25">
      <c r="A231" t="s">
        <v>3211</v>
      </c>
      <c r="B231">
        <v>11</v>
      </c>
      <c r="C231">
        <v>3</v>
      </c>
      <c r="D231">
        <v>15</v>
      </c>
      <c r="E231">
        <v>0</v>
      </c>
      <c r="F231">
        <v>0</v>
      </c>
      <c r="G231">
        <v>7</v>
      </c>
      <c r="H231">
        <v>11</v>
      </c>
      <c r="I231">
        <v>24</v>
      </c>
      <c r="J231">
        <v>19</v>
      </c>
      <c r="K231">
        <v>11</v>
      </c>
      <c r="L231">
        <v>13</v>
      </c>
      <c r="M231">
        <v>18</v>
      </c>
      <c r="N231">
        <v>14</v>
      </c>
      <c r="O231">
        <v>14.5</v>
      </c>
      <c r="P231">
        <v>14.5</v>
      </c>
      <c r="Q231">
        <v>14.5</v>
      </c>
      <c r="R231">
        <v>14.5</v>
      </c>
      <c r="S231">
        <v>14.5</v>
      </c>
    </row>
    <row r="232" spans="1:20" x14ac:dyDescent="0.25">
      <c r="A232" t="s">
        <v>3301</v>
      </c>
      <c r="B232" s="2">
        <v>3321</v>
      </c>
      <c r="C232" s="2">
        <v>3701</v>
      </c>
      <c r="D232" s="2">
        <v>1088</v>
      </c>
      <c r="E232">
        <v>0</v>
      </c>
      <c r="F232">
        <v>0</v>
      </c>
      <c r="G232" s="2">
        <v>1975</v>
      </c>
      <c r="H232" s="2">
        <v>2315</v>
      </c>
      <c r="I232" s="2">
        <v>2069</v>
      </c>
      <c r="J232" s="2">
        <v>2163</v>
      </c>
      <c r="K232" s="2">
        <v>4788</v>
      </c>
      <c r="L232" s="2">
        <v>2649</v>
      </c>
      <c r="M232" s="2">
        <v>2958</v>
      </c>
      <c r="N232" s="2">
        <v>3400</v>
      </c>
      <c r="O232" s="2">
        <v>3460.36</v>
      </c>
      <c r="P232" s="2">
        <v>3485.66</v>
      </c>
      <c r="Q232" s="2">
        <v>3510.09</v>
      </c>
      <c r="R232" s="2">
        <v>3472.21</v>
      </c>
      <c r="S232" s="2">
        <v>3224.81</v>
      </c>
      <c r="T232" s="2">
        <v>3663.58</v>
      </c>
    </row>
    <row r="233" spans="1:20" x14ac:dyDescent="0.25">
      <c r="A233" t="s">
        <v>3302</v>
      </c>
      <c r="B233" s="2">
        <v>1003</v>
      </c>
      <c r="C233" s="2">
        <v>1795</v>
      </c>
      <c r="D233" s="2">
        <v>1361</v>
      </c>
      <c r="E233" s="2">
        <v>1188</v>
      </c>
      <c r="F233">
        <v>985</v>
      </c>
      <c r="G233">
        <v>837</v>
      </c>
      <c r="H233">
        <v>808</v>
      </c>
      <c r="I233">
        <v>797</v>
      </c>
      <c r="J233">
        <v>697</v>
      </c>
      <c r="K233">
        <v>378</v>
      </c>
      <c r="L233">
        <v>350</v>
      </c>
      <c r="M233">
        <v>214</v>
      </c>
      <c r="N233">
        <v>235</v>
      </c>
      <c r="O233">
        <v>228.5</v>
      </c>
      <c r="P233">
        <v>228.5</v>
      </c>
      <c r="Q233">
        <v>228.5</v>
      </c>
      <c r="R233">
        <v>222</v>
      </c>
      <c r="S233">
        <v>222</v>
      </c>
    </row>
    <row r="234" spans="1:20" x14ac:dyDescent="0.25">
      <c r="A234" t="s">
        <v>2813</v>
      </c>
      <c r="C234" s="2">
        <v>1962</v>
      </c>
      <c r="D234" s="2">
        <v>2194</v>
      </c>
      <c r="E234" s="2">
        <v>2197</v>
      </c>
      <c r="F234" s="2">
        <v>2320</v>
      </c>
      <c r="G234" s="2">
        <v>2469</v>
      </c>
      <c r="H234" s="2">
        <v>2672</v>
      </c>
      <c r="I234" s="2">
        <v>2829</v>
      </c>
      <c r="J234" s="2">
        <v>3162</v>
      </c>
      <c r="K234" s="2">
        <v>3460</v>
      </c>
      <c r="L234" s="2">
        <v>3556</v>
      </c>
      <c r="M234" s="2">
        <v>4031</v>
      </c>
      <c r="N234" s="2">
        <v>4469</v>
      </c>
      <c r="O234" s="2">
        <v>4579.13</v>
      </c>
      <c r="P234" s="2">
        <v>4609.5200000000004</v>
      </c>
      <c r="Q234" s="2">
        <v>4640.51</v>
      </c>
      <c r="R234" s="2">
        <v>4773.6899999999996</v>
      </c>
      <c r="S234" s="2">
        <v>4822.07</v>
      </c>
    </row>
    <row r="235" spans="1:20" x14ac:dyDescent="0.25">
      <c r="A235" t="s">
        <v>3303</v>
      </c>
      <c r="C235">
        <v>8</v>
      </c>
      <c r="D235">
        <v>86</v>
      </c>
      <c r="E235">
        <v>98</v>
      </c>
      <c r="F235">
        <v>47</v>
      </c>
      <c r="G235">
        <v>89</v>
      </c>
      <c r="H235">
        <v>86</v>
      </c>
      <c r="I235">
        <v>60</v>
      </c>
      <c r="J235">
        <v>192</v>
      </c>
      <c r="K235">
        <v>315</v>
      </c>
      <c r="L235">
        <v>132</v>
      </c>
      <c r="M235">
        <v>57</v>
      </c>
      <c r="N235">
        <v>66</v>
      </c>
      <c r="O235">
        <v>61.44</v>
      </c>
      <c r="P235">
        <v>61.89</v>
      </c>
      <c r="Q235">
        <v>62.35</v>
      </c>
      <c r="R235">
        <v>62.81</v>
      </c>
      <c r="S235">
        <v>63.29</v>
      </c>
    </row>
    <row r="236" spans="1:20" x14ac:dyDescent="0.25">
      <c r="A236" t="s">
        <v>3304</v>
      </c>
      <c r="B236">
        <v>47</v>
      </c>
      <c r="C236">
        <v>41</v>
      </c>
      <c r="D236">
        <v>62</v>
      </c>
      <c r="E236">
        <v>93</v>
      </c>
      <c r="F236">
        <v>122</v>
      </c>
      <c r="G236">
        <v>138</v>
      </c>
      <c r="H236">
        <v>166</v>
      </c>
      <c r="I236">
        <v>162</v>
      </c>
      <c r="J236">
        <v>158</v>
      </c>
      <c r="K236">
        <v>182</v>
      </c>
      <c r="L236">
        <v>181</v>
      </c>
      <c r="M236">
        <v>269</v>
      </c>
      <c r="N236">
        <v>402</v>
      </c>
      <c r="O236">
        <v>441.83</v>
      </c>
      <c r="P236">
        <v>459.16</v>
      </c>
      <c r="Q236">
        <v>479.1</v>
      </c>
      <c r="R236">
        <v>535.37</v>
      </c>
      <c r="S236">
        <v>570.52</v>
      </c>
    </row>
    <row r="237" spans="1:20" x14ac:dyDescent="0.25">
      <c r="A237" t="s">
        <v>3299</v>
      </c>
      <c r="C237">
        <v>667</v>
      </c>
      <c r="D237">
        <v>569</v>
      </c>
      <c r="E237">
        <v>555</v>
      </c>
      <c r="F237" s="2">
        <v>2875</v>
      </c>
      <c r="G237" s="2">
        <v>2922</v>
      </c>
      <c r="H237" s="2">
        <v>3264</v>
      </c>
      <c r="I237" s="2">
        <v>3363</v>
      </c>
      <c r="J237" s="2">
        <v>3106</v>
      </c>
      <c r="K237" s="2">
        <v>2673</v>
      </c>
      <c r="L237" s="2">
        <v>2603</v>
      </c>
      <c r="M237" s="2">
        <v>2856</v>
      </c>
      <c r="N237" s="2">
        <v>2881</v>
      </c>
      <c r="O237" s="2">
        <v>2944.6</v>
      </c>
      <c r="P237" s="2">
        <v>2954.4</v>
      </c>
      <c r="Q237" s="2">
        <v>2964.39</v>
      </c>
      <c r="R237" s="2">
        <v>2993.3</v>
      </c>
      <c r="S237" s="2">
        <v>3016.71</v>
      </c>
      <c r="T237" s="2">
        <v>2962</v>
      </c>
    </row>
    <row r="238" spans="1:20" x14ac:dyDescent="0.25">
      <c r="A238" t="s">
        <v>167</v>
      </c>
      <c r="B238" s="2">
        <v>17910</v>
      </c>
      <c r="C238" s="2">
        <v>19557</v>
      </c>
      <c r="D238" s="2">
        <v>19867</v>
      </c>
      <c r="E238" s="2">
        <v>22542</v>
      </c>
      <c r="F238" s="2">
        <v>23777</v>
      </c>
      <c r="G238" s="2">
        <v>25571</v>
      </c>
      <c r="H238" s="2">
        <v>30432</v>
      </c>
      <c r="I238" s="2">
        <v>32907</v>
      </c>
      <c r="J238" s="2">
        <v>31006</v>
      </c>
      <c r="K238" s="2">
        <v>32282</v>
      </c>
      <c r="L238" s="2">
        <v>33700</v>
      </c>
      <c r="M238" s="2">
        <v>37142</v>
      </c>
      <c r="N238" s="2">
        <v>41758</v>
      </c>
      <c r="O238" s="2">
        <v>44880.639999999999</v>
      </c>
      <c r="P238" s="2">
        <v>48886.15</v>
      </c>
      <c r="Q238" s="2">
        <v>52795.3</v>
      </c>
      <c r="R238" s="2">
        <v>56577.81</v>
      </c>
      <c r="S238" s="2">
        <v>59571.34</v>
      </c>
      <c r="T238" s="2">
        <v>17127.05</v>
      </c>
    </row>
    <row r="239" spans="1:20" x14ac:dyDescent="0.25">
      <c r="A239" t="s">
        <v>911</v>
      </c>
      <c r="B239" s="2">
        <v>7954</v>
      </c>
      <c r="C239" s="2">
        <v>8342</v>
      </c>
      <c r="D239" s="2">
        <v>8795</v>
      </c>
      <c r="E239" s="2">
        <v>9499</v>
      </c>
      <c r="F239" s="2">
        <v>9990</v>
      </c>
      <c r="G239" s="2">
        <v>10717</v>
      </c>
      <c r="H239" s="2">
        <v>11836</v>
      </c>
      <c r="I239" s="2">
        <v>12589</v>
      </c>
      <c r="J239" s="2">
        <v>8713</v>
      </c>
      <c r="K239" s="2">
        <v>10401</v>
      </c>
      <c r="L239" s="2">
        <v>11055</v>
      </c>
      <c r="M239" s="2">
        <v>11704</v>
      </c>
      <c r="N239" s="2">
        <v>12308</v>
      </c>
      <c r="O239" s="2">
        <v>13286.17</v>
      </c>
      <c r="P239" s="2">
        <v>14692.67</v>
      </c>
      <c r="Q239" s="2">
        <v>16200.66</v>
      </c>
      <c r="R239" s="2">
        <v>17850.91</v>
      </c>
      <c r="S239" s="2">
        <v>19275.55</v>
      </c>
      <c r="T239" s="2">
        <v>67951.649999999994</v>
      </c>
    </row>
    <row r="240" spans="1:20" x14ac:dyDescent="0.25">
      <c r="A240" t="s">
        <v>1664</v>
      </c>
      <c r="B240" s="2">
        <v>7921</v>
      </c>
      <c r="C240" s="2">
        <v>8327</v>
      </c>
      <c r="D240" s="2">
        <v>8772</v>
      </c>
      <c r="E240" s="2">
        <v>9011</v>
      </c>
      <c r="F240" s="2">
        <v>9512</v>
      </c>
      <c r="G240" s="2">
        <v>10237</v>
      </c>
      <c r="H240" s="2">
        <v>11672</v>
      </c>
      <c r="I240" s="2">
        <v>12425</v>
      </c>
      <c r="J240" s="2">
        <v>8705</v>
      </c>
      <c r="K240" s="2">
        <v>10397</v>
      </c>
      <c r="L240" s="2">
        <v>11050</v>
      </c>
      <c r="M240" s="2">
        <v>11699</v>
      </c>
      <c r="N240" s="2">
        <v>12303</v>
      </c>
      <c r="O240" s="2">
        <v>15620.96</v>
      </c>
      <c r="P240" s="2">
        <v>17249.96</v>
      </c>
      <c r="Q240" s="2">
        <v>19134.96</v>
      </c>
      <c r="R240" s="2">
        <v>20700.5</v>
      </c>
      <c r="S240" s="2">
        <v>22940.5</v>
      </c>
    </row>
    <row r="241" spans="1:20" x14ac:dyDescent="0.25">
      <c r="A241" t="s">
        <v>2121</v>
      </c>
      <c r="B241" s="2">
        <v>3907</v>
      </c>
      <c r="C241" s="2">
        <v>3904</v>
      </c>
      <c r="D241" s="2">
        <v>4123</v>
      </c>
      <c r="E241" s="2">
        <v>4030</v>
      </c>
      <c r="F241" s="2">
        <v>3989</v>
      </c>
      <c r="G241" s="2">
        <v>4245</v>
      </c>
      <c r="H241" s="2">
        <v>5233</v>
      </c>
      <c r="I241" s="2">
        <v>5406</v>
      </c>
      <c r="J241" s="2">
        <v>5379</v>
      </c>
      <c r="K241" s="2">
        <v>6651</v>
      </c>
      <c r="L241" s="2">
        <v>6713</v>
      </c>
      <c r="M241" s="2">
        <v>6779</v>
      </c>
      <c r="N241" s="2">
        <v>6858</v>
      </c>
      <c r="O241" s="2">
        <v>7405.11</v>
      </c>
      <c r="P241" s="2">
        <v>8129.58</v>
      </c>
      <c r="Q241" s="2">
        <v>8784.35</v>
      </c>
      <c r="R241" s="2">
        <v>8097</v>
      </c>
      <c r="S241" s="2">
        <v>8834.25</v>
      </c>
      <c r="T241" s="2">
        <v>10198</v>
      </c>
    </row>
    <row r="242" spans="1:20" x14ac:dyDescent="0.25">
      <c r="A242" t="s">
        <v>2526</v>
      </c>
      <c r="B242">
        <v>-136</v>
      </c>
      <c r="C242">
        <v>-155</v>
      </c>
      <c r="D242">
        <v>-145</v>
      </c>
      <c r="E242">
        <v>-133</v>
      </c>
      <c r="F242">
        <v>-120</v>
      </c>
      <c r="G242">
        <v>-120</v>
      </c>
      <c r="H242">
        <v>-148</v>
      </c>
      <c r="I242">
        <v>-137</v>
      </c>
      <c r="J242">
        <v>-112</v>
      </c>
      <c r="K242">
        <v>-62</v>
      </c>
      <c r="L242">
        <v>-67</v>
      </c>
      <c r="M242">
        <v>-26</v>
      </c>
      <c r="N242">
        <v>-39</v>
      </c>
      <c r="O242">
        <v>-34.96</v>
      </c>
      <c r="P242">
        <v>-35.119999999999997</v>
      </c>
      <c r="Q242">
        <v>-35.28</v>
      </c>
      <c r="R242">
        <v>-35.44</v>
      </c>
      <c r="S242">
        <v>-36.51</v>
      </c>
      <c r="T242">
        <v>-32</v>
      </c>
    </row>
    <row r="243" spans="1:20" x14ac:dyDescent="0.25">
      <c r="A243" t="s">
        <v>2123</v>
      </c>
      <c r="B243" s="2">
        <v>4150</v>
      </c>
      <c r="C243" s="2">
        <v>4578</v>
      </c>
      <c r="D243" s="2">
        <v>4794</v>
      </c>
      <c r="E243" s="2">
        <v>5114</v>
      </c>
      <c r="F243" s="2">
        <v>5643</v>
      </c>
      <c r="G243" s="2">
        <v>6112</v>
      </c>
      <c r="H243" s="2">
        <v>6587</v>
      </c>
      <c r="I243" s="2">
        <v>7156</v>
      </c>
      <c r="J243" s="2">
        <v>3438</v>
      </c>
      <c r="K243" s="2">
        <v>3808</v>
      </c>
      <c r="L243" s="2">
        <v>4404</v>
      </c>
      <c r="M243" s="2">
        <v>4946</v>
      </c>
      <c r="N243" s="2">
        <v>5484</v>
      </c>
      <c r="O243" s="2">
        <v>5777.36</v>
      </c>
      <c r="P243" s="2">
        <v>6299.76</v>
      </c>
      <c r="Q243" s="2">
        <v>6987.89</v>
      </c>
      <c r="R243" s="2">
        <v>9016.24</v>
      </c>
      <c r="S243" s="2">
        <v>9320.08</v>
      </c>
      <c r="T243" s="2">
        <v>10272.69</v>
      </c>
    </row>
    <row r="244" spans="1:20" x14ac:dyDescent="0.25">
      <c r="A244" t="s">
        <v>1235</v>
      </c>
      <c r="B244">
        <v>33</v>
      </c>
      <c r="C244">
        <v>15</v>
      </c>
      <c r="D244">
        <v>23</v>
      </c>
      <c r="E244">
        <v>488</v>
      </c>
      <c r="F244">
        <v>478</v>
      </c>
      <c r="G244">
        <v>480</v>
      </c>
      <c r="H244">
        <v>164</v>
      </c>
      <c r="I244">
        <v>164</v>
      </c>
      <c r="J244">
        <v>8</v>
      </c>
      <c r="K244">
        <v>4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5</v>
      </c>
    </row>
    <row r="245" spans="1:20" x14ac:dyDescent="0.25">
      <c r="A245" t="s">
        <v>1668</v>
      </c>
      <c r="B245" s="2">
        <v>25864</v>
      </c>
      <c r="C245" s="2">
        <v>27899</v>
      </c>
      <c r="D245" s="2">
        <v>28662</v>
      </c>
      <c r="E245" s="2">
        <v>32041</v>
      </c>
      <c r="F245" s="2">
        <v>33767</v>
      </c>
      <c r="G245" s="2">
        <v>36288</v>
      </c>
      <c r="H245" s="2">
        <v>42268</v>
      </c>
      <c r="I245" s="2">
        <v>45496</v>
      </c>
      <c r="J245" s="2">
        <v>39719</v>
      </c>
      <c r="K245" s="2">
        <v>42683</v>
      </c>
      <c r="L245" s="2">
        <v>44755</v>
      </c>
      <c r="M245" s="2">
        <v>48846</v>
      </c>
      <c r="N245" s="2">
        <v>54066</v>
      </c>
      <c r="O245" s="2">
        <v>58735.16</v>
      </c>
      <c r="P245" s="2">
        <v>64131.86</v>
      </c>
      <c r="Q245" s="2">
        <v>69482.83</v>
      </c>
      <c r="R245" s="2">
        <v>75135.839999999997</v>
      </c>
      <c r="S245" s="2">
        <v>79431.839999999997</v>
      </c>
      <c r="T245" s="2">
        <v>85078.7</v>
      </c>
    </row>
    <row r="246" spans="1:20" x14ac:dyDescent="0.25">
      <c r="A246" t="s">
        <v>17</v>
      </c>
    </row>
    <row r="247" spans="1:20" x14ac:dyDescent="0.25">
      <c r="A247" t="s">
        <v>176</v>
      </c>
    </row>
    <row r="248" spans="1:20" x14ac:dyDescent="0.25">
      <c r="A248" t="s">
        <v>609</v>
      </c>
      <c r="F248" s="2">
        <v>12915</v>
      </c>
      <c r="G248" s="2">
        <v>14242</v>
      </c>
      <c r="H248" s="2">
        <v>17450</v>
      </c>
      <c r="I248" s="2">
        <v>19508</v>
      </c>
      <c r="J248" s="2">
        <v>18163</v>
      </c>
      <c r="K248" s="2">
        <v>19078</v>
      </c>
      <c r="L248" s="2">
        <v>20845</v>
      </c>
      <c r="M248" s="2">
        <v>22378</v>
      </c>
      <c r="N248" s="2">
        <v>25291</v>
      </c>
      <c r="O248" s="2">
        <v>29480.07</v>
      </c>
      <c r="P248" s="2">
        <v>33135.300000000003</v>
      </c>
      <c r="Q248" s="2">
        <v>36702.65</v>
      </c>
      <c r="R248" s="2">
        <v>40447.57</v>
      </c>
      <c r="S248" s="2">
        <v>43645.99</v>
      </c>
      <c r="T248" s="2">
        <v>47842.43</v>
      </c>
    </row>
    <row r="249" spans="1:20" x14ac:dyDescent="0.25">
      <c r="A249" t="s">
        <v>505</v>
      </c>
      <c r="B249" s="2">
        <v>8068</v>
      </c>
      <c r="C249" s="2">
        <v>8847</v>
      </c>
      <c r="D249" s="2">
        <v>9672</v>
      </c>
      <c r="E249" s="2">
        <v>11669</v>
      </c>
      <c r="F249" s="2">
        <v>12826</v>
      </c>
      <c r="G249" s="2">
        <v>14166</v>
      </c>
      <c r="H249" s="2">
        <v>17517</v>
      </c>
      <c r="I249" s="2">
        <v>19133</v>
      </c>
      <c r="J249" s="2">
        <v>18216</v>
      </c>
      <c r="K249" s="2">
        <v>19197</v>
      </c>
      <c r="L249" s="2">
        <v>20919</v>
      </c>
      <c r="M249" s="2">
        <v>23153</v>
      </c>
      <c r="N249" s="2">
        <v>26040</v>
      </c>
      <c r="O249" s="2">
        <v>28858.18</v>
      </c>
      <c r="P249" s="2">
        <v>32726.400000000001</v>
      </c>
      <c r="Q249" s="2">
        <v>36455.620000000003</v>
      </c>
      <c r="R249" s="2">
        <v>40027.300000000003</v>
      </c>
      <c r="S249" s="2">
        <v>42124.97</v>
      </c>
      <c r="T249" s="2">
        <v>47842.43</v>
      </c>
    </row>
    <row r="250" spans="1:20" x14ac:dyDescent="0.25">
      <c r="A250" t="s">
        <v>178</v>
      </c>
    </row>
    <row r="251" spans="1:20" x14ac:dyDescent="0.25">
      <c r="A251" t="s">
        <v>180</v>
      </c>
      <c r="B251">
        <v>8.64</v>
      </c>
      <c r="C251">
        <v>11.14</v>
      </c>
      <c r="D251">
        <v>8.5</v>
      </c>
      <c r="E251">
        <v>9.76</v>
      </c>
      <c r="F251">
        <v>12.24</v>
      </c>
      <c r="G251">
        <v>11.34</v>
      </c>
      <c r="H251">
        <v>10.67</v>
      </c>
      <c r="I251">
        <v>11.35</v>
      </c>
      <c r="J251">
        <v>8.58</v>
      </c>
      <c r="K251">
        <v>11.34</v>
      </c>
      <c r="L251">
        <v>13.03</v>
      </c>
      <c r="M251">
        <v>12.34</v>
      </c>
      <c r="N251">
        <v>12.18</v>
      </c>
      <c r="O251">
        <v>11.21</v>
      </c>
      <c r="P251">
        <v>11.24</v>
      </c>
      <c r="Q251">
        <v>11.16</v>
      </c>
      <c r="R251">
        <v>11.11</v>
      </c>
      <c r="S251">
        <v>11.35</v>
      </c>
    </row>
    <row r="252" spans="1:20" x14ac:dyDescent="0.25">
      <c r="A252" t="s">
        <v>179</v>
      </c>
      <c r="B252">
        <v>2.54</v>
      </c>
      <c r="C252">
        <v>3.37</v>
      </c>
      <c r="D252">
        <v>2.57</v>
      </c>
      <c r="E252">
        <v>2.86</v>
      </c>
      <c r="F252">
        <v>3.45</v>
      </c>
      <c r="G252">
        <v>3.2</v>
      </c>
      <c r="H252">
        <v>2.98</v>
      </c>
      <c r="I252">
        <v>3.12</v>
      </c>
      <c r="J252">
        <v>2.13</v>
      </c>
      <c r="K252">
        <v>2.63</v>
      </c>
      <c r="L252">
        <v>3.2</v>
      </c>
      <c r="M252">
        <v>3</v>
      </c>
      <c r="N252">
        <v>2.84</v>
      </c>
      <c r="O252">
        <v>2.8</v>
      </c>
      <c r="P252">
        <v>2.9</v>
      </c>
      <c r="Q252">
        <v>3</v>
      </c>
      <c r="R252">
        <v>3.2</v>
      </c>
      <c r="S252">
        <v>3.3</v>
      </c>
    </row>
    <row r="253" spans="1:20" x14ac:dyDescent="0.25">
      <c r="A253" t="s">
        <v>701</v>
      </c>
      <c r="C253" s="2">
        <v>8327</v>
      </c>
      <c r="D253" s="2">
        <v>8772</v>
      </c>
      <c r="E253" s="2">
        <v>9011</v>
      </c>
      <c r="F253" s="2">
        <v>9512</v>
      </c>
      <c r="G253" s="2">
        <v>10237</v>
      </c>
      <c r="H253" s="2">
        <v>11672</v>
      </c>
      <c r="I253" s="2">
        <v>12425</v>
      </c>
      <c r="J253" s="2">
        <v>8705</v>
      </c>
      <c r="K253" s="2">
        <v>10397</v>
      </c>
      <c r="L253" s="2">
        <v>11050</v>
      </c>
      <c r="M253" s="2">
        <v>11699</v>
      </c>
      <c r="N253" s="2">
        <v>12303</v>
      </c>
      <c r="O253" s="2">
        <v>13326.63</v>
      </c>
      <c r="P253" s="2">
        <v>14704.25</v>
      </c>
      <c r="Q253" s="2">
        <v>16189.25</v>
      </c>
      <c r="R253" s="2">
        <v>17820.57</v>
      </c>
      <c r="S253" s="2">
        <v>19291.5</v>
      </c>
      <c r="T253" s="2">
        <v>20439</v>
      </c>
    </row>
    <row r="254" spans="1:20" x14ac:dyDescent="0.25">
      <c r="A254" t="s">
        <v>424</v>
      </c>
      <c r="F254">
        <v>55.81</v>
      </c>
      <c r="G254">
        <v>59.21</v>
      </c>
      <c r="H254">
        <v>63.98</v>
      </c>
      <c r="I254">
        <v>66.63</v>
      </c>
      <c r="J254">
        <v>44.91</v>
      </c>
      <c r="O254">
        <v>64.08</v>
      </c>
      <c r="P254">
        <v>68.95</v>
      </c>
      <c r="Q254">
        <v>74</v>
      </c>
      <c r="R254">
        <v>79.28</v>
      </c>
      <c r="S254">
        <v>84.82</v>
      </c>
    </row>
    <row r="255" spans="1:20" x14ac:dyDescent="0.25">
      <c r="A255" t="s">
        <v>17</v>
      </c>
    </row>
    <row r="256" spans="1:20" x14ac:dyDescent="0.25">
      <c r="A256" t="s">
        <v>188</v>
      </c>
    </row>
    <row r="257" spans="1:20" x14ac:dyDescent="0.25">
      <c r="A257" t="s">
        <v>189</v>
      </c>
    </row>
    <row r="258" spans="1:20" x14ac:dyDescent="0.25">
      <c r="A258" t="s">
        <v>121</v>
      </c>
      <c r="B258">
        <v>661</v>
      </c>
      <c r="C258">
        <v>905</v>
      </c>
      <c r="D258">
        <v>727</v>
      </c>
      <c r="E258">
        <v>868</v>
      </c>
      <c r="F258" s="2">
        <v>1134</v>
      </c>
      <c r="G258" s="2">
        <v>1120</v>
      </c>
      <c r="H258" s="2">
        <v>1169</v>
      </c>
      <c r="I258" s="2">
        <v>1368</v>
      </c>
      <c r="J258">
        <v>907</v>
      </c>
      <c r="K258" s="2">
        <v>1083</v>
      </c>
      <c r="L258" s="2">
        <v>1397</v>
      </c>
      <c r="M258" s="2">
        <v>1404</v>
      </c>
      <c r="N258" s="2">
        <v>1462</v>
      </c>
      <c r="O258" s="2">
        <v>1618.5</v>
      </c>
      <c r="P258" s="2">
        <v>1798.54</v>
      </c>
      <c r="Q258" s="2">
        <v>1980.42</v>
      </c>
      <c r="R258" s="2">
        <v>2184.8000000000002</v>
      </c>
      <c r="S258" s="2">
        <v>2351.13</v>
      </c>
      <c r="T258" s="2">
        <v>2575</v>
      </c>
    </row>
    <row r="259" spans="1:20" x14ac:dyDescent="0.25">
      <c r="A259" t="s">
        <v>190</v>
      </c>
      <c r="B259" s="2">
        <v>1094</v>
      </c>
      <c r="C259" s="2">
        <v>1145</v>
      </c>
      <c r="D259">
        <v>852</v>
      </c>
      <c r="E259">
        <v>976</v>
      </c>
      <c r="F259" s="2">
        <v>1030</v>
      </c>
      <c r="G259" s="2">
        <v>1124</v>
      </c>
      <c r="H259" s="2">
        <v>1263</v>
      </c>
      <c r="I259" s="2">
        <v>1443</v>
      </c>
      <c r="J259" s="2">
        <v>1459</v>
      </c>
      <c r="K259" s="2">
        <v>1468</v>
      </c>
      <c r="L259" s="2">
        <v>1606</v>
      </c>
      <c r="M259" s="2">
        <v>1732</v>
      </c>
      <c r="N259" s="2">
        <v>1841</v>
      </c>
      <c r="O259" s="2">
        <v>2005.07</v>
      </c>
      <c r="P259" s="2">
        <v>2214.1</v>
      </c>
      <c r="Q259" s="2">
        <v>2446.4499999999998</v>
      </c>
      <c r="R259" s="2">
        <v>2686.74</v>
      </c>
      <c r="S259" s="2">
        <v>2918.16</v>
      </c>
    </row>
    <row r="260" spans="1:20" x14ac:dyDescent="0.25">
      <c r="A260" t="s">
        <v>3305</v>
      </c>
      <c r="B260">
        <v>38</v>
      </c>
      <c r="C260">
        <v>48</v>
      </c>
      <c r="D260">
        <v>46</v>
      </c>
      <c r="E260">
        <v>58</v>
      </c>
      <c r="F260">
        <v>53</v>
      </c>
      <c r="G260">
        <v>45</v>
      </c>
      <c r="H260">
        <v>60</v>
      </c>
      <c r="I260">
        <v>37</v>
      </c>
      <c r="J260">
        <v>58</v>
      </c>
      <c r="K260">
        <v>42</v>
      </c>
      <c r="L260">
        <v>59</v>
      </c>
      <c r="M260">
        <v>55</v>
      </c>
      <c r="N260">
        <v>67</v>
      </c>
      <c r="O260">
        <v>58.61</v>
      </c>
      <c r="P260">
        <v>63.9</v>
      </c>
      <c r="Q260">
        <v>64.37</v>
      </c>
      <c r="R260">
        <v>64.84</v>
      </c>
      <c r="S260">
        <v>64.489999999999995</v>
      </c>
    </row>
    <row r="261" spans="1:20" x14ac:dyDescent="0.25">
      <c r="A261" t="s">
        <v>3306</v>
      </c>
      <c r="B261">
        <v>-15</v>
      </c>
      <c r="C261">
        <v>-21</v>
      </c>
      <c r="D261">
        <v>-21</v>
      </c>
      <c r="E261">
        <v>-21</v>
      </c>
      <c r="F261">
        <v>-23</v>
      </c>
      <c r="G261">
        <v>-45</v>
      </c>
      <c r="H261">
        <v>-24</v>
      </c>
      <c r="I261">
        <v>-25</v>
      </c>
      <c r="J261">
        <v>-27</v>
      </c>
      <c r="K261">
        <v>-29</v>
      </c>
      <c r="L261">
        <v>-42</v>
      </c>
      <c r="M261">
        <v>-86</v>
      </c>
      <c r="N261">
        <v>-105</v>
      </c>
      <c r="O261">
        <v>-197.93</v>
      </c>
      <c r="P261">
        <v>-174.59</v>
      </c>
      <c r="Q261">
        <v>-174.59</v>
      </c>
      <c r="R261">
        <v>-174.59</v>
      </c>
      <c r="S261">
        <v>-174.59</v>
      </c>
    </row>
    <row r="262" spans="1:20" x14ac:dyDescent="0.25">
      <c r="A262" t="s">
        <v>546</v>
      </c>
      <c r="B262">
        <v>164</v>
      </c>
      <c r="C262">
        <v>356</v>
      </c>
      <c r="D262">
        <v>237</v>
      </c>
      <c r="E262">
        <v>265</v>
      </c>
      <c r="F262">
        <v>196</v>
      </c>
      <c r="G262">
        <v>114</v>
      </c>
      <c r="H262">
        <v>329</v>
      </c>
      <c r="I262">
        <v>407</v>
      </c>
      <c r="J262">
        <v>-32</v>
      </c>
      <c r="K262">
        <v>44</v>
      </c>
      <c r="L262">
        <v>181</v>
      </c>
      <c r="M262">
        <v>194</v>
      </c>
      <c r="N262">
        <v>358</v>
      </c>
      <c r="O262">
        <v>200.81</v>
      </c>
      <c r="P262">
        <v>224.84</v>
      </c>
      <c r="Q262">
        <v>229.27</v>
      </c>
      <c r="R262">
        <v>255.19</v>
      </c>
      <c r="S262">
        <v>259.12</v>
      </c>
      <c r="T262">
        <v>91.19</v>
      </c>
    </row>
    <row r="263" spans="1:20" x14ac:dyDescent="0.25">
      <c r="A263" t="s">
        <v>204</v>
      </c>
      <c r="B263" s="2">
        <v>2154</v>
      </c>
      <c r="C263" s="2">
        <v>1845</v>
      </c>
      <c r="D263" s="2">
        <v>1916</v>
      </c>
      <c r="E263" s="2">
        <v>2084</v>
      </c>
      <c r="F263" s="2">
        <v>2117</v>
      </c>
      <c r="G263" s="2">
        <v>2680</v>
      </c>
      <c r="H263" s="2">
        <v>2649</v>
      </c>
      <c r="I263" s="2">
        <v>3697</v>
      </c>
      <c r="J263" s="2">
        <v>3067</v>
      </c>
      <c r="K263" s="2">
        <v>1977</v>
      </c>
      <c r="L263" s="2">
        <v>3220</v>
      </c>
      <c r="M263" s="2">
        <v>3643</v>
      </c>
      <c r="N263" s="2">
        <v>3409</v>
      </c>
      <c r="O263" s="2">
        <v>3617.53</v>
      </c>
      <c r="P263" s="2">
        <v>3997.67</v>
      </c>
      <c r="Q263" s="2">
        <v>4362.72</v>
      </c>
      <c r="R263" s="2">
        <v>4746.97</v>
      </c>
      <c r="S263" s="2">
        <v>5131.1499999999996</v>
      </c>
      <c r="T263" s="2">
        <v>5117.3999999999996</v>
      </c>
    </row>
    <row r="264" spans="1:20" x14ac:dyDescent="0.25">
      <c r="A264" t="s">
        <v>17</v>
      </c>
    </row>
    <row r="265" spans="1:20" x14ac:dyDescent="0.25">
      <c r="A265" t="s">
        <v>205</v>
      </c>
    </row>
    <row r="266" spans="1:20" x14ac:dyDescent="0.25">
      <c r="A266" t="s">
        <v>206</v>
      </c>
      <c r="B266" s="2">
        <v>-1892</v>
      </c>
      <c r="C266" s="2">
        <v>-1784</v>
      </c>
      <c r="D266" s="2">
        <v>-1817</v>
      </c>
      <c r="E266" s="2">
        <v>-1898</v>
      </c>
      <c r="F266" s="2">
        <v>-2037</v>
      </c>
      <c r="G266" s="2">
        <v>-2439</v>
      </c>
      <c r="H266" s="2">
        <v>-2724</v>
      </c>
      <c r="I266" s="2">
        <v>-3241</v>
      </c>
      <c r="J266" s="2">
        <v>-3771</v>
      </c>
      <c r="K266" s="2">
        <v>-3377</v>
      </c>
      <c r="L266" s="2">
        <v>-3931</v>
      </c>
      <c r="M266" s="2">
        <v>-4471</v>
      </c>
      <c r="N266" s="2">
        <v>-4431</v>
      </c>
      <c r="O266" s="2">
        <v>-6583.8</v>
      </c>
      <c r="P266" s="2">
        <v>-7343.8</v>
      </c>
      <c r="Q266" s="2">
        <v>-7671.8</v>
      </c>
      <c r="R266" s="2">
        <v>-7875.78</v>
      </c>
      <c r="S266" s="2">
        <v>-7536</v>
      </c>
      <c r="T266" s="2">
        <v>-7306</v>
      </c>
    </row>
    <row r="267" spans="1:20" x14ac:dyDescent="0.25">
      <c r="A267" t="s">
        <v>3307</v>
      </c>
      <c r="B267" s="2">
        <v>-1534</v>
      </c>
      <c r="C267" s="2">
        <v>-1784</v>
      </c>
      <c r="D267" s="2">
        <v>-1817</v>
      </c>
      <c r="E267" s="2">
        <v>-1898</v>
      </c>
      <c r="F267" s="2">
        <v>-2037</v>
      </c>
      <c r="G267" s="2">
        <v>-2439</v>
      </c>
      <c r="H267" s="2">
        <v>-2724</v>
      </c>
      <c r="I267" s="2">
        <v>-3241</v>
      </c>
      <c r="J267" s="2">
        <v>-3633</v>
      </c>
      <c r="K267" s="2">
        <v>-3311</v>
      </c>
      <c r="L267" s="2">
        <v>-3872</v>
      </c>
      <c r="M267" s="2">
        <v>-4399</v>
      </c>
      <c r="N267" s="2">
        <v>-4343</v>
      </c>
      <c r="O267" s="2">
        <v>-6323.25</v>
      </c>
      <c r="P267" s="2">
        <v>-6971.88</v>
      </c>
      <c r="Q267" s="2">
        <v>-7274.38</v>
      </c>
      <c r="R267" s="2">
        <v>-7578.13</v>
      </c>
      <c r="S267" s="2">
        <v>-7858.13</v>
      </c>
    </row>
    <row r="268" spans="1:20" x14ac:dyDescent="0.25">
      <c r="A268" t="s">
        <v>3308</v>
      </c>
      <c r="B268">
        <v>-342</v>
      </c>
      <c r="C268">
        <v>-265</v>
      </c>
      <c r="D268">
        <v>-203</v>
      </c>
      <c r="E268">
        <v>-147</v>
      </c>
      <c r="F268">
        <v>-213</v>
      </c>
      <c r="G268">
        <v>-274</v>
      </c>
      <c r="H268">
        <v>-273</v>
      </c>
      <c r="I268">
        <v>-616</v>
      </c>
      <c r="J268">
        <v>-139</v>
      </c>
      <c r="K268">
        <v>-67</v>
      </c>
      <c r="L268">
        <v>-62</v>
      </c>
      <c r="M268">
        <v>-68</v>
      </c>
      <c r="N268">
        <v>-86</v>
      </c>
      <c r="O268">
        <v>114</v>
      </c>
      <c r="P268">
        <v>23.5</v>
      </c>
      <c r="Q268">
        <v>-14</v>
      </c>
      <c r="R268">
        <v>-39</v>
      </c>
      <c r="S268">
        <v>-39</v>
      </c>
    </row>
    <row r="269" spans="1:20" x14ac:dyDescent="0.25">
      <c r="A269" t="s">
        <v>213</v>
      </c>
      <c r="B269" s="2">
        <v>-1906</v>
      </c>
      <c r="C269" s="2">
        <v>-2060</v>
      </c>
      <c r="D269" s="2">
        <v>-2204</v>
      </c>
      <c r="E269" s="2">
        <v>-3390</v>
      </c>
      <c r="F269" s="2">
        <v>-2562</v>
      </c>
      <c r="G269" s="2">
        <v>-3347</v>
      </c>
      <c r="H269" s="2">
        <v>-5732</v>
      </c>
      <c r="I269" s="2">
        <v>-4070</v>
      </c>
      <c r="J269" s="2">
        <v>-3863</v>
      </c>
      <c r="K269" s="2">
        <v>-3431</v>
      </c>
      <c r="L269" s="2">
        <v>-4095</v>
      </c>
      <c r="M269" s="2">
        <v>-4951</v>
      </c>
      <c r="N269" s="2">
        <v>-5304</v>
      </c>
      <c r="O269" s="2">
        <v>-6526.7</v>
      </c>
      <c r="P269" s="2">
        <v>-7281.17</v>
      </c>
      <c r="Q269" s="2">
        <v>-7449.49</v>
      </c>
      <c r="R269" s="2">
        <v>-7713.28</v>
      </c>
      <c r="S269" s="2">
        <v>-7707.96</v>
      </c>
      <c r="T269" s="2">
        <v>-7306</v>
      </c>
    </row>
    <row r="270" spans="1:20" x14ac:dyDescent="0.25">
      <c r="A270" t="s">
        <v>17</v>
      </c>
    </row>
    <row r="271" spans="1:20" x14ac:dyDescent="0.25">
      <c r="A271" t="s">
        <v>214</v>
      </c>
    </row>
    <row r="272" spans="1:20" x14ac:dyDescent="0.25">
      <c r="A272" t="s">
        <v>347</v>
      </c>
      <c r="B272">
        <v>-445</v>
      </c>
      <c r="C272">
        <v>-470</v>
      </c>
      <c r="D272">
        <v>-501</v>
      </c>
      <c r="E272">
        <v>-531</v>
      </c>
      <c r="F272">
        <v>-592</v>
      </c>
      <c r="G272">
        <v>-620</v>
      </c>
      <c r="H272">
        <v>-692</v>
      </c>
      <c r="I272">
        <v>-760</v>
      </c>
      <c r="J272">
        <v>-791</v>
      </c>
      <c r="K272">
        <v>-685</v>
      </c>
      <c r="L272">
        <v>-752</v>
      </c>
      <c r="M272">
        <v>-810</v>
      </c>
      <c r="N272">
        <v>-871</v>
      </c>
      <c r="O272">
        <v>-969.04</v>
      </c>
      <c r="P272" s="2">
        <v>-1067.46</v>
      </c>
      <c r="Q272" s="2">
        <v>-1161.07</v>
      </c>
      <c r="R272" s="2">
        <v>-1265.5</v>
      </c>
      <c r="S272" s="2">
        <v>-1357.22</v>
      </c>
      <c r="T272" s="2">
        <v>-1457.76</v>
      </c>
    </row>
    <row r="273" spans="1:20" x14ac:dyDescent="0.25">
      <c r="A273" t="s">
        <v>763</v>
      </c>
      <c r="B273">
        <v>164</v>
      </c>
      <c r="C273">
        <v>766</v>
      </c>
      <c r="D273">
        <v>771</v>
      </c>
      <c r="E273" s="2">
        <v>1169</v>
      </c>
      <c r="F273" s="2">
        <v>1135</v>
      </c>
      <c r="G273" s="2">
        <v>1315</v>
      </c>
      <c r="H273" s="2">
        <v>1904</v>
      </c>
      <c r="I273" s="2">
        <v>2020</v>
      </c>
      <c r="J273" s="2">
        <v>1655</v>
      </c>
      <c r="K273">
        <v>988</v>
      </c>
      <c r="L273" s="2">
        <v>1672</v>
      </c>
      <c r="M273" s="2">
        <v>2178</v>
      </c>
      <c r="N273" s="2">
        <v>2953</v>
      </c>
      <c r="O273" s="2">
        <v>3293.76</v>
      </c>
      <c r="P273" s="2">
        <v>3137.48</v>
      </c>
      <c r="Q273" s="2">
        <v>3306.27</v>
      </c>
      <c r="R273" s="2">
        <v>3380.35</v>
      </c>
      <c r="S273" s="2">
        <v>3418.34</v>
      </c>
    </row>
    <row r="274" spans="1:20" x14ac:dyDescent="0.25">
      <c r="A274" t="s">
        <v>2291</v>
      </c>
      <c r="B274">
        <v>-109</v>
      </c>
      <c r="C274">
        <v>267</v>
      </c>
      <c r="D274">
        <v>101</v>
      </c>
      <c r="E274">
        <v>0</v>
      </c>
      <c r="F274">
        <v>122</v>
      </c>
      <c r="G274">
        <v>-12</v>
      </c>
      <c r="H274">
        <v>219</v>
      </c>
      <c r="I274">
        <v>-790</v>
      </c>
      <c r="J274">
        <v>720</v>
      </c>
      <c r="K274">
        <v>404</v>
      </c>
      <c r="L274">
        <v>121</v>
      </c>
      <c r="M274">
        <v>-216</v>
      </c>
      <c r="N274">
        <v>-185</v>
      </c>
      <c r="O274">
        <v>214.84</v>
      </c>
      <c r="P274" s="2">
        <v>1689.98</v>
      </c>
      <c r="Q274" s="2">
        <v>1078.77</v>
      </c>
      <c r="R274" s="2">
        <v>1592.35</v>
      </c>
      <c r="S274" s="2">
        <v>1578.84</v>
      </c>
    </row>
    <row r="275" spans="1:20" x14ac:dyDescent="0.25">
      <c r="A275" t="s">
        <v>3309</v>
      </c>
      <c r="B275">
        <v>273</v>
      </c>
      <c r="C275">
        <v>499</v>
      </c>
      <c r="D275">
        <v>670</v>
      </c>
      <c r="E275" s="2">
        <v>1169</v>
      </c>
      <c r="F275" s="2">
        <v>1013</v>
      </c>
      <c r="G275" s="2">
        <v>1327</v>
      </c>
      <c r="H275" s="2">
        <v>1685</v>
      </c>
      <c r="I275" s="2">
        <v>2810</v>
      </c>
      <c r="J275">
        <v>935</v>
      </c>
      <c r="K275">
        <v>584</v>
      </c>
      <c r="L275" s="2">
        <v>1551</v>
      </c>
      <c r="M275" s="2">
        <v>2394</v>
      </c>
      <c r="N275" s="2">
        <v>3138</v>
      </c>
      <c r="O275" s="2">
        <v>3381</v>
      </c>
      <c r="P275" s="2">
        <v>3400</v>
      </c>
      <c r="Q275" s="2">
        <v>3550</v>
      </c>
      <c r="R275" s="2">
        <v>3900</v>
      </c>
      <c r="S275" s="2">
        <v>4300</v>
      </c>
      <c r="T275" s="2">
        <v>2850</v>
      </c>
    </row>
    <row r="276" spans="1:20" x14ac:dyDescent="0.25">
      <c r="A276" t="s">
        <v>3310</v>
      </c>
      <c r="B276" s="2">
        <v>1234</v>
      </c>
      <c r="C276" s="2">
        <v>1736</v>
      </c>
      <c r="D276">
        <v>956</v>
      </c>
      <c r="E276" s="2">
        <v>2035</v>
      </c>
      <c r="F276" s="2">
        <v>1398</v>
      </c>
      <c r="G276" s="2">
        <v>1432</v>
      </c>
      <c r="H276" s="2">
        <v>2506</v>
      </c>
      <c r="I276" s="2">
        <v>3692</v>
      </c>
      <c r="J276" s="2">
        <v>4457</v>
      </c>
      <c r="K276" s="2">
        <v>2171</v>
      </c>
      <c r="L276" s="2">
        <v>3167</v>
      </c>
      <c r="M276" s="2">
        <v>4533</v>
      </c>
      <c r="N276" s="2">
        <v>4429</v>
      </c>
      <c r="O276" s="2">
        <v>4057.58</v>
      </c>
      <c r="P276" s="2">
        <v>4105</v>
      </c>
      <c r="Q276" s="2">
        <v>4287.5</v>
      </c>
      <c r="R276" s="2">
        <v>4249</v>
      </c>
      <c r="S276" s="2">
        <v>4410</v>
      </c>
      <c r="T276" s="2">
        <v>2850</v>
      </c>
    </row>
    <row r="277" spans="1:20" x14ac:dyDescent="0.25">
      <c r="A277" t="s">
        <v>2820</v>
      </c>
      <c r="B277">
        <v>39</v>
      </c>
      <c r="C277">
        <v>-52</v>
      </c>
      <c r="D277">
        <v>0</v>
      </c>
      <c r="E277">
        <v>621</v>
      </c>
      <c r="F277">
        <v>-51</v>
      </c>
      <c r="G277">
        <v>0</v>
      </c>
      <c r="H277" s="2">
        <v>2288</v>
      </c>
      <c r="I277">
        <v>2</v>
      </c>
      <c r="J277">
        <v>-66</v>
      </c>
      <c r="K277" s="2">
        <v>1245</v>
      </c>
      <c r="L277">
        <v>0</v>
      </c>
      <c r="M277">
        <v>0</v>
      </c>
      <c r="N277">
        <v>0</v>
      </c>
      <c r="O277">
        <v>554</v>
      </c>
      <c r="P277">
        <v>558.33000000000004</v>
      </c>
      <c r="Q277">
        <v>580</v>
      </c>
      <c r="R277">
        <v>570</v>
      </c>
      <c r="S277">
        <v>480</v>
      </c>
      <c r="T277">
        <v>550</v>
      </c>
    </row>
    <row r="278" spans="1:20" x14ac:dyDescent="0.25">
      <c r="A278" t="s">
        <v>212</v>
      </c>
      <c r="B278">
        <v>-19</v>
      </c>
      <c r="C278">
        <v>-33</v>
      </c>
      <c r="D278">
        <v>7</v>
      </c>
      <c r="E278">
        <v>100</v>
      </c>
      <c r="F278">
        <v>-71</v>
      </c>
      <c r="G278">
        <v>-41</v>
      </c>
      <c r="H278">
        <v>-400</v>
      </c>
      <c r="I278">
        <v>-466</v>
      </c>
      <c r="J278">
        <v>-483</v>
      </c>
      <c r="K278">
        <v>-86</v>
      </c>
      <c r="L278">
        <v>-37</v>
      </c>
      <c r="M278">
        <v>-23</v>
      </c>
      <c r="N278">
        <v>-25</v>
      </c>
      <c r="O278">
        <v>234</v>
      </c>
      <c r="P278" s="2">
        <v>1000</v>
      </c>
      <c r="Q278" s="2">
        <v>1000</v>
      </c>
      <c r="R278" s="2">
        <v>1000</v>
      </c>
      <c r="S278" s="2">
        <v>1000</v>
      </c>
    </row>
    <row r="279" spans="1:20" x14ac:dyDescent="0.25">
      <c r="A279" t="s">
        <v>218</v>
      </c>
      <c r="B279">
        <v>-261</v>
      </c>
      <c r="C279">
        <v>211</v>
      </c>
      <c r="D279">
        <v>277</v>
      </c>
      <c r="E279" s="2">
        <v>1359</v>
      </c>
      <c r="F279">
        <v>421</v>
      </c>
      <c r="G279">
        <v>654</v>
      </c>
      <c r="H279" s="2">
        <v>3100</v>
      </c>
      <c r="I279">
        <v>796</v>
      </c>
      <c r="J279">
        <v>315</v>
      </c>
      <c r="K279" s="2">
        <v>1462</v>
      </c>
      <c r="L279">
        <v>883</v>
      </c>
      <c r="M279" s="2">
        <v>1345</v>
      </c>
      <c r="N279" s="2">
        <v>2057</v>
      </c>
      <c r="O279" s="2">
        <v>2325.9299999999998</v>
      </c>
      <c r="P279" s="2">
        <v>2458.41</v>
      </c>
      <c r="Q279" s="2">
        <v>2515.62</v>
      </c>
      <c r="R279" s="2">
        <v>2311.7399999999998</v>
      </c>
      <c r="S279" s="2">
        <v>2433.5</v>
      </c>
      <c r="T279" s="2">
        <v>1942.24</v>
      </c>
    </row>
    <row r="280" spans="1:20" x14ac:dyDescent="0.25">
      <c r="A280" t="s">
        <v>17</v>
      </c>
    </row>
    <row r="281" spans="1:20" x14ac:dyDescent="0.25">
      <c r="A281" t="s">
        <v>176</v>
      </c>
    </row>
    <row r="282" spans="1:20" x14ac:dyDescent="0.25">
      <c r="A282" t="s">
        <v>220</v>
      </c>
      <c r="B282">
        <v>-13</v>
      </c>
      <c r="C282">
        <v>-4</v>
      </c>
      <c r="D282">
        <v>-11</v>
      </c>
      <c r="E282">
        <v>53</v>
      </c>
      <c r="F282">
        <v>-24</v>
      </c>
      <c r="G282">
        <v>-13</v>
      </c>
      <c r="H282">
        <v>17</v>
      </c>
      <c r="I282">
        <v>423</v>
      </c>
      <c r="J282">
        <v>-481</v>
      </c>
      <c r="K282">
        <v>8</v>
      </c>
      <c r="L282">
        <v>8</v>
      </c>
      <c r="M282">
        <v>37</v>
      </c>
      <c r="N282">
        <v>162</v>
      </c>
      <c r="O282">
        <v>-527.74</v>
      </c>
      <c r="P282">
        <v>-942.89</v>
      </c>
      <c r="Q282">
        <v>-652.69000000000005</v>
      </c>
      <c r="R282">
        <v>-763.66</v>
      </c>
      <c r="S282">
        <v>-171.96</v>
      </c>
      <c r="T282">
        <v>-246.37</v>
      </c>
    </row>
    <row r="283" spans="1:20" x14ac:dyDescent="0.25">
      <c r="A283" t="s">
        <v>221</v>
      </c>
      <c r="C283">
        <v>52</v>
      </c>
      <c r="D283">
        <v>48</v>
      </c>
      <c r="E283">
        <v>60</v>
      </c>
      <c r="F283">
        <v>113</v>
      </c>
      <c r="G283">
        <v>89</v>
      </c>
      <c r="H283">
        <v>76</v>
      </c>
      <c r="I283">
        <v>93</v>
      </c>
      <c r="J283">
        <v>516</v>
      </c>
      <c r="K283">
        <v>35</v>
      </c>
      <c r="L283">
        <v>43</v>
      </c>
      <c r="M283">
        <v>51</v>
      </c>
      <c r="N283">
        <v>88</v>
      </c>
      <c r="O283">
        <v>250</v>
      </c>
      <c r="P283">
        <v>91.98</v>
      </c>
      <c r="Q283">
        <v>-80.03</v>
      </c>
      <c r="R283">
        <v>-239.78</v>
      </c>
      <c r="S283">
        <v>-393.64</v>
      </c>
    </row>
    <row r="284" spans="1:20" x14ac:dyDescent="0.25">
      <c r="A284" t="s">
        <v>222</v>
      </c>
      <c r="C284">
        <v>48</v>
      </c>
      <c r="D284">
        <v>37</v>
      </c>
      <c r="E284">
        <v>113</v>
      </c>
      <c r="F284">
        <v>89</v>
      </c>
      <c r="G284">
        <v>76</v>
      </c>
      <c r="H284">
        <v>93</v>
      </c>
      <c r="I284">
        <v>516</v>
      </c>
      <c r="J284">
        <v>35</v>
      </c>
      <c r="K284">
        <v>43</v>
      </c>
      <c r="L284">
        <v>51</v>
      </c>
      <c r="M284">
        <v>88</v>
      </c>
      <c r="N284">
        <v>250</v>
      </c>
      <c r="O284">
        <v>111.7</v>
      </c>
      <c r="P284">
        <v>-38.770000000000003</v>
      </c>
      <c r="Q284">
        <v>-108.92</v>
      </c>
      <c r="R284">
        <v>-286.37</v>
      </c>
      <c r="S284">
        <v>-178.95</v>
      </c>
      <c r="T284">
        <v>0</v>
      </c>
    </row>
    <row r="285" spans="1:20" x14ac:dyDescent="0.25">
      <c r="A285" t="s">
        <v>178</v>
      </c>
    </row>
    <row r="286" spans="1:20" x14ac:dyDescent="0.25">
      <c r="A286" t="s">
        <v>225</v>
      </c>
      <c r="B286">
        <v>-183</v>
      </c>
      <c r="C286">
        <v>-684</v>
      </c>
      <c r="D286">
        <v>-618</v>
      </c>
      <c r="E286">
        <v>-498</v>
      </c>
      <c r="F286">
        <v>-711</v>
      </c>
      <c r="G286">
        <v>-638</v>
      </c>
      <c r="H286" s="2">
        <v>-1046</v>
      </c>
      <c r="I286">
        <v>-920</v>
      </c>
      <c r="J286" s="2">
        <v>-1495</v>
      </c>
      <c r="K286" s="2">
        <v>-2085</v>
      </c>
      <c r="L286" s="2">
        <v>-1463</v>
      </c>
      <c r="M286" s="2">
        <v>-1638</v>
      </c>
      <c r="N286" s="2">
        <v>-1893</v>
      </c>
      <c r="O286" s="2">
        <v>-4715.5200000000004</v>
      </c>
      <c r="P286" s="2">
        <v>-4777.96</v>
      </c>
      <c r="Q286" s="2">
        <v>-4707.54</v>
      </c>
      <c r="R286" s="2">
        <v>-4629.7</v>
      </c>
      <c r="S286" s="2">
        <v>-4541.67</v>
      </c>
    </row>
    <row r="287" spans="1:20" x14ac:dyDescent="0.25">
      <c r="A287" t="s">
        <v>17</v>
      </c>
    </row>
    <row r="288" spans="1:20" x14ac:dyDescent="0.25">
      <c r="A288" t="s">
        <v>231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73D1-D9AF-4C20-A1D1-7DDD01CD5F7F}">
  <dimension ref="A1:U143"/>
  <sheetViews>
    <sheetView workbookViewId="0">
      <selection sqref="A1:U143"/>
    </sheetView>
  </sheetViews>
  <sheetFormatPr defaultRowHeight="15" x14ac:dyDescent="0.25"/>
  <sheetData>
    <row r="1" spans="1:21" x14ac:dyDescent="0.25">
      <c r="A1" t="s">
        <v>3311</v>
      </c>
    </row>
    <row r="2" spans="1:21" x14ac:dyDescent="0.25">
      <c r="A2" t="s">
        <v>3312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G6">
        <v>-0.35</v>
      </c>
      <c r="H6">
        <v>-0.41</v>
      </c>
      <c r="I6">
        <v>-1.18</v>
      </c>
      <c r="J6">
        <v>0.73</v>
      </c>
      <c r="K6">
        <v>3.07</v>
      </c>
      <c r="L6">
        <v>4.24</v>
      </c>
      <c r="M6">
        <v>2.02</v>
      </c>
      <c r="N6">
        <v>3.31</v>
      </c>
      <c r="O6">
        <v>8.99</v>
      </c>
      <c r="P6">
        <v>9.1300000000000008</v>
      </c>
      <c r="Q6">
        <v>10.26</v>
      </c>
      <c r="R6">
        <v>9.6199999999999992</v>
      </c>
      <c r="S6">
        <v>11.13</v>
      </c>
      <c r="T6">
        <v>12.12</v>
      </c>
    </row>
    <row r="7" spans="1:21" x14ac:dyDescent="0.25">
      <c r="A7" t="s">
        <v>16</v>
      </c>
      <c r="G7">
        <v>331.34</v>
      </c>
      <c r="H7">
        <v>415.98</v>
      </c>
      <c r="I7">
        <v>273.94</v>
      </c>
      <c r="J7">
        <v>652.19000000000005</v>
      </c>
      <c r="K7" s="2">
        <v>1143.82</v>
      </c>
      <c r="L7" s="2">
        <v>1168.77</v>
      </c>
      <c r="M7" s="2">
        <v>1647.77</v>
      </c>
      <c r="N7" s="2">
        <v>2474.1999999999998</v>
      </c>
      <c r="O7" s="2">
        <v>4172.3999999999996</v>
      </c>
      <c r="P7" s="2">
        <v>4383.6499999999996</v>
      </c>
      <c r="Q7" s="2">
        <v>4763.8900000000003</v>
      </c>
      <c r="R7" s="2">
        <v>5049.09</v>
      </c>
      <c r="S7" s="2">
        <v>5447.91</v>
      </c>
      <c r="T7" s="2">
        <v>5685.33</v>
      </c>
      <c r="U7" s="2">
        <v>5787.75</v>
      </c>
    </row>
    <row r="8" spans="1:21" x14ac:dyDescent="0.25">
      <c r="A8" t="s">
        <v>17</v>
      </c>
    </row>
    <row r="9" spans="1:21" x14ac:dyDescent="0.25">
      <c r="A9" t="s">
        <v>3313</v>
      </c>
      <c r="G9">
        <v>24.5</v>
      </c>
      <c r="H9">
        <v>29.11</v>
      </c>
      <c r="I9">
        <v>26.59</v>
      </c>
      <c r="J9">
        <v>38.85</v>
      </c>
      <c r="K9">
        <v>48.56</v>
      </c>
      <c r="L9">
        <v>51.15</v>
      </c>
      <c r="M9">
        <v>69.66</v>
      </c>
      <c r="N9">
        <v>115.48</v>
      </c>
      <c r="O9">
        <v>154.68</v>
      </c>
      <c r="P9">
        <v>182.82</v>
      </c>
      <c r="Q9">
        <v>202.96</v>
      </c>
      <c r="R9">
        <v>218.06</v>
      </c>
      <c r="S9">
        <v>232.86</v>
      </c>
      <c r="T9">
        <v>219.32</v>
      </c>
      <c r="U9">
        <v>224.51</v>
      </c>
    </row>
    <row r="10" spans="1:21" x14ac:dyDescent="0.25">
      <c r="A10" t="s">
        <v>242</v>
      </c>
      <c r="I10">
        <v>224</v>
      </c>
      <c r="J10">
        <v>324</v>
      </c>
      <c r="K10">
        <v>540</v>
      </c>
      <c r="L10">
        <v>734</v>
      </c>
      <c r="M10" s="2">
        <v>1297</v>
      </c>
      <c r="N10" s="2">
        <v>1330.5</v>
      </c>
      <c r="O10" s="2">
        <v>1814.63</v>
      </c>
      <c r="P10" s="2">
        <v>1878.4</v>
      </c>
      <c r="Q10" s="2">
        <v>1841.03</v>
      </c>
      <c r="R10" s="2">
        <v>1790.39</v>
      </c>
      <c r="S10" s="2">
        <v>1791.83</v>
      </c>
      <c r="T10" s="2">
        <v>1664.47</v>
      </c>
      <c r="U10" s="2">
        <v>1633.16</v>
      </c>
    </row>
    <row r="11" spans="1:21" x14ac:dyDescent="0.25">
      <c r="A11" t="s">
        <v>17</v>
      </c>
    </row>
    <row r="12" spans="1:21" x14ac:dyDescent="0.25">
      <c r="A12" t="s">
        <v>32</v>
      </c>
    </row>
    <row r="13" spans="1:21" x14ac:dyDescent="0.25">
      <c r="A13" t="s">
        <v>3314</v>
      </c>
      <c r="K13" s="2">
        <v>1068</v>
      </c>
      <c r="L13" s="2">
        <v>1049</v>
      </c>
      <c r="M13" s="2">
        <v>1513.5</v>
      </c>
      <c r="N13" s="2">
        <v>2281.4</v>
      </c>
      <c r="O13" s="2">
        <v>3482.39</v>
      </c>
      <c r="P13" s="2">
        <v>4023.52</v>
      </c>
      <c r="Q13" s="2">
        <v>4440.59</v>
      </c>
      <c r="R13" s="2">
        <v>4767.2</v>
      </c>
      <c r="S13" s="2">
        <v>5078.07</v>
      </c>
      <c r="T13" s="2">
        <v>5551.22</v>
      </c>
      <c r="U13" s="2">
        <v>5814.74</v>
      </c>
    </row>
    <row r="14" spans="1:21" x14ac:dyDescent="0.25">
      <c r="A14" t="s">
        <v>3315</v>
      </c>
      <c r="K14">
        <v>70.3</v>
      </c>
      <c r="L14">
        <v>67.5</v>
      </c>
      <c r="M14">
        <v>71.8</v>
      </c>
      <c r="N14">
        <v>83.1</v>
      </c>
      <c r="O14">
        <v>120.49</v>
      </c>
      <c r="P14">
        <v>136.58000000000001</v>
      </c>
      <c r="Q14">
        <v>157.61000000000001</v>
      </c>
      <c r="R14">
        <v>173.18</v>
      </c>
      <c r="S14">
        <v>188.93</v>
      </c>
      <c r="T14">
        <v>217.3</v>
      </c>
      <c r="U14">
        <v>226.28</v>
      </c>
    </row>
    <row r="15" spans="1:21" x14ac:dyDescent="0.25">
      <c r="A15" t="s">
        <v>3316</v>
      </c>
      <c r="K15">
        <v>5.6</v>
      </c>
      <c r="L15">
        <v>4.2</v>
      </c>
      <c r="M15">
        <v>2.9</v>
      </c>
      <c r="N15">
        <v>6.2</v>
      </c>
      <c r="O15">
        <v>8.8699999999999992</v>
      </c>
      <c r="P15">
        <v>9.1300000000000008</v>
      </c>
      <c r="Q15">
        <v>11.35</v>
      </c>
      <c r="R15">
        <v>12.19</v>
      </c>
      <c r="S15">
        <v>13.06</v>
      </c>
      <c r="T15">
        <v>14.46</v>
      </c>
      <c r="U15">
        <v>14.66</v>
      </c>
    </row>
    <row r="16" spans="1:21" x14ac:dyDescent="0.25">
      <c r="A16" t="s">
        <v>3317</v>
      </c>
      <c r="K16">
        <v>43.8</v>
      </c>
      <c r="L16">
        <v>48.1</v>
      </c>
      <c r="M16">
        <v>59.5</v>
      </c>
      <c r="N16">
        <v>73.7</v>
      </c>
      <c r="O16">
        <v>193.51</v>
      </c>
      <c r="P16">
        <v>241.42</v>
      </c>
      <c r="Q16">
        <v>219.6</v>
      </c>
      <c r="R16">
        <v>237.43</v>
      </c>
      <c r="S16">
        <v>254.15</v>
      </c>
      <c r="T16">
        <v>287.25</v>
      </c>
      <c r="U16">
        <v>300.8</v>
      </c>
    </row>
    <row r="17" spans="1:21" x14ac:dyDescent="0.25">
      <c r="A17" t="s">
        <v>17</v>
      </c>
    </row>
    <row r="18" spans="1:21" x14ac:dyDescent="0.25">
      <c r="A18" t="s">
        <v>680</v>
      </c>
      <c r="H18">
        <v>167.62</v>
      </c>
      <c r="I18">
        <v>77.67</v>
      </c>
      <c r="J18">
        <v>401.87</v>
      </c>
      <c r="K18">
        <v>764.01</v>
      </c>
      <c r="L18">
        <v>903.86</v>
      </c>
      <c r="M18" s="2">
        <v>1057.18</v>
      </c>
      <c r="N18" s="2">
        <v>1596.3</v>
      </c>
      <c r="O18" s="2">
        <v>2812.8</v>
      </c>
      <c r="P18" s="2">
        <v>2986.65</v>
      </c>
      <c r="Q18" s="2">
        <v>3246.83</v>
      </c>
      <c r="R18" s="2">
        <v>3410.27</v>
      </c>
      <c r="S18" s="2">
        <v>3686.82</v>
      </c>
      <c r="T18" s="2">
        <v>3894.67</v>
      </c>
      <c r="U18" s="2">
        <v>4018</v>
      </c>
    </row>
    <row r="19" spans="1:21" x14ac:dyDescent="0.25">
      <c r="A19" t="s">
        <v>528</v>
      </c>
      <c r="G19">
        <v>-19.77</v>
      </c>
      <c r="H19">
        <v>-32.72</v>
      </c>
      <c r="I19">
        <v>-102.75</v>
      </c>
      <c r="J19">
        <v>67.48</v>
      </c>
      <c r="K19">
        <v>269.54000000000002</v>
      </c>
      <c r="L19">
        <v>396.96</v>
      </c>
      <c r="M19">
        <v>193.9</v>
      </c>
      <c r="N19">
        <v>339.8</v>
      </c>
      <c r="O19" s="2">
        <v>1010.85</v>
      </c>
      <c r="P19" s="2">
        <v>1037.0999999999999</v>
      </c>
      <c r="Q19" s="2">
        <v>1151</v>
      </c>
      <c r="R19" s="2">
        <v>1071.82</v>
      </c>
      <c r="S19" s="2">
        <v>1306.8</v>
      </c>
      <c r="T19" s="2">
        <v>1455.33</v>
      </c>
      <c r="U19" s="2">
        <v>1534</v>
      </c>
    </row>
    <row r="20" spans="1:21" x14ac:dyDescent="0.25">
      <c r="A20" t="s">
        <v>17</v>
      </c>
    </row>
    <row r="21" spans="1:21" x14ac:dyDescent="0.25">
      <c r="A21" t="s">
        <v>36</v>
      </c>
      <c r="G21">
        <v>-252.53</v>
      </c>
      <c r="H21">
        <v>-134.72999999999999</v>
      </c>
      <c r="I21">
        <v>-62.32</v>
      </c>
      <c r="J21">
        <v>105.94</v>
      </c>
      <c r="K21">
        <v>107.06</v>
      </c>
      <c r="L21">
        <v>12.72</v>
      </c>
      <c r="M21">
        <v>-92.85</v>
      </c>
      <c r="N21">
        <v>-818.98</v>
      </c>
      <c r="O21">
        <v>209.74</v>
      </c>
      <c r="P21">
        <v>716.6</v>
      </c>
      <c r="Q21">
        <v>750.36</v>
      </c>
      <c r="R21">
        <v>809.14</v>
      </c>
      <c r="S21" s="2">
        <v>1113.6600000000001</v>
      </c>
      <c r="T21" s="2">
        <v>1383.62</v>
      </c>
      <c r="U21" s="2">
        <v>1475.74</v>
      </c>
    </row>
    <row r="22" spans="1:21" x14ac:dyDescent="0.25">
      <c r="A22" t="s">
        <v>17</v>
      </c>
    </row>
    <row r="23" spans="1:21" x14ac:dyDescent="0.25">
      <c r="A23" t="s">
        <v>37</v>
      </c>
    </row>
    <row r="24" spans="1:21" x14ac:dyDescent="0.25">
      <c r="A24" t="s">
        <v>17</v>
      </c>
    </row>
    <row r="25" spans="1:21" x14ac:dyDescent="0.25">
      <c r="A25" t="s">
        <v>38</v>
      </c>
    </row>
    <row r="26" spans="1:21" x14ac:dyDescent="0.25">
      <c r="A26" t="s">
        <v>3318</v>
      </c>
      <c r="G26">
        <v>24.5</v>
      </c>
      <c r="H26">
        <v>29.11</v>
      </c>
      <c r="I26">
        <v>26.59</v>
      </c>
      <c r="J26">
        <v>38.85</v>
      </c>
      <c r="K26">
        <v>48.56</v>
      </c>
      <c r="L26">
        <v>51.15</v>
      </c>
      <c r="M26">
        <v>69.66</v>
      </c>
      <c r="N26">
        <v>115.48</v>
      </c>
      <c r="O26">
        <v>154.68</v>
      </c>
      <c r="P26">
        <v>182.82</v>
      </c>
      <c r="Q26">
        <v>202.96</v>
      </c>
      <c r="R26">
        <v>218.06</v>
      </c>
      <c r="S26">
        <v>232.86</v>
      </c>
      <c r="T26">
        <v>219.32</v>
      </c>
      <c r="U26">
        <v>224.51</v>
      </c>
    </row>
    <row r="27" spans="1:21" x14ac:dyDescent="0.25">
      <c r="A27" t="s">
        <v>3319</v>
      </c>
      <c r="G27">
        <v>14.7</v>
      </c>
      <c r="H27">
        <v>18.239999999999998</v>
      </c>
      <c r="I27">
        <v>18.32</v>
      </c>
      <c r="J27">
        <v>30.36</v>
      </c>
      <c r="K27">
        <v>40.08</v>
      </c>
      <c r="L27">
        <v>43.31</v>
      </c>
      <c r="M27">
        <v>60.42</v>
      </c>
      <c r="N27">
        <v>100.1</v>
      </c>
      <c r="O27">
        <v>136.54</v>
      </c>
      <c r="P27">
        <v>160.82</v>
      </c>
      <c r="Q27">
        <v>178.64</v>
      </c>
      <c r="R27">
        <v>191.2</v>
      </c>
      <c r="S27">
        <v>203.13</v>
      </c>
      <c r="T27">
        <v>204.01</v>
      </c>
      <c r="U27">
        <v>207.42</v>
      </c>
    </row>
    <row r="28" spans="1:21" x14ac:dyDescent="0.25">
      <c r="A28" t="s">
        <v>17</v>
      </c>
    </row>
    <row r="29" spans="1:21" x14ac:dyDescent="0.25">
      <c r="A29" t="s">
        <v>206</v>
      </c>
      <c r="I29">
        <v>224</v>
      </c>
      <c r="J29">
        <v>324</v>
      </c>
      <c r="K29">
        <v>540</v>
      </c>
      <c r="L29">
        <v>734</v>
      </c>
      <c r="M29" s="2">
        <v>1297</v>
      </c>
      <c r="N29" s="2">
        <v>1330.5</v>
      </c>
      <c r="O29" s="2">
        <v>1814.63</v>
      </c>
      <c r="P29" s="2">
        <v>1878.4</v>
      </c>
      <c r="Q29" s="2">
        <v>1841.03</v>
      </c>
      <c r="R29" s="2">
        <v>1790.39</v>
      </c>
      <c r="S29" s="2">
        <v>1791.83</v>
      </c>
      <c r="T29" s="2">
        <v>1664.47</v>
      </c>
      <c r="U29" s="2">
        <v>1633.16</v>
      </c>
    </row>
    <row r="30" spans="1:21" x14ac:dyDescent="0.25">
      <c r="A30" t="s">
        <v>17</v>
      </c>
    </row>
    <row r="31" spans="1:21" x14ac:dyDescent="0.25">
      <c r="A31" t="s">
        <v>58</v>
      </c>
    </row>
    <row r="32" spans="1:21" x14ac:dyDescent="0.25">
      <c r="A32" t="s">
        <v>16</v>
      </c>
    </row>
    <row r="33" spans="1:21" x14ac:dyDescent="0.25">
      <c r="A33" t="s">
        <v>3314</v>
      </c>
      <c r="K33" s="2">
        <v>1068</v>
      </c>
      <c r="L33" s="2">
        <v>1049</v>
      </c>
      <c r="M33" s="2">
        <v>1513.5</v>
      </c>
      <c r="N33" s="2">
        <v>2281.4</v>
      </c>
      <c r="O33" s="2">
        <v>3482.39</v>
      </c>
      <c r="P33" s="2">
        <v>4023.52</v>
      </c>
      <c r="Q33" s="2">
        <v>4440.59</v>
      </c>
      <c r="R33" s="2">
        <v>4767.2</v>
      </c>
      <c r="S33" s="2">
        <v>5078.07</v>
      </c>
      <c r="T33" s="2">
        <v>5551.22</v>
      </c>
      <c r="U33" s="2">
        <v>5814.74</v>
      </c>
    </row>
    <row r="34" spans="1:21" x14ac:dyDescent="0.25">
      <c r="A34" t="s">
        <v>3320</v>
      </c>
      <c r="K34">
        <v>559.6</v>
      </c>
      <c r="L34">
        <v>593.79999999999995</v>
      </c>
      <c r="M34">
        <v>748</v>
      </c>
      <c r="N34" s="2">
        <v>1391</v>
      </c>
      <c r="O34" s="2">
        <v>2174.33</v>
      </c>
      <c r="P34" s="2">
        <v>2637.66</v>
      </c>
      <c r="Q34" s="2">
        <v>2925.62</v>
      </c>
      <c r="R34" s="2">
        <v>3196.37</v>
      </c>
      <c r="S34" s="2">
        <v>3442.52</v>
      </c>
      <c r="T34" s="2">
        <v>4009.76</v>
      </c>
      <c r="U34" s="2">
        <v>4252.2</v>
      </c>
    </row>
    <row r="35" spans="1:21" x14ac:dyDescent="0.25">
      <c r="A35" t="s">
        <v>3321</v>
      </c>
      <c r="K35">
        <v>508.4</v>
      </c>
      <c r="L35">
        <v>455.2</v>
      </c>
      <c r="M35">
        <v>765.5</v>
      </c>
      <c r="N35">
        <v>890.4</v>
      </c>
      <c r="O35" s="2">
        <v>1023.5</v>
      </c>
      <c r="P35" s="2">
        <v>1063.8699999999999</v>
      </c>
      <c r="Q35" s="2">
        <v>1087.04</v>
      </c>
      <c r="R35" s="2">
        <v>1139.47</v>
      </c>
      <c r="S35" s="2">
        <v>1193.67</v>
      </c>
      <c r="T35">
        <v>835.41</v>
      </c>
      <c r="U35">
        <v>857.25</v>
      </c>
    </row>
    <row r="36" spans="1:21" x14ac:dyDescent="0.25">
      <c r="A36" t="s">
        <v>3315</v>
      </c>
      <c r="K36">
        <v>70.3</v>
      </c>
      <c r="L36">
        <v>67.5</v>
      </c>
      <c r="M36">
        <v>71.8</v>
      </c>
      <c r="N36">
        <v>83.1</v>
      </c>
      <c r="O36">
        <v>120.49</v>
      </c>
      <c r="P36">
        <v>136.58000000000001</v>
      </c>
      <c r="Q36">
        <v>157.61000000000001</v>
      </c>
      <c r="R36">
        <v>173.18</v>
      </c>
      <c r="S36">
        <v>188.93</v>
      </c>
      <c r="T36">
        <v>217.3</v>
      </c>
      <c r="U36">
        <v>226.28</v>
      </c>
    </row>
    <row r="37" spans="1:21" x14ac:dyDescent="0.25">
      <c r="A37" t="s">
        <v>3320</v>
      </c>
      <c r="K37">
        <v>15.2</v>
      </c>
      <c r="L37">
        <v>20.6</v>
      </c>
      <c r="M37">
        <v>19.899999999999999</v>
      </c>
      <c r="N37">
        <v>11.9</v>
      </c>
      <c r="O37">
        <v>17.14</v>
      </c>
      <c r="P37">
        <v>17.940000000000001</v>
      </c>
      <c r="Q37">
        <v>37.83</v>
      </c>
      <c r="R37">
        <v>52.36</v>
      </c>
      <c r="S37">
        <v>64.52</v>
      </c>
      <c r="T37">
        <v>134.72999999999999</v>
      </c>
      <c r="U37">
        <v>142.41999999999999</v>
      </c>
    </row>
    <row r="38" spans="1:21" x14ac:dyDescent="0.25">
      <c r="A38" t="s">
        <v>3321</v>
      </c>
      <c r="K38">
        <v>55.1</v>
      </c>
      <c r="L38">
        <v>46.9</v>
      </c>
      <c r="M38">
        <v>51.9</v>
      </c>
      <c r="N38">
        <v>71.2</v>
      </c>
      <c r="O38">
        <v>91.75</v>
      </c>
      <c r="P38">
        <v>128.33000000000001</v>
      </c>
      <c r="Q38">
        <v>143.72</v>
      </c>
      <c r="R38">
        <v>151.87</v>
      </c>
      <c r="S38">
        <v>160.52000000000001</v>
      </c>
      <c r="T38">
        <v>133.19999999999999</v>
      </c>
      <c r="U38">
        <v>136.72999999999999</v>
      </c>
    </row>
    <row r="39" spans="1:21" x14ac:dyDescent="0.25">
      <c r="A39" t="s">
        <v>3316</v>
      </c>
      <c r="K39">
        <v>5.6</v>
      </c>
      <c r="L39">
        <v>4.2</v>
      </c>
      <c r="M39">
        <v>2.9</v>
      </c>
      <c r="N39">
        <v>6.2</v>
      </c>
      <c r="O39">
        <v>8.8699999999999992</v>
      </c>
      <c r="P39">
        <v>9.1300000000000008</v>
      </c>
      <c r="Q39">
        <v>11.35</v>
      </c>
      <c r="R39">
        <v>12.19</v>
      </c>
      <c r="S39">
        <v>13.06</v>
      </c>
      <c r="T39">
        <v>14.46</v>
      </c>
      <c r="U39">
        <v>14.66</v>
      </c>
    </row>
    <row r="40" spans="1:21" x14ac:dyDescent="0.25">
      <c r="A40" t="s">
        <v>3317</v>
      </c>
      <c r="K40">
        <v>43.8</v>
      </c>
      <c r="L40">
        <v>48.1</v>
      </c>
      <c r="M40">
        <v>59.5</v>
      </c>
      <c r="N40">
        <v>73.7</v>
      </c>
      <c r="O40">
        <v>193.51</v>
      </c>
      <c r="P40">
        <v>241.42</v>
      </c>
      <c r="Q40">
        <v>219.6</v>
      </c>
      <c r="R40">
        <v>237.43</v>
      </c>
      <c r="S40">
        <v>254.15</v>
      </c>
      <c r="T40">
        <v>287.25</v>
      </c>
      <c r="U40">
        <v>300.8</v>
      </c>
    </row>
    <row r="41" spans="1:21" x14ac:dyDescent="0.25">
      <c r="A41" t="s">
        <v>17</v>
      </c>
    </row>
    <row r="42" spans="1:21" x14ac:dyDescent="0.25">
      <c r="A42" t="s">
        <v>258</v>
      </c>
    </row>
    <row r="43" spans="1:21" x14ac:dyDescent="0.25">
      <c r="A43" t="s">
        <v>16</v>
      </c>
    </row>
    <row r="44" spans="1:21" x14ac:dyDescent="0.25">
      <c r="A44" t="s">
        <v>3322</v>
      </c>
      <c r="G44">
        <v>260.08</v>
      </c>
      <c r="H44">
        <v>338.27</v>
      </c>
      <c r="I44">
        <v>236.6</v>
      </c>
      <c r="J44">
        <v>593.05999999999995</v>
      </c>
      <c r="K44" s="2">
        <v>1113.4100000000001</v>
      </c>
      <c r="L44" s="2">
        <v>1097.32</v>
      </c>
      <c r="M44" s="2">
        <v>1573.07</v>
      </c>
      <c r="N44" s="2">
        <v>2384.91</v>
      </c>
      <c r="O44" s="2">
        <v>3855.7</v>
      </c>
      <c r="P44" s="2">
        <v>4136.2700000000004</v>
      </c>
      <c r="Q44" s="2">
        <v>4456.7299999999996</v>
      </c>
      <c r="R44" s="2">
        <v>4737.6499999999996</v>
      </c>
      <c r="S44" s="2">
        <v>5103</v>
      </c>
      <c r="T44" s="2">
        <v>5034</v>
      </c>
      <c r="U44" s="2">
        <v>5238.51</v>
      </c>
    </row>
    <row r="45" spans="1:21" x14ac:dyDescent="0.25">
      <c r="A45" t="s">
        <v>3315</v>
      </c>
      <c r="G45">
        <v>65.17</v>
      </c>
      <c r="H45">
        <v>71.52</v>
      </c>
      <c r="I45">
        <v>33.58</v>
      </c>
      <c r="J45">
        <v>54.3</v>
      </c>
      <c r="K45">
        <v>68.66</v>
      </c>
      <c r="L45">
        <v>67.290000000000006</v>
      </c>
      <c r="M45">
        <v>71.760000000000005</v>
      </c>
      <c r="N45">
        <v>83.1</v>
      </c>
      <c r="O45">
        <v>112.4</v>
      </c>
      <c r="P45">
        <v>127.25</v>
      </c>
      <c r="Q45">
        <v>148.4</v>
      </c>
      <c r="R45">
        <v>161</v>
      </c>
      <c r="S45">
        <v>173.41</v>
      </c>
      <c r="T45">
        <v>166.5</v>
      </c>
      <c r="U45">
        <v>174.91</v>
      </c>
    </row>
    <row r="46" spans="1:21" x14ac:dyDescent="0.25">
      <c r="A46" t="s">
        <v>3323</v>
      </c>
      <c r="G46">
        <v>6.09</v>
      </c>
      <c r="H46">
        <v>6.18</v>
      </c>
      <c r="I46">
        <v>3.77</v>
      </c>
      <c r="J46">
        <v>4.83</v>
      </c>
      <c r="K46">
        <v>5.59</v>
      </c>
      <c r="L46">
        <v>4.17</v>
      </c>
      <c r="M46">
        <v>2.94</v>
      </c>
      <c r="N46">
        <v>6.18</v>
      </c>
      <c r="O46">
        <v>6.45</v>
      </c>
      <c r="P46">
        <v>7.05</v>
      </c>
      <c r="Q46">
        <v>5.78</v>
      </c>
      <c r="R46">
        <v>6.09</v>
      </c>
      <c r="S46">
        <v>6.33</v>
      </c>
      <c r="T46">
        <v>3.23</v>
      </c>
      <c r="U46">
        <v>3.11</v>
      </c>
    </row>
    <row r="47" spans="1:21" x14ac:dyDescent="0.25">
      <c r="A47" t="s">
        <v>17</v>
      </c>
    </row>
    <row r="48" spans="1:21" x14ac:dyDescent="0.25">
      <c r="A48" t="s">
        <v>79</v>
      </c>
    </row>
    <row r="49" spans="1:21" x14ac:dyDescent="0.25">
      <c r="A49" t="s">
        <v>80</v>
      </c>
      <c r="G49">
        <v>331.34</v>
      </c>
      <c r="H49">
        <v>415.98</v>
      </c>
      <c r="I49">
        <v>273.94</v>
      </c>
      <c r="J49">
        <v>652.19000000000005</v>
      </c>
      <c r="K49" s="2">
        <v>1143.82</v>
      </c>
      <c r="L49" s="2">
        <v>1168.77</v>
      </c>
      <c r="M49" s="2">
        <v>1647.77</v>
      </c>
      <c r="N49" s="2">
        <v>2474.1999999999998</v>
      </c>
      <c r="O49" s="2">
        <v>4172.3999999999996</v>
      </c>
      <c r="P49" s="2">
        <v>4383.6499999999996</v>
      </c>
      <c r="Q49" s="2">
        <v>4763.8900000000003</v>
      </c>
      <c r="R49" s="2">
        <v>5049.09</v>
      </c>
      <c r="S49" s="2">
        <v>5447.91</v>
      </c>
      <c r="T49" s="2">
        <v>5685.33</v>
      </c>
      <c r="U49" s="2">
        <v>5787.75</v>
      </c>
    </row>
    <row r="50" spans="1:21" x14ac:dyDescent="0.25">
      <c r="A50" t="s">
        <v>17</v>
      </c>
    </row>
    <row r="51" spans="1:21" x14ac:dyDescent="0.25">
      <c r="A51" t="s">
        <v>82</v>
      </c>
      <c r="F51">
        <v>0</v>
      </c>
      <c r="G51">
        <v>212.58</v>
      </c>
      <c r="H51">
        <v>328.13</v>
      </c>
      <c r="I51">
        <v>271.51</v>
      </c>
      <c r="J51">
        <v>385.58</v>
      </c>
      <c r="K51">
        <v>557.41999999999996</v>
      </c>
      <c r="L51">
        <v>577.53</v>
      </c>
      <c r="M51">
        <v>830.03</v>
      </c>
      <c r="N51" s="2">
        <v>1299.17</v>
      </c>
      <c r="O51" s="2">
        <v>1791.66</v>
      </c>
      <c r="P51" s="2">
        <v>2038.23</v>
      </c>
      <c r="Q51" s="2">
        <v>2255.81</v>
      </c>
      <c r="R51" s="2">
        <v>2399.4</v>
      </c>
      <c r="S51" s="2">
        <v>2555.2399999999998</v>
      </c>
      <c r="T51" s="2">
        <v>2524.8000000000002</v>
      </c>
      <c r="U51" s="2">
        <v>2614.7600000000002</v>
      </c>
    </row>
    <row r="52" spans="1:21" x14ac:dyDescent="0.25">
      <c r="A52" t="s">
        <v>84</v>
      </c>
      <c r="F52">
        <v>0</v>
      </c>
      <c r="G52">
        <v>118.76</v>
      </c>
      <c r="H52">
        <v>87.85</v>
      </c>
      <c r="I52">
        <v>2.4300000000000002</v>
      </c>
      <c r="J52">
        <v>266.61</v>
      </c>
      <c r="K52">
        <v>630.24</v>
      </c>
      <c r="L52">
        <v>591.25</v>
      </c>
      <c r="M52">
        <v>817.74</v>
      </c>
      <c r="N52" s="2">
        <v>1175.03</v>
      </c>
      <c r="O52" s="2">
        <v>2020.52</v>
      </c>
      <c r="P52" s="2">
        <v>2038.03</v>
      </c>
      <c r="Q52" s="2">
        <v>2155.04</v>
      </c>
      <c r="R52" s="2">
        <v>2266.12</v>
      </c>
      <c r="S52" s="2">
        <v>2474.63</v>
      </c>
      <c r="T52" s="2">
        <v>2167.2800000000002</v>
      </c>
      <c r="U52" s="2">
        <v>2270.2600000000002</v>
      </c>
    </row>
    <row r="53" spans="1:21" x14ac:dyDescent="0.25">
      <c r="A53" t="s">
        <v>85</v>
      </c>
      <c r="H53">
        <v>21.12</v>
      </c>
      <c r="L53">
        <v>50.59</v>
      </c>
      <c r="M53">
        <v>49.63</v>
      </c>
      <c r="N53">
        <v>47.49</v>
      </c>
      <c r="O53">
        <v>52.12</v>
      </c>
      <c r="P53">
        <v>46.92</v>
      </c>
      <c r="Q53">
        <v>46.37</v>
      </c>
      <c r="R53">
        <v>46.39</v>
      </c>
      <c r="S53">
        <v>46.76</v>
      </c>
      <c r="T53">
        <v>50.43</v>
      </c>
      <c r="U53">
        <v>51.28</v>
      </c>
    </row>
    <row r="54" spans="1:21" x14ac:dyDescent="0.25">
      <c r="A54" t="s">
        <v>17</v>
      </c>
    </row>
    <row r="55" spans="1:21" x14ac:dyDescent="0.25">
      <c r="A55" t="s">
        <v>275</v>
      </c>
    </row>
    <row r="56" spans="1:21" x14ac:dyDescent="0.25">
      <c r="A56" t="s">
        <v>276</v>
      </c>
      <c r="F56">
        <v>3.26</v>
      </c>
      <c r="G56">
        <v>48.46</v>
      </c>
      <c r="H56">
        <v>69.540000000000006</v>
      </c>
      <c r="I56">
        <v>57.94</v>
      </c>
      <c r="J56">
        <v>88.61</v>
      </c>
      <c r="K56">
        <v>123.73</v>
      </c>
      <c r="L56">
        <v>139.28</v>
      </c>
      <c r="M56">
        <v>249.29</v>
      </c>
      <c r="N56">
        <v>365.78</v>
      </c>
      <c r="O56">
        <v>469.04</v>
      </c>
      <c r="P56">
        <v>516.66999999999996</v>
      </c>
      <c r="Q56">
        <v>547.85</v>
      </c>
      <c r="R56">
        <v>567.24</v>
      </c>
      <c r="S56">
        <v>599.13</v>
      </c>
      <c r="T56">
        <v>572.98</v>
      </c>
      <c r="U56">
        <v>592.35</v>
      </c>
    </row>
    <row r="57" spans="1:21" x14ac:dyDescent="0.25">
      <c r="A57" t="s">
        <v>3324</v>
      </c>
      <c r="G57">
        <v>0.64</v>
      </c>
      <c r="H57">
        <v>0.68</v>
      </c>
      <c r="I57">
        <v>0.65</v>
      </c>
      <c r="J57">
        <v>0.56000000000000005</v>
      </c>
      <c r="K57">
        <v>0.74</v>
      </c>
      <c r="L57">
        <v>0.02</v>
      </c>
      <c r="M57">
        <v>0.14000000000000001</v>
      </c>
      <c r="N57">
        <v>0.57999999999999996</v>
      </c>
      <c r="O57">
        <v>0.66</v>
      </c>
      <c r="P57">
        <v>0.85</v>
      </c>
      <c r="Q57">
        <v>0.96</v>
      </c>
      <c r="R57">
        <v>1.04</v>
      </c>
      <c r="S57">
        <v>1.1200000000000001</v>
      </c>
      <c r="T57">
        <v>1</v>
      </c>
      <c r="U57">
        <v>1.03</v>
      </c>
    </row>
    <row r="58" spans="1:21" x14ac:dyDescent="0.25">
      <c r="A58" t="s">
        <v>212</v>
      </c>
      <c r="F58">
        <v>0.74</v>
      </c>
      <c r="G58">
        <v>18.100000000000001</v>
      </c>
      <c r="H58">
        <v>6.18</v>
      </c>
      <c r="I58">
        <v>19.43</v>
      </c>
      <c r="J58">
        <v>4.21</v>
      </c>
      <c r="K58">
        <v>3.32</v>
      </c>
      <c r="L58">
        <v>6.49</v>
      </c>
      <c r="M58">
        <v>1.26</v>
      </c>
      <c r="N58">
        <v>32.380000000000003</v>
      </c>
      <c r="O58">
        <v>7.26</v>
      </c>
      <c r="P58">
        <v>12.54</v>
      </c>
      <c r="Q58">
        <v>14.6</v>
      </c>
      <c r="R58">
        <v>16.579999999999998</v>
      </c>
      <c r="S58">
        <v>18.600000000000001</v>
      </c>
    </row>
    <row r="59" spans="1:21" x14ac:dyDescent="0.25">
      <c r="A59" t="s">
        <v>17</v>
      </c>
    </row>
    <row r="60" spans="1:21" x14ac:dyDescent="0.25">
      <c r="A60" t="s">
        <v>91</v>
      </c>
      <c r="G60">
        <v>54.2</v>
      </c>
      <c r="H60">
        <v>14.62</v>
      </c>
      <c r="I60">
        <v>-70.010000000000005</v>
      </c>
      <c r="J60">
        <v>210.55</v>
      </c>
      <c r="K60">
        <v>529.15</v>
      </c>
      <c r="L60">
        <v>631.49</v>
      </c>
      <c r="M60">
        <v>625.39</v>
      </c>
      <c r="N60" s="2">
        <v>1250.83</v>
      </c>
      <c r="O60" s="2">
        <v>1722.41</v>
      </c>
      <c r="P60" s="2">
        <v>1759</v>
      </c>
      <c r="Q60" s="2">
        <v>1927.47</v>
      </c>
      <c r="R60" s="2">
        <v>1966.4</v>
      </c>
      <c r="S60" s="2">
        <v>2161.6999999999998</v>
      </c>
      <c r="T60" s="2">
        <v>2147.6</v>
      </c>
      <c r="U60" s="2">
        <v>2269.25</v>
      </c>
    </row>
    <row r="61" spans="1:21" x14ac:dyDescent="0.25">
      <c r="A61" t="s">
        <v>3325</v>
      </c>
      <c r="F61">
        <v>1</v>
      </c>
      <c r="G61">
        <v>2.64</v>
      </c>
      <c r="H61">
        <v>3.17</v>
      </c>
      <c r="I61">
        <v>5.57</v>
      </c>
      <c r="J61">
        <v>23.29</v>
      </c>
      <c r="K61">
        <v>26.7</v>
      </c>
      <c r="L61">
        <v>204.11</v>
      </c>
      <c r="M61">
        <v>54.13</v>
      </c>
      <c r="N61">
        <v>512.79</v>
      </c>
      <c r="O61">
        <v>20.260000000000002</v>
      </c>
      <c r="P61">
        <v>19.8</v>
      </c>
      <c r="Q61">
        <v>23.06</v>
      </c>
      <c r="R61">
        <v>26.2</v>
      </c>
      <c r="S61">
        <v>29.4</v>
      </c>
    </row>
    <row r="62" spans="1:21" x14ac:dyDescent="0.25">
      <c r="A62" t="s">
        <v>17</v>
      </c>
    </row>
    <row r="63" spans="1:21" x14ac:dyDescent="0.25">
      <c r="A63" t="s">
        <v>93</v>
      </c>
      <c r="F63">
        <v>36</v>
      </c>
      <c r="G63">
        <v>74.77</v>
      </c>
      <c r="H63">
        <v>153</v>
      </c>
      <c r="I63">
        <v>147.66999999999999</v>
      </c>
      <c r="J63">
        <v>191.31</v>
      </c>
      <c r="K63">
        <v>234.86</v>
      </c>
      <c r="L63">
        <v>276.43</v>
      </c>
      <c r="M63">
        <v>437.7</v>
      </c>
      <c r="N63">
        <v>738.9</v>
      </c>
      <c r="O63" s="2">
        <v>1058.6099999999999</v>
      </c>
      <c r="P63" s="2">
        <v>1216.24</v>
      </c>
      <c r="Q63" s="2">
        <v>1326.15</v>
      </c>
      <c r="R63" s="2">
        <v>1411.61</v>
      </c>
      <c r="S63" s="2">
        <v>1482.23</v>
      </c>
      <c r="T63" s="2">
        <v>1554.5</v>
      </c>
      <c r="U63" s="2">
        <v>1608.21</v>
      </c>
    </row>
    <row r="64" spans="1:21" x14ac:dyDescent="0.25">
      <c r="A64" t="s">
        <v>277</v>
      </c>
      <c r="H64">
        <v>167.62</v>
      </c>
      <c r="I64">
        <v>77.67</v>
      </c>
      <c r="J64">
        <v>401.87</v>
      </c>
      <c r="K64">
        <v>764.01</v>
      </c>
      <c r="L64">
        <v>903.86</v>
      </c>
      <c r="M64" s="2">
        <v>1057.18</v>
      </c>
      <c r="N64" s="2">
        <v>1596.3</v>
      </c>
      <c r="O64" s="2">
        <v>2812.8</v>
      </c>
      <c r="P64" s="2">
        <v>2986.65</v>
      </c>
      <c r="Q64" s="2">
        <v>3246.83</v>
      </c>
      <c r="R64" s="2">
        <v>3410.27</v>
      </c>
      <c r="S64" s="2">
        <v>3686.82</v>
      </c>
      <c r="T64" s="2">
        <v>3894.67</v>
      </c>
      <c r="U64" s="2">
        <v>4018</v>
      </c>
    </row>
    <row r="65" spans="1:21" x14ac:dyDescent="0.25">
      <c r="A65" t="s">
        <v>481</v>
      </c>
      <c r="G65">
        <v>38.92</v>
      </c>
      <c r="H65">
        <v>40.299999999999997</v>
      </c>
      <c r="I65">
        <v>28.35</v>
      </c>
      <c r="J65">
        <v>61.62</v>
      </c>
      <c r="K65">
        <v>64.33</v>
      </c>
      <c r="L65">
        <v>77.680000000000007</v>
      </c>
      <c r="M65">
        <v>64.52</v>
      </c>
      <c r="N65">
        <v>80.42</v>
      </c>
      <c r="O65">
        <v>67.02</v>
      </c>
      <c r="P65">
        <v>67.099999999999994</v>
      </c>
      <c r="Q65">
        <v>67.27</v>
      </c>
      <c r="R65">
        <v>67.11</v>
      </c>
      <c r="S65">
        <v>67.16</v>
      </c>
      <c r="T65">
        <v>69</v>
      </c>
      <c r="U65">
        <v>69.42</v>
      </c>
    </row>
    <row r="66" spans="1:21" x14ac:dyDescent="0.25">
      <c r="A66" t="s">
        <v>17</v>
      </c>
    </row>
    <row r="67" spans="1:21" x14ac:dyDescent="0.25">
      <c r="A67" t="s">
        <v>3326</v>
      </c>
      <c r="F67">
        <v>2.0499999999999998</v>
      </c>
      <c r="G67">
        <v>36.630000000000003</v>
      </c>
      <c r="H67">
        <v>31.11</v>
      </c>
      <c r="I67">
        <v>42.85</v>
      </c>
      <c r="J67">
        <v>57.79</v>
      </c>
      <c r="K67">
        <v>95.63</v>
      </c>
      <c r="L67">
        <v>86.13</v>
      </c>
      <c r="M67">
        <v>34.56</v>
      </c>
      <c r="N67">
        <v>240.95</v>
      </c>
      <c r="O67">
        <v>283.06</v>
      </c>
      <c r="P67">
        <v>245.78</v>
      </c>
      <c r="Q67">
        <v>203.84</v>
      </c>
      <c r="R67">
        <v>181.03</v>
      </c>
      <c r="S67">
        <v>184.94</v>
      </c>
      <c r="T67">
        <v>138.94</v>
      </c>
      <c r="U67">
        <v>137.11000000000001</v>
      </c>
    </row>
    <row r="68" spans="1:21" x14ac:dyDescent="0.25">
      <c r="A68" t="s">
        <v>484</v>
      </c>
      <c r="G68">
        <v>15.75</v>
      </c>
      <c r="H68">
        <v>35.72</v>
      </c>
      <c r="I68">
        <v>49.56</v>
      </c>
      <c r="J68">
        <v>50.66</v>
      </c>
      <c r="K68">
        <v>28.89</v>
      </c>
      <c r="L68">
        <v>21.88</v>
      </c>
      <c r="M68">
        <v>62.5</v>
      </c>
      <c r="N68">
        <v>221.78</v>
      </c>
      <c r="O68">
        <v>221.68</v>
      </c>
      <c r="P68">
        <v>224.18</v>
      </c>
      <c r="Q68">
        <v>189.47</v>
      </c>
      <c r="R68">
        <v>185.53</v>
      </c>
      <c r="S68">
        <v>180.43</v>
      </c>
      <c r="T68">
        <v>120.68</v>
      </c>
      <c r="U68">
        <v>115.23</v>
      </c>
    </row>
    <row r="69" spans="1:21" x14ac:dyDescent="0.25">
      <c r="A69" t="s">
        <v>398</v>
      </c>
      <c r="G69">
        <v>2.13</v>
      </c>
      <c r="H69">
        <v>1.33</v>
      </c>
      <c r="I69">
        <v>0.82</v>
      </c>
      <c r="J69">
        <v>7.0000000000000007E-2</v>
      </c>
      <c r="K69">
        <v>0.81</v>
      </c>
      <c r="L69">
        <v>1.24</v>
      </c>
      <c r="M69">
        <v>4.54</v>
      </c>
      <c r="N69">
        <v>10.59</v>
      </c>
      <c r="O69">
        <v>11.44</v>
      </c>
      <c r="P69">
        <v>16.7</v>
      </c>
      <c r="Q69">
        <v>9.74</v>
      </c>
      <c r="R69">
        <v>12.38</v>
      </c>
      <c r="S69">
        <v>15.65</v>
      </c>
      <c r="T69">
        <v>13.58</v>
      </c>
      <c r="U69">
        <v>16.8</v>
      </c>
    </row>
    <row r="70" spans="1:21" x14ac:dyDescent="0.25">
      <c r="A70" t="s">
        <v>100</v>
      </c>
      <c r="G70">
        <v>17.57</v>
      </c>
      <c r="H70">
        <v>-16.489999999999998</v>
      </c>
      <c r="I70">
        <v>-112.86</v>
      </c>
      <c r="J70">
        <v>152.76</v>
      </c>
      <c r="K70">
        <v>433.51</v>
      </c>
      <c r="L70">
        <v>545.36</v>
      </c>
      <c r="M70">
        <v>590.83000000000004</v>
      </c>
      <c r="N70" s="2">
        <v>1004.67</v>
      </c>
      <c r="O70" s="2">
        <v>1403.75</v>
      </c>
      <c r="P70" s="2">
        <v>1452.17</v>
      </c>
      <c r="Q70" s="2">
        <v>1665.64</v>
      </c>
      <c r="R70" s="2">
        <v>1684.67</v>
      </c>
      <c r="S70" s="2">
        <v>1844.33</v>
      </c>
      <c r="T70" s="2">
        <v>1953.5</v>
      </c>
      <c r="U70" s="2">
        <v>2039.33</v>
      </c>
    </row>
    <row r="71" spans="1:21" x14ac:dyDescent="0.25">
      <c r="A71" t="s">
        <v>17</v>
      </c>
    </row>
    <row r="72" spans="1:21" x14ac:dyDescent="0.25">
      <c r="A72" t="s">
        <v>101</v>
      </c>
      <c r="F72">
        <v>0.04</v>
      </c>
      <c r="G72">
        <v>47.42</v>
      </c>
      <c r="H72">
        <v>16.23</v>
      </c>
      <c r="I72">
        <v>-10.11</v>
      </c>
      <c r="J72">
        <v>102.11</v>
      </c>
      <c r="K72">
        <v>163.98</v>
      </c>
      <c r="L72">
        <v>148.4</v>
      </c>
      <c r="M72">
        <v>113.31</v>
      </c>
      <c r="N72">
        <v>285.61</v>
      </c>
      <c r="O72">
        <v>414.26</v>
      </c>
      <c r="P72">
        <v>453.85</v>
      </c>
      <c r="Q72">
        <v>533.32000000000005</v>
      </c>
      <c r="R72">
        <v>546.41</v>
      </c>
      <c r="S72">
        <v>598.91999999999996</v>
      </c>
      <c r="T72">
        <v>657.77</v>
      </c>
      <c r="U72">
        <v>692.88</v>
      </c>
    </row>
    <row r="73" spans="1:21" x14ac:dyDescent="0.25">
      <c r="A73" t="s">
        <v>102</v>
      </c>
      <c r="G73">
        <v>269.89999999999998</v>
      </c>
      <c r="J73">
        <v>66.84</v>
      </c>
      <c r="K73">
        <v>37.83</v>
      </c>
      <c r="L73">
        <v>27.21</v>
      </c>
      <c r="M73">
        <v>19.18</v>
      </c>
      <c r="N73">
        <v>28.43</v>
      </c>
      <c r="O73">
        <v>30.38</v>
      </c>
      <c r="P73">
        <v>32</v>
      </c>
      <c r="Q73">
        <v>32</v>
      </c>
      <c r="R73">
        <v>30</v>
      </c>
      <c r="S73">
        <v>30</v>
      </c>
      <c r="T73">
        <v>28.33</v>
      </c>
      <c r="U73">
        <v>28.33</v>
      </c>
    </row>
    <row r="74" spans="1:21" x14ac:dyDescent="0.25">
      <c r="A74" t="s">
        <v>17</v>
      </c>
    </row>
    <row r="75" spans="1:21" x14ac:dyDescent="0.25">
      <c r="A75" t="s">
        <v>106</v>
      </c>
      <c r="G75">
        <v>-29.85</v>
      </c>
      <c r="H75">
        <v>-32.72</v>
      </c>
      <c r="I75">
        <v>-102.75</v>
      </c>
      <c r="J75">
        <v>50.65</v>
      </c>
      <c r="K75">
        <v>269.54000000000002</v>
      </c>
      <c r="L75">
        <v>396.96</v>
      </c>
      <c r="M75">
        <v>477.52</v>
      </c>
      <c r="N75">
        <v>719.06</v>
      </c>
      <c r="O75">
        <v>980.46</v>
      </c>
      <c r="P75" s="2">
        <v>1007.46</v>
      </c>
      <c r="Q75" s="2">
        <v>1137.27</v>
      </c>
      <c r="R75" s="2">
        <v>1157.3800000000001</v>
      </c>
      <c r="S75" s="2">
        <v>1262.3800000000001</v>
      </c>
      <c r="T75" s="2">
        <v>1427.83</v>
      </c>
      <c r="U75" s="2">
        <v>1534.25</v>
      </c>
    </row>
    <row r="76" spans="1:21" x14ac:dyDescent="0.25">
      <c r="A76" t="s">
        <v>280</v>
      </c>
      <c r="G76">
        <v>-9.01</v>
      </c>
      <c r="H76">
        <v>-7.87</v>
      </c>
      <c r="I76">
        <v>-37.51</v>
      </c>
      <c r="J76">
        <v>7.77</v>
      </c>
      <c r="K76">
        <v>22.69</v>
      </c>
      <c r="L76">
        <v>33.96</v>
      </c>
      <c r="M76">
        <v>28.98</v>
      </c>
      <c r="N76">
        <v>29.06</v>
      </c>
      <c r="O76">
        <v>18.329999999999998</v>
      </c>
      <c r="P76">
        <v>21.77</v>
      </c>
      <c r="Q76">
        <v>23.24</v>
      </c>
      <c r="R76">
        <v>23.77</v>
      </c>
      <c r="S76">
        <v>23.93</v>
      </c>
      <c r="T76">
        <v>29.73</v>
      </c>
      <c r="U76">
        <v>30.18</v>
      </c>
    </row>
    <row r="77" spans="1:21" x14ac:dyDescent="0.25">
      <c r="A77" t="s">
        <v>17</v>
      </c>
    </row>
    <row r="78" spans="1:21" x14ac:dyDescent="0.25">
      <c r="A78" t="s">
        <v>108</v>
      </c>
      <c r="F78">
        <v>63.36</v>
      </c>
      <c r="G78">
        <v>70.41</v>
      </c>
      <c r="H78">
        <v>80.069999999999993</v>
      </c>
      <c r="I78">
        <v>87.47</v>
      </c>
      <c r="J78">
        <v>88.24</v>
      </c>
      <c r="K78">
        <v>87.86</v>
      </c>
      <c r="L78">
        <v>93.68</v>
      </c>
      <c r="M78">
        <v>95.91</v>
      </c>
      <c r="N78">
        <v>102.5</v>
      </c>
      <c r="O78">
        <v>108.73</v>
      </c>
      <c r="P78">
        <v>109.85</v>
      </c>
      <c r="Q78">
        <v>109.85</v>
      </c>
      <c r="R78">
        <v>108.43</v>
      </c>
      <c r="S78">
        <v>108.43</v>
      </c>
      <c r="T78">
        <v>106.84</v>
      </c>
      <c r="U78">
        <v>106.84</v>
      </c>
    </row>
    <row r="79" spans="1:21" x14ac:dyDescent="0.25">
      <c r="A79" t="s">
        <v>17</v>
      </c>
    </row>
    <row r="80" spans="1:21" x14ac:dyDescent="0.25">
      <c r="A80" t="s">
        <v>110</v>
      </c>
      <c r="G80">
        <v>-0.53</v>
      </c>
      <c r="H80">
        <v>-0.41</v>
      </c>
      <c r="I80">
        <v>-1.18</v>
      </c>
      <c r="J80">
        <v>0.54</v>
      </c>
      <c r="K80">
        <v>3.05</v>
      </c>
      <c r="L80">
        <v>4</v>
      </c>
      <c r="M80">
        <v>4.9800000000000004</v>
      </c>
      <c r="N80">
        <v>7.02</v>
      </c>
      <c r="O80">
        <v>7.96</v>
      </c>
      <c r="P80">
        <v>7.9</v>
      </c>
      <c r="Q80">
        <v>9.56</v>
      </c>
      <c r="R80">
        <v>9.7799999999999994</v>
      </c>
      <c r="S80">
        <v>11.8</v>
      </c>
      <c r="T80">
        <v>12.12</v>
      </c>
    </row>
    <row r="81" spans="1:21" x14ac:dyDescent="0.25">
      <c r="A81" t="s">
        <v>17</v>
      </c>
    </row>
    <row r="82" spans="1:21" x14ac:dyDescent="0.25">
      <c r="A82" t="s">
        <v>487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1.6</v>
      </c>
      <c r="Q82">
        <v>1.8</v>
      </c>
      <c r="R82">
        <v>2</v>
      </c>
      <c r="S82">
        <v>2.1</v>
      </c>
    </row>
    <row r="83" spans="1:21" x14ac:dyDescent="0.25">
      <c r="A83" t="s">
        <v>17</v>
      </c>
    </row>
    <row r="84" spans="1:21" x14ac:dyDescent="0.25">
      <c r="A84" t="s">
        <v>111</v>
      </c>
    </row>
    <row r="85" spans="1:21" x14ac:dyDescent="0.25">
      <c r="A85" t="s">
        <v>121</v>
      </c>
      <c r="G85">
        <v>-19.77</v>
      </c>
      <c r="H85">
        <v>-32.72</v>
      </c>
      <c r="I85">
        <v>-102.75</v>
      </c>
      <c r="J85">
        <v>67.48</v>
      </c>
      <c r="K85">
        <v>269.54000000000002</v>
      </c>
      <c r="L85">
        <v>396.96</v>
      </c>
      <c r="M85">
        <v>193.9</v>
      </c>
      <c r="N85">
        <v>339.8</v>
      </c>
      <c r="O85" s="2">
        <v>1010.85</v>
      </c>
      <c r="P85" s="2">
        <v>1037.0999999999999</v>
      </c>
      <c r="Q85" s="2">
        <v>1151</v>
      </c>
      <c r="R85" s="2">
        <v>1071.82</v>
      </c>
      <c r="S85" s="2">
        <v>1306.8</v>
      </c>
      <c r="T85" s="2">
        <v>1455.33</v>
      </c>
      <c r="U85" s="2">
        <v>1534</v>
      </c>
    </row>
    <row r="86" spans="1:21" x14ac:dyDescent="0.25">
      <c r="A86" t="s">
        <v>124</v>
      </c>
      <c r="G86">
        <v>-0.35</v>
      </c>
      <c r="H86">
        <v>-0.41</v>
      </c>
      <c r="I86">
        <v>-1.18</v>
      </c>
      <c r="J86">
        <v>0.73</v>
      </c>
      <c r="K86">
        <v>3.07</v>
      </c>
      <c r="L86">
        <v>4.24</v>
      </c>
      <c r="M86">
        <v>2.02</v>
      </c>
      <c r="N86">
        <v>3.31</v>
      </c>
      <c r="O86">
        <v>8.99</v>
      </c>
      <c r="P86">
        <v>9.1300000000000008</v>
      </c>
      <c r="Q86">
        <v>10.26</v>
      </c>
      <c r="R86">
        <v>9.6199999999999992</v>
      </c>
      <c r="S86">
        <v>11.13</v>
      </c>
      <c r="T86">
        <v>12.12</v>
      </c>
    </row>
    <row r="87" spans="1:21" x14ac:dyDescent="0.25">
      <c r="A87" t="s">
        <v>17</v>
      </c>
    </row>
    <row r="88" spans="1:21" x14ac:dyDescent="0.25">
      <c r="A88" t="s">
        <v>134</v>
      </c>
    </row>
    <row r="89" spans="1:21" x14ac:dyDescent="0.25">
      <c r="A89" t="s">
        <v>135</v>
      </c>
    </row>
    <row r="90" spans="1:21" x14ac:dyDescent="0.25">
      <c r="A90" t="s">
        <v>136</v>
      </c>
      <c r="F90">
        <v>2.79</v>
      </c>
      <c r="G90">
        <v>185.15</v>
      </c>
      <c r="H90">
        <v>372.57</v>
      </c>
      <c r="I90">
        <v>267.83999999999997</v>
      </c>
      <c r="J90">
        <v>375.07</v>
      </c>
      <c r="K90">
        <v>347.69</v>
      </c>
      <c r="L90">
        <v>425.9</v>
      </c>
      <c r="M90" s="2">
        <v>1052.27</v>
      </c>
      <c r="N90">
        <v>895.54</v>
      </c>
      <c r="O90" s="2">
        <v>1450.88</v>
      </c>
      <c r="P90" s="2">
        <v>1811.25</v>
      </c>
      <c r="Q90" s="2">
        <v>2373.0100000000002</v>
      </c>
      <c r="R90" s="2">
        <v>3064.46</v>
      </c>
      <c r="S90" s="2">
        <v>3805.82</v>
      </c>
      <c r="T90" s="2">
        <v>5012.22</v>
      </c>
      <c r="U90" s="2">
        <v>6086.91</v>
      </c>
    </row>
    <row r="91" spans="1:21" x14ac:dyDescent="0.25">
      <c r="A91" t="s">
        <v>3327</v>
      </c>
      <c r="F91">
        <v>2.67</v>
      </c>
      <c r="G91">
        <v>80.91</v>
      </c>
      <c r="H91">
        <v>260.02999999999997</v>
      </c>
      <c r="I91">
        <v>202.95</v>
      </c>
      <c r="J91">
        <v>315.01</v>
      </c>
      <c r="K91">
        <v>244.39</v>
      </c>
      <c r="L91">
        <v>213.25</v>
      </c>
      <c r="M91">
        <v>764.31</v>
      </c>
      <c r="N91">
        <v>532.85</v>
      </c>
      <c r="O91">
        <v>808.49</v>
      </c>
      <c r="P91" s="2">
        <v>1053.98</v>
      </c>
      <c r="Q91" s="2">
        <v>1528.29</v>
      </c>
      <c r="R91" s="2">
        <v>2026.29</v>
      </c>
      <c r="S91" s="2">
        <v>2691.08</v>
      </c>
      <c r="T91" s="2">
        <v>4334.1499999999996</v>
      </c>
      <c r="U91" s="2">
        <v>5379.49</v>
      </c>
    </row>
    <row r="92" spans="1:21" x14ac:dyDescent="0.25">
      <c r="A92" t="s">
        <v>340</v>
      </c>
      <c r="F92">
        <v>0</v>
      </c>
      <c r="G92">
        <v>18.190000000000001</v>
      </c>
      <c r="H92">
        <v>19.11</v>
      </c>
      <c r="I92">
        <v>13.87</v>
      </c>
      <c r="J92">
        <v>13.96</v>
      </c>
      <c r="K92">
        <v>12.9</v>
      </c>
      <c r="L92">
        <v>7.55</v>
      </c>
      <c r="M92">
        <v>6.47</v>
      </c>
      <c r="N92">
        <v>9.4600000000000009</v>
      </c>
      <c r="O92">
        <v>16.02</v>
      </c>
      <c r="P92">
        <v>17.29</v>
      </c>
      <c r="Q92">
        <v>17.88</v>
      </c>
      <c r="R92">
        <v>18.09</v>
      </c>
      <c r="S92">
        <v>19</v>
      </c>
      <c r="T92">
        <v>21.67</v>
      </c>
      <c r="U92">
        <v>22.42</v>
      </c>
    </row>
    <row r="93" spans="1:21" x14ac:dyDescent="0.25">
      <c r="A93" t="s">
        <v>1927</v>
      </c>
      <c r="F93">
        <v>0.13</v>
      </c>
      <c r="G93">
        <v>86.05</v>
      </c>
      <c r="H93">
        <v>93.44</v>
      </c>
      <c r="I93">
        <v>51.02</v>
      </c>
      <c r="J93">
        <v>46.1</v>
      </c>
      <c r="K93">
        <v>90.41</v>
      </c>
      <c r="L93">
        <v>205.1</v>
      </c>
      <c r="M93">
        <v>281.5</v>
      </c>
      <c r="N93">
        <v>347.68</v>
      </c>
      <c r="O93">
        <v>576.30999999999995</v>
      </c>
      <c r="P93">
        <v>576.57000000000005</v>
      </c>
      <c r="Q93">
        <v>593.91</v>
      </c>
      <c r="R93">
        <v>603.4</v>
      </c>
      <c r="S93">
        <v>640.28</v>
      </c>
      <c r="T93">
        <v>656.39</v>
      </c>
      <c r="U93">
        <v>684.99</v>
      </c>
    </row>
    <row r="94" spans="1:21" x14ac:dyDescent="0.25">
      <c r="A94" t="s">
        <v>146</v>
      </c>
      <c r="F94">
        <v>652.57000000000005</v>
      </c>
      <c r="G94">
        <v>901</v>
      </c>
      <c r="H94" s="2">
        <v>1012.56</v>
      </c>
      <c r="I94" s="2">
        <v>1104.78</v>
      </c>
      <c r="J94" s="2">
        <v>1308.69</v>
      </c>
      <c r="K94" s="2">
        <v>1690.29</v>
      </c>
      <c r="L94" s="2">
        <v>2172.1</v>
      </c>
      <c r="M94" s="2">
        <v>3180.1</v>
      </c>
      <c r="N94" s="2">
        <v>6217.31</v>
      </c>
      <c r="O94" s="2">
        <v>7188.41</v>
      </c>
      <c r="P94" s="2">
        <v>7804.89</v>
      </c>
      <c r="Q94" s="2">
        <v>8292.36</v>
      </c>
      <c r="R94" s="2">
        <v>8678.9</v>
      </c>
      <c r="S94" s="2">
        <v>8985.68</v>
      </c>
      <c r="T94" s="2">
        <v>8816.57</v>
      </c>
      <c r="U94" s="2">
        <v>8893.41</v>
      </c>
    </row>
    <row r="95" spans="1:21" x14ac:dyDescent="0.25">
      <c r="A95" t="s">
        <v>409</v>
      </c>
      <c r="F95">
        <v>0</v>
      </c>
      <c r="G95">
        <v>820.72</v>
      </c>
      <c r="H95">
        <v>917.07</v>
      </c>
      <c r="I95" s="2">
        <v>1002.26</v>
      </c>
      <c r="J95" s="2">
        <v>1223.98</v>
      </c>
      <c r="K95" s="2">
        <v>1606.34</v>
      </c>
      <c r="L95" s="2">
        <v>1927.76</v>
      </c>
      <c r="M95" s="2">
        <v>2805.98</v>
      </c>
      <c r="N95" s="2">
        <v>5543.03</v>
      </c>
      <c r="O95" s="2">
        <v>7223.6</v>
      </c>
      <c r="P95" s="2">
        <v>8122.42</v>
      </c>
      <c r="Q95" s="2">
        <v>8924.16</v>
      </c>
      <c r="R95" s="2">
        <v>9626.99</v>
      </c>
      <c r="S95" s="2">
        <v>10246.299999999999</v>
      </c>
      <c r="T95" s="2">
        <v>10799.65</v>
      </c>
      <c r="U95" s="2">
        <v>11238.24</v>
      </c>
    </row>
    <row r="96" spans="1:21" x14ac:dyDescent="0.25">
      <c r="A96" t="s">
        <v>3328</v>
      </c>
      <c r="H96">
        <v>16.62</v>
      </c>
      <c r="I96">
        <v>22.58</v>
      </c>
      <c r="J96">
        <v>26.45</v>
      </c>
      <c r="K96">
        <v>26.23</v>
      </c>
      <c r="L96">
        <v>61.03</v>
      </c>
      <c r="M96">
        <v>105.33</v>
      </c>
      <c r="N96">
        <v>153.28</v>
      </c>
      <c r="O96">
        <v>134.57</v>
      </c>
      <c r="P96">
        <v>134.57</v>
      </c>
      <c r="Q96">
        <v>134.57</v>
      </c>
      <c r="R96">
        <v>134.57</v>
      </c>
      <c r="S96">
        <v>134.57</v>
      </c>
      <c r="T96">
        <v>132.72999999999999</v>
      </c>
      <c r="U96">
        <v>132.72999999999999</v>
      </c>
    </row>
    <row r="97" spans="1:21" x14ac:dyDescent="0.25">
      <c r="A97" t="s">
        <v>155</v>
      </c>
      <c r="F97">
        <v>655.36</v>
      </c>
      <c r="G97" s="2">
        <v>1086.1400000000001</v>
      </c>
      <c r="H97" s="2">
        <v>1385.13</v>
      </c>
      <c r="I97" s="2">
        <v>1372.61</v>
      </c>
      <c r="J97" s="2">
        <v>1683.76</v>
      </c>
      <c r="K97" s="2">
        <v>2037.98</v>
      </c>
      <c r="L97" s="2">
        <v>2598</v>
      </c>
      <c r="M97" s="2">
        <v>4232.37</v>
      </c>
      <c r="N97" s="2">
        <v>7112.85</v>
      </c>
      <c r="O97" s="2">
        <v>9267.1299999999992</v>
      </c>
      <c r="P97" s="2">
        <v>10282.11</v>
      </c>
      <c r="Q97" s="2">
        <v>11429.35</v>
      </c>
      <c r="R97" s="2">
        <v>12181.4</v>
      </c>
      <c r="S97" s="2">
        <v>13340.39</v>
      </c>
      <c r="T97" s="2">
        <v>14165.33</v>
      </c>
      <c r="U97" s="2">
        <v>15265.7</v>
      </c>
    </row>
    <row r="98" spans="1:21" x14ac:dyDescent="0.25">
      <c r="A98" t="s">
        <v>17</v>
      </c>
    </row>
    <row r="99" spans="1:21" x14ac:dyDescent="0.25">
      <c r="A99" t="s">
        <v>156</v>
      </c>
    </row>
    <row r="100" spans="1:21" x14ac:dyDescent="0.25">
      <c r="A100" t="s">
        <v>157</v>
      </c>
      <c r="F100">
        <v>0.37</v>
      </c>
      <c r="G100">
        <v>134.12</v>
      </c>
      <c r="H100">
        <v>193.04</v>
      </c>
      <c r="I100">
        <v>333.74</v>
      </c>
      <c r="J100">
        <v>385.74</v>
      </c>
      <c r="K100">
        <v>408.34</v>
      </c>
      <c r="L100">
        <v>359.39</v>
      </c>
      <c r="M100" s="2">
        <v>1057.75</v>
      </c>
      <c r="N100" s="2">
        <v>1036.22</v>
      </c>
      <c r="O100" s="2">
        <v>1520.21</v>
      </c>
      <c r="P100" s="2">
        <v>1696.62</v>
      </c>
      <c r="Q100" s="2">
        <v>1737.79</v>
      </c>
      <c r="R100" s="2">
        <v>1774.12</v>
      </c>
      <c r="S100" s="2">
        <v>1812.54</v>
      </c>
      <c r="T100" s="2">
        <v>1769.58</v>
      </c>
      <c r="U100" s="2">
        <v>1796.19</v>
      </c>
    </row>
    <row r="101" spans="1:21" x14ac:dyDescent="0.25">
      <c r="A101" t="s">
        <v>3329</v>
      </c>
      <c r="F101">
        <v>0</v>
      </c>
      <c r="G101">
        <v>4.1399999999999997</v>
      </c>
      <c r="H101">
        <v>3.42</v>
      </c>
      <c r="I101">
        <v>2.08</v>
      </c>
      <c r="J101">
        <v>2.88</v>
      </c>
      <c r="K101">
        <v>2.85</v>
      </c>
      <c r="L101">
        <v>4.13</v>
      </c>
      <c r="M101">
        <v>3.91</v>
      </c>
      <c r="N101">
        <v>10.8</v>
      </c>
      <c r="O101">
        <v>5.94</v>
      </c>
      <c r="P101">
        <v>5.94</v>
      </c>
      <c r="Q101">
        <v>5.94</v>
      </c>
      <c r="R101">
        <v>5.94</v>
      </c>
      <c r="S101">
        <v>5.94</v>
      </c>
      <c r="T101">
        <v>2.15</v>
      </c>
      <c r="U101">
        <v>2.15</v>
      </c>
    </row>
    <row r="102" spans="1:21" x14ac:dyDescent="0.25">
      <c r="A102" t="s">
        <v>313</v>
      </c>
      <c r="F102">
        <v>0</v>
      </c>
      <c r="G102">
        <v>10.35</v>
      </c>
      <c r="H102">
        <v>69.709999999999994</v>
      </c>
      <c r="I102">
        <v>196.41</v>
      </c>
      <c r="J102">
        <v>170.89</v>
      </c>
      <c r="K102">
        <v>80.28</v>
      </c>
      <c r="L102">
        <v>96.09</v>
      </c>
      <c r="M102">
        <v>104.25</v>
      </c>
      <c r="N102">
        <v>405.55</v>
      </c>
      <c r="O102">
        <v>862.52</v>
      </c>
      <c r="P102">
        <v>862.52</v>
      </c>
      <c r="Q102">
        <v>862.52</v>
      </c>
      <c r="R102">
        <v>739.61</v>
      </c>
      <c r="S102">
        <v>739.61</v>
      </c>
      <c r="T102">
        <v>571.27</v>
      </c>
      <c r="U102">
        <v>571.27</v>
      </c>
    </row>
    <row r="103" spans="1:21" x14ac:dyDescent="0.25">
      <c r="A103" t="s">
        <v>3330</v>
      </c>
      <c r="F103">
        <v>0.28999999999999998</v>
      </c>
      <c r="G103">
        <v>84.33</v>
      </c>
      <c r="H103">
        <v>98.27</v>
      </c>
      <c r="I103">
        <v>118.62</v>
      </c>
      <c r="J103">
        <v>138.47999999999999</v>
      </c>
      <c r="K103">
        <v>221.01</v>
      </c>
      <c r="L103">
        <v>205.06</v>
      </c>
      <c r="M103">
        <v>487.19</v>
      </c>
      <c r="N103">
        <v>419.13</v>
      </c>
      <c r="O103">
        <v>581.88</v>
      </c>
      <c r="P103">
        <v>622.58000000000004</v>
      </c>
      <c r="Q103">
        <v>639.23</v>
      </c>
      <c r="R103">
        <v>631.96</v>
      </c>
      <c r="S103">
        <v>670.96</v>
      </c>
      <c r="T103">
        <v>740.32</v>
      </c>
      <c r="U103">
        <v>773.9</v>
      </c>
    </row>
    <row r="104" spans="1:21" x14ac:dyDescent="0.25">
      <c r="A104" t="s">
        <v>164</v>
      </c>
      <c r="F104">
        <v>645.22</v>
      </c>
      <c r="G104">
        <v>472.37</v>
      </c>
      <c r="H104">
        <v>588.38</v>
      </c>
      <c r="I104">
        <v>530.36</v>
      </c>
      <c r="J104">
        <v>732.76</v>
      </c>
      <c r="K104">
        <v>785.58</v>
      </c>
      <c r="L104">
        <v>991.6</v>
      </c>
      <c r="M104" s="2">
        <v>1553.41</v>
      </c>
      <c r="N104" s="2">
        <v>3565.04</v>
      </c>
      <c r="O104" s="2">
        <v>3664.54</v>
      </c>
      <c r="P104" s="2">
        <v>3555.25</v>
      </c>
      <c r="Q104" s="2">
        <v>3558.84</v>
      </c>
      <c r="R104" s="2">
        <v>3576.16</v>
      </c>
      <c r="S104" s="2">
        <v>3592.16</v>
      </c>
      <c r="T104" s="2">
        <v>3492.94</v>
      </c>
      <c r="U104" s="2">
        <v>3507.36</v>
      </c>
    </row>
    <row r="105" spans="1:21" x14ac:dyDescent="0.25">
      <c r="A105" t="s">
        <v>315</v>
      </c>
      <c r="F105">
        <v>644.63</v>
      </c>
      <c r="G105">
        <v>294.42</v>
      </c>
      <c r="H105">
        <v>398.47</v>
      </c>
      <c r="I105">
        <v>367.06</v>
      </c>
      <c r="J105">
        <v>467.16</v>
      </c>
      <c r="K105">
        <v>498.25</v>
      </c>
      <c r="L105">
        <v>590.42999999999995</v>
      </c>
      <c r="M105" s="2">
        <v>1439.98</v>
      </c>
      <c r="N105" s="2">
        <v>2892.43</v>
      </c>
      <c r="O105" s="2">
        <v>2996.21</v>
      </c>
      <c r="P105" s="2">
        <v>2879.14</v>
      </c>
      <c r="Q105" s="2">
        <v>2879.14</v>
      </c>
      <c r="R105" s="2">
        <v>2839.46</v>
      </c>
      <c r="S105" s="2">
        <v>2839.46</v>
      </c>
      <c r="T105" s="2">
        <v>2762.04</v>
      </c>
      <c r="U105" s="2">
        <v>2762.04</v>
      </c>
    </row>
    <row r="106" spans="1:21" x14ac:dyDescent="0.25">
      <c r="A106" t="s">
        <v>78</v>
      </c>
      <c r="F106">
        <v>0.59</v>
      </c>
      <c r="G106">
        <v>177.95</v>
      </c>
      <c r="H106">
        <v>189.91</v>
      </c>
      <c r="I106">
        <v>163.30000000000001</v>
      </c>
      <c r="J106">
        <v>265.60000000000002</v>
      </c>
      <c r="K106">
        <v>287.33</v>
      </c>
      <c r="L106">
        <v>401.17</v>
      </c>
      <c r="M106">
        <v>113.42</v>
      </c>
      <c r="N106">
        <v>672.6</v>
      </c>
      <c r="O106">
        <v>905.14</v>
      </c>
      <c r="P106">
        <v>905.14</v>
      </c>
      <c r="Q106">
        <v>905.14</v>
      </c>
      <c r="R106">
        <v>905.14</v>
      </c>
      <c r="S106">
        <v>905.14</v>
      </c>
      <c r="T106">
        <v>905.14</v>
      </c>
      <c r="U106">
        <v>905.14</v>
      </c>
    </row>
    <row r="107" spans="1:21" x14ac:dyDescent="0.25">
      <c r="A107" t="s">
        <v>167</v>
      </c>
      <c r="F107">
        <v>645.59</v>
      </c>
      <c r="G107">
        <v>606.49</v>
      </c>
      <c r="H107">
        <v>781.42</v>
      </c>
      <c r="I107">
        <v>864.09</v>
      </c>
      <c r="J107" s="2">
        <v>1118.5</v>
      </c>
      <c r="K107" s="2">
        <v>1193.92</v>
      </c>
      <c r="L107" s="2">
        <v>1350.99</v>
      </c>
      <c r="M107" s="2">
        <v>2611.16</v>
      </c>
      <c r="N107" s="2">
        <v>4601.26</v>
      </c>
      <c r="O107" s="2">
        <v>5498.09</v>
      </c>
      <c r="P107" s="2">
        <v>5579.96</v>
      </c>
      <c r="Q107" s="2">
        <v>5650.64</v>
      </c>
      <c r="R107" s="2">
        <v>5555.99</v>
      </c>
      <c r="S107" s="2">
        <v>5605.76</v>
      </c>
      <c r="T107" s="2">
        <v>5516.26</v>
      </c>
      <c r="U107" s="2">
        <v>5554.4</v>
      </c>
    </row>
    <row r="108" spans="1:21" x14ac:dyDescent="0.25">
      <c r="A108" t="s">
        <v>170</v>
      </c>
      <c r="F108">
        <v>9.77</v>
      </c>
      <c r="G108">
        <v>479.66</v>
      </c>
      <c r="H108">
        <v>603.72</v>
      </c>
      <c r="I108">
        <v>508.52</v>
      </c>
      <c r="J108">
        <v>565.26</v>
      </c>
      <c r="K108">
        <v>844.06</v>
      </c>
      <c r="L108" s="2">
        <v>1247.02</v>
      </c>
      <c r="M108" s="2">
        <v>1621.21</v>
      </c>
      <c r="N108" s="2">
        <v>2511.59</v>
      </c>
      <c r="O108" s="2">
        <v>3588.85</v>
      </c>
      <c r="P108" s="2">
        <v>4281.62</v>
      </c>
      <c r="Q108" s="2">
        <v>5064.9799999999996</v>
      </c>
      <c r="R108" s="2">
        <v>5639.07</v>
      </c>
      <c r="S108" s="2">
        <v>6438.93</v>
      </c>
      <c r="T108" s="2">
        <v>5690.25</v>
      </c>
      <c r="U108" s="2">
        <v>7279.69</v>
      </c>
    </row>
    <row r="109" spans="1:21" x14ac:dyDescent="0.25">
      <c r="A109" t="s">
        <v>326</v>
      </c>
      <c r="F109">
        <v>655.36</v>
      </c>
      <c r="G109" s="2">
        <v>1086.1400000000001</v>
      </c>
      <c r="H109" s="2">
        <v>1385.13</v>
      </c>
      <c r="I109" s="2">
        <v>1372.61</v>
      </c>
      <c r="J109" s="2">
        <v>1683.76</v>
      </c>
      <c r="K109" s="2">
        <v>2037.98</v>
      </c>
      <c r="L109" s="2">
        <v>2598</v>
      </c>
      <c r="M109" s="2">
        <v>4232.37</v>
      </c>
      <c r="N109" s="2">
        <v>7112.85</v>
      </c>
      <c r="O109" s="2">
        <v>9267.1299999999992</v>
      </c>
      <c r="P109" s="2">
        <v>10282.11</v>
      </c>
      <c r="Q109" s="2">
        <v>11429.35</v>
      </c>
      <c r="R109" s="2">
        <v>12181.4</v>
      </c>
      <c r="S109" s="2">
        <v>13340.39</v>
      </c>
      <c r="T109" s="2">
        <v>14165.33</v>
      </c>
      <c r="U109" s="2">
        <v>15265.7</v>
      </c>
    </row>
    <row r="110" spans="1:21" x14ac:dyDescent="0.25">
      <c r="A110" t="s">
        <v>17</v>
      </c>
    </row>
    <row r="111" spans="1:21" x14ac:dyDescent="0.25">
      <c r="A111" t="s">
        <v>176</v>
      </c>
    </row>
    <row r="112" spans="1:21" x14ac:dyDescent="0.25">
      <c r="A112" t="s">
        <v>505</v>
      </c>
      <c r="F112">
        <v>641.96</v>
      </c>
      <c r="G112">
        <v>223.86</v>
      </c>
      <c r="H112">
        <v>191.39</v>
      </c>
      <c r="I112">
        <v>336.84</v>
      </c>
      <c r="J112">
        <v>295.95999999999998</v>
      </c>
      <c r="K112">
        <v>304.95</v>
      </c>
      <c r="L112">
        <v>402.8</v>
      </c>
      <c r="M112">
        <v>684.26</v>
      </c>
      <c r="N112" s="2">
        <v>2615.6799999999998</v>
      </c>
      <c r="O112" s="2">
        <v>2899.6</v>
      </c>
      <c r="P112" s="2">
        <v>2783.56</v>
      </c>
      <c r="Q112" s="2">
        <v>2475.38</v>
      </c>
      <c r="R112" s="2">
        <v>2247.6</v>
      </c>
      <c r="S112" s="2">
        <v>1680.88</v>
      </c>
      <c r="T112">
        <v>626</v>
      </c>
      <c r="U112">
        <v>188</v>
      </c>
    </row>
    <row r="113" spans="1:21" x14ac:dyDescent="0.25">
      <c r="A113" t="s">
        <v>609</v>
      </c>
      <c r="F113">
        <v>644.63</v>
      </c>
      <c r="G113">
        <v>304.77</v>
      </c>
      <c r="H113">
        <v>468.18</v>
      </c>
      <c r="I113">
        <v>563.47</v>
      </c>
      <c r="J113">
        <v>638.04999999999995</v>
      </c>
      <c r="K113">
        <v>578.53</v>
      </c>
      <c r="L113">
        <v>686.52</v>
      </c>
      <c r="M113" s="2">
        <v>1544.23</v>
      </c>
      <c r="N113" s="2">
        <v>3297.98</v>
      </c>
      <c r="O113" s="2">
        <v>3760.34</v>
      </c>
      <c r="P113" s="2">
        <v>3745.96</v>
      </c>
      <c r="Q113" s="2">
        <v>3739.28</v>
      </c>
      <c r="R113" s="2">
        <v>3570.22</v>
      </c>
      <c r="S113" s="2">
        <v>3466.34</v>
      </c>
      <c r="T113" s="2">
        <v>3347.78</v>
      </c>
      <c r="U113" s="2">
        <v>3347.78</v>
      </c>
    </row>
    <row r="114" spans="1:21" x14ac:dyDescent="0.25">
      <c r="A114" t="s">
        <v>3331</v>
      </c>
      <c r="F114">
        <v>19.46</v>
      </c>
      <c r="G114">
        <v>1.74</v>
      </c>
      <c r="H114">
        <v>1.24</v>
      </c>
      <c r="I114">
        <v>4.6399999999999997</v>
      </c>
      <c r="J114">
        <v>0.8</v>
      </c>
      <c r="K114">
        <v>0.44</v>
      </c>
      <c r="L114">
        <v>0.52</v>
      </c>
      <c r="M114">
        <v>0.73</v>
      </c>
      <c r="N114">
        <v>1.39</v>
      </c>
      <c r="O114">
        <v>1.05</v>
      </c>
      <c r="P114">
        <v>0.92</v>
      </c>
      <c r="Q114">
        <v>0.71</v>
      </c>
      <c r="R114">
        <v>0.5</v>
      </c>
      <c r="S114">
        <v>0.24</v>
      </c>
      <c r="T114">
        <v>-0.68</v>
      </c>
      <c r="U114">
        <v>-1.06</v>
      </c>
    </row>
    <row r="115" spans="1:21" x14ac:dyDescent="0.25">
      <c r="A115" t="s">
        <v>178</v>
      </c>
    </row>
    <row r="116" spans="1:21" x14ac:dyDescent="0.25">
      <c r="A116" t="s">
        <v>180</v>
      </c>
      <c r="G116">
        <v>-12.2</v>
      </c>
      <c r="H116">
        <v>-6.04</v>
      </c>
      <c r="I116">
        <v>-18.48</v>
      </c>
      <c r="J116">
        <v>9.43</v>
      </c>
      <c r="K116">
        <v>38.25</v>
      </c>
      <c r="L116">
        <v>37.97</v>
      </c>
      <c r="M116">
        <v>33.299999999999997</v>
      </c>
      <c r="N116">
        <v>34.799999999999997</v>
      </c>
      <c r="O116">
        <v>30.04</v>
      </c>
      <c r="P116">
        <v>26.89</v>
      </c>
      <c r="Q116">
        <v>23.2</v>
      </c>
      <c r="R116">
        <v>16.93</v>
      </c>
      <c r="S116">
        <v>16.13</v>
      </c>
    </row>
    <row r="117" spans="1:21" x14ac:dyDescent="0.25">
      <c r="A117" t="s">
        <v>424</v>
      </c>
      <c r="F117">
        <v>0.12</v>
      </c>
      <c r="G117">
        <v>6.81</v>
      </c>
      <c r="H117">
        <v>6.93</v>
      </c>
      <c r="I117">
        <v>5.79</v>
      </c>
      <c r="J117">
        <v>6.38</v>
      </c>
      <c r="K117">
        <v>9.5500000000000007</v>
      </c>
      <c r="L117">
        <v>13.08</v>
      </c>
      <c r="M117">
        <v>17.02</v>
      </c>
      <c r="N117">
        <v>24.09</v>
      </c>
      <c r="O117">
        <v>36.270000000000003</v>
      </c>
      <c r="P117">
        <v>44.66</v>
      </c>
      <c r="Q117">
        <v>52.69</v>
      </c>
    </row>
    <row r="118" spans="1:21" x14ac:dyDescent="0.25">
      <c r="A118" t="s">
        <v>17</v>
      </c>
    </row>
    <row r="119" spans="1:21" x14ac:dyDescent="0.25">
      <c r="A119" t="s">
        <v>188</v>
      </c>
    </row>
    <row r="120" spans="1:21" x14ac:dyDescent="0.25">
      <c r="A120" t="s">
        <v>189</v>
      </c>
    </row>
    <row r="121" spans="1:21" x14ac:dyDescent="0.25">
      <c r="A121" t="s">
        <v>121</v>
      </c>
      <c r="G121">
        <v>-29.85</v>
      </c>
      <c r="H121">
        <v>-32.72</v>
      </c>
      <c r="I121">
        <v>-102.75</v>
      </c>
      <c r="J121">
        <v>50.65</v>
      </c>
      <c r="K121">
        <v>269.54000000000002</v>
      </c>
      <c r="L121">
        <v>396.96</v>
      </c>
      <c r="M121">
        <v>477.52</v>
      </c>
      <c r="N121">
        <v>719.06</v>
      </c>
      <c r="O121">
        <v>980.46</v>
      </c>
      <c r="P121" s="2">
        <v>1007.46</v>
      </c>
      <c r="Q121" s="2">
        <v>1137.27</v>
      </c>
      <c r="R121" s="2">
        <v>1157.3800000000001</v>
      </c>
      <c r="S121" s="2">
        <v>1262.3800000000001</v>
      </c>
      <c r="T121" s="2">
        <v>1427.83</v>
      </c>
      <c r="U121" s="2">
        <v>1534.25</v>
      </c>
    </row>
    <row r="122" spans="1:21" x14ac:dyDescent="0.25">
      <c r="A122" t="s">
        <v>190</v>
      </c>
      <c r="F122">
        <v>36</v>
      </c>
      <c r="G122">
        <v>74.77</v>
      </c>
      <c r="H122">
        <v>153</v>
      </c>
      <c r="I122">
        <v>147.66999999999999</v>
      </c>
      <c r="J122">
        <v>191.31</v>
      </c>
      <c r="K122">
        <v>234.86</v>
      </c>
      <c r="L122">
        <v>276.43</v>
      </c>
      <c r="M122">
        <v>437.7</v>
      </c>
      <c r="N122">
        <v>738.9</v>
      </c>
      <c r="O122" s="2">
        <v>1058.6099999999999</v>
      </c>
      <c r="P122" s="2">
        <v>1216.24</v>
      </c>
      <c r="Q122" s="2">
        <v>1326.15</v>
      </c>
      <c r="R122" s="2">
        <v>1411.61</v>
      </c>
      <c r="S122" s="2">
        <v>1482.23</v>
      </c>
      <c r="T122" s="2">
        <v>1554.5</v>
      </c>
      <c r="U122" s="2">
        <v>1608.21</v>
      </c>
    </row>
    <row r="123" spans="1:21" x14ac:dyDescent="0.25">
      <c r="A123" t="s">
        <v>338</v>
      </c>
      <c r="F123">
        <v>747</v>
      </c>
      <c r="G123">
        <v>3.62</v>
      </c>
      <c r="H123">
        <v>-19.93</v>
      </c>
      <c r="I123">
        <v>-3.67</v>
      </c>
      <c r="J123">
        <v>18.89</v>
      </c>
      <c r="K123">
        <v>-1.5</v>
      </c>
      <c r="L123">
        <v>-89.56</v>
      </c>
      <c r="M123">
        <v>-115.63</v>
      </c>
      <c r="N123">
        <v>-397.96</v>
      </c>
    </row>
    <row r="124" spans="1:21" x14ac:dyDescent="0.25">
      <c r="A124" t="s">
        <v>204</v>
      </c>
      <c r="F124" s="2">
        <v>-2173</v>
      </c>
      <c r="G124">
        <v>122.78</v>
      </c>
      <c r="H124">
        <v>134.26</v>
      </c>
      <c r="I124">
        <v>93.78</v>
      </c>
      <c r="J124">
        <v>401.39</v>
      </c>
      <c r="K124">
        <v>689.77</v>
      </c>
      <c r="L124">
        <v>712.03</v>
      </c>
      <c r="M124">
        <v>959.03</v>
      </c>
      <c r="N124">
        <v>796.19</v>
      </c>
      <c r="O124" s="2">
        <v>2211.06</v>
      </c>
      <c r="P124" s="2">
        <v>2328.87</v>
      </c>
      <c r="Q124" s="2">
        <v>2581.29</v>
      </c>
      <c r="R124" s="2">
        <v>2662.29</v>
      </c>
      <c r="S124" s="2">
        <v>2855.7</v>
      </c>
      <c r="T124" s="2">
        <v>3062.22</v>
      </c>
      <c r="U124" s="2">
        <v>3198.42</v>
      </c>
    </row>
    <row r="125" spans="1:21" x14ac:dyDescent="0.25">
      <c r="A125" t="s">
        <v>17</v>
      </c>
    </row>
    <row r="126" spans="1:21" x14ac:dyDescent="0.25">
      <c r="A126" t="s">
        <v>205</v>
      </c>
    </row>
    <row r="127" spans="1:21" x14ac:dyDescent="0.25">
      <c r="A127" t="s">
        <v>206</v>
      </c>
      <c r="G127">
        <v>-117.84</v>
      </c>
      <c r="H127">
        <v>-240.32</v>
      </c>
      <c r="I127">
        <v>-153.26</v>
      </c>
      <c r="J127">
        <v>0</v>
      </c>
      <c r="K127">
        <v>0</v>
      </c>
      <c r="L127">
        <v>0</v>
      </c>
      <c r="M127">
        <v>0</v>
      </c>
      <c r="N127">
        <v>0</v>
      </c>
      <c r="O127" s="2">
        <v>-1808.67</v>
      </c>
      <c r="P127" s="2">
        <v>-1864.47</v>
      </c>
      <c r="Q127" s="2">
        <v>-1862.14</v>
      </c>
      <c r="R127" s="2">
        <v>-1785</v>
      </c>
      <c r="S127" s="2">
        <v>-1731.13</v>
      </c>
      <c r="T127" s="2">
        <v>-1673.25</v>
      </c>
      <c r="U127" s="2">
        <v>-1528.5</v>
      </c>
    </row>
    <row r="128" spans="1:21" x14ac:dyDescent="0.25">
      <c r="A128" t="s">
        <v>213</v>
      </c>
      <c r="F128">
        <v>0</v>
      </c>
      <c r="G128">
        <v>-840.78</v>
      </c>
      <c r="H128">
        <v>-238.78</v>
      </c>
      <c r="I128">
        <v>-156.91999999999999</v>
      </c>
      <c r="J128">
        <v>-295.52</v>
      </c>
      <c r="K128">
        <v>-583.52</v>
      </c>
      <c r="L128">
        <v>-700.55</v>
      </c>
      <c r="M128" s="2">
        <v>-1056.4100000000001</v>
      </c>
      <c r="N128" s="2">
        <v>-2359.66</v>
      </c>
      <c r="O128" s="2">
        <v>-2127.7399999999998</v>
      </c>
      <c r="P128" s="2">
        <v>-1882.24</v>
      </c>
      <c r="Q128" s="2">
        <v>-1857.48</v>
      </c>
      <c r="R128" s="2">
        <v>-1808.6</v>
      </c>
      <c r="S128" s="2">
        <v>-1790.04</v>
      </c>
      <c r="T128" s="2">
        <v>-1647.77</v>
      </c>
      <c r="U128" s="2">
        <v>-1633.56</v>
      </c>
    </row>
    <row r="129" spans="1:21" x14ac:dyDescent="0.25">
      <c r="A129" t="s">
        <v>17</v>
      </c>
    </row>
    <row r="130" spans="1:21" x14ac:dyDescent="0.25">
      <c r="A130" t="s">
        <v>214</v>
      </c>
    </row>
    <row r="131" spans="1:21" x14ac:dyDescent="0.25">
      <c r="A131" t="s">
        <v>3332</v>
      </c>
      <c r="G131">
        <v>560</v>
      </c>
      <c r="H131">
        <v>234.73</v>
      </c>
      <c r="I131">
        <v>201.73</v>
      </c>
      <c r="J131">
        <v>358.09</v>
      </c>
      <c r="K131">
        <v>128.79</v>
      </c>
      <c r="L131">
        <v>318.17</v>
      </c>
      <c r="M131" s="2">
        <v>1320.9</v>
      </c>
      <c r="N131" s="2">
        <v>2838.17</v>
      </c>
      <c r="O131" s="2">
        <v>1155.51</v>
      </c>
    </row>
    <row r="132" spans="1:21" x14ac:dyDescent="0.25">
      <c r="A132" t="s">
        <v>3333</v>
      </c>
      <c r="J132">
        <v>0</v>
      </c>
      <c r="K132">
        <v>-29.3</v>
      </c>
      <c r="L132">
        <v>0</v>
      </c>
      <c r="M132">
        <v>-99.85</v>
      </c>
      <c r="N132">
        <v>-50</v>
      </c>
      <c r="O132">
        <v>-101.31</v>
      </c>
      <c r="P132">
        <v>-44.35</v>
      </c>
      <c r="Q132">
        <v>-427.44</v>
      </c>
      <c r="R132">
        <v>-491.9</v>
      </c>
      <c r="S132">
        <v>-460.34</v>
      </c>
      <c r="T132">
        <v>-872.87</v>
      </c>
      <c r="U132">
        <v>-993.39</v>
      </c>
    </row>
    <row r="133" spans="1:21" x14ac:dyDescent="0.25">
      <c r="A133" t="s">
        <v>218</v>
      </c>
      <c r="F133" s="2">
        <v>4839</v>
      </c>
      <c r="G133">
        <v>141.57</v>
      </c>
      <c r="H133">
        <v>266.3</v>
      </c>
      <c r="I133">
        <v>30.89</v>
      </c>
      <c r="J133">
        <v>6.53</v>
      </c>
      <c r="K133">
        <v>-143.19999999999999</v>
      </c>
      <c r="L133">
        <v>19.559999999999999</v>
      </c>
      <c r="M133">
        <v>641.21</v>
      </c>
      <c r="N133" s="2">
        <v>1327.54</v>
      </c>
      <c r="O133">
        <v>459.04</v>
      </c>
      <c r="P133">
        <v>-135.13999999999999</v>
      </c>
      <c r="Q133">
        <v>-318.93</v>
      </c>
      <c r="R133">
        <v>-352.85</v>
      </c>
      <c r="S133">
        <v>-340.11</v>
      </c>
      <c r="T133">
        <v>-714.42</v>
      </c>
      <c r="U133">
        <v>-782.61</v>
      </c>
    </row>
    <row r="134" spans="1:21" x14ac:dyDescent="0.25">
      <c r="A134" t="s">
        <v>17</v>
      </c>
    </row>
    <row r="135" spans="1:21" x14ac:dyDescent="0.25">
      <c r="A135" t="s">
        <v>176</v>
      </c>
    </row>
    <row r="136" spans="1:21" x14ac:dyDescent="0.25">
      <c r="A136" t="s">
        <v>219</v>
      </c>
      <c r="F136">
        <v>0</v>
      </c>
      <c r="G136">
        <v>-15.29</v>
      </c>
      <c r="H136">
        <v>2.63</v>
      </c>
      <c r="I136">
        <v>-1.49</v>
      </c>
      <c r="J136">
        <v>-2.56</v>
      </c>
      <c r="K136">
        <v>-33.119999999999997</v>
      </c>
      <c r="L136">
        <v>-64.72</v>
      </c>
      <c r="M136">
        <v>-2.27</v>
      </c>
      <c r="N136">
        <v>-4.09</v>
      </c>
      <c r="O136">
        <v>-44.56</v>
      </c>
      <c r="P136">
        <v>-110.36</v>
      </c>
      <c r="Q136">
        <v>-109.69</v>
      </c>
      <c r="R136">
        <v>-107.72</v>
      </c>
      <c r="S136">
        <v>-105.54</v>
      </c>
    </row>
    <row r="137" spans="1:21" x14ac:dyDescent="0.25">
      <c r="A137" t="s">
        <v>220</v>
      </c>
      <c r="F137" s="2">
        <v>2666</v>
      </c>
      <c r="G137">
        <v>-573.9</v>
      </c>
      <c r="H137">
        <v>165.55</v>
      </c>
      <c r="I137">
        <v>-31.43</v>
      </c>
      <c r="J137">
        <v>112.46</v>
      </c>
      <c r="K137">
        <v>-36.14</v>
      </c>
      <c r="L137">
        <v>32.28</v>
      </c>
      <c r="M137">
        <v>548.36</v>
      </c>
      <c r="N137">
        <v>-225.33</v>
      </c>
      <c r="O137">
        <v>149.07</v>
      </c>
      <c r="P137">
        <v>173.33</v>
      </c>
      <c r="Q137">
        <v>378.73</v>
      </c>
      <c r="R137">
        <v>622.48</v>
      </c>
      <c r="S137">
        <v>646.47</v>
      </c>
      <c r="T137">
        <v>354.75</v>
      </c>
      <c r="U137">
        <v>381.71</v>
      </c>
    </row>
    <row r="138" spans="1:21" x14ac:dyDescent="0.25">
      <c r="A138" t="s">
        <v>221</v>
      </c>
      <c r="G138">
        <v>655.23</v>
      </c>
      <c r="H138">
        <v>66.05</v>
      </c>
      <c r="I138">
        <v>234.23</v>
      </c>
      <c r="J138">
        <v>201.31</v>
      </c>
      <c r="K138">
        <v>311.22000000000003</v>
      </c>
      <c r="L138">
        <v>241.96</v>
      </c>
      <c r="M138">
        <v>209.52</v>
      </c>
      <c r="N138">
        <v>755.61</v>
      </c>
      <c r="O138">
        <v>436.91</v>
      </c>
      <c r="P138" s="2">
        <v>1186.95</v>
      </c>
      <c r="Q138" s="2">
        <v>1678.57</v>
      </c>
      <c r="R138" s="2">
        <v>2436.15</v>
      </c>
      <c r="S138" s="2">
        <v>3243.45</v>
      </c>
      <c r="T138" s="2">
        <v>6644.19</v>
      </c>
      <c r="U138" s="2">
        <v>8773.34</v>
      </c>
    </row>
    <row r="139" spans="1:21" x14ac:dyDescent="0.25">
      <c r="A139" t="s">
        <v>222</v>
      </c>
      <c r="F139" s="2">
        <v>2666</v>
      </c>
      <c r="G139">
        <v>66.05</v>
      </c>
      <c r="H139">
        <v>234.23</v>
      </c>
      <c r="I139">
        <v>201.31</v>
      </c>
      <c r="J139">
        <v>311.22000000000003</v>
      </c>
      <c r="K139">
        <v>241.96</v>
      </c>
      <c r="L139">
        <v>209.52</v>
      </c>
      <c r="M139">
        <v>755.61</v>
      </c>
      <c r="N139">
        <v>526.17999999999995</v>
      </c>
      <c r="O139" s="2">
        <v>1147.8800000000001</v>
      </c>
      <c r="P139" s="2">
        <v>1506.42</v>
      </c>
      <c r="Q139" s="2">
        <v>2107.9899999999998</v>
      </c>
      <c r="R139" s="2">
        <v>2774.69</v>
      </c>
      <c r="S139" s="2">
        <v>3597.35</v>
      </c>
      <c r="T139" s="2">
        <v>5955.92</v>
      </c>
      <c r="U139" s="2">
        <v>7540.87</v>
      </c>
    </row>
    <row r="140" spans="1:21" x14ac:dyDescent="0.25">
      <c r="A140" t="s">
        <v>178</v>
      </c>
    </row>
    <row r="141" spans="1:21" x14ac:dyDescent="0.25">
      <c r="A141" t="s">
        <v>225</v>
      </c>
      <c r="G141">
        <v>-252.53</v>
      </c>
      <c r="H141">
        <v>-134.72999999999999</v>
      </c>
      <c r="I141">
        <v>-62.32</v>
      </c>
      <c r="J141">
        <v>105.94</v>
      </c>
      <c r="K141">
        <v>107.06</v>
      </c>
      <c r="L141">
        <v>12.72</v>
      </c>
      <c r="M141">
        <v>-92.85</v>
      </c>
      <c r="N141">
        <v>-818.98</v>
      </c>
      <c r="O141">
        <v>209.74</v>
      </c>
      <c r="P141">
        <v>716.6</v>
      </c>
      <c r="Q141">
        <v>750.36</v>
      </c>
      <c r="R141">
        <v>809.14</v>
      </c>
      <c r="S141" s="2">
        <v>1113.6600000000001</v>
      </c>
      <c r="T141" s="2">
        <v>1383.62</v>
      </c>
      <c r="U141" s="2">
        <v>1475.74</v>
      </c>
    </row>
    <row r="142" spans="1:21" x14ac:dyDescent="0.25">
      <c r="A142" t="s">
        <v>17</v>
      </c>
    </row>
    <row r="143" spans="1:21" x14ac:dyDescent="0.25">
      <c r="A143" t="s">
        <v>231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05AB-BCB0-4D36-9D39-96A5540DF118}">
  <dimension ref="A1:U351"/>
  <sheetViews>
    <sheetView workbookViewId="0">
      <selection sqref="A1:U351"/>
    </sheetView>
  </sheetViews>
  <sheetFormatPr defaultRowHeight="15" x14ac:dyDescent="0.25"/>
  <sheetData>
    <row r="1" spans="1:21" x14ac:dyDescent="0.25">
      <c r="A1" t="s">
        <v>3334</v>
      </c>
    </row>
    <row r="2" spans="1:21" x14ac:dyDescent="0.25">
      <c r="A2" t="s">
        <v>3335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F6">
        <v>0.72</v>
      </c>
      <c r="G6">
        <v>0.92</v>
      </c>
      <c r="H6">
        <v>1.37</v>
      </c>
      <c r="I6">
        <v>1.84</v>
      </c>
      <c r="J6">
        <v>-2.69</v>
      </c>
      <c r="K6">
        <v>-3.26</v>
      </c>
      <c r="L6">
        <v>3.58</v>
      </c>
      <c r="M6">
        <v>7</v>
      </c>
      <c r="N6">
        <v>2.1800000000000002</v>
      </c>
      <c r="O6">
        <v>8.59</v>
      </c>
      <c r="P6">
        <v>10.16</v>
      </c>
      <c r="Q6">
        <v>11.92</v>
      </c>
      <c r="R6">
        <v>13.42</v>
      </c>
      <c r="S6">
        <v>14.85</v>
      </c>
    </row>
    <row r="7" spans="1:21" x14ac:dyDescent="0.25">
      <c r="A7" t="s">
        <v>16</v>
      </c>
      <c r="F7" s="2">
        <v>5430</v>
      </c>
      <c r="G7" s="2">
        <v>9144</v>
      </c>
      <c r="H7" s="2">
        <v>11809</v>
      </c>
      <c r="I7" s="2">
        <v>11443</v>
      </c>
      <c r="J7" s="2">
        <v>12077</v>
      </c>
      <c r="K7" s="2">
        <v>13728</v>
      </c>
      <c r="L7" s="2">
        <v>14779</v>
      </c>
      <c r="M7" s="2">
        <v>17224</v>
      </c>
      <c r="N7" s="2">
        <v>17738</v>
      </c>
      <c r="O7" s="2">
        <v>22683.47</v>
      </c>
      <c r="P7" s="2">
        <v>24733.94</v>
      </c>
      <c r="Q7" s="2">
        <v>25841.06</v>
      </c>
      <c r="R7" s="2">
        <v>25000</v>
      </c>
      <c r="S7" s="2">
        <v>25695</v>
      </c>
    </row>
    <row r="8" spans="1:21" x14ac:dyDescent="0.25">
      <c r="A8" t="s">
        <v>17</v>
      </c>
    </row>
    <row r="9" spans="1:21" x14ac:dyDescent="0.25">
      <c r="A9" t="s">
        <v>3336</v>
      </c>
    </row>
    <row r="10" spans="1:21" x14ac:dyDescent="0.25">
      <c r="A10" t="s">
        <v>3337</v>
      </c>
      <c r="F10">
        <v>779</v>
      </c>
      <c r="G10">
        <v>845</v>
      </c>
      <c r="H10">
        <v>807</v>
      </c>
      <c r="I10">
        <v>983</v>
      </c>
      <c r="J10" s="2">
        <v>1312</v>
      </c>
      <c r="K10">
        <v>923</v>
      </c>
      <c r="L10" s="2">
        <v>1105</v>
      </c>
      <c r="M10" s="2">
        <v>1463</v>
      </c>
      <c r="N10" s="2">
        <v>1622</v>
      </c>
      <c r="O10" s="2">
        <v>1538.01</v>
      </c>
      <c r="P10" s="2">
        <v>1785.4</v>
      </c>
      <c r="Q10" s="2">
        <v>1819.76</v>
      </c>
      <c r="R10" s="2">
        <v>2004.75</v>
      </c>
      <c r="S10" s="2">
        <v>2097.9299999999998</v>
      </c>
    </row>
    <row r="11" spans="1:21" x14ac:dyDescent="0.25">
      <c r="A11" t="s">
        <v>3338</v>
      </c>
      <c r="F11">
        <v>538</v>
      </c>
      <c r="G11">
        <v>968</v>
      </c>
      <c r="H11" s="2">
        <v>1307</v>
      </c>
      <c r="I11" s="2">
        <v>1646</v>
      </c>
      <c r="J11">
        <v>-236</v>
      </c>
      <c r="K11" s="2">
        <v>1438</v>
      </c>
      <c r="L11" s="2">
        <v>1770</v>
      </c>
      <c r="M11" s="2">
        <v>2032</v>
      </c>
      <c r="N11" s="2">
        <v>1834</v>
      </c>
      <c r="O11" s="2">
        <v>2742.38</v>
      </c>
      <c r="P11" s="2">
        <v>2223.89</v>
      </c>
      <c r="Q11" s="2">
        <v>2407.81</v>
      </c>
      <c r="R11" s="2">
        <v>2648.84</v>
      </c>
      <c r="S11" s="2">
        <v>3071.63</v>
      </c>
    </row>
    <row r="12" spans="1:21" x14ac:dyDescent="0.25">
      <c r="A12" t="s">
        <v>3339</v>
      </c>
      <c r="H12">
        <v>925</v>
      </c>
      <c r="I12">
        <v>849</v>
      </c>
      <c r="J12">
        <v>737</v>
      </c>
      <c r="K12">
        <v>608</v>
      </c>
      <c r="L12">
        <v>707</v>
      </c>
      <c r="M12" s="2">
        <v>2017</v>
      </c>
      <c r="N12" s="2">
        <v>2282</v>
      </c>
      <c r="O12" s="2">
        <v>3113.06</v>
      </c>
      <c r="P12" s="2">
        <v>4049.67</v>
      </c>
      <c r="Q12" s="2">
        <v>4306.43</v>
      </c>
      <c r="R12" s="2">
        <v>4540.13</v>
      </c>
      <c r="S12" s="2">
        <v>4739.42</v>
      </c>
    </row>
    <row r="13" spans="1:21" x14ac:dyDescent="0.25">
      <c r="A13" t="s">
        <v>3340</v>
      </c>
      <c r="H13">
        <v>63</v>
      </c>
      <c r="I13">
        <v>73</v>
      </c>
      <c r="J13">
        <v>-93</v>
      </c>
      <c r="K13">
        <v>152</v>
      </c>
      <c r="L13">
        <v>263</v>
      </c>
      <c r="M13">
        <v>238</v>
      </c>
      <c r="N13">
        <v>244</v>
      </c>
      <c r="O13">
        <v>238.09</v>
      </c>
      <c r="P13">
        <v>246.31</v>
      </c>
      <c r="Q13">
        <v>246.73</v>
      </c>
      <c r="R13">
        <v>225.01</v>
      </c>
      <c r="S13">
        <v>221.44</v>
      </c>
      <c r="T13">
        <v>155.12</v>
      </c>
      <c r="U13">
        <v>156.66999999999999</v>
      </c>
    </row>
    <row r="14" spans="1:21" x14ac:dyDescent="0.25">
      <c r="A14" t="s">
        <v>3341</v>
      </c>
      <c r="H14">
        <v>308</v>
      </c>
      <c r="I14">
        <v>242</v>
      </c>
      <c r="J14">
        <v>60</v>
      </c>
      <c r="K14">
        <v>38</v>
      </c>
      <c r="L14">
        <v>358</v>
      </c>
      <c r="O14">
        <v>410.16</v>
      </c>
      <c r="P14">
        <v>330.48</v>
      </c>
      <c r="Q14">
        <v>265.39999999999998</v>
      </c>
      <c r="R14">
        <v>263.93</v>
      </c>
      <c r="S14">
        <v>269.83999999999997</v>
      </c>
    </row>
    <row r="15" spans="1:21" x14ac:dyDescent="0.25">
      <c r="A15" t="s">
        <v>17</v>
      </c>
    </row>
    <row r="16" spans="1:21" x14ac:dyDescent="0.25">
      <c r="A16" t="s">
        <v>3342</v>
      </c>
      <c r="F16" s="2">
        <v>1455</v>
      </c>
      <c r="G16" s="2">
        <v>2809</v>
      </c>
      <c r="H16" s="2">
        <v>3393</v>
      </c>
      <c r="I16" s="2">
        <v>3766</v>
      </c>
      <c r="J16" s="2">
        <v>1941</v>
      </c>
      <c r="K16" s="2">
        <v>3115</v>
      </c>
      <c r="L16" s="2">
        <v>4140</v>
      </c>
      <c r="M16" s="2">
        <v>5539</v>
      </c>
      <c r="N16" s="2">
        <v>5912</v>
      </c>
      <c r="O16" s="2">
        <v>7293</v>
      </c>
      <c r="P16" s="2">
        <v>8076.33</v>
      </c>
      <c r="Q16" s="2">
        <v>8792.8700000000008</v>
      </c>
      <c r="R16" s="2">
        <v>9317.11</v>
      </c>
      <c r="S16" s="2">
        <v>9760.2199999999993</v>
      </c>
      <c r="T16" s="2">
        <v>9403</v>
      </c>
      <c r="U16" s="2">
        <v>9754</v>
      </c>
    </row>
    <row r="17" spans="1:21" x14ac:dyDescent="0.25">
      <c r="A17" t="s">
        <v>17</v>
      </c>
    </row>
    <row r="18" spans="1:21" x14ac:dyDescent="0.25">
      <c r="A18" t="s">
        <v>36</v>
      </c>
      <c r="E18">
        <v>-509</v>
      </c>
      <c r="F18" s="2">
        <v>1210</v>
      </c>
      <c r="G18">
        <v>975</v>
      </c>
      <c r="H18" s="2">
        <v>2127</v>
      </c>
      <c r="I18" s="2">
        <v>2078</v>
      </c>
      <c r="J18" s="2">
        <v>-1239</v>
      </c>
      <c r="K18">
        <v>-816</v>
      </c>
      <c r="L18" s="2">
        <v>3777</v>
      </c>
      <c r="M18" s="2">
        <v>2485</v>
      </c>
      <c r="N18" s="2">
        <v>1318</v>
      </c>
      <c r="O18" s="2">
        <v>3350.73</v>
      </c>
      <c r="P18" s="2">
        <v>3790.66</v>
      </c>
      <c r="Q18" s="2">
        <v>4597.49</v>
      </c>
      <c r="R18" s="2">
        <v>4992.46</v>
      </c>
      <c r="S18" s="2">
        <v>5918.98</v>
      </c>
    </row>
    <row r="19" spans="1:21" x14ac:dyDescent="0.25">
      <c r="A19" t="s">
        <v>17</v>
      </c>
    </row>
    <row r="20" spans="1:21" x14ac:dyDescent="0.25">
      <c r="A20" t="s">
        <v>37</v>
      </c>
    </row>
    <row r="21" spans="1:21" x14ac:dyDescent="0.25">
      <c r="A21" t="s">
        <v>17</v>
      </c>
    </row>
    <row r="22" spans="1:21" x14ac:dyDescent="0.25">
      <c r="A22" t="s">
        <v>38</v>
      </c>
    </row>
    <row r="23" spans="1:21" x14ac:dyDescent="0.25">
      <c r="A23" t="s">
        <v>3343</v>
      </c>
      <c r="F23" s="2">
        <v>39032</v>
      </c>
      <c r="G23" s="2">
        <v>63731</v>
      </c>
      <c r="H23" s="2">
        <v>77600</v>
      </c>
      <c r="I23" s="2">
        <v>90349</v>
      </c>
      <c r="J23" s="2">
        <v>93103</v>
      </c>
      <c r="K23" s="2">
        <v>98089</v>
      </c>
      <c r="L23" s="2">
        <v>97422</v>
      </c>
      <c r="M23" s="2">
        <v>133361</v>
      </c>
      <c r="N23" s="2">
        <v>139100</v>
      </c>
      <c r="O23" s="2">
        <v>141322.04</v>
      </c>
      <c r="P23" s="2">
        <v>144350.23000000001</v>
      </c>
      <c r="Q23" s="2">
        <v>147457.14000000001</v>
      </c>
      <c r="R23" s="2">
        <v>150645.03</v>
      </c>
      <c r="S23" s="2">
        <v>153916.20000000001</v>
      </c>
    </row>
    <row r="24" spans="1:21" x14ac:dyDescent="0.25">
      <c r="A24" t="s">
        <v>17</v>
      </c>
    </row>
    <row r="25" spans="1:21" x14ac:dyDescent="0.25">
      <c r="A25" t="s">
        <v>3344</v>
      </c>
    </row>
    <row r="26" spans="1:21" x14ac:dyDescent="0.25">
      <c r="A26" t="s">
        <v>3345</v>
      </c>
      <c r="L26" s="2">
        <v>85422</v>
      </c>
      <c r="M26" s="2">
        <v>88329</v>
      </c>
      <c r="N26" s="2">
        <v>91286</v>
      </c>
      <c r="O26" s="2">
        <v>91779.82</v>
      </c>
      <c r="P26" s="2">
        <v>95101.19</v>
      </c>
      <c r="Q26" s="2">
        <v>85500.47</v>
      </c>
    </row>
    <row r="27" spans="1:21" x14ac:dyDescent="0.25">
      <c r="A27" t="s">
        <v>2789</v>
      </c>
      <c r="L27" s="2">
        <v>18893</v>
      </c>
      <c r="M27" s="2">
        <v>19670</v>
      </c>
      <c r="N27" s="2">
        <v>20059</v>
      </c>
      <c r="O27" s="2">
        <v>19552.32</v>
      </c>
      <c r="P27" s="2">
        <v>19552.32</v>
      </c>
      <c r="Q27" s="2">
        <v>19552.32</v>
      </c>
      <c r="R27" s="2">
        <v>19552.32</v>
      </c>
      <c r="S27" s="2">
        <v>19552.32</v>
      </c>
    </row>
    <row r="28" spans="1:21" x14ac:dyDescent="0.25">
      <c r="A28" t="s">
        <v>2768</v>
      </c>
      <c r="F28">
        <v>84</v>
      </c>
      <c r="G28">
        <v>101.3</v>
      </c>
      <c r="H28">
        <v>95.8</v>
      </c>
      <c r="I28">
        <v>96.7</v>
      </c>
      <c r="J28">
        <v>96.3</v>
      </c>
      <c r="K28">
        <v>93.6</v>
      </c>
      <c r="L28">
        <v>89.9</v>
      </c>
      <c r="M28">
        <v>93.3</v>
      </c>
      <c r="N28">
        <v>95.4</v>
      </c>
      <c r="O28">
        <v>94.67</v>
      </c>
      <c r="P28">
        <v>95.5</v>
      </c>
      <c r="Q28">
        <v>95.82</v>
      </c>
      <c r="R28">
        <v>95.55</v>
      </c>
      <c r="S28">
        <v>95.55</v>
      </c>
      <c r="T28">
        <v>95</v>
      </c>
      <c r="U28">
        <v>95</v>
      </c>
    </row>
    <row r="29" spans="1:21" x14ac:dyDescent="0.25">
      <c r="A29" t="s">
        <v>3346</v>
      </c>
      <c r="L29" s="2">
        <v>23899</v>
      </c>
      <c r="M29" s="2">
        <v>23307</v>
      </c>
      <c r="N29" s="2">
        <v>22673</v>
      </c>
    </row>
    <row r="30" spans="1:21" x14ac:dyDescent="0.25">
      <c r="A30" t="s">
        <v>2768</v>
      </c>
      <c r="F30">
        <v>77.2</v>
      </c>
      <c r="G30">
        <v>76.900000000000006</v>
      </c>
      <c r="H30">
        <v>72.8</v>
      </c>
      <c r="I30">
        <v>77.099999999999994</v>
      </c>
      <c r="J30">
        <v>75.599999999999994</v>
      </c>
      <c r="K30">
        <v>74.8</v>
      </c>
      <c r="L30">
        <v>70.900000000000006</v>
      </c>
      <c r="M30">
        <v>59</v>
      </c>
      <c r="N30">
        <v>53.8</v>
      </c>
      <c r="O30">
        <v>56.5</v>
      </c>
      <c r="P30">
        <v>53.75</v>
      </c>
      <c r="Q30">
        <v>54.38</v>
      </c>
      <c r="R30">
        <v>60</v>
      </c>
      <c r="S30">
        <v>60</v>
      </c>
    </row>
    <row r="31" spans="1:21" x14ac:dyDescent="0.25">
      <c r="A31" t="s">
        <v>3347</v>
      </c>
    </row>
    <row r="32" spans="1:21" x14ac:dyDescent="0.25">
      <c r="A32" t="s">
        <v>2768</v>
      </c>
      <c r="O32">
        <v>37.5</v>
      </c>
      <c r="P32">
        <v>37.5</v>
      </c>
      <c r="Q32">
        <v>37.5</v>
      </c>
      <c r="R32">
        <v>37.5</v>
      </c>
      <c r="S32">
        <v>37.5</v>
      </c>
    </row>
    <row r="33" spans="1:19" x14ac:dyDescent="0.25">
      <c r="A33" t="s">
        <v>2783</v>
      </c>
    </row>
    <row r="34" spans="1:19" x14ac:dyDescent="0.25">
      <c r="A34" t="s">
        <v>2768</v>
      </c>
      <c r="O34">
        <v>31.06</v>
      </c>
      <c r="P34">
        <v>28.53</v>
      </c>
      <c r="Q34">
        <v>28.53</v>
      </c>
      <c r="R34">
        <v>31.41</v>
      </c>
      <c r="S34">
        <v>31.41</v>
      </c>
    </row>
    <row r="35" spans="1:19" x14ac:dyDescent="0.25">
      <c r="A35" t="s">
        <v>3348</v>
      </c>
      <c r="G35" s="2">
        <v>18366</v>
      </c>
      <c r="H35" s="2">
        <v>18356</v>
      </c>
      <c r="I35" s="2">
        <v>17623</v>
      </c>
      <c r="J35" s="2">
        <v>17623</v>
      </c>
      <c r="K35" s="2">
        <v>17961</v>
      </c>
      <c r="L35" s="2">
        <v>18151</v>
      </c>
      <c r="M35" s="2">
        <v>18381</v>
      </c>
      <c r="N35" s="2">
        <v>19858</v>
      </c>
      <c r="O35" s="2">
        <v>19351.88</v>
      </c>
      <c r="P35" s="2">
        <v>19685.5</v>
      </c>
      <c r="Q35" s="2">
        <v>19900.5</v>
      </c>
      <c r="R35" s="2">
        <v>19891</v>
      </c>
      <c r="S35" s="2">
        <v>19891</v>
      </c>
    </row>
    <row r="36" spans="1:19" x14ac:dyDescent="0.25">
      <c r="A36" t="s">
        <v>2766</v>
      </c>
      <c r="G36" s="2">
        <v>2300</v>
      </c>
      <c r="H36" s="2">
        <v>2300</v>
      </c>
      <c r="I36" s="2">
        <v>2300</v>
      </c>
      <c r="J36" s="2">
        <v>2300</v>
      </c>
      <c r="K36" s="2">
        <v>2400</v>
      </c>
      <c r="L36" s="2">
        <v>2400</v>
      </c>
      <c r="M36" s="2">
        <v>2400</v>
      </c>
      <c r="N36" s="2">
        <v>2400</v>
      </c>
      <c r="O36" s="2">
        <v>2661.17</v>
      </c>
      <c r="P36" s="2">
        <v>2713.4</v>
      </c>
      <c r="Q36" s="2">
        <v>2461.17</v>
      </c>
      <c r="R36" s="2">
        <v>2391.75</v>
      </c>
      <c r="S36" s="2">
        <v>2391.75</v>
      </c>
    </row>
    <row r="37" spans="1:19" x14ac:dyDescent="0.25">
      <c r="A37" t="s">
        <v>3349</v>
      </c>
      <c r="E37" s="2">
        <v>2300</v>
      </c>
      <c r="F37" s="2">
        <v>2300</v>
      </c>
      <c r="G37" s="2">
        <v>2300</v>
      </c>
      <c r="H37" s="2">
        <v>2300</v>
      </c>
      <c r="I37" s="2">
        <v>2300</v>
      </c>
      <c r="J37" s="2">
        <v>2300</v>
      </c>
      <c r="K37" s="2">
        <v>2400</v>
      </c>
      <c r="L37" s="2">
        <v>2400</v>
      </c>
      <c r="M37" s="2">
        <v>2400</v>
      </c>
      <c r="N37" s="2">
        <v>2400</v>
      </c>
      <c r="O37" s="2">
        <v>2350</v>
      </c>
      <c r="P37" s="2">
        <v>2350</v>
      </c>
      <c r="Q37" s="2">
        <v>2350</v>
      </c>
      <c r="R37" s="2">
        <v>2400</v>
      </c>
      <c r="S37" s="2">
        <v>2400</v>
      </c>
    </row>
    <row r="38" spans="1:19" x14ac:dyDescent="0.25">
      <c r="A38" t="s">
        <v>3346</v>
      </c>
      <c r="G38" s="2">
        <v>4500</v>
      </c>
      <c r="H38" s="2">
        <v>4500</v>
      </c>
      <c r="I38" s="2">
        <v>3850</v>
      </c>
      <c r="J38" s="2">
        <v>3850</v>
      </c>
      <c r="K38" s="2">
        <v>3850</v>
      </c>
      <c r="L38" s="2">
        <v>4500</v>
      </c>
      <c r="M38" s="2">
        <v>3850</v>
      </c>
      <c r="N38" s="2">
        <v>4815</v>
      </c>
      <c r="O38" s="2">
        <v>4615</v>
      </c>
      <c r="P38" s="2">
        <v>4290</v>
      </c>
      <c r="Q38" s="2">
        <v>4052.5</v>
      </c>
      <c r="R38" s="2">
        <v>3940</v>
      </c>
      <c r="S38" s="2">
        <v>3940</v>
      </c>
    </row>
    <row r="39" spans="1:19" x14ac:dyDescent="0.25">
      <c r="A39" t="s">
        <v>3350</v>
      </c>
      <c r="G39">
        <v>650</v>
      </c>
      <c r="H39">
        <v>650</v>
      </c>
      <c r="J39">
        <v>650</v>
      </c>
      <c r="L39">
        <v>650</v>
      </c>
      <c r="N39">
        <v>650</v>
      </c>
      <c r="O39">
        <v>642.5</v>
      </c>
      <c r="P39">
        <v>475</v>
      </c>
      <c r="Q39">
        <v>632.5</v>
      </c>
      <c r="R39">
        <v>630</v>
      </c>
      <c r="S39">
        <v>630</v>
      </c>
    </row>
    <row r="40" spans="1:19" x14ac:dyDescent="0.25">
      <c r="A40" t="s">
        <v>3351</v>
      </c>
      <c r="E40" s="2">
        <v>2250</v>
      </c>
      <c r="F40" s="2">
        <v>2250</v>
      </c>
      <c r="G40" s="2">
        <v>2250</v>
      </c>
      <c r="H40" s="2">
        <v>2250</v>
      </c>
      <c r="I40" s="2">
        <v>2250</v>
      </c>
      <c r="J40" s="2">
        <v>2250</v>
      </c>
      <c r="K40" s="2">
        <v>2250</v>
      </c>
      <c r="L40" s="2">
        <v>2250</v>
      </c>
      <c r="M40" s="2">
        <v>2250</v>
      </c>
      <c r="N40" s="2">
        <v>2455</v>
      </c>
      <c r="O40" s="2">
        <v>2250</v>
      </c>
      <c r="P40" s="2">
        <v>2250</v>
      </c>
      <c r="Q40" s="2">
        <v>2250</v>
      </c>
      <c r="R40" s="2">
        <v>2250</v>
      </c>
      <c r="S40" s="2">
        <v>2250</v>
      </c>
    </row>
    <row r="41" spans="1:19" x14ac:dyDescent="0.25">
      <c r="A41" t="s">
        <v>3352</v>
      </c>
      <c r="E41" s="2">
        <v>1600</v>
      </c>
      <c r="F41" s="2">
        <v>1600</v>
      </c>
      <c r="G41" s="2">
        <v>1600</v>
      </c>
      <c r="H41" s="2">
        <v>1600</v>
      </c>
      <c r="I41" s="2">
        <v>1600</v>
      </c>
      <c r="J41" s="2">
        <v>1600</v>
      </c>
      <c r="K41" s="2">
        <v>1600</v>
      </c>
      <c r="L41" s="2">
        <v>1600</v>
      </c>
      <c r="M41" s="2">
        <v>1600</v>
      </c>
      <c r="N41" s="2">
        <v>1710</v>
      </c>
      <c r="O41" s="2">
        <v>1600</v>
      </c>
      <c r="P41" s="2">
        <v>1600</v>
      </c>
      <c r="Q41" s="2">
        <v>1600</v>
      </c>
      <c r="R41" s="2">
        <v>1600</v>
      </c>
      <c r="S41" s="2">
        <v>1600</v>
      </c>
    </row>
    <row r="42" spans="1:19" x14ac:dyDescent="0.25">
      <c r="A42" t="s">
        <v>3347</v>
      </c>
      <c r="O42" s="2">
        <v>12162.5</v>
      </c>
      <c r="P42" s="2">
        <v>12470.75</v>
      </c>
      <c r="Q42" s="2">
        <v>12923.25</v>
      </c>
      <c r="R42" s="2">
        <v>13923</v>
      </c>
      <c r="S42" s="2">
        <v>13923</v>
      </c>
    </row>
    <row r="43" spans="1:19" x14ac:dyDescent="0.25">
      <c r="A43" t="s">
        <v>3353</v>
      </c>
      <c r="G43">
        <v>366</v>
      </c>
      <c r="H43">
        <v>366</v>
      </c>
      <c r="I43">
        <v>366</v>
      </c>
      <c r="J43">
        <v>366</v>
      </c>
      <c r="K43">
        <v>366</v>
      </c>
      <c r="L43">
        <v>366</v>
      </c>
      <c r="M43">
        <v>366</v>
      </c>
      <c r="N43">
        <v>366</v>
      </c>
      <c r="O43">
        <v>363</v>
      </c>
      <c r="P43">
        <v>363</v>
      </c>
      <c r="Q43">
        <v>363</v>
      </c>
      <c r="R43">
        <v>366</v>
      </c>
      <c r="S43">
        <v>366</v>
      </c>
    </row>
    <row r="44" spans="1:19" x14ac:dyDescent="0.25">
      <c r="A44" t="s">
        <v>3354</v>
      </c>
      <c r="E44" s="2">
        <v>1912</v>
      </c>
      <c r="F44" s="2">
        <v>1912</v>
      </c>
      <c r="G44" s="2">
        <v>1912</v>
      </c>
      <c r="H44" s="2">
        <v>1912</v>
      </c>
      <c r="I44" s="2">
        <v>1912</v>
      </c>
      <c r="J44" s="2">
        <v>1912</v>
      </c>
      <c r="K44" s="2">
        <v>1912</v>
      </c>
      <c r="L44" s="2">
        <v>1912</v>
      </c>
      <c r="M44" s="2">
        <v>1912</v>
      </c>
      <c r="N44" s="2">
        <v>1912</v>
      </c>
      <c r="O44" s="2">
        <v>1912</v>
      </c>
      <c r="P44" s="2">
        <v>1912</v>
      </c>
      <c r="Q44" s="2">
        <v>1912</v>
      </c>
      <c r="R44" s="2">
        <v>1912</v>
      </c>
      <c r="S44" s="2">
        <v>1912</v>
      </c>
    </row>
    <row r="45" spans="1:19" x14ac:dyDescent="0.25">
      <c r="A45" t="s">
        <v>3355</v>
      </c>
      <c r="G45" s="2">
        <v>1047</v>
      </c>
      <c r="H45" s="2">
        <v>1047</v>
      </c>
      <c r="I45" s="2">
        <v>1047</v>
      </c>
      <c r="J45" s="2">
        <v>1047</v>
      </c>
      <c r="K45" s="2">
        <v>1047</v>
      </c>
      <c r="L45" s="2">
        <v>1047</v>
      </c>
      <c r="M45" s="2">
        <v>1047</v>
      </c>
      <c r="N45" s="2">
        <v>1122</v>
      </c>
      <c r="O45" s="2">
        <v>1053</v>
      </c>
      <c r="P45" s="2">
        <v>1053</v>
      </c>
      <c r="Q45" s="2">
        <v>1690.58</v>
      </c>
      <c r="R45" s="2">
        <v>1842.58</v>
      </c>
      <c r="S45" s="2">
        <v>1842.58</v>
      </c>
    </row>
    <row r="46" spans="1:19" x14ac:dyDescent="0.25">
      <c r="A46" t="s">
        <v>3356</v>
      </c>
      <c r="E46" s="2">
        <v>1076</v>
      </c>
      <c r="F46" s="2">
        <v>1076</v>
      </c>
      <c r="G46" s="2">
        <v>1076</v>
      </c>
      <c r="H46" s="2">
        <v>1076</v>
      </c>
      <c r="I46" s="2">
        <v>1076</v>
      </c>
      <c r="J46" s="2">
        <v>1076</v>
      </c>
      <c r="K46" s="2">
        <v>1076</v>
      </c>
      <c r="L46" s="2">
        <v>1076</v>
      </c>
      <c r="M46" s="2">
        <v>1180</v>
      </c>
      <c r="N46" s="2">
        <v>1180</v>
      </c>
      <c r="O46" s="2">
        <v>1076</v>
      </c>
      <c r="P46" s="2">
        <v>1076</v>
      </c>
      <c r="Q46" s="2">
        <v>1076</v>
      </c>
      <c r="R46" s="2">
        <v>1076</v>
      </c>
      <c r="S46" s="2">
        <v>1076</v>
      </c>
    </row>
    <row r="47" spans="1:19" x14ac:dyDescent="0.25">
      <c r="A47" t="s">
        <v>3357</v>
      </c>
      <c r="G47" s="2">
        <v>1596</v>
      </c>
      <c r="H47" s="2">
        <v>1596</v>
      </c>
      <c r="I47" s="2">
        <v>1596</v>
      </c>
      <c r="J47" s="2">
        <v>1596</v>
      </c>
      <c r="K47" s="2">
        <v>1596</v>
      </c>
      <c r="L47" s="2">
        <v>1596</v>
      </c>
      <c r="M47" s="2">
        <v>1596</v>
      </c>
      <c r="N47" s="2">
        <v>1596</v>
      </c>
      <c r="O47" s="2">
        <v>1596</v>
      </c>
      <c r="P47" s="2">
        <v>1596</v>
      </c>
      <c r="Q47" s="2">
        <v>1596</v>
      </c>
      <c r="R47" s="2">
        <v>1596</v>
      </c>
      <c r="S47" s="2">
        <v>1596</v>
      </c>
    </row>
    <row r="48" spans="1:19" x14ac:dyDescent="0.25">
      <c r="A48" t="s">
        <v>3358</v>
      </c>
      <c r="F48" s="2">
        <v>1054</v>
      </c>
      <c r="G48" s="2">
        <v>1054</v>
      </c>
      <c r="H48" s="2">
        <v>1054</v>
      </c>
      <c r="I48" s="2">
        <v>1054</v>
      </c>
      <c r="J48" s="2">
        <v>1054</v>
      </c>
      <c r="K48" s="2">
        <v>1054</v>
      </c>
      <c r="L48" s="2">
        <v>1054</v>
      </c>
      <c r="M48" s="2">
        <v>1180</v>
      </c>
      <c r="N48" s="2">
        <v>1180</v>
      </c>
      <c r="O48" s="2">
        <v>1180</v>
      </c>
      <c r="P48" s="2">
        <v>1180</v>
      </c>
      <c r="Q48" s="2">
        <v>1180</v>
      </c>
      <c r="R48" s="2">
        <v>1180</v>
      </c>
      <c r="S48" s="2">
        <v>1180</v>
      </c>
    </row>
    <row r="49" spans="1:19" x14ac:dyDescent="0.25">
      <c r="A49" t="s">
        <v>3359</v>
      </c>
      <c r="G49">
        <v>787</v>
      </c>
      <c r="H49">
        <v>787</v>
      </c>
      <c r="I49">
        <v>787</v>
      </c>
      <c r="J49">
        <v>787</v>
      </c>
      <c r="K49">
        <v>787</v>
      </c>
      <c r="L49">
        <v>787</v>
      </c>
      <c r="M49">
        <v>787</v>
      </c>
      <c r="N49">
        <v>787</v>
      </c>
      <c r="O49">
        <v>778</v>
      </c>
      <c r="P49">
        <v>778</v>
      </c>
      <c r="Q49">
        <v>778</v>
      </c>
      <c r="R49">
        <v>787</v>
      </c>
      <c r="S49">
        <v>787</v>
      </c>
    </row>
    <row r="50" spans="1:19" x14ac:dyDescent="0.25">
      <c r="A50" t="s">
        <v>3360</v>
      </c>
      <c r="E50">
        <v>390</v>
      </c>
      <c r="F50">
        <v>390</v>
      </c>
      <c r="G50">
        <v>390</v>
      </c>
      <c r="H50">
        <v>390</v>
      </c>
      <c r="I50">
        <v>390</v>
      </c>
      <c r="J50">
        <v>390</v>
      </c>
      <c r="K50">
        <v>390</v>
      </c>
      <c r="L50">
        <v>390</v>
      </c>
      <c r="M50">
        <v>390</v>
      </c>
      <c r="N50">
        <v>446</v>
      </c>
      <c r="O50">
        <v>390</v>
      </c>
      <c r="P50">
        <v>390</v>
      </c>
      <c r="Q50">
        <v>390</v>
      </c>
      <c r="R50">
        <v>390</v>
      </c>
      <c r="S50">
        <v>390</v>
      </c>
    </row>
    <row r="51" spans="1:19" x14ac:dyDescent="0.25">
      <c r="A51" t="s">
        <v>3361</v>
      </c>
      <c r="E51">
        <v>325</v>
      </c>
      <c r="F51">
        <v>325</v>
      </c>
      <c r="G51">
        <v>325</v>
      </c>
      <c r="H51">
        <v>325</v>
      </c>
      <c r="I51">
        <v>325</v>
      </c>
      <c r="J51">
        <v>325</v>
      </c>
      <c r="K51">
        <v>325</v>
      </c>
      <c r="L51">
        <v>325</v>
      </c>
      <c r="M51">
        <v>325</v>
      </c>
      <c r="N51">
        <v>404</v>
      </c>
      <c r="O51">
        <v>325</v>
      </c>
      <c r="P51">
        <v>325</v>
      </c>
      <c r="Q51">
        <v>325</v>
      </c>
      <c r="R51">
        <v>325</v>
      </c>
      <c r="S51">
        <v>325</v>
      </c>
    </row>
    <row r="52" spans="1:19" x14ac:dyDescent="0.25">
      <c r="A52" t="s">
        <v>3362</v>
      </c>
      <c r="E52">
        <v>630</v>
      </c>
      <c r="F52">
        <v>630</v>
      </c>
      <c r="G52">
        <v>630</v>
      </c>
      <c r="H52">
        <v>630</v>
      </c>
      <c r="I52">
        <v>630</v>
      </c>
      <c r="J52">
        <v>630</v>
      </c>
      <c r="K52">
        <v>630</v>
      </c>
      <c r="L52">
        <v>630</v>
      </c>
      <c r="M52">
        <v>630</v>
      </c>
      <c r="N52">
        <v>630</v>
      </c>
      <c r="O52">
        <v>630</v>
      </c>
      <c r="P52">
        <v>630</v>
      </c>
      <c r="Q52">
        <v>630</v>
      </c>
      <c r="R52">
        <v>630</v>
      </c>
      <c r="S52">
        <v>630</v>
      </c>
    </row>
    <row r="53" spans="1:19" x14ac:dyDescent="0.25">
      <c r="A53" t="s">
        <v>3363</v>
      </c>
      <c r="E53">
        <v>921</v>
      </c>
      <c r="F53">
        <v>921</v>
      </c>
      <c r="G53">
        <v>921</v>
      </c>
      <c r="H53">
        <v>921</v>
      </c>
      <c r="I53">
        <v>921</v>
      </c>
      <c r="J53">
        <v>921</v>
      </c>
      <c r="K53">
        <v>921</v>
      </c>
      <c r="L53">
        <v>921</v>
      </c>
      <c r="M53">
        <v>921</v>
      </c>
      <c r="N53">
        <v>921</v>
      </c>
      <c r="O53">
        <v>921.67</v>
      </c>
      <c r="P53">
        <v>921.67</v>
      </c>
      <c r="Q53">
        <v>921.67</v>
      </c>
      <c r="R53">
        <v>922</v>
      </c>
      <c r="S53">
        <v>922</v>
      </c>
    </row>
    <row r="54" spans="1:19" x14ac:dyDescent="0.25">
      <c r="A54" t="s">
        <v>3364</v>
      </c>
      <c r="E54">
        <v>685</v>
      </c>
      <c r="F54">
        <v>685</v>
      </c>
      <c r="G54">
        <v>685</v>
      </c>
      <c r="H54">
        <v>685</v>
      </c>
      <c r="I54">
        <v>685</v>
      </c>
      <c r="J54">
        <v>685</v>
      </c>
      <c r="K54">
        <v>685</v>
      </c>
      <c r="L54">
        <v>685</v>
      </c>
      <c r="M54">
        <v>685</v>
      </c>
      <c r="N54">
        <v>685</v>
      </c>
      <c r="O54">
        <v>685</v>
      </c>
      <c r="P54">
        <v>685</v>
      </c>
      <c r="Q54">
        <v>685</v>
      </c>
      <c r="R54">
        <v>685</v>
      </c>
      <c r="S54">
        <v>685</v>
      </c>
    </row>
    <row r="55" spans="1:19" x14ac:dyDescent="0.25">
      <c r="A55" t="s">
        <v>3365</v>
      </c>
      <c r="E55">
        <v>244</v>
      </c>
      <c r="F55">
        <v>244</v>
      </c>
      <c r="G55">
        <v>244</v>
      </c>
      <c r="H55">
        <v>244</v>
      </c>
      <c r="I55">
        <v>244</v>
      </c>
      <c r="J55">
        <v>244</v>
      </c>
      <c r="K55">
        <v>244</v>
      </c>
      <c r="L55">
        <v>244</v>
      </c>
      <c r="M55">
        <v>244</v>
      </c>
      <c r="N55">
        <v>244</v>
      </c>
      <c r="O55">
        <v>244</v>
      </c>
      <c r="P55">
        <v>244</v>
      </c>
      <c r="Q55">
        <v>244</v>
      </c>
      <c r="R55">
        <v>244</v>
      </c>
      <c r="S55">
        <v>244</v>
      </c>
    </row>
    <row r="56" spans="1:19" x14ac:dyDescent="0.25">
      <c r="A56" t="s">
        <v>3366</v>
      </c>
      <c r="G56">
        <v>180</v>
      </c>
      <c r="H56">
        <v>180</v>
      </c>
      <c r="I56">
        <v>180</v>
      </c>
      <c r="J56">
        <v>180</v>
      </c>
      <c r="K56">
        <v>158</v>
      </c>
      <c r="L56">
        <v>158</v>
      </c>
      <c r="M56">
        <v>158</v>
      </c>
      <c r="N56">
        <v>358</v>
      </c>
      <c r="O56">
        <v>579</v>
      </c>
      <c r="P56">
        <v>579</v>
      </c>
      <c r="Q56">
        <v>579</v>
      </c>
      <c r="R56">
        <v>350</v>
      </c>
      <c r="S56">
        <v>350</v>
      </c>
    </row>
    <row r="57" spans="1:19" x14ac:dyDescent="0.25">
      <c r="A57" t="s">
        <v>3367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</row>
    <row r="58" spans="1:19" x14ac:dyDescent="0.25">
      <c r="A58" t="s">
        <v>3368</v>
      </c>
      <c r="K58">
        <v>108</v>
      </c>
      <c r="L58">
        <v>108</v>
      </c>
      <c r="M58">
        <v>108</v>
      </c>
      <c r="N58">
        <v>108</v>
      </c>
      <c r="O58">
        <v>108</v>
      </c>
      <c r="P58">
        <v>108</v>
      </c>
      <c r="Q58">
        <v>108</v>
      </c>
      <c r="R58">
        <v>108</v>
      </c>
      <c r="S58">
        <v>108</v>
      </c>
    </row>
    <row r="59" spans="1:19" x14ac:dyDescent="0.25">
      <c r="A59" t="s">
        <v>3369</v>
      </c>
      <c r="G59">
        <v>180</v>
      </c>
      <c r="H59">
        <v>180</v>
      </c>
      <c r="I59">
        <v>180</v>
      </c>
      <c r="J59">
        <v>180</v>
      </c>
      <c r="K59">
        <v>180</v>
      </c>
      <c r="L59">
        <v>190</v>
      </c>
      <c r="M59">
        <v>190</v>
      </c>
      <c r="N59">
        <v>190</v>
      </c>
      <c r="O59">
        <v>189.89</v>
      </c>
      <c r="P59">
        <v>189.89</v>
      </c>
      <c r="Q59">
        <v>189.89</v>
      </c>
      <c r="R59">
        <v>189.83</v>
      </c>
      <c r="S59">
        <v>189.83</v>
      </c>
    </row>
    <row r="60" spans="1:19" x14ac:dyDescent="0.25">
      <c r="A60" t="s">
        <v>3370</v>
      </c>
    </row>
    <row r="61" spans="1:19" x14ac:dyDescent="0.25">
      <c r="A61" t="s">
        <v>3371</v>
      </c>
      <c r="K61">
        <v>260</v>
      </c>
      <c r="L61">
        <v>260</v>
      </c>
      <c r="M61">
        <v>260</v>
      </c>
      <c r="N61">
        <v>260</v>
      </c>
      <c r="O61">
        <v>260</v>
      </c>
      <c r="P61">
        <v>260</v>
      </c>
      <c r="Q61">
        <v>260</v>
      </c>
      <c r="R61">
        <v>260</v>
      </c>
      <c r="S61">
        <v>260</v>
      </c>
    </row>
    <row r="62" spans="1:19" x14ac:dyDescent="0.25">
      <c r="A62" t="s">
        <v>17</v>
      </c>
    </row>
    <row r="63" spans="1:19" x14ac:dyDescent="0.25">
      <c r="A63" t="s">
        <v>3372</v>
      </c>
    </row>
    <row r="64" spans="1:19" x14ac:dyDescent="0.25">
      <c r="A64" t="s">
        <v>3345</v>
      </c>
      <c r="L64" s="2">
        <v>60502</v>
      </c>
      <c r="M64" s="2">
        <v>103757</v>
      </c>
      <c r="N64" s="2">
        <v>114805</v>
      </c>
    </row>
    <row r="65" spans="1:21" x14ac:dyDescent="0.25">
      <c r="A65" t="s">
        <v>2789</v>
      </c>
      <c r="M65" s="2">
        <v>26540</v>
      </c>
      <c r="N65" s="2">
        <v>32203</v>
      </c>
    </row>
    <row r="66" spans="1:21" x14ac:dyDescent="0.25">
      <c r="A66" t="s">
        <v>2768</v>
      </c>
      <c r="M66">
        <v>89.3</v>
      </c>
      <c r="N66">
        <v>90.8</v>
      </c>
    </row>
    <row r="67" spans="1:21" x14ac:dyDescent="0.25">
      <c r="A67" t="s">
        <v>3373</v>
      </c>
    </row>
    <row r="68" spans="1:21" x14ac:dyDescent="0.25">
      <c r="A68" t="s">
        <v>2768</v>
      </c>
      <c r="O68">
        <v>93.75</v>
      </c>
      <c r="P68">
        <v>93.75</v>
      </c>
      <c r="Q68">
        <v>93.75</v>
      </c>
      <c r="R68">
        <v>93.75</v>
      </c>
      <c r="S68">
        <v>93.75</v>
      </c>
    </row>
    <row r="69" spans="1:21" x14ac:dyDescent="0.25">
      <c r="A69" t="s">
        <v>3374</v>
      </c>
      <c r="O69" s="2">
        <v>23419.21</v>
      </c>
      <c r="P69" s="2">
        <v>29070.04</v>
      </c>
      <c r="Q69" s="2">
        <v>29070.04</v>
      </c>
    </row>
    <row r="70" spans="1:21" x14ac:dyDescent="0.25">
      <c r="A70" t="s">
        <v>2768</v>
      </c>
      <c r="O70">
        <v>53.26</v>
      </c>
      <c r="P70">
        <v>53.29</v>
      </c>
      <c r="Q70">
        <v>53.29</v>
      </c>
    </row>
    <row r="71" spans="1:21" x14ac:dyDescent="0.25">
      <c r="A71" t="s">
        <v>3348</v>
      </c>
      <c r="G71" s="2">
        <v>5902</v>
      </c>
      <c r="H71" s="2">
        <v>5902</v>
      </c>
      <c r="I71" s="2">
        <v>6081</v>
      </c>
      <c r="J71" s="2">
        <v>6081</v>
      </c>
      <c r="K71" s="2">
        <v>6081</v>
      </c>
      <c r="L71" s="2">
        <v>6081</v>
      </c>
      <c r="M71" s="2">
        <v>6081</v>
      </c>
      <c r="N71" s="2">
        <v>7710</v>
      </c>
    </row>
    <row r="72" spans="1:21" x14ac:dyDescent="0.25">
      <c r="A72" t="s">
        <v>2789</v>
      </c>
      <c r="M72" s="2">
        <v>4048</v>
      </c>
      <c r="N72" s="2">
        <v>4048</v>
      </c>
      <c r="O72" s="2">
        <v>4048</v>
      </c>
      <c r="P72" s="2">
        <v>4048</v>
      </c>
      <c r="Q72" s="2">
        <v>4048</v>
      </c>
      <c r="R72" s="2">
        <v>4048</v>
      </c>
      <c r="S72" s="2">
        <v>4048</v>
      </c>
    </row>
    <row r="73" spans="1:21" x14ac:dyDescent="0.25">
      <c r="A73" t="s">
        <v>3375</v>
      </c>
      <c r="M73" s="2">
        <v>1872</v>
      </c>
      <c r="N73" s="2">
        <v>1872</v>
      </c>
      <c r="O73" s="2">
        <v>1814.83</v>
      </c>
      <c r="P73" s="2">
        <v>1814.83</v>
      </c>
      <c r="Q73" s="2">
        <v>1814.83</v>
      </c>
      <c r="R73" s="2">
        <v>1872</v>
      </c>
      <c r="S73" s="2">
        <v>1872</v>
      </c>
      <c r="T73" s="2">
        <v>1872</v>
      </c>
      <c r="U73" s="2">
        <v>1942</v>
      </c>
    </row>
    <row r="74" spans="1:21" x14ac:dyDescent="0.25">
      <c r="A74" t="s">
        <v>3376</v>
      </c>
      <c r="M74" s="2">
        <v>1268</v>
      </c>
      <c r="N74" s="2">
        <v>1268</v>
      </c>
      <c r="O74" s="2">
        <v>1268</v>
      </c>
      <c r="P74" s="2">
        <v>1268</v>
      </c>
      <c r="Q74" s="2">
        <v>1268</v>
      </c>
      <c r="R74" s="2">
        <v>1268</v>
      </c>
      <c r="S74" s="2">
        <v>1268</v>
      </c>
    </row>
    <row r="75" spans="1:21" x14ac:dyDescent="0.25">
      <c r="A75" t="s">
        <v>3377</v>
      </c>
      <c r="M75">
        <v>908</v>
      </c>
      <c r="N75">
        <v>908</v>
      </c>
      <c r="O75">
        <v>908</v>
      </c>
      <c r="P75">
        <v>908</v>
      </c>
      <c r="Q75">
        <v>908</v>
      </c>
      <c r="R75">
        <v>908</v>
      </c>
      <c r="S75">
        <v>908</v>
      </c>
    </row>
    <row r="76" spans="1:21" x14ac:dyDescent="0.25">
      <c r="A76" t="s">
        <v>3373</v>
      </c>
    </row>
    <row r="77" spans="1:21" x14ac:dyDescent="0.25">
      <c r="A77" t="s">
        <v>3378</v>
      </c>
      <c r="G77">
        <v>600</v>
      </c>
      <c r="H77">
        <v>600</v>
      </c>
      <c r="I77">
        <v>600</v>
      </c>
      <c r="J77">
        <v>600</v>
      </c>
      <c r="K77">
        <v>600</v>
      </c>
      <c r="L77">
        <v>600</v>
      </c>
      <c r="M77">
        <v>600</v>
      </c>
      <c r="N77">
        <v>600</v>
      </c>
      <c r="O77">
        <v>599</v>
      </c>
      <c r="P77">
        <v>599</v>
      </c>
      <c r="Q77">
        <v>599</v>
      </c>
      <c r="R77">
        <v>600</v>
      </c>
      <c r="S77">
        <v>600</v>
      </c>
    </row>
    <row r="78" spans="1:21" x14ac:dyDescent="0.25">
      <c r="A78" t="s">
        <v>3379</v>
      </c>
      <c r="G78">
        <v>726</v>
      </c>
      <c r="H78">
        <v>726</v>
      </c>
      <c r="I78">
        <v>726</v>
      </c>
      <c r="J78">
        <v>726</v>
      </c>
      <c r="K78">
        <v>726</v>
      </c>
      <c r="L78">
        <v>726</v>
      </c>
      <c r="M78">
        <v>726</v>
      </c>
      <c r="N78">
        <v>726</v>
      </c>
      <c r="O78">
        <v>730.67</v>
      </c>
      <c r="P78">
        <v>730.67</v>
      </c>
      <c r="Q78">
        <v>730.67</v>
      </c>
      <c r="R78">
        <v>726</v>
      </c>
      <c r="S78">
        <v>726</v>
      </c>
    </row>
    <row r="79" spans="1:21" x14ac:dyDescent="0.25">
      <c r="A79" t="s">
        <v>3380</v>
      </c>
      <c r="G79" s="2">
        <v>1430</v>
      </c>
      <c r="H79" s="2">
        <v>1430</v>
      </c>
      <c r="I79" s="2">
        <v>1430</v>
      </c>
      <c r="J79" s="2">
        <v>1430</v>
      </c>
      <c r="K79" s="2">
        <v>1430</v>
      </c>
      <c r="L79" s="2">
        <v>1430</v>
      </c>
      <c r="M79" s="2">
        <v>1430</v>
      </c>
      <c r="N79" s="2">
        <v>1430</v>
      </c>
      <c r="O79" s="2">
        <v>1436.5</v>
      </c>
      <c r="P79" s="2">
        <v>1436.5</v>
      </c>
      <c r="Q79" s="2">
        <v>1436.5</v>
      </c>
      <c r="R79" s="2">
        <v>1429</v>
      </c>
      <c r="S79" s="2">
        <v>1429</v>
      </c>
    </row>
    <row r="80" spans="1:21" x14ac:dyDescent="0.25">
      <c r="A80" t="s">
        <v>3381</v>
      </c>
      <c r="G80">
        <v>370</v>
      </c>
      <c r="H80">
        <v>370</v>
      </c>
      <c r="I80">
        <v>370</v>
      </c>
      <c r="J80">
        <v>370</v>
      </c>
      <c r="K80">
        <v>370</v>
      </c>
      <c r="L80">
        <v>370</v>
      </c>
      <c r="M80">
        <v>370</v>
      </c>
      <c r="N80">
        <v>370</v>
      </c>
      <c r="O80">
        <v>422.67</v>
      </c>
      <c r="P80">
        <v>422.67</v>
      </c>
      <c r="Q80">
        <v>422.67</v>
      </c>
      <c r="R80">
        <v>422.67</v>
      </c>
      <c r="S80">
        <v>422.67</v>
      </c>
    </row>
    <row r="81" spans="1:19" x14ac:dyDescent="0.25">
      <c r="A81" t="s">
        <v>3382</v>
      </c>
      <c r="G81" s="2">
        <v>1288</v>
      </c>
      <c r="H81" s="2">
        <v>1288</v>
      </c>
      <c r="I81" s="2">
        <v>1288</v>
      </c>
      <c r="J81" s="2">
        <v>1288</v>
      </c>
      <c r="K81" s="2">
        <v>1288</v>
      </c>
      <c r="L81" s="2">
        <v>1288</v>
      </c>
      <c r="M81" s="2">
        <v>1288</v>
      </c>
      <c r="N81" s="2">
        <v>1288</v>
      </c>
      <c r="O81" s="2">
        <v>1280</v>
      </c>
      <c r="P81" s="2">
        <v>1280</v>
      </c>
      <c r="Q81" s="2">
        <v>1280</v>
      </c>
      <c r="R81" s="2">
        <v>1288</v>
      </c>
      <c r="S81" s="2">
        <v>1288</v>
      </c>
    </row>
    <row r="82" spans="1:19" x14ac:dyDescent="0.25">
      <c r="A82" t="s">
        <v>3383</v>
      </c>
      <c r="G82">
        <v>607</v>
      </c>
      <c r="H82">
        <v>607</v>
      </c>
      <c r="I82">
        <v>607</v>
      </c>
      <c r="J82">
        <v>607</v>
      </c>
      <c r="K82">
        <v>607</v>
      </c>
      <c r="L82">
        <v>607</v>
      </c>
      <c r="M82">
        <v>607</v>
      </c>
      <c r="N82">
        <v>607</v>
      </c>
      <c r="O82">
        <v>696.5</v>
      </c>
      <c r="P82" s="2">
        <v>1137</v>
      </c>
      <c r="Q82" s="2">
        <v>1137</v>
      </c>
      <c r="R82">
        <v>673.67</v>
      </c>
      <c r="S82">
        <v>673.67</v>
      </c>
    </row>
    <row r="83" spans="1:19" x14ac:dyDescent="0.25">
      <c r="A83" t="s">
        <v>3384</v>
      </c>
      <c r="G83">
        <v>600</v>
      </c>
      <c r="H83">
        <v>600</v>
      </c>
      <c r="I83">
        <v>600</v>
      </c>
      <c r="J83">
        <v>600</v>
      </c>
      <c r="K83">
        <v>600</v>
      </c>
      <c r="L83">
        <v>600</v>
      </c>
      <c r="M83">
        <v>600</v>
      </c>
      <c r="N83">
        <v>600</v>
      </c>
      <c r="O83">
        <v>607</v>
      </c>
      <c r="P83">
        <v>607</v>
      </c>
      <c r="Q83">
        <v>607</v>
      </c>
      <c r="R83">
        <v>607</v>
      </c>
      <c r="S83">
        <v>607</v>
      </c>
    </row>
    <row r="84" spans="1:19" x14ac:dyDescent="0.25">
      <c r="A84" t="s">
        <v>3385</v>
      </c>
      <c r="G84">
        <v>170</v>
      </c>
      <c r="H84">
        <v>170</v>
      </c>
      <c r="I84">
        <v>349</v>
      </c>
      <c r="J84">
        <v>349</v>
      </c>
      <c r="K84">
        <v>349</v>
      </c>
      <c r="L84">
        <v>349</v>
      </c>
      <c r="M84">
        <v>349</v>
      </c>
      <c r="N84">
        <v>349</v>
      </c>
      <c r="O84">
        <v>349</v>
      </c>
      <c r="P84">
        <v>349</v>
      </c>
      <c r="Q84">
        <v>349</v>
      </c>
      <c r="R84">
        <v>349</v>
      </c>
      <c r="S84">
        <v>349</v>
      </c>
    </row>
    <row r="85" spans="1:19" x14ac:dyDescent="0.25">
      <c r="A85" t="s">
        <v>3386</v>
      </c>
      <c r="G85">
        <v>711</v>
      </c>
      <c r="H85">
        <v>711</v>
      </c>
      <c r="I85">
        <v>711</v>
      </c>
      <c r="J85">
        <v>711</v>
      </c>
      <c r="K85">
        <v>711</v>
      </c>
      <c r="L85">
        <v>711</v>
      </c>
      <c r="M85">
        <v>711</v>
      </c>
      <c r="N85">
        <v>711</v>
      </c>
      <c r="O85">
        <v>712</v>
      </c>
      <c r="P85">
        <v>712</v>
      </c>
      <c r="Q85">
        <v>927</v>
      </c>
      <c r="R85">
        <v>927</v>
      </c>
      <c r="S85">
        <v>927</v>
      </c>
    </row>
    <row r="86" spans="1:19" x14ac:dyDescent="0.25">
      <c r="A86" t="s">
        <v>3387</v>
      </c>
      <c r="G86">
        <v>380</v>
      </c>
      <c r="H86">
        <v>380</v>
      </c>
      <c r="I86">
        <v>380</v>
      </c>
      <c r="J86">
        <v>380</v>
      </c>
      <c r="K86">
        <v>380</v>
      </c>
      <c r="L86">
        <v>380</v>
      </c>
      <c r="M86">
        <v>380</v>
      </c>
      <c r="N86">
        <v>380</v>
      </c>
      <c r="O86">
        <v>375.5</v>
      </c>
      <c r="P86">
        <v>375.5</v>
      </c>
      <c r="Q86">
        <v>375.5</v>
      </c>
      <c r="R86">
        <v>380</v>
      </c>
      <c r="S86">
        <v>380</v>
      </c>
    </row>
    <row r="87" spans="1:19" x14ac:dyDescent="0.25">
      <c r="A87" t="s">
        <v>3388</v>
      </c>
      <c r="G87">
        <v>155</v>
      </c>
      <c r="H87">
        <v>155</v>
      </c>
      <c r="I87">
        <v>155</v>
      </c>
      <c r="J87">
        <v>155</v>
      </c>
      <c r="K87">
        <v>155</v>
      </c>
      <c r="L87">
        <v>155</v>
      </c>
      <c r="M87">
        <v>155</v>
      </c>
      <c r="N87">
        <v>155</v>
      </c>
      <c r="O87">
        <v>155</v>
      </c>
      <c r="P87">
        <v>155</v>
      </c>
      <c r="Q87">
        <v>155</v>
      </c>
      <c r="R87">
        <v>155</v>
      </c>
      <c r="S87">
        <v>155</v>
      </c>
    </row>
    <row r="88" spans="1:19" x14ac:dyDescent="0.25">
      <c r="A88" t="s">
        <v>3389</v>
      </c>
      <c r="G88">
        <v>388</v>
      </c>
      <c r="H88">
        <v>388</v>
      </c>
      <c r="I88">
        <v>388</v>
      </c>
      <c r="J88">
        <v>388</v>
      </c>
      <c r="K88">
        <v>388</v>
      </c>
      <c r="L88">
        <v>388</v>
      </c>
      <c r="M88">
        <v>388</v>
      </c>
      <c r="N88">
        <v>388</v>
      </c>
      <c r="O88">
        <v>388</v>
      </c>
      <c r="P88">
        <v>388</v>
      </c>
      <c r="Q88">
        <v>388</v>
      </c>
      <c r="R88">
        <v>388</v>
      </c>
      <c r="S88">
        <v>388</v>
      </c>
    </row>
    <row r="89" spans="1:19" x14ac:dyDescent="0.25">
      <c r="A89" t="s">
        <v>3390</v>
      </c>
      <c r="G89">
        <v>423</v>
      </c>
      <c r="H89">
        <v>423</v>
      </c>
      <c r="I89">
        <v>423</v>
      </c>
      <c r="J89">
        <v>423</v>
      </c>
      <c r="K89">
        <v>423</v>
      </c>
      <c r="L89">
        <v>423</v>
      </c>
    </row>
    <row r="90" spans="1:19" x14ac:dyDescent="0.25">
      <c r="A90" t="s">
        <v>3391</v>
      </c>
      <c r="G90">
        <v>77</v>
      </c>
      <c r="H90">
        <v>77</v>
      </c>
      <c r="I90">
        <v>77</v>
      </c>
      <c r="J90">
        <v>77</v>
      </c>
      <c r="K90">
        <v>77</v>
      </c>
      <c r="L90">
        <v>77</v>
      </c>
      <c r="M90">
        <v>77</v>
      </c>
      <c r="N90">
        <v>77</v>
      </c>
      <c r="O90">
        <v>77</v>
      </c>
      <c r="P90">
        <v>77</v>
      </c>
      <c r="Q90">
        <v>77</v>
      </c>
      <c r="R90">
        <v>77</v>
      </c>
      <c r="S90">
        <v>77</v>
      </c>
    </row>
    <row r="91" spans="1:19" x14ac:dyDescent="0.25">
      <c r="A91" t="s">
        <v>3392</v>
      </c>
      <c r="E91">
        <v>685</v>
      </c>
      <c r="F91">
        <v>685</v>
      </c>
      <c r="G91">
        <v>685</v>
      </c>
      <c r="H91">
        <v>685</v>
      </c>
      <c r="I91">
        <v>685</v>
      </c>
      <c r="J91">
        <v>685</v>
      </c>
      <c r="K91">
        <v>685</v>
      </c>
      <c r="L91">
        <v>685</v>
      </c>
      <c r="M91">
        <v>685</v>
      </c>
      <c r="N91">
        <v>685</v>
      </c>
      <c r="O91">
        <v>685</v>
      </c>
      <c r="P91">
        <v>685</v>
      </c>
      <c r="Q91">
        <v>685</v>
      </c>
      <c r="R91">
        <v>685</v>
      </c>
      <c r="S91">
        <v>685</v>
      </c>
    </row>
    <row r="92" spans="1:19" x14ac:dyDescent="0.25">
      <c r="A92" t="s">
        <v>3374</v>
      </c>
      <c r="O92" s="2">
        <v>5296.5</v>
      </c>
      <c r="P92" s="2">
        <v>5797</v>
      </c>
      <c r="Q92" s="2">
        <v>5797</v>
      </c>
      <c r="R92" s="2">
        <v>5294</v>
      </c>
      <c r="S92" s="2">
        <v>5294</v>
      </c>
    </row>
    <row r="93" spans="1:19" x14ac:dyDescent="0.25">
      <c r="A93" t="s">
        <v>3393</v>
      </c>
      <c r="G93" s="2">
        <v>1212</v>
      </c>
      <c r="H93" s="2">
        <v>1212</v>
      </c>
      <c r="I93" s="2">
        <v>1212</v>
      </c>
      <c r="J93" s="2">
        <v>1212</v>
      </c>
      <c r="K93" s="2">
        <v>1212</v>
      </c>
      <c r="L93" s="2">
        <v>1212</v>
      </c>
      <c r="M93" s="2">
        <v>1212</v>
      </c>
      <c r="N93" s="2">
        <v>1212</v>
      </c>
      <c r="O93" s="2">
        <v>1264.75</v>
      </c>
      <c r="P93" s="2">
        <v>1264.75</v>
      </c>
      <c r="Q93" s="2">
        <v>1264.75</v>
      </c>
      <c r="R93" s="2">
        <v>1264.75</v>
      </c>
      <c r="S93" s="2">
        <v>1264.75</v>
      </c>
    </row>
    <row r="94" spans="1:19" x14ac:dyDescent="0.25">
      <c r="A94" t="s">
        <v>3394</v>
      </c>
      <c r="G94">
        <v>543</v>
      </c>
      <c r="H94">
        <v>543</v>
      </c>
      <c r="I94">
        <v>543</v>
      </c>
      <c r="J94">
        <v>543</v>
      </c>
      <c r="K94">
        <v>543</v>
      </c>
      <c r="L94">
        <v>543</v>
      </c>
      <c r="M94">
        <v>543</v>
      </c>
      <c r="N94">
        <v>543</v>
      </c>
      <c r="O94">
        <v>542</v>
      </c>
      <c r="P94">
        <v>613.4</v>
      </c>
      <c r="Q94">
        <v>613.4</v>
      </c>
      <c r="R94">
        <v>543</v>
      </c>
      <c r="S94">
        <v>543</v>
      </c>
    </row>
    <row r="95" spans="1:19" x14ac:dyDescent="0.25">
      <c r="A95" t="s">
        <v>3395</v>
      </c>
      <c r="G95">
        <v>566</v>
      </c>
      <c r="H95">
        <v>566</v>
      </c>
      <c r="I95">
        <v>566</v>
      </c>
      <c r="J95">
        <v>566</v>
      </c>
      <c r="K95">
        <v>566</v>
      </c>
      <c r="L95">
        <v>566</v>
      </c>
      <c r="M95">
        <v>566</v>
      </c>
      <c r="N95">
        <v>566</v>
      </c>
      <c r="O95">
        <v>561</v>
      </c>
      <c r="P95">
        <v>561</v>
      </c>
      <c r="Q95">
        <v>561</v>
      </c>
      <c r="R95">
        <v>566</v>
      </c>
      <c r="S95">
        <v>566</v>
      </c>
    </row>
    <row r="96" spans="1:19" x14ac:dyDescent="0.25">
      <c r="A96" t="s">
        <v>3396</v>
      </c>
      <c r="G96">
        <v>544</v>
      </c>
      <c r="H96">
        <v>544</v>
      </c>
      <c r="I96">
        <v>544</v>
      </c>
      <c r="J96">
        <v>544</v>
      </c>
      <c r="K96">
        <v>544</v>
      </c>
      <c r="L96">
        <v>544</v>
      </c>
      <c r="M96">
        <v>544</v>
      </c>
      <c r="N96">
        <v>544</v>
      </c>
      <c r="O96">
        <v>538.66999999999996</v>
      </c>
      <c r="P96">
        <v>538.66999999999996</v>
      </c>
      <c r="Q96">
        <v>538.66999999999996</v>
      </c>
      <c r="R96">
        <v>544</v>
      </c>
      <c r="S96">
        <v>544</v>
      </c>
    </row>
    <row r="97" spans="1:19" x14ac:dyDescent="0.25">
      <c r="A97" t="s">
        <v>3397</v>
      </c>
      <c r="G97">
        <v>827</v>
      </c>
      <c r="H97">
        <v>827</v>
      </c>
      <c r="I97">
        <v>827</v>
      </c>
      <c r="J97">
        <v>827</v>
      </c>
      <c r="K97">
        <v>827</v>
      </c>
      <c r="L97">
        <v>827</v>
      </c>
      <c r="M97">
        <v>827</v>
      </c>
      <c r="N97">
        <v>827</v>
      </c>
      <c r="O97">
        <v>827</v>
      </c>
      <c r="P97">
        <v>827</v>
      </c>
      <c r="Q97">
        <v>827</v>
      </c>
      <c r="R97">
        <v>827</v>
      </c>
      <c r="S97">
        <v>827</v>
      </c>
    </row>
    <row r="98" spans="1:19" x14ac:dyDescent="0.25">
      <c r="A98" t="s">
        <v>3398</v>
      </c>
      <c r="G98">
        <v>281</v>
      </c>
      <c r="H98">
        <v>281</v>
      </c>
      <c r="I98">
        <v>281</v>
      </c>
      <c r="J98">
        <v>281</v>
      </c>
      <c r="K98">
        <v>281</v>
      </c>
      <c r="L98">
        <v>281</v>
      </c>
      <c r="M98">
        <v>281</v>
      </c>
      <c r="N98">
        <v>281</v>
      </c>
      <c r="O98">
        <v>280.67</v>
      </c>
      <c r="P98">
        <v>280.67</v>
      </c>
      <c r="Q98">
        <v>280.67</v>
      </c>
      <c r="R98">
        <v>281</v>
      </c>
      <c r="S98">
        <v>281</v>
      </c>
    </row>
    <row r="99" spans="1:19" x14ac:dyDescent="0.25">
      <c r="A99" t="s">
        <v>17</v>
      </c>
    </row>
    <row r="100" spans="1:19" x14ac:dyDescent="0.25">
      <c r="A100" t="s">
        <v>3399</v>
      </c>
    </row>
    <row r="101" spans="1:19" x14ac:dyDescent="0.25">
      <c r="A101" t="s">
        <v>3345</v>
      </c>
      <c r="L101" s="2">
        <v>5462</v>
      </c>
      <c r="M101" s="2">
        <v>4175</v>
      </c>
      <c r="N101" s="2">
        <v>2092</v>
      </c>
    </row>
    <row r="102" spans="1:19" x14ac:dyDescent="0.25">
      <c r="A102" t="s">
        <v>3347</v>
      </c>
      <c r="L102" s="2">
        <v>5462</v>
      </c>
      <c r="M102" s="2">
        <v>4175</v>
      </c>
      <c r="N102" s="2">
        <v>2092</v>
      </c>
    </row>
    <row r="103" spans="1:19" x14ac:dyDescent="0.25">
      <c r="A103" t="s">
        <v>2768</v>
      </c>
      <c r="H103">
        <v>58.4</v>
      </c>
      <c r="I103">
        <v>59.1</v>
      </c>
      <c r="J103">
        <v>60</v>
      </c>
      <c r="K103">
        <v>57.1</v>
      </c>
      <c r="L103">
        <v>61</v>
      </c>
      <c r="M103">
        <v>46.5</v>
      </c>
      <c r="N103">
        <v>23</v>
      </c>
      <c r="O103">
        <v>30.25</v>
      </c>
      <c r="P103">
        <v>31.25</v>
      </c>
      <c r="Q103">
        <v>31.25</v>
      </c>
      <c r="R103">
        <v>25</v>
      </c>
      <c r="S103">
        <v>25</v>
      </c>
    </row>
    <row r="104" spans="1:19" x14ac:dyDescent="0.25">
      <c r="A104" t="s">
        <v>3314</v>
      </c>
    </row>
    <row r="105" spans="1:19" x14ac:dyDescent="0.25">
      <c r="A105" t="s">
        <v>2768</v>
      </c>
      <c r="O105">
        <v>0.5</v>
      </c>
      <c r="P105">
        <v>0.5</v>
      </c>
      <c r="Q105">
        <v>0.5</v>
      </c>
      <c r="R105">
        <v>0.5</v>
      </c>
      <c r="S105">
        <v>0.5</v>
      </c>
    </row>
    <row r="106" spans="1:19" x14ac:dyDescent="0.25">
      <c r="A106" t="s">
        <v>3400</v>
      </c>
    </row>
    <row r="107" spans="1:19" x14ac:dyDescent="0.25">
      <c r="A107" t="s">
        <v>3401</v>
      </c>
      <c r="O107">
        <v>32.51</v>
      </c>
      <c r="P107">
        <v>32.51</v>
      </c>
      <c r="Q107">
        <v>32.51</v>
      </c>
      <c r="R107">
        <v>33.340000000000003</v>
      </c>
      <c r="S107">
        <v>33.340000000000003</v>
      </c>
    </row>
    <row r="108" spans="1:19" x14ac:dyDescent="0.25">
      <c r="A108" t="s">
        <v>3348</v>
      </c>
      <c r="G108" s="2">
        <v>1185</v>
      </c>
      <c r="H108" s="2">
        <v>1185</v>
      </c>
      <c r="I108" s="2">
        <v>1485</v>
      </c>
      <c r="J108" s="2">
        <v>1530</v>
      </c>
      <c r="K108" s="2">
        <v>1530</v>
      </c>
      <c r="L108" s="2">
        <v>1880</v>
      </c>
      <c r="M108" s="2">
        <v>1880</v>
      </c>
      <c r="N108" s="2">
        <v>1529</v>
      </c>
      <c r="O108" s="2">
        <v>1554</v>
      </c>
      <c r="P108" s="2">
        <v>1554</v>
      </c>
      <c r="Q108" s="2">
        <v>1554</v>
      </c>
      <c r="R108" s="2">
        <v>1579</v>
      </c>
      <c r="S108" s="2">
        <v>1579</v>
      </c>
    </row>
    <row r="109" spans="1:19" x14ac:dyDescent="0.25">
      <c r="A109" t="s">
        <v>3347</v>
      </c>
      <c r="G109" s="2">
        <v>1020</v>
      </c>
      <c r="H109" s="2">
        <v>1020</v>
      </c>
      <c r="I109" s="2">
        <v>1320</v>
      </c>
      <c r="J109" s="2">
        <v>1020</v>
      </c>
      <c r="K109" s="2">
        <v>1020</v>
      </c>
      <c r="L109" s="2">
        <v>1020</v>
      </c>
      <c r="M109" s="2">
        <v>1020</v>
      </c>
      <c r="N109" s="2">
        <v>1020</v>
      </c>
      <c r="O109" s="2">
        <v>1020</v>
      </c>
      <c r="P109" s="2">
        <v>1020</v>
      </c>
      <c r="Q109" s="2">
        <v>1020</v>
      </c>
      <c r="R109" s="2">
        <v>1020</v>
      </c>
      <c r="S109" s="2">
        <v>1021</v>
      </c>
    </row>
    <row r="110" spans="1:19" x14ac:dyDescent="0.25">
      <c r="A110" t="s">
        <v>3402</v>
      </c>
      <c r="G110" s="2">
        <v>1020</v>
      </c>
      <c r="H110" s="2">
        <v>1020</v>
      </c>
      <c r="I110" s="2">
        <v>1320</v>
      </c>
      <c r="J110" s="2">
        <v>1020</v>
      </c>
      <c r="K110" s="2">
        <v>1020</v>
      </c>
      <c r="L110" s="2">
        <v>1020</v>
      </c>
      <c r="M110" s="2">
        <v>1020</v>
      </c>
      <c r="N110" s="2">
        <v>1020</v>
      </c>
      <c r="O110" s="2">
        <v>1020</v>
      </c>
      <c r="P110" s="2">
        <v>1020</v>
      </c>
      <c r="Q110" s="2">
        <v>1020</v>
      </c>
      <c r="R110" s="2">
        <v>1020</v>
      </c>
      <c r="S110" s="2">
        <v>1020</v>
      </c>
    </row>
    <row r="111" spans="1:19" x14ac:dyDescent="0.25">
      <c r="A111" t="s">
        <v>3314</v>
      </c>
      <c r="G111">
        <v>165</v>
      </c>
      <c r="H111">
        <v>165</v>
      </c>
      <c r="I111">
        <v>165</v>
      </c>
      <c r="J111">
        <v>110</v>
      </c>
      <c r="K111">
        <v>110</v>
      </c>
      <c r="L111">
        <v>110</v>
      </c>
      <c r="M111">
        <v>110</v>
      </c>
      <c r="N111">
        <v>159</v>
      </c>
      <c r="O111">
        <v>159</v>
      </c>
      <c r="P111">
        <v>159</v>
      </c>
      <c r="Q111">
        <v>159</v>
      </c>
      <c r="R111">
        <v>159</v>
      </c>
      <c r="S111">
        <v>159</v>
      </c>
    </row>
    <row r="112" spans="1:19" x14ac:dyDescent="0.25">
      <c r="A112" t="s">
        <v>3403</v>
      </c>
      <c r="G112">
        <v>165</v>
      </c>
      <c r="H112">
        <v>165</v>
      </c>
      <c r="I112">
        <v>165</v>
      </c>
      <c r="J112">
        <v>110</v>
      </c>
      <c r="K112">
        <v>110</v>
      </c>
      <c r="L112">
        <v>110</v>
      </c>
      <c r="M112">
        <v>110</v>
      </c>
      <c r="N112">
        <v>110</v>
      </c>
    </row>
    <row r="113" spans="1:19" x14ac:dyDescent="0.25">
      <c r="A113" t="s">
        <v>3400</v>
      </c>
      <c r="J113">
        <v>400</v>
      </c>
      <c r="K113">
        <v>400</v>
      </c>
      <c r="L113">
        <v>750</v>
      </c>
      <c r="M113">
        <v>750</v>
      </c>
      <c r="N113">
        <v>350</v>
      </c>
      <c r="O113">
        <v>471.5</v>
      </c>
      <c r="P113">
        <v>471.5</v>
      </c>
      <c r="Q113">
        <v>471.5</v>
      </c>
      <c r="R113">
        <v>400</v>
      </c>
      <c r="S113">
        <v>400</v>
      </c>
    </row>
    <row r="114" spans="1:19" x14ac:dyDescent="0.25">
      <c r="A114" t="s">
        <v>3404</v>
      </c>
      <c r="J114">
        <v>400</v>
      </c>
      <c r="K114">
        <v>400</v>
      </c>
      <c r="L114">
        <v>750</v>
      </c>
      <c r="M114">
        <v>750</v>
      </c>
      <c r="N114">
        <v>350</v>
      </c>
      <c r="O114">
        <v>450</v>
      </c>
      <c r="P114">
        <v>450</v>
      </c>
      <c r="Q114">
        <v>450</v>
      </c>
    </row>
    <row r="115" spans="1:19" x14ac:dyDescent="0.25">
      <c r="A115" t="s">
        <v>17</v>
      </c>
    </row>
    <row r="116" spans="1:19" x14ac:dyDescent="0.25">
      <c r="A116" t="s">
        <v>3405</v>
      </c>
    </row>
    <row r="117" spans="1:19" x14ac:dyDescent="0.25">
      <c r="A117" t="s">
        <v>3345</v>
      </c>
      <c r="L117" s="2">
        <v>16572</v>
      </c>
    </row>
    <row r="118" spans="1:19" x14ac:dyDescent="0.25">
      <c r="A118" t="s">
        <v>3406</v>
      </c>
      <c r="O118" s="2">
        <v>2073.6</v>
      </c>
      <c r="P118" s="2">
        <v>2073.6</v>
      </c>
      <c r="Q118" s="2">
        <v>2073.6</v>
      </c>
      <c r="R118" s="2">
        <v>2073.6</v>
      </c>
      <c r="S118" s="2">
        <v>2073.6</v>
      </c>
    </row>
    <row r="119" spans="1:19" x14ac:dyDescent="0.25">
      <c r="A119" t="s">
        <v>2768</v>
      </c>
      <c r="O119">
        <v>48.86</v>
      </c>
      <c r="P119">
        <v>53.25</v>
      </c>
      <c r="Q119">
        <v>53.25</v>
      </c>
      <c r="R119">
        <v>53.25</v>
      </c>
      <c r="S119">
        <v>53.25</v>
      </c>
    </row>
    <row r="120" spans="1:19" x14ac:dyDescent="0.25">
      <c r="A120" t="s">
        <v>3407</v>
      </c>
      <c r="O120" s="2">
        <v>1710</v>
      </c>
      <c r="P120" s="2">
        <v>1710</v>
      </c>
      <c r="Q120" s="2">
        <v>1710</v>
      </c>
      <c r="R120" s="2">
        <v>1710</v>
      </c>
      <c r="S120" s="2">
        <v>1710</v>
      </c>
    </row>
    <row r="121" spans="1:19" x14ac:dyDescent="0.25">
      <c r="A121" t="s">
        <v>2768</v>
      </c>
      <c r="O121">
        <v>47.93</v>
      </c>
      <c r="P121">
        <v>47.43</v>
      </c>
      <c r="Q121">
        <v>69.09</v>
      </c>
    </row>
    <row r="122" spans="1:19" x14ac:dyDescent="0.25">
      <c r="A122" t="s">
        <v>3408</v>
      </c>
    </row>
    <row r="123" spans="1:19" x14ac:dyDescent="0.25">
      <c r="A123" t="s">
        <v>2768</v>
      </c>
      <c r="O123">
        <v>42.95</v>
      </c>
      <c r="P123">
        <v>42.95</v>
      </c>
      <c r="Q123">
        <v>42.95</v>
      </c>
      <c r="R123">
        <v>42.95</v>
      </c>
      <c r="S123">
        <v>42.95</v>
      </c>
    </row>
    <row r="124" spans="1:19" x14ac:dyDescent="0.25">
      <c r="A124" t="s">
        <v>3348</v>
      </c>
      <c r="G124" s="2">
        <v>7604</v>
      </c>
      <c r="H124" s="2">
        <v>5536</v>
      </c>
      <c r="I124" s="2">
        <v>5571</v>
      </c>
      <c r="J124" s="2">
        <v>6221</v>
      </c>
      <c r="K124" s="2">
        <v>4548</v>
      </c>
      <c r="L124" s="2">
        <v>4613</v>
      </c>
      <c r="M124" s="2">
        <v>4578</v>
      </c>
      <c r="N124" s="2">
        <v>3928</v>
      </c>
    </row>
    <row r="125" spans="1:19" x14ac:dyDescent="0.25">
      <c r="A125" t="s">
        <v>3409</v>
      </c>
      <c r="G125" s="2">
        <v>3330</v>
      </c>
      <c r="H125" s="2">
        <v>2602</v>
      </c>
      <c r="I125" s="2">
        <v>2637</v>
      </c>
      <c r="J125" s="2">
        <v>2637</v>
      </c>
      <c r="K125" s="2">
        <v>1835</v>
      </c>
      <c r="L125" s="2">
        <v>1835</v>
      </c>
      <c r="M125" s="2">
        <v>1800</v>
      </c>
      <c r="N125" s="2">
        <v>1800</v>
      </c>
      <c r="O125" s="2">
        <v>1207.5</v>
      </c>
      <c r="P125" s="2">
        <v>1207.5</v>
      </c>
      <c r="Q125" s="2">
        <v>1800</v>
      </c>
      <c r="R125" s="2">
        <v>1800</v>
      </c>
      <c r="S125">
        <v>901</v>
      </c>
    </row>
    <row r="126" spans="1:19" x14ac:dyDescent="0.25">
      <c r="A126" t="s">
        <v>3410</v>
      </c>
      <c r="G126" s="2">
        <v>1185</v>
      </c>
      <c r="H126" s="2">
        <v>1185</v>
      </c>
      <c r="I126" s="2">
        <v>1185</v>
      </c>
      <c r="J126" s="2">
        <v>1185</v>
      </c>
      <c r="K126" s="2">
        <v>1185</v>
      </c>
      <c r="L126" s="2">
        <v>1185</v>
      </c>
      <c r="M126" s="2">
        <v>1185</v>
      </c>
      <c r="N126" s="2">
        <v>1185</v>
      </c>
      <c r="O126" s="2">
        <v>1182</v>
      </c>
      <c r="P126" s="2">
        <v>1182</v>
      </c>
      <c r="Q126" s="2">
        <v>1182</v>
      </c>
      <c r="R126" s="2">
        <v>1180.5</v>
      </c>
      <c r="S126">
        <v>787.33</v>
      </c>
    </row>
    <row r="127" spans="1:19" x14ac:dyDescent="0.25">
      <c r="A127" t="s">
        <v>3411</v>
      </c>
      <c r="G127">
        <v>615</v>
      </c>
      <c r="H127">
        <v>615</v>
      </c>
      <c r="I127">
        <v>615</v>
      </c>
      <c r="J127">
        <v>615</v>
      </c>
      <c r="K127">
        <v>615</v>
      </c>
      <c r="L127">
        <v>615</v>
      </c>
      <c r="M127">
        <v>615</v>
      </c>
      <c r="N127">
        <v>615</v>
      </c>
      <c r="O127">
        <v>615</v>
      </c>
      <c r="P127">
        <v>615</v>
      </c>
      <c r="Q127">
        <v>615</v>
      </c>
      <c r="R127">
        <v>615</v>
      </c>
      <c r="S127">
        <v>308</v>
      </c>
    </row>
    <row r="128" spans="1:19" x14ac:dyDescent="0.25">
      <c r="A128" t="s">
        <v>3407</v>
      </c>
      <c r="G128" s="2">
        <v>4053</v>
      </c>
      <c r="H128" s="2">
        <v>2713</v>
      </c>
      <c r="I128" s="2">
        <v>2713</v>
      </c>
      <c r="J128" s="2">
        <v>2713</v>
      </c>
      <c r="K128" s="2">
        <v>2713</v>
      </c>
      <c r="L128" s="2">
        <v>2128</v>
      </c>
      <c r="M128" s="2">
        <v>2128</v>
      </c>
      <c r="N128" s="2">
        <v>2128</v>
      </c>
      <c r="O128" s="2">
        <v>2131.25</v>
      </c>
      <c r="P128" s="2">
        <v>2131.25</v>
      </c>
      <c r="Q128" s="2">
        <v>1854.25</v>
      </c>
      <c r="R128" s="2">
        <v>1854.25</v>
      </c>
      <c r="S128" s="2">
        <v>1854.5</v>
      </c>
    </row>
    <row r="129" spans="1:19" x14ac:dyDescent="0.25">
      <c r="A129" t="s">
        <v>3412</v>
      </c>
      <c r="G129" s="2">
        <v>1108</v>
      </c>
      <c r="H129" s="2">
        <v>1108</v>
      </c>
      <c r="I129" s="2">
        <v>1108</v>
      </c>
      <c r="J129" s="2">
        <v>1108</v>
      </c>
      <c r="K129" s="2">
        <v>1108</v>
      </c>
      <c r="L129" s="2">
        <v>1108</v>
      </c>
      <c r="M129" s="2">
        <v>1108</v>
      </c>
      <c r="N129" s="2">
        <v>1108</v>
      </c>
      <c r="O129" s="2">
        <v>1108</v>
      </c>
      <c r="P129" s="2">
        <v>1108</v>
      </c>
      <c r="Q129" s="2">
        <v>1108</v>
      </c>
      <c r="R129" s="2">
        <v>1108</v>
      </c>
      <c r="S129">
        <v>739</v>
      </c>
    </row>
    <row r="130" spans="1:19" x14ac:dyDescent="0.25">
      <c r="A130" t="s">
        <v>3413</v>
      </c>
      <c r="G130" s="2">
        <v>1020</v>
      </c>
      <c r="H130" s="2">
        <v>1020</v>
      </c>
      <c r="I130" s="2">
        <v>1020</v>
      </c>
      <c r="J130" s="2">
        <v>1020</v>
      </c>
      <c r="K130" s="2">
        <v>1020</v>
      </c>
      <c r="L130" s="2">
        <v>1020</v>
      </c>
      <c r="M130" s="2">
        <v>1020</v>
      </c>
      <c r="N130" s="2">
        <v>1020</v>
      </c>
      <c r="O130" s="2">
        <v>1020</v>
      </c>
      <c r="P130" s="2">
        <v>1020</v>
      </c>
      <c r="Q130" s="2">
        <v>1020</v>
      </c>
      <c r="R130" s="2">
        <v>1020</v>
      </c>
      <c r="S130" s="2">
        <v>1020</v>
      </c>
    </row>
    <row r="131" spans="1:19" x14ac:dyDescent="0.25">
      <c r="A131" t="s">
        <v>3408</v>
      </c>
      <c r="L131">
        <v>650</v>
      </c>
      <c r="M131">
        <v>650</v>
      </c>
      <c r="N131">
        <v>650</v>
      </c>
      <c r="O131">
        <v>650</v>
      </c>
      <c r="P131">
        <v>650</v>
      </c>
      <c r="Q131">
        <v>650</v>
      </c>
      <c r="R131">
        <v>650</v>
      </c>
      <c r="S131">
        <v>650</v>
      </c>
    </row>
    <row r="132" spans="1:19" x14ac:dyDescent="0.25">
      <c r="A132" t="s">
        <v>17</v>
      </c>
    </row>
    <row r="133" spans="1:19" x14ac:dyDescent="0.25">
      <c r="A133" t="s">
        <v>3414</v>
      </c>
    </row>
    <row r="134" spans="1:19" x14ac:dyDescent="0.25">
      <c r="A134" t="s">
        <v>3415</v>
      </c>
    </row>
    <row r="135" spans="1:19" x14ac:dyDescent="0.25">
      <c r="A135" t="s">
        <v>3416</v>
      </c>
      <c r="O135">
        <v>92.5</v>
      </c>
      <c r="P135">
        <v>75.83</v>
      </c>
      <c r="Q135">
        <v>100</v>
      </c>
    </row>
    <row r="136" spans="1:19" x14ac:dyDescent="0.25">
      <c r="A136" t="s">
        <v>3417</v>
      </c>
    </row>
    <row r="137" spans="1:19" x14ac:dyDescent="0.25">
      <c r="A137" t="s">
        <v>2790</v>
      </c>
      <c r="O137">
        <v>40.51</v>
      </c>
      <c r="P137">
        <v>39.56</v>
      </c>
      <c r="Q137">
        <v>43.4</v>
      </c>
      <c r="R137">
        <v>26.16</v>
      </c>
      <c r="S137">
        <v>26.16</v>
      </c>
    </row>
    <row r="138" spans="1:19" x14ac:dyDescent="0.25">
      <c r="A138" t="s">
        <v>3418</v>
      </c>
      <c r="O138">
        <v>35.67</v>
      </c>
      <c r="P138">
        <v>34.67</v>
      </c>
      <c r="Q138">
        <v>37</v>
      </c>
      <c r="R138">
        <v>27.5</v>
      </c>
      <c r="S138">
        <v>27.5</v>
      </c>
    </row>
    <row r="139" spans="1:19" x14ac:dyDescent="0.25">
      <c r="A139" t="s">
        <v>3419</v>
      </c>
    </row>
    <row r="140" spans="1:19" x14ac:dyDescent="0.25">
      <c r="A140" t="s">
        <v>3416</v>
      </c>
      <c r="O140">
        <v>95</v>
      </c>
      <c r="P140">
        <v>82.89</v>
      </c>
      <c r="Q140">
        <v>55</v>
      </c>
    </row>
    <row r="141" spans="1:19" x14ac:dyDescent="0.25">
      <c r="A141" t="s">
        <v>3417</v>
      </c>
    </row>
    <row r="142" spans="1:19" x14ac:dyDescent="0.25">
      <c r="A142" t="s">
        <v>2790</v>
      </c>
      <c r="O142">
        <v>80.290000000000006</v>
      </c>
      <c r="P142">
        <v>79.11</v>
      </c>
      <c r="Q142">
        <v>75.91</v>
      </c>
    </row>
    <row r="143" spans="1:19" x14ac:dyDescent="0.25">
      <c r="A143" t="s">
        <v>3420</v>
      </c>
      <c r="O143">
        <v>28.45</v>
      </c>
      <c r="P143">
        <v>30.34</v>
      </c>
      <c r="Q143">
        <v>31.38</v>
      </c>
      <c r="R143">
        <v>19.78</v>
      </c>
      <c r="S143">
        <v>19.78</v>
      </c>
    </row>
    <row r="144" spans="1:19" x14ac:dyDescent="0.25">
      <c r="A144" t="s">
        <v>3421</v>
      </c>
      <c r="O144">
        <v>13.82</v>
      </c>
      <c r="P144">
        <v>-17.190000000000001</v>
      </c>
    </row>
    <row r="145" spans="1:21" x14ac:dyDescent="0.25">
      <c r="A145" t="s">
        <v>3416</v>
      </c>
      <c r="O145">
        <v>92.5</v>
      </c>
      <c r="P145">
        <v>75.83</v>
      </c>
      <c r="Q145">
        <v>75</v>
      </c>
    </row>
    <row r="146" spans="1:21" x14ac:dyDescent="0.25">
      <c r="A146" t="s">
        <v>3417</v>
      </c>
      <c r="L146" s="2">
        <v>16572</v>
      </c>
    </row>
    <row r="147" spans="1:21" x14ac:dyDescent="0.25">
      <c r="A147" t="s">
        <v>2790</v>
      </c>
      <c r="O147">
        <v>33.22</v>
      </c>
      <c r="P147">
        <v>36.31</v>
      </c>
      <c r="Q147">
        <v>38.06</v>
      </c>
      <c r="R147">
        <v>32.33</v>
      </c>
      <c r="S147">
        <v>32.25</v>
      </c>
    </row>
    <row r="148" spans="1:21" x14ac:dyDescent="0.25">
      <c r="A148" t="s">
        <v>3418</v>
      </c>
      <c r="O148">
        <v>24.79</v>
      </c>
      <c r="P148">
        <v>27.87</v>
      </c>
      <c r="Q148">
        <v>30.44</v>
      </c>
      <c r="R148">
        <v>34.07</v>
      </c>
      <c r="S148">
        <v>34.07</v>
      </c>
    </row>
    <row r="149" spans="1:21" x14ac:dyDescent="0.25">
      <c r="A149" t="s">
        <v>3422</v>
      </c>
    </row>
    <row r="150" spans="1:21" x14ac:dyDescent="0.25">
      <c r="A150" t="s">
        <v>3416</v>
      </c>
      <c r="O150">
        <v>94.51</v>
      </c>
      <c r="P150">
        <v>91.01</v>
      </c>
      <c r="Q150">
        <v>89.87</v>
      </c>
      <c r="R150">
        <v>87.27</v>
      </c>
      <c r="S150">
        <v>87.27</v>
      </c>
      <c r="T150">
        <v>100</v>
      </c>
      <c r="U150">
        <v>100</v>
      </c>
    </row>
    <row r="151" spans="1:21" x14ac:dyDescent="0.25">
      <c r="A151" t="s">
        <v>3417</v>
      </c>
      <c r="L151" s="2">
        <v>5462</v>
      </c>
      <c r="M151" s="2">
        <v>4175</v>
      </c>
      <c r="N151" s="2">
        <v>2092</v>
      </c>
    </row>
    <row r="152" spans="1:21" x14ac:dyDescent="0.25">
      <c r="A152" t="s">
        <v>2790</v>
      </c>
      <c r="O152">
        <v>40.26</v>
      </c>
      <c r="P152">
        <v>41.77</v>
      </c>
      <c r="Q152">
        <v>43.3</v>
      </c>
      <c r="R152">
        <v>44.77</v>
      </c>
      <c r="S152">
        <v>45.11</v>
      </c>
    </row>
    <row r="153" spans="1:21" x14ac:dyDescent="0.25">
      <c r="A153" t="s">
        <v>3418</v>
      </c>
      <c r="O153">
        <v>77.5</v>
      </c>
      <c r="P153">
        <v>78</v>
      </c>
      <c r="Q153">
        <v>78</v>
      </c>
      <c r="R153">
        <v>98</v>
      </c>
      <c r="S153">
        <v>98</v>
      </c>
    </row>
    <row r="154" spans="1:21" x14ac:dyDescent="0.25">
      <c r="A154" t="s">
        <v>3423</v>
      </c>
      <c r="O154">
        <v>172.16</v>
      </c>
      <c r="P154">
        <v>79.510000000000005</v>
      </c>
      <c r="Q154">
        <v>2.99</v>
      </c>
    </row>
    <row r="155" spans="1:21" x14ac:dyDescent="0.25">
      <c r="A155" t="s">
        <v>3416</v>
      </c>
      <c r="O155">
        <v>90.67</v>
      </c>
      <c r="P155">
        <v>72.58</v>
      </c>
      <c r="Q155">
        <v>67.25</v>
      </c>
      <c r="R155">
        <v>80</v>
      </c>
      <c r="S155">
        <v>80</v>
      </c>
    </row>
    <row r="156" spans="1:21" x14ac:dyDescent="0.25">
      <c r="A156" t="s">
        <v>3417</v>
      </c>
      <c r="L156" s="2">
        <v>85422</v>
      </c>
      <c r="M156" s="2">
        <v>88329</v>
      </c>
      <c r="N156" s="2">
        <v>91286</v>
      </c>
      <c r="O156" s="2">
        <v>91779.82</v>
      </c>
      <c r="P156" s="2">
        <v>95101.19</v>
      </c>
      <c r="Q156" s="2">
        <v>85500.47</v>
      </c>
    </row>
    <row r="157" spans="1:21" x14ac:dyDescent="0.25">
      <c r="A157" t="s">
        <v>2790</v>
      </c>
      <c r="O157">
        <v>32.82</v>
      </c>
      <c r="P157">
        <v>24.98</v>
      </c>
      <c r="Q157">
        <v>26.85</v>
      </c>
      <c r="R157">
        <v>29.13</v>
      </c>
      <c r="S157">
        <v>31.37</v>
      </c>
    </row>
    <row r="158" spans="1:21" x14ac:dyDescent="0.25">
      <c r="A158" t="s">
        <v>3418</v>
      </c>
      <c r="O158">
        <v>39.19</v>
      </c>
      <c r="P158">
        <v>38.950000000000003</v>
      </c>
      <c r="Q158">
        <v>37.78</v>
      </c>
      <c r="R158">
        <v>31.8</v>
      </c>
      <c r="S158">
        <v>31.8</v>
      </c>
    </row>
    <row r="159" spans="1:21" x14ac:dyDescent="0.25">
      <c r="A159" t="s">
        <v>17</v>
      </c>
    </row>
    <row r="160" spans="1:21" x14ac:dyDescent="0.25">
      <c r="A160" t="s">
        <v>58</v>
      </c>
    </row>
    <row r="161" spans="1:19" x14ac:dyDescent="0.25">
      <c r="A161" t="s">
        <v>1993</v>
      </c>
    </row>
    <row r="162" spans="1:19" x14ac:dyDescent="0.25">
      <c r="A162" t="s">
        <v>60</v>
      </c>
      <c r="F162" s="2">
        <v>4058</v>
      </c>
      <c r="G162" s="2">
        <v>5597</v>
      </c>
      <c r="H162" s="2">
        <v>6872</v>
      </c>
      <c r="I162" s="2">
        <v>8270</v>
      </c>
      <c r="J162" s="2">
        <v>7871</v>
      </c>
      <c r="K162" s="2">
        <v>9455</v>
      </c>
      <c r="L162" s="2">
        <v>10572</v>
      </c>
      <c r="M162" s="2">
        <v>12797</v>
      </c>
      <c r="N162" s="2">
        <v>14340</v>
      </c>
      <c r="O162" s="2">
        <v>13983.08</v>
      </c>
      <c r="P162" s="2">
        <v>14815.45</v>
      </c>
      <c r="Q162" s="2">
        <v>15752.17</v>
      </c>
      <c r="R162" s="2">
        <v>16823.05</v>
      </c>
      <c r="S162" s="2">
        <v>16911.57</v>
      </c>
    </row>
    <row r="163" spans="1:19" x14ac:dyDescent="0.25">
      <c r="A163" t="s">
        <v>3424</v>
      </c>
      <c r="H163" s="2">
        <v>4983</v>
      </c>
      <c r="I163" s="2">
        <v>5813</v>
      </c>
      <c r="J163" s="2">
        <v>5733</v>
      </c>
      <c r="K163" s="2">
        <v>6971</v>
      </c>
      <c r="L163" s="2">
        <v>7674</v>
      </c>
      <c r="M163" s="2">
        <v>8064</v>
      </c>
      <c r="N163" s="2">
        <v>8966</v>
      </c>
      <c r="O163" s="2">
        <v>9137.5499999999993</v>
      </c>
      <c r="P163" s="2">
        <v>9390.15</v>
      </c>
      <c r="Q163" s="2">
        <v>9669.98</v>
      </c>
      <c r="R163" s="2">
        <v>10673.59</v>
      </c>
      <c r="S163" s="2">
        <v>10904.69</v>
      </c>
    </row>
    <row r="164" spans="1:19" x14ac:dyDescent="0.25">
      <c r="A164" t="s">
        <v>3425</v>
      </c>
      <c r="F164" s="2">
        <v>39032</v>
      </c>
      <c r="G164" s="2">
        <v>42992</v>
      </c>
      <c r="H164" s="2">
        <v>47345</v>
      </c>
      <c r="I164" s="2">
        <v>54075</v>
      </c>
      <c r="J164" s="2">
        <v>57033</v>
      </c>
      <c r="K164" s="2">
        <v>65207</v>
      </c>
      <c r="L164" s="2">
        <v>70275</v>
      </c>
      <c r="M164" s="2">
        <v>74295</v>
      </c>
      <c r="N164" s="2">
        <v>79165</v>
      </c>
      <c r="O164" s="2">
        <v>83914.9</v>
      </c>
      <c r="P164" s="2">
        <v>85561.53</v>
      </c>
      <c r="Q164" s="2">
        <v>87248.85</v>
      </c>
      <c r="R164" s="2">
        <v>88235.85</v>
      </c>
      <c r="S164" s="2">
        <v>90882.92</v>
      </c>
    </row>
    <row r="165" spans="1:19" x14ac:dyDescent="0.25">
      <c r="A165" t="s">
        <v>3426</v>
      </c>
    </row>
    <row r="166" spans="1:19" x14ac:dyDescent="0.25">
      <c r="A166" t="s">
        <v>3427</v>
      </c>
      <c r="H166" s="2">
        <v>1818</v>
      </c>
      <c r="I166" s="2">
        <v>2406</v>
      </c>
      <c r="J166" s="2">
        <v>2255</v>
      </c>
      <c r="K166" s="2">
        <v>2139</v>
      </c>
      <c r="L166" s="2">
        <v>1642</v>
      </c>
      <c r="M166" s="2">
        <v>3595</v>
      </c>
      <c r="N166" s="2">
        <v>4059</v>
      </c>
      <c r="O166" s="2">
        <v>4851.55</v>
      </c>
      <c r="P166" s="2">
        <v>5239.7299999999996</v>
      </c>
      <c r="Q166" s="2">
        <v>5381.32</v>
      </c>
      <c r="R166" s="2">
        <v>5896.12</v>
      </c>
      <c r="S166" s="2">
        <v>5956.52</v>
      </c>
    </row>
    <row r="167" spans="1:19" x14ac:dyDescent="0.25">
      <c r="A167" t="s">
        <v>3425</v>
      </c>
      <c r="F167">
        <v>0</v>
      </c>
      <c r="G167" s="2">
        <v>20739</v>
      </c>
      <c r="H167" s="2">
        <v>30255</v>
      </c>
      <c r="I167" s="2">
        <v>36274</v>
      </c>
      <c r="J167" s="2">
        <v>36070</v>
      </c>
      <c r="K167" s="2">
        <v>32882</v>
      </c>
      <c r="L167" s="2">
        <v>27147</v>
      </c>
      <c r="M167" s="2">
        <v>59066</v>
      </c>
      <c r="N167" s="2">
        <v>59974</v>
      </c>
      <c r="O167" s="2">
        <v>60573.74</v>
      </c>
      <c r="P167" s="2">
        <v>61179.48</v>
      </c>
      <c r="Q167" s="2">
        <v>61791.27</v>
      </c>
      <c r="R167" s="2">
        <v>62409.18</v>
      </c>
      <c r="S167" s="2">
        <v>63033.279999999999</v>
      </c>
    </row>
    <row r="168" spans="1:19" x14ac:dyDescent="0.25">
      <c r="A168" t="s">
        <v>3426</v>
      </c>
      <c r="O168">
        <v>67.680000000000007</v>
      </c>
      <c r="P168">
        <v>67.680000000000007</v>
      </c>
      <c r="Q168">
        <v>67.680000000000007</v>
      </c>
    </row>
    <row r="169" spans="1:19" x14ac:dyDescent="0.25">
      <c r="A169" t="s">
        <v>3428</v>
      </c>
      <c r="H169">
        <v>86</v>
      </c>
      <c r="I169">
        <v>56</v>
      </c>
      <c r="J169">
        <v>-115</v>
      </c>
      <c r="K169">
        <v>345</v>
      </c>
      <c r="L169" s="2">
        <v>1257</v>
      </c>
      <c r="O169">
        <v>884.33</v>
      </c>
      <c r="P169" s="2">
        <v>1315</v>
      </c>
      <c r="Q169" s="2">
        <v>1315</v>
      </c>
    </row>
    <row r="170" spans="1:19" x14ac:dyDescent="0.25">
      <c r="A170" t="s">
        <v>3429</v>
      </c>
      <c r="I170" s="2">
        <v>90349</v>
      </c>
      <c r="J170" s="2">
        <v>93103</v>
      </c>
      <c r="K170" s="2">
        <v>98089</v>
      </c>
      <c r="L170" s="2">
        <v>97422</v>
      </c>
      <c r="M170" s="2">
        <v>133361</v>
      </c>
      <c r="N170" s="2">
        <v>139139</v>
      </c>
      <c r="O170" s="2">
        <v>132482.84</v>
      </c>
      <c r="P170" s="2">
        <v>130314.56</v>
      </c>
      <c r="Q170" s="2">
        <v>133239.34</v>
      </c>
      <c r="R170" s="2">
        <v>143667.67000000001</v>
      </c>
      <c r="S170" s="2">
        <v>145822.69</v>
      </c>
    </row>
    <row r="171" spans="1:19" x14ac:dyDescent="0.25">
      <c r="A171" t="s">
        <v>3257</v>
      </c>
      <c r="E171">
        <v>-515</v>
      </c>
      <c r="F171" s="2">
        <v>2733</v>
      </c>
      <c r="G171" s="2">
        <v>4126</v>
      </c>
      <c r="H171" s="2">
        <v>5816</v>
      </c>
      <c r="I171" s="2">
        <v>6857</v>
      </c>
      <c r="J171" s="2">
        <v>4568</v>
      </c>
      <c r="K171" s="2">
        <v>7169</v>
      </c>
      <c r="L171" s="2">
        <v>9046</v>
      </c>
      <c r="M171" s="2">
        <v>10276</v>
      </c>
      <c r="N171" s="2">
        <v>11686</v>
      </c>
      <c r="O171" s="2">
        <v>13357.01</v>
      </c>
      <c r="P171" s="2">
        <v>13186.63</v>
      </c>
      <c r="Q171" s="2">
        <v>13697.17</v>
      </c>
      <c r="R171" s="2">
        <v>16521.84</v>
      </c>
      <c r="S171" s="2">
        <v>17103.79</v>
      </c>
    </row>
    <row r="172" spans="1:19" x14ac:dyDescent="0.25">
      <c r="A172" t="s">
        <v>3430</v>
      </c>
      <c r="F172">
        <v>14</v>
      </c>
      <c r="G172">
        <v>39</v>
      </c>
      <c r="H172">
        <v>71</v>
      </c>
      <c r="I172">
        <v>123</v>
      </c>
      <c r="J172">
        <v>127</v>
      </c>
      <c r="K172">
        <v>143</v>
      </c>
      <c r="L172">
        <v>123</v>
      </c>
      <c r="M172">
        <v>159</v>
      </c>
      <c r="N172">
        <v>168</v>
      </c>
      <c r="O172">
        <v>166.38</v>
      </c>
      <c r="P172">
        <v>169.13</v>
      </c>
      <c r="Q172">
        <v>174.03</v>
      </c>
      <c r="R172">
        <v>183.92</v>
      </c>
      <c r="S172">
        <v>190.09</v>
      </c>
    </row>
    <row r="173" spans="1:19" x14ac:dyDescent="0.25">
      <c r="A173" t="s">
        <v>2259</v>
      </c>
      <c r="E173">
        <v>130</v>
      </c>
      <c r="F173">
        <v>420</v>
      </c>
      <c r="G173">
        <v>424</v>
      </c>
      <c r="H173">
        <v>538</v>
      </c>
      <c r="I173">
        <v>675</v>
      </c>
      <c r="J173">
        <v>718</v>
      </c>
      <c r="K173">
        <v>826</v>
      </c>
      <c r="L173">
        <v>858</v>
      </c>
      <c r="M173">
        <v>977</v>
      </c>
      <c r="N173" s="2">
        <v>1035</v>
      </c>
      <c r="O173">
        <v>966.46</v>
      </c>
      <c r="P173">
        <v>975.57</v>
      </c>
      <c r="Q173">
        <v>992.11</v>
      </c>
      <c r="R173">
        <v>975.23</v>
      </c>
      <c r="S173">
        <v>996.03</v>
      </c>
    </row>
    <row r="174" spans="1:19" x14ac:dyDescent="0.25">
      <c r="A174" t="s">
        <v>2101</v>
      </c>
      <c r="F174">
        <v>779</v>
      </c>
      <c r="G174">
        <v>845</v>
      </c>
      <c r="H174">
        <v>807</v>
      </c>
      <c r="I174">
        <v>983</v>
      </c>
      <c r="J174" s="2">
        <v>1312</v>
      </c>
      <c r="K174">
        <v>923</v>
      </c>
      <c r="L174" s="2">
        <v>1105</v>
      </c>
      <c r="M174" s="2">
        <v>1463</v>
      </c>
      <c r="N174" s="2">
        <v>1622</v>
      </c>
      <c r="O174" s="2">
        <v>1538.01</v>
      </c>
      <c r="P174" s="2">
        <v>1785.4</v>
      </c>
      <c r="Q174" s="2">
        <v>1819.76</v>
      </c>
      <c r="R174" s="2">
        <v>2004.75</v>
      </c>
      <c r="S174" s="2">
        <v>2097.9299999999998</v>
      </c>
    </row>
    <row r="175" spans="1:19" x14ac:dyDescent="0.25">
      <c r="A175" t="s">
        <v>190</v>
      </c>
      <c r="F175">
        <v>430</v>
      </c>
      <c r="G175">
        <v>318</v>
      </c>
      <c r="H175">
        <v>292</v>
      </c>
      <c r="I175">
        <v>303</v>
      </c>
      <c r="J175">
        <v>212</v>
      </c>
      <c r="K175">
        <v>145</v>
      </c>
      <c r="L175">
        <v>102</v>
      </c>
      <c r="M175">
        <v>114</v>
      </c>
      <c r="N175">
        <v>94</v>
      </c>
      <c r="O175">
        <v>89.32</v>
      </c>
      <c r="P175">
        <v>94.44</v>
      </c>
      <c r="Q175">
        <v>95.21</v>
      </c>
      <c r="R175">
        <v>100.5</v>
      </c>
      <c r="S175">
        <v>100.5</v>
      </c>
    </row>
    <row r="176" spans="1:19" x14ac:dyDescent="0.25">
      <c r="A176" t="s">
        <v>116</v>
      </c>
      <c r="E176">
        <v>111</v>
      </c>
      <c r="F176">
        <v>461</v>
      </c>
      <c r="G176">
        <v>690</v>
      </c>
      <c r="H176">
        <v>155</v>
      </c>
      <c r="I176">
        <v>312</v>
      </c>
      <c r="J176" s="2">
        <v>2213</v>
      </c>
      <c r="K176" s="2">
        <v>1172</v>
      </c>
      <c r="L176">
        <v>443</v>
      </c>
      <c r="M176" s="2">
        <v>1271</v>
      </c>
      <c r="N176" s="2">
        <v>1357</v>
      </c>
      <c r="O176" s="2">
        <v>1244.5</v>
      </c>
      <c r="P176" s="2">
        <v>1500.55</v>
      </c>
      <c r="Q176" s="2">
        <v>1612.5</v>
      </c>
      <c r="R176" s="2">
        <v>1792.5</v>
      </c>
      <c r="S176" s="2">
        <v>1971</v>
      </c>
    </row>
    <row r="177" spans="1:21" x14ac:dyDescent="0.25">
      <c r="A177" t="s">
        <v>121</v>
      </c>
      <c r="E177">
        <v>114</v>
      </c>
      <c r="F177">
        <v>495</v>
      </c>
      <c r="H177">
        <v>134</v>
      </c>
      <c r="I177">
        <v>309</v>
      </c>
      <c r="J177" s="2">
        <v>2196</v>
      </c>
      <c r="K177" s="2">
        <v>1158</v>
      </c>
      <c r="L177">
        <v>424</v>
      </c>
      <c r="M177" s="2">
        <v>1216</v>
      </c>
      <c r="N177" s="2">
        <v>1290</v>
      </c>
      <c r="O177" s="2">
        <v>1139.48</v>
      </c>
      <c r="P177" s="2">
        <v>1652.2</v>
      </c>
      <c r="Q177" s="2">
        <v>1753.26</v>
      </c>
      <c r="R177" s="2">
        <v>1883.69</v>
      </c>
      <c r="S177" s="2">
        <v>2027.5</v>
      </c>
    </row>
    <row r="178" spans="1:21" x14ac:dyDescent="0.25">
      <c r="A178" t="s">
        <v>17</v>
      </c>
    </row>
    <row r="179" spans="1:21" x14ac:dyDescent="0.25">
      <c r="A179" t="s">
        <v>3344</v>
      </c>
    </row>
    <row r="180" spans="1:21" x14ac:dyDescent="0.25">
      <c r="A180" t="s">
        <v>60</v>
      </c>
      <c r="F180" s="2">
        <v>1794</v>
      </c>
      <c r="G180" s="2">
        <v>2634</v>
      </c>
      <c r="H180" s="2">
        <v>3836</v>
      </c>
      <c r="I180" s="2">
        <v>4116</v>
      </c>
      <c r="J180" s="2">
        <v>2790</v>
      </c>
      <c r="K180" s="2">
        <v>3733</v>
      </c>
      <c r="L180" s="2">
        <v>3823</v>
      </c>
      <c r="M180" s="2">
        <v>5394</v>
      </c>
      <c r="N180" s="2">
        <v>5353</v>
      </c>
      <c r="O180" s="2">
        <v>6629.99</v>
      </c>
      <c r="P180" s="2">
        <v>6205.7</v>
      </c>
      <c r="Q180" s="2">
        <v>6519.91</v>
      </c>
      <c r="R180" s="2">
        <v>6513.88</v>
      </c>
      <c r="S180" s="2">
        <v>7029.67</v>
      </c>
    </row>
    <row r="181" spans="1:21" x14ac:dyDescent="0.25">
      <c r="A181" t="s">
        <v>3428</v>
      </c>
      <c r="H181">
        <v>-250</v>
      </c>
      <c r="I181">
        <v>416</v>
      </c>
      <c r="J181" s="2">
        <v>-4355</v>
      </c>
      <c r="K181">
        <v>-640</v>
      </c>
      <c r="L181" s="2">
        <v>-1611</v>
      </c>
      <c r="O181">
        <v>188.08</v>
      </c>
      <c r="P181">
        <v>23.75</v>
      </c>
      <c r="Q181">
        <v>2.99</v>
      </c>
    </row>
    <row r="182" spans="1:21" x14ac:dyDescent="0.25">
      <c r="A182" t="s">
        <v>3257</v>
      </c>
      <c r="F182">
        <v>981</v>
      </c>
      <c r="G182" s="2">
        <v>1521</v>
      </c>
      <c r="H182" s="2">
        <v>1283</v>
      </c>
      <c r="I182" s="2">
        <v>1078</v>
      </c>
      <c r="J182" s="2">
        <v>3991</v>
      </c>
      <c r="K182" s="2">
        <v>2968</v>
      </c>
      <c r="L182" s="2">
        <v>1951</v>
      </c>
      <c r="M182" s="2">
        <v>1596</v>
      </c>
      <c r="N182" s="2">
        <v>1990</v>
      </c>
      <c r="O182" s="2">
        <v>2012.46</v>
      </c>
      <c r="P182" s="2">
        <v>2816.31</v>
      </c>
      <c r="Q182" s="2">
        <v>2668.14</v>
      </c>
      <c r="R182" s="2">
        <v>2111.94</v>
      </c>
      <c r="S182" s="2">
        <v>2105.4499999999998</v>
      </c>
    </row>
    <row r="183" spans="1:21" x14ac:dyDescent="0.25">
      <c r="A183" t="s">
        <v>3430</v>
      </c>
      <c r="F183">
        <v>578</v>
      </c>
      <c r="G183">
        <v>677</v>
      </c>
      <c r="H183">
        <v>691</v>
      </c>
      <c r="I183">
        <v>727</v>
      </c>
      <c r="J183">
        <v>704</v>
      </c>
      <c r="K183">
        <v>808</v>
      </c>
      <c r="L183">
        <v>894</v>
      </c>
      <c r="M183">
        <v>996</v>
      </c>
      <c r="N183" s="2">
        <v>1050</v>
      </c>
      <c r="O183" s="2">
        <v>1068.28</v>
      </c>
      <c r="P183" s="2">
        <v>1113.3800000000001</v>
      </c>
      <c r="Q183" s="2">
        <v>1119.72</v>
      </c>
      <c r="R183" s="2">
        <v>1156.55</v>
      </c>
      <c r="S183" s="2">
        <v>1182.6099999999999</v>
      </c>
    </row>
    <row r="184" spans="1:21" x14ac:dyDescent="0.25">
      <c r="A184" t="s">
        <v>2259</v>
      </c>
      <c r="F184">
        <v>124</v>
      </c>
      <c r="G184">
        <v>90</v>
      </c>
      <c r="H184">
        <v>76</v>
      </c>
      <c r="I184">
        <v>75</v>
      </c>
      <c r="J184">
        <v>88</v>
      </c>
      <c r="K184">
        <v>131</v>
      </c>
      <c r="L184">
        <v>134</v>
      </c>
      <c r="M184">
        <v>169</v>
      </c>
      <c r="N184">
        <v>180</v>
      </c>
      <c r="O184">
        <v>214.01</v>
      </c>
      <c r="P184">
        <v>227.04</v>
      </c>
      <c r="Q184">
        <v>227.35</v>
      </c>
      <c r="R184">
        <v>234.57</v>
      </c>
      <c r="S184">
        <v>240.15</v>
      </c>
    </row>
    <row r="185" spans="1:21" x14ac:dyDescent="0.25">
      <c r="A185" t="s">
        <v>2101</v>
      </c>
      <c r="F185">
        <v>538</v>
      </c>
      <c r="G185">
        <v>968</v>
      </c>
      <c r="H185" s="2">
        <v>1307</v>
      </c>
      <c r="I185" s="2">
        <v>1646</v>
      </c>
      <c r="J185">
        <v>-236</v>
      </c>
      <c r="K185" s="2">
        <v>1438</v>
      </c>
      <c r="L185" s="2">
        <v>1770</v>
      </c>
      <c r="M185" s="2">
        <v>2032</v>
      </c>
      <c r="N185" s="2">
        <v>1834</v>
      </c>
      <c r="O185" s="2">
        <v>2742.38</v>
      </c>
      <c r="P185" s="2">
        <v>2223.89</v>
      </c>
      <c r="Q185" s="2">
        <v>2407.81</v>
      </c>
      <c r="R185" s="2">
        <v>2648.84</v>
      </c>
      <c r="S185" s="2">
        <v>3071.63</v>
      </c>
    </row>
    <row r="186" spans="1:21" x14ac:dyDescent="0.25">
      <c r="A186" t="s">
        <v>190</v>
      </c>
      <c r="F186">
        <v>229</v>
      </c>
      <c r="G186">
        <v>416</v>
      </c>
      <c r="H186">
        <v>472</v>
      </c>
      <c r="I186">
        <v>475</v>
      </c>
      <c r="J186">
        <v>686</v>
      </c>
      <c r="K186">
        <v>537</v>
      </c>
      <c r="L186">
        <v>544</v>
      </c>
      <c r="M186">
        <v>686</v>
      </c>
      <c r="N186">
        <v>771</v>
      </c>
      <c r="O186">
        <v>697.32</v>
      </c>
      <c r="P186">
        <v>744.11</v>
      </c>
      <c r="Q186">
        <v>738.9</v>
      </c>
      <c r="R186">
        <v>700.91</v>
      </c>
      <c r="S186">
        <v>718.11</v>
      </c>
    </row>
    <row r="187" spans="1:21" x14ac:dyDescent="0.25">
      <c r="A187" t="s">
        <v>116</v>
      </c>
      <c r="F187">
        <v>-118</v>
      </c>
      <c r="G187">
        <v>-70</v>
      </c>
      <c r="H187" s="2">
        <v>1314</v>
      </c>
      <c r="I187" s="2">
        <v>1761</v>
      </c>
      <c r="J187" s="2">
        <v>-2601</v>
      </c>
      <c r="K187">
        <v>-711</v>
      </c>
      <c r="L187">
        <v>300</v>
      </c>
      <c r="M187" s="2">
        <v>2052</v>
      </c>
      <c r="N187" s="2">
        <v>1427</v>
      </c>
      <c r="O187" s="2">
        <v>2881.86</v>
      </c>
      <c r="P187" s="2">
        <v>1718.69</v>
      </c>
      <c r="Q187" s="2">
        <v>1687.09</v>
      </c>
      <c r="R187" s="2">
        <v>1579.05</v>
      </c>
      <c r="S187" s="2">
        <v>1770.48</v>
      </c>
      <c r="T187">
        <v>646.04999999999995</v>
      </c>
      <c r="U187">
        <v>818.77</v>
      </c>
    </row>
    <row r="188" spans="1:21" x14ac:dyDescent="0.25">
      <c r="A188" t="s">
        <v>121</v>
      </c>
      <c r="H188" s="2">
        <v>1342</v>
      </c>
      <c r="I188" s="2">
        <v>1760</v>
      </c>
      <c r="J188" s="2">
        <v>-2512</v>
      </c>
      <c r="K188">
        <v>-615</v>
      </c>
      <c r="L188">
        <v>354</v>
      </c>
      <c r="M188" s="2">
        <v>2133</v>
      </c>
      <c r="N188" s="2">
        <v>1604</v>
      </c>
      <c r="O188" s="2">
        <v>2561</v>
      </c>
      <c r="P188" s="2">
        <v>1351.61</v>
      </c>
      <c r="Q188" s="2">
        <v>1618.71</v>
      </c>
      <c r="R188" s="2">
        <v>1638.05</v>
      </c>
      <c r="S188" s="2">
        <v>1829.48</v>
      </c>
      <c r="T188">
        <v>770.05</v>
      </c>
      <c r="U188">
        <v>942.77</v>
      </c>
    </row>
    <row r="189" spans="1:21" x14ac:dyDescent="0.25">
      <c r="A189" t="s">
        <v>17</v>
      </c>
    </row>
    <row r="190" spans="1:21" x14ac:dyDescent="0.25">
      <c r="A190" t="s">
        <v>3372</v>
      </c>
    </row>
    <row r="191" spans="1:21" x14ac:dyDescent="0.25">
      <c r="A191" t="s">
        <v>60</v>
      </c>
      <c r="H191" s="2">
        <v>2790</v>
      </c>
      <c r="I191" s="2">
        <v>2415</v>
      </c>
      <c r="J191" s="2">
        <v>2587</v>
      </c>
      <c r="K191" s="2">
        <v>3706</v>
      </c>
      <c r="L191" s="2">
        <v>4215</v>
      </c>
      <c r="M191" s="2">
        <v>5661</v>
      </c>
      <c r="O191" s="2">
        <v>7846.01</v>
      </c>
      <c r="P191" s="2">
        <v>9461.7199999999993</v>
      </c>
      <c r="Q191" s="2">
        <v>9587.89</v>
      </c>
      <c r="R191" s="2">
        <v>9971.15</v>
      </c>
      <c r="S191" s="2">
        <v>10287.61</v>
      </c>
    </row>
    <row r="192" spans="1:21" x14ac:dyDescent="0.25">
      <c r="A192" t="s">
        <v>3431</v>
      </c>
      <c r="H192">
        <v>629</v>
      </c>
      <c r="I192">
        <v>310</v>
      </c>
      <c r="J192">
        <v>786</v>
      </c>
      <c r="K192" s="2">
        <v>1209</v>
      </c>
      <c r="L192" s="2">
        <v>1036</v>
      </c>
      <c r="M192" s="2">
        <v>1351</v>
      </c>
      <c r="N192" s="2">
        <v>2626</v>
      </c>
      <c r="O192" s="2">
        <v>6068.48</v>
      </c>
      <c r="P192" s="2">
        <v>6963.15</v>
      </c>
      <c r="Q192" s="2">
        <v>6813.86</v>
      </c>
      <c r="R192" s="2">
        <v>6590.86</v>
      </c>
      <c r="S192" s="2">
        <v>6600.72</v>
      </c>
    </row>
    <row r="193" spans="1:21" x14ac:dyDescent="0.25">
      <c r="A193" t="s">
        <v>3432</v>
      </c>
      <c r="H193">
        <v>170</v>
      </c>
      <c r="I193">
        <v>-52</v>
      </c>
      <c r="J193">
        <v>-22</v>
      </c>
      <c r="K193">
        <v>20</v>
      </c>
      <c r="L193">
        <v>57</v>
      </c>
      <c r="M193">
        <v>74</v>
      </c>
      <c r="N193">
        <v>227</v>
      </c>
      <c r="O193" s="2">
        <v>1049.0899999999999</v>
      </c>
      <c r="P193" s="2">
        <v>1195.31</v>
      </c>
      <c r="Q193" s="2">
        <v>1200.68</v>
      </c>
      <c r="R193" s="2">
        <v>1768.86</v>
      </c>
      <c r="S193" s="2">
        <v>1764.78</v>
      </c>
    </row>
    <row r="194" spans="1:21" x14ac:dyDescent="0.25">
      <c r="A194" t="s">
        <v>3433</v>
      </c>
      <c r="H194">
        <v>702</v>
      </c>
      <c r="I194">
        <v>668</v>
      </c>
      <c r="J194">
        <v>602</v>
      </c>
      <c r="K194" s="2">
        <v>1106</v>
      </c>
      <c r="L194">
        <v>654</v>
      </c>
      <c r="M194">
        <v>398</v>
      </c>
      <c r="N194">
        <v>458</v>
      </c>
      <c r="O194">
        <v>-218.05</v>
      </c>
      <c r="P194">
        <v>-441.9</v>
      </c>
    </row>
    <row r="195" spans="1:21" x14ac:dyDescent="0.25">
      <c r="A195" t="s">
        <v>3257</v>
      </c>
      <c r="H195" s="2">
        <v>1393</v>
      </c>
      <c r="I195" s="2">
        <v>1262</v>
      </c>
      <c r="J195" s="2">
        <v>2123</v>
      </c>
      <c r="K195" s="2">
        <v>3546</v>
      </c>
      <c r="L195" s="2">
        <v>2031</v>
      </c>
      <c r="M195" s="2">
        <v>2698</v>
      </c>
      <c r="N195" s="2">
        <v>3807</v>
      </c>
      <c r="O195" s="2">
        <v>3630.52</v>
      </c>
      <c r="P195" s="2">
        <v>3748.19</v>
      </c>
      <c r="Q195" s="2">
        <v>3475.65</v>
      </c>
      <c r="R195" s="2">
        <v>3333.52</v>
      </c>
      <c r="S195" s="2">
        <v>3437.89</v>
      </c>
    </row>
    <row r="196" spans="1:21" x14ac:dyDescent="0.25">
      <c r="A196" t="s">
        <v>3430</v>
      </c>
      <c r="H196">
        <v>236</v>
      </c>
      <c r="I196">
        <v>270</v>
      </c>
      <c r="J196">
        <v>243</v>
      </c>
      <c r="K196">
        <v>255</v>
      </c>
      <c r="L196">
        <v>297</v>
      </c>
      <c r="M196" s="2">
        <v>1103</v>
      </c>
      <c r="N196" s="2">
        <v>1381</v>
      </c>
      <c r="O196" s="2">
        <v>1515.71</v>
      </c>
      <c r="P196" s="2">
        <v>1581.77</v>
      </c>
      <c r="Q196" s="2">
        <v>1604.65</v>
      </c>
      <c r="R196" s="2">
        <v>1654.26</v>
      </c>
      <c r="S196" s="2">
        <v>1681.14</v>
      </c>
    </row>
    <row r="197" spans="1:21" x14ac:dyDescent="0.25">
      <c r="A197" t="s">
        <v>276</v>
      </c>
      <c r="H197">
        <v>83</v>
      </c>
      <c r="I197">
        <v>89</v>
      </c>
      <c r="J197">
        <v>75</v>
      </c>
      <c r="K197">
        <v>66</v>
      </c>
      <c r="L197">
        <v>82</v>
      </c>
      <c r="M197">
        <v>148</v>
      </c>
      <c r="N197">
        <v>235</v>
      </c>
      <c r="O197">
        <v>244.23</v>
      </c>
      <c r="P197">
        <v>264.11</v>
      </c>
      <c r="Q197">
        <v>261.45999999999998</v>
      </c>
      <c r="R197">
        <v>259.69</v>
      </c>
      <c r="S197">
        <v>261.63</v>
      </c>
    </row>
    <row r="198" spans="1:21" x14ac:dyDescent="0.25">
      <c r="A198" t="s">
        <v>2101</v>
      </c>
      <c r="H198">
        <v>925</v>
      </c>
      <c r="I198">
        <v>849</v>
      </c>
      <c r="J198">
        <v>737</v>
      </c>
      <c r="K198">
        <v>608</v>
      </c>
      <c r="L198">
        <v>707</v>
      </c>
      <c r="M198" s="2">
        <v>2017</v>
      </c>
      <c r="N198" s="2">
        <v>2282</v>
      </c>
      <c r="O198" s="2">
        <v>3113.06</v>
      </c>
      <c r="P198" s="2">
        <v>4049.67</v>
      </c>
      <c r="Q198" s="2">
        <v>4306.43</v>
      </c>
      <c r="R198" s="2">
        <v>4540.13</v>
      </c>
      <c r="S198" s="2">
        <v>4739.42</v>
      </c>
    </row>
    <row r="199" spans="1:21" x14ac:dyDescent="0.25">
      <c r="A199" t="s">
        <v>190</v>
      </c>
      <c r="H199">
        <v>680</v>
      </c>
      <c r="I199">
        <v>721</v>
      </c>
      <c r="J199">
        <v>698</v>
      </c>
      <c r="K199">
        <v>706</v>
      </c>
      <c r="L199">
        <v>647</v>
      </c>
      <c r="M199" s="2">
        <v>1278</v>
      </c>
      <c r="N199" s="2">
        <v>1474</v>
      </c>
      <c r="O199" s="2">
        <v>1103.0999999999999</v>
      </c>
      <c r="P199" s="2">
        <v>1177.3</v>
      </c>
      <c r="Q199" s="2">
        <v>1198.33</v>
      </c>
      <c r="R199" s="2">
        <v>1050.8499999999999</v>
      </c>
      <c r="S199" s="2">
        <v>1074.1300000000001</v>
      </c>
    </row>
    <row r="200" spans="1:21" x14ac:dyDescent="0.25">
      <c r="A200" t="s">
        <v>116</v>
      </c>
      <c r="H200">
        <v>398</v>
      </c>
      <c r="I200">
        <v>73</v>
      </c>
      <c r="J200">
        <v>-552</v>
      </c>
      <c r="K200">
        <v>-867</v>
      </c>
      <c r="L200" s="2">
        <v>1158</v>
      </c>
      <c r="M200">
        <v>716</v>
      </c>
      <c r="N200">
        <v>-374</v>
      </c>
      <c r="O200" s="2">
        <v>1998.79</v>
      </c>
      <c r="P200" s="2">
        <v>3038.6</v>
      </c>
      <c r="Q200" s="2">
        <v>3268.78</v>
      </c>
      <c r="R200" s="2">
        <v>3625.51</v>
      </c>
      <c r="S200" s="2">
        <v>3698.08</v>
      </c>
    </row>
    <row r="201" spans="1:21" x14ac:dyDescent="0.25">
      <c r="A201" t="s">
        <v>121</v>
      </c>
      <c r="H201">
        <v>400</v>
      </c>
      <c r="I201">
        <v>41</v>
      </c>
      <c r="J201">
        <v>-567</v>
      </c>
      <c r="K201">
        <v>-868</v>
      </c>
      <c r="L201" s="2">
        <v>1160</v>
      </c>
      <c r="M201">
        <v>902</v>
      </c>
      <c r="N201">
        <v>-91</v>
      </c>
      <c r="O201" s="2">
        <v>1631.65</v>
      </c>
      <c r="P201" s="2">
        <v>2693.02</v>
      </c>
      <c r="Q201" s="2">
        <v>2927.87</v>
      </c>
      <c r="R201" s="2">
        <v>3467.05</v>
      </c>
      <c r="S201" s="2">
        <v>3774.73</v>
      </c>
      <c r="T201" s="2">
        <v>3107.51</v>
      </c>
      <c r="U201" s="2">
        <v>3283.96</v>
      </c>
    </row>
    <row r="202" spans="1:21" x14ac:dyDescent="0.25">
      <c r="A202" t="s">
        <v>17</v>
      </c>
    </row>
    <row r="203" spans="1:21" x14ac:dyDescent="0.25">
      <c r="A203" t="s">
        <v>3399</v>
      </c>
    </row>
    <row r="204" spans="1:21" x14ac:dyDescent="0.25">
      <c r="A204" t="s">
        <v>60</v>
      </c>
      <c r="H204">
        <v>338</v>
      </c>
      <c r="I204">
        <v>282</v>
      </c>
      <c r="J204">
        <v>374</v>
      </c>
      <c r="K204">
        <v>336</v>
      </c>
      <c r="L204">
        <v>914</v>
      </c>
      <c r="M204">
        <v>877</v>
      </c>
      <c r="O204">
        <v>442.43</v>
      </c>
      <c r="P204">
        <v>567.1</v>
      </c>
      <c r="Q204">
        <v>589.4</v>
      </c>
      <c r="R204">
        <v>448.39</v>
      </c>
      <c r="S204">
        <v>445.54</v>
      </c>
    </row>
    <row r="205" spans="1:21" x14ac:dyDescent="0.25">
      <c r="A205" t="s">
        <v>3431</v>
      </c>
      <c r="H205">
        <v>193</v>
      </c>
      <c r="I205">
        <v>124</v>
      </c>
      <c r="J205">
        <v>229</v>
      </c>
      <c r="K205">
        <v>467</v>
      </c>
      <c r="L205">
        <v>421</v>
      </c>
      <c r="M205">
        <v>0</v>
      </c>
      <c r="N205">
        <v>98</v>
      </c>
      <c r="O205">
        <v>283.92</v>
      </c>
      <c r="P205">
        <v>263.22000000000003</v>
      </c>
      <c r="Q205">
        <v>293.36</v>
      </c>
      <c r="R205">
        <v>310.64</v>
      </c>
      <c r="S205">
        <v>310.57</v>
      </c>
    </row>
    <row r="206" spans="1:21" x14ac:dyDescent="0.25">
      <c r="A206" t="s">
        <v>3428</v>
      </c>
      <c r="H206">
        <v>132</v>
      </c>
      <c r="I206">
        <v>101</v>
      </c>
      <c r="J206">
        <v>35</v>
      </c>
      <c r="K206">
        <v>-291</v>
      </c>
      <c r="L206">
        <v>310</v>
      </c>
    </row>
    <row r="207" spans="1:21" x14ac:dyDescent="0.25">
      <c r="A207" t="s">
        <v>3257</v>
      </c>
      <c r="H207">
        <v>187</v>
      </c>
      <c r="I207">
        <v>168</v>
      </c>
      <c r="J207">
        <v>253</v>
      </c>
      <c r="K207">
        <v>481</v>
      </c>
      <c r="L207">
        <v>328</v>
      </c>
      <c r="M207">
        <v>221</v>
      </c>
      <c r="N207">
        <v>149</v>
      </c>
      <c r="O207">
        <v>167.01</v>
      </c>
      <c r="P207">
        <v>239.28</v>
      </c>
      <c r="Q207">
        <v>260.22000000000003</v>
      </c>
      <c r="R207">
        <v>145.77000000000001</v>
      </c>
      <c r="S207">
        <v>145.72</v>
      </c>
    </row>
    <row r="208" spans="1:21" x14ac:dyDescent="0.25">
      <c r="A208" t="s">
        <v>3430</v>
      </c>
      <c r="H208">
        <v>27</v>
      </c>
      <c r="I208">
        <v>30</v>
      </c>
      <c r="J208">
        <v>37</v>
      </c>
      <c r="K208">
        <v>42</v>
      </c>
      <c r="L208">
        <v>58</v>
      </c>
      <c r="M208">
        <v>72</v>
      </c>
      <c r="N208">
        <v>59</v>
      </c>
      <c r="O208">
        <v>70.739999999999995</v>
      </c>
      <c r="P208">
        <v>91.81</v>
      </c>
      <c r="Q208">
        <v>94.96</v>
      </c>
      <c r="R208">
        <v>66.989999999999995</v>
      </c>
      <c r="S208">
        <v>68.03</v>
      </c>
    </row>
    <row r="209" spans="1:21" x14ac:dyDescent="0.25">
      <c r="A209" t="s">
        <v>276</v>
      </c>
      <c r="H209">
        <v>17</v>
      </c>
      <c r="I209">
        <v>26</v>
      </c>
      <c r="J209">
        <v>32</v>
      </c>
      <c r="K209">
        <v>21</v>
      </c>
      <c r="L209">
        <v>24</v>
      </c>
      <c r="M209">
        <v>25</v>
      </c>
      <c r="N209">
        <v>14</v>
      </c>
      <c r="O209">
        <v>16.899999999999999</v>
      </c>
      <c r="P209">
        <v>17.16</v>
      </c>
      <c r="Q209">
        <v>17.47</v>
      </c>
      <c r="R209">
        <v>17.48</v>
      </c>
      <c r="S209">
        <v>17.32</v>
      </c>
    </row>
    <row r="210" spans="1:21" x14ac:dyDescent="0.25">
      <c r="A210" t="s">
        <v>2101</v>
      </c>
      <c r="H210">
        <v>63</v>
      </c>
      <c r="I210">
        <v>73</v>
      </c>
      <c r="J210">
        <v>-93</v>
      </c>
      <c r="K210">
        <v>152</v>
      </c>
      <c r="L210">
        <v>263</v>
      </c>
      <c r="M210">
        <v>238</v>
      </c>
      <c r="N210">
        <v>244</v>
      </c>
      <c r="O210">
        <v>238.09</v>
      </c>
      <c r="P210">
        <v>246.31</v>
      </c>
      <c r="Q210">
        <v>246.73</v>
      </c>
      <c r="R210">
        <v>225.01</v>
      </c>
      <c r="S210">
        <v>221.44</v>
      </c>
      <c r="T210">
        <v>155.12</v>
      </c>
      <c r="U210">
        <v>156.66999999999999</v>
      </c>
    </row>
    <row r="211" spans="1:21" x14ac:dyDescent="0.25">
      <c r="A211" t="s">
        <v>190</v>
      </c>
      <c r="H211">
        <v>19</v>
      </c>
      <c r="I211">
        <v>19</v>
      </c>
      <c r="J211">
        <v>60</v>
      </c>
      <c r="K211">
        <v>42</v>
      </c>
      <c r="L211">
        <v>79</v>
      </c>
      <c r="M211">
        <v>86</v>
      </c>
      <c r="N211">
        <v>61</v>
      </c>
      <c r="O211">
        <v>68.349999999999994</v>
      </c>
      <c r="P211">
        <v>92.07</v>
      </c>
      <c r="Q211">
        <v>95.47</v>
      </c>
      <c r="R211">
        <v>73.53</v>
      </c>
      <c r="S211">
        <v>73.680000000000007</v>
      </c>
    </row>
    <row r="212" spans="1:21" x14ac:dyDescent="0.25">
      <c r="A212" t="s">
        <v>116</v>
      </c>
      <c r="H212">
        <v>88</v>
      </c>
      <c r="I212">
        <v>39</v>
      </c>
      <c r="J212">
        <v>-8</v>
      </c>
      <c r="K212">
        <v>-250</v>
      </c>
      <c r="L212">
        <v>425</v>
      </c>
      <c r="M212">
        <v>473</v>
      </c>
      <c r="N212">
        <v>42</v>
      </c>
      <c r="O212">
        <v>143.16999999999999</v>
      </c>
      <c r="P212">
        <v>133.58000000000001</v>
      </c>
      <c r="Q212">
        <v>129.97</v>
      </c>
      <c r="R212">
        <v>110.11</v>
      </c>
      <c r="S212">
        <v>103.42</v>
      </c>
      <c r="T212">
        <v>-56.24</v>
      </c>
      <c r="U212">
        <v>-54.69</v>
      </c>
    </row>
    <row r="213" spans="1:21" x14ac:dyDescent="0.25">
      <c r="A213" t="s">
        <v>121</v>
      </c>
      <c r="H213">
        <v>88</v>
      </c>
      <c r="I213">
        <v>50</v>
      </c>
      <c r="J213">
        <v>1</v>
      </c>
      <c r="K213">
        <v>-238</v>
      </c>
      <c r="L213">
        <v>454</v>
      </c>
      <c r="M213">
        <v>471</v>
      </c>
      <c r="N213">
        <v>54</v>
      </c>
      <c r="O213">
        <v>89.29</v>
      </c>
      <c r="P213">
        <v>97.56</v>
      </c>
      <c r="Q213">
        <v>100.62</v>
      </c>
      <c r="R213">
        <v>127.89</v>
      </c>
      <c r="S213">
        <v>131.88</v>
      </c>
    </row>
    <row r="214" spans="1:21" x14ac:dyDescent="0.25">
      <c r="A214" t="s">
        <v>17</v>
      </c>
    </row>
    <row r="215" spans="1:21" x14ac:dyDescent="0.25">
      <c r="A215" t="s">
        <v>3405</v>
      </c>
    </row>
    <row r="216" spans="1:21" x14ac:dyDescent="0.25">
      <c r="A216" t="s">
        <v>60</v>
      </c>
      <c r="H216" s="2">
        <v>1602</v>
      </c>
      <c r="I216" s="2">
        <v>1252</v>
      </c>
      <c r="J216">
        <v>739</v>
      </c>
      <c r="K216">
        <v>956</v>
      </c>
      <c r="L216" s="2">
        <v>1831</v>
      </c>
      <c r="N216">
        <v>0</v>
      </c>
      <c r="O216">
        <v>783.77</v>
      </c>
      <c r="P216">
        <v>625.07000000000005</v>
      </c>
      <c r="Q216">
        <v>502.78</v>
      </c>
      <c r="R216">
        <v>501.61</v>
      </c>
      <c r="S216">
        <v>500.5</v>
      </c>
    </row>
    <row r="217" spans="1:21" x14ac:dyDescent="0.25">
      <c r="A217" t="s">
        <v>3431</v>
      </c>
      <c r="H217">
        <v>751</v>
      </c>
      <c r="I217">
        <v>473</v>
      </c>
      <c r="J217" s="2">
        <v>1525</v>
      </c>
      <c r="K217" s="2">
        <v>1120</v>
      </c>
      <c r="L217">
        <v>392</v>
      </c>
      <c r="O217">
        <v>475.57</v>
      </c>
      <c r="P217">
        <v>328.62</v>
      </c>
      <c r="Q217">
        <v>190.9</v>
      </c>
      <c r="R217">
        <v>190.32</v>
      </c>
      <c r="S217">
        <v>188.88</v>
      </c>
    </row>
    <row r="218" spans="1:21" x14ac:dyDescent="0.25">
      <c r="A218" t="s">
        <v>3428</v>
      </c>
      <c r="H218">
        <v>247</v>
      </c>
      <c r="I218">
        <v>151</v>
      </c>
      <c r="J218" s="2">
        <v>-1371</v>
      </c>
      <c r="K218">
        <v>-858</v>
      </c>
      <c r="L218">
        <v>736</v>
      </c>
      <c r="O218">
        <v>13.82</v>
      </c>
      <c r="P218">
        <v>-17.190000000000001</v>
      </c>
    </row>
    <row r="219" spans="1:21" x14ac:dyDescent="0.25">
      <c r="A219" t="s">
        <v>3434</v>
      </c>
      <c r="H219">
        <v>197</v>
      </c>
      <c r="I219">
        <v>164</v>
      </c>
      <c r="J219">
        <v>184</v>
      </c>
      <c r="K219">
        <v>63</v>
      </c>
      <c r="L219">
        <v>41</v>
      </c>
      <c r="O219">
        <v>294.38</v>
      </c>
      <c r="P219">
        <v>312.64999999999998</v>
      </c>
      <c r="Q219">
        <v>310.88</v>
      </c>
      <c r="R219">
        <v>310.29000000000002</v>
      </c>
      <c r="S219">
        <v>309.62</v>
      </c>
    </row>
    <row r="220" spans="1:21" x14ac:dyDescent="0.25">
      <c r="A220" t="s">
        <v>3257</v>
      </c>
      <c r="H220">
        <v>767</v>
      </c>
      <c r="I220">
        <v>704</v>
      </c>
      <c r="J220">
        <v>518</v>
      </c>
      <c r="K220">
        <v>743</v>
      </c>
      <c r="L220">
        <v>776</v>
      </c>
      <c r="O220">
        <v>194.6</v>
      </c>
      <c r="P220">
        <v>116.6</v>
      </c>
      <c r="Q220">
        <v>59.38</v>
      </c>
      <c r="R220">
        <v>59.68</v>
      </c>
      <c r="S220">
        <v>59.66</v>
      </c>
    </row>
    <row r="221" spans="1:21" x14ac:dyDescent="0.25">
      <c r="A221" t="s">
        <v>3430</v>
      </c>
      <c r="H221">
        <v>366</v>
      </c>
      <c r="I221">
        <v>408</v>
      </c>
      <c r="J221">
        <v>417</v>
      </c>
      <c r="K221">
        <v>280</v>
      </c>
      <c r="L221">
        <v>254</v>
      </c>
      <c r="O221">
        <v>179</v>
      </c>
      <c r="P221">
        <v>179</v>
      </c>
      <c r="Q221">
        <v>179</v>
      </c>
      <c r="R221">
        <v>179</v>
      </c>
      <c r="S221">
        <v>179</v>
      </c>
    </row>
    <row r="222" spans="1:21" x14ac:dyDescent="0.25">
      <c r="A222" t="s">
        <v>276</v>
      </c>
      <c r="H222">
        <v>78</v>
      </c>
      <c r="I222">
        <v>71</v>
      </c>
      <c r="J222">
        <v>55</v>
      </c>
      <c r="K222">
        <v>39</v>
      </c>
      <c r="L222">
        <v>51</v>
      </c>
      <c r="S222">
        <v>-1</v>
      </c>
    </row>
    <row r="223" spans="1:21" x14ac:dyDescent="0.25">
      <c r="A223" t="s">
        <v>2101</v>
      </c>
      <c r="H223">
        <v>308</v>
      </c>
      <c r="I223">
        <v>242</v>
      </c>
      <c r="J223">
        <v>60</v>
      </c>
      <c r="K223">
        <v>38</v>
      </c>
      <c r="L223">
        <v>358</v>
      </c>
      <c r="O223">
        <v>410.16</v>
      </c>
      <c r="P223">
        <v>330.48</v>
      </c>
      <c r="Q223">
        <v>265.39999999999998</v>
      </c>
      <c r="R223">
        <v>263.93</v>
      </c>
      <c r="S223">
        <v>269.83999999999997</v>
      </c>
    </row>
    <row r="224" spans="1:21" x14ac:dyDescent="0.25">
      <c r="A224" t="s">
        <v>190</v>
      </c>
      <c r="H224">
        <v>120</v>
      </c>
      <c r="I224">
        <v>133</v>
      </c>
      <c r="J224">
        <v>139</v>
      </c>
      <c r="K224">
        <v>76</v>
      </c>
      <c r="L224">
        <v>62</v>
      </c>
      <c r="O224">
        <v>63.8</v>
      </c>
      <c r="P224">
        <v>63.8</v>
      </c>
      <c r="Q224">
        <v>64.400000000000006</v>
      </c>
      <c r="R224">
        <v>65</v>
      </c>
      <c r="S224">
        <v>65.64</v>
      </c>
    </row>
    <row r="225" spans="1:21" x14ac:dyDescent="0.25">
      <c r="A225" t="s">
        <v>116</v>
      </c>
      <c r="H225">
        <v>271</v>
      </c>
      <c r="I225">
        <v>-420</v>
      </c>
      <c r="J225">
        <v>-428</v>
      </c>
      <c r="K225">
        <v>-256</v>
      </c>
      <c r="L225">
        <v>639</v>
      </c>
      <c r="O225">
        <v>346.36</v>
      </c>
      <c r="P225">
        <v>266.68</v>
      </c>
      <c r="Q225">
        <v>201</v>
      </c>
      <c r="R225">
        <v>198.93</v>
      </c>
      <c r="S225">
        <v>200.2</v>
      </c>
    </row>
    <row r="226" spans="1:21" x14ac:dyDescent="0.25">
      <c r="A226" t="s">
        <v>17</v>
      </c>
    </row>
    <row r="227" spans="1:21" x14ac:dyDescent="0.25">
      <c r="A227" t="s">
        <v>3435</v>
      </c>
    </row>
    <row r="228" spans="1:21" x14ac:dyDescent="0.25">
      <c r="A228" t="s">
        <v>3436</v>
      </c>
      <c r="F228" s="2">
        <v>-1386</v>
      </c>
      <c r="G228" s="2">
        <v>-2399</v>
      </c>
      <c r="H228" s="2">
        <v>-3970</v>
      </c>
      <c r="I228" s="2">
        <v>-4895</v>
      </c>
      <c r="J228" s="2">
        <v>-2284</v>
      </c>
      <c r="K228" s="2">
        <v>-4754</v>
      </c>
      <c r="L228" s="2">
        <v>-6576</v>
      </c>
      <c r="M228" s="2">
        <v>-7506</v>
      </c>
      <c r="N228" s="2">
        <v>-8528</v>
      </c>
      <c r="O228" s="2">
        <v>-9275.75</v>
      </c>
      <c r="P228" s="2">
        <v>-10207.959999999999</v>
      </c>
      <c r="Q228" s="2">
        <v>-9826.49</v>
      </c>
      <c r="R228" s="2">
        <v>-9561.85</v>
      </c>
      <c r="S228" s="2">
        <v>-9832.73</v>
      </c>
      <c r="T228" s="2">
        <v>-8528</v>
      </c>
      <c r="U228" s="2">
        <v>-8528</v>
      </c>
    </row>
    <row r="229" spans="1:21" x14ac:dyDescent="0.25">
      <c r="A229" t="s">
        <v>1377</v>
      </c>
      <c r="E229">
        <v>7</v>
      </c>
      <c r="F229">
        <v>37</v>
      </c>
      <c r="G229">
        <v>254</v>
      </c>
      <c r="H229">
        <v>69</v>
      </c>
      <c r="I229">
        <v>72</v>
      </c>
      <c r="J229">
        <v>46</v>
      </c>
      <c r="K229">
        <v>66</v>
      </c>
      <c r="L229">
        <v>125</v>
      </c>
      <c r="M229">
        <v>239</v>
      </c>
      <c r="N229">
        <v>179</v>
      </c>
      <c r="O229">
        <v>134.66999999999999</v>
      </c>
      <c r="P229">
        <v>146.66999999999999</v>
      </c>
      <c r="Q229">
        <v>146.66999999999999</v>
      </c>
      <c r="R229">
        <v>184</v>
      </c>
      <c r="S229">
        <v>184</v>
      </c>
      <c r="T229">
        <v>184</v>
      </c>
      <c r="U229">
        <v>184</v>
      </c>
    </row>
    <row r="230" spans="1:21" x14ac:dyDescent="0.25">
      <c r="A230" t="s">
        <v>3437</v>
      </c>
      <c r="E230">
        <v>-26</v>
      </c>
      <c r="F230">
        <v>-572</v>
      </c>
      <c r="H230" s="2">
        <v>-1204</v>
      </c>
      <c r="I230" s="2">
        <v>-1021</v>
      </c>
      <c r="J230">
        <v>-53</v>
      </c>
      <c r="K230">
        <v>-270</v>
      </c>
      <c r="L230" s="2">
        <v>-1527</v>
      </c>
      <c r="M230" s="2">
        <v>-1794</v>
      </c>
      <c r="N230" s="2">
        <v>-1634</v>
      </c>
      <c r="O230" s="2">
        <v>-1228.7</v>
      </c>
      <c r="P230" s="2">
        <v>-1878.34</v>
      </c>
      <c r="Q230" s="2">
        <v>-2320.23</v>
      </c>
      <c r="R230" s="2">
        <v>-2606.89</v>
      </c>
      <c r="S230" s="2">
        <v>-2959.64</v>
      </c>
    </row>
    <row r="231" spans="1:21" x14ac:dyDescent="0.25">
      <c r="A231" t="s">
        <v>17</v>
      </c>
    </row>
    <row r="232" spans="1:21" x14ac:dyDescent="0.25">
      <c r="A232" t="s">
        <v>3438</v>
      </c>
    </row>
    <row r="233" spans="1:21" x14ac:dyDescent="0.25">
      <c r="A233" t="s">
        <v>60</v>
      </c>
      <c r="F233">
        <v>964</v>
      </c>
      <c r="G233">
        <v>50</v>
      </c>
      <c r="H233">
        <v>341</v>
      </c>
      <c r="I233">
        <v>3</v>
      </c>
      <c r="J233">
        <v>0</v>
      </c>
      <c r="K233">
        <v>296</v>
      </c>
      <c r="L233">
        <v>0</v>
      </c>
      <c r="M233">
        <v>1</v>
      </c>
      <c r="N233">
        <v>74</v>
      </c>
    </row>
    <row r="234" spans="1:21" x14ac:dyDescent="0.25">
      <c r="A234" t="s">
        <v>2101</v>
      </c>
      <c r="F234">
        <v>158</v>
      </c>
      <c r="G234">
        <v>-49</v>
      </c>
      <c r="H234">
        <v>-68</v>
      </c>
      <c r="I234">
        <v>-81</v>
      </c>
      <c r="J234">
        <v>-33</v>
      </c>
      <c r="K234">
        <v>-121</v>
      </c>
      <c r="L234">
        <v>-39</v>
      </c>
      <c r="M234">
        <v>-117</v>
      </c>
      <c r="N234">
        <v>-74</v>
      </c>
      <c r="O234">
        <v>-60</v>
      </c>
      <c r="P234">
        <v>-80</v>
      </c>
      <c r="Q234">
        <v>-80</v>
      </c>
      <c r="R234">
        <v>-79.790000000000006</v>
      </c>
      <c r="S234">
        <v>-79.790000000000006</v>
      </c>
    </row>
    <row r="235" spans="1:21" x14ac:dyDescent="0.25">
      <c r="A235" t="s">
        <v>17</v>
      </c>
    </row>
    <row r="236" spans="1:21" x14ac:dyDescent="0.25">
      <c r="A236" t="s">
        <v>79</v>
      </c>
    </row>
    <row r="237" spans="1:21" x14ac:dyDescent="0.25">
      <c r="A237" t="s">
        <v>80</v>
      </c>
      <c r="F237" s="2">
        <v>5430</v>
      </c>
      <c r="G237" s="2">
        <v>9144</v>
      </c>
      <c r="H237" s="2">
        <v>11809</v>
      </c>
      <c r="I237" s="2">
        <v>11443</v>
      </c>
      <c r="J237" s="2">
        <v>12077</v>
      </c>
      <c r="K237" s="2">
        <v>13728</v>
      </c>
      <c r="L237" s="2">
        <v>14779</v>
      </c>
      <c r="M237" s="2">
        <v>17224</v>
      </c>
      <c r="N237" s="2">
        <v>17738</v>
      </c>
      <c r="O237" s="2">
        <v>22683.47</v>
      </c>
      <c r="P237" s="2">
        <v>24733.94</v>
      </c>
      <c r="Q237" s="2">
        <v>25841.06</v>
      </c>
      <c r="R237" s="2">
        <v>25000</v>
      </c>
      <c r="S237" s="2">
        <v>25695</v>
      </c>
    </row>
    <row r="238" spans="1:21" x14ac:dyDescent="0.25">
      <c r="A238" t="s">
        <v>17</v>
      </c>
    </row>
    <row r="239" spans="1:21" x14ac:dyDescent="0.25">
      <c r="A239" t="s">
        <v>82</v>
      </c>
      <c r="E239" s="2">
        <v>2802</v>
      </c>
      <c r="F239" s="2">
        <v>2935</v>
      </c>
      <c r="G239" s="2">
        <v>5036</v>
      </c>
      <c r="H239" s="2">
        <v>5742</v>
      </c>
      <c r="I239" s="2">
        <v>5174</v>
      </c>
      <c r="J239" s="2">
        <v>9169</v>
      </c>
      <c r="K239" s="2">
        <v>10401</v>
      </c>
      <c r="L239" s="2">
        <v>7557</v>
      </c>
      <c r="M239" s="2">
        <v>7285</v>
      </c>
      <c r="N239" s="2">
        <v>9101</v>
      </c>
      <c r="O239" s="2">
        <v>9625.98</v>
      </c>
      <c r="P239" s="2">
        <v>10424.58</v>
      </c>
      <c r="Q239" s="2">
        <v>10992.83</v>
      </c>
      <c r="R239" s="2">
        <v>11398.47</v>
      </c>
      <c r="S239" s="2">
        <v>11580.33</v>
      </c>
    </row>
    <row r="240" spans="1:21" x14ac:dyDescent="0.25">
      <c r="A240" t="s">
        <v>84</v>
      </c>
      <c r="E240" s="2">
        <v>2362</v>
      </c>
      <c r="F240" s="2">
        <v>2495</v>
      </c>
      <c r="G240" s="2">
        <v>4108</v>
      </c>
      <c r="H240" s="2">
        <v>6067</v>
      </c>
      <c r="I240" s="2">
        <v>6269</v>
      </c>
      <c r="J240" s="2">
        <v>2908</v>
      </c>
      <c r="K240" s="2">
        <v>3327</v>
      </c>
      <c r="L240" s="2">
        <v>7222</v>
      </c>
      <c r="M240" s="2">
        <v>9939</v>
      </c>
      <c r="N240" s="2">
        <v>8637</v>
      </c>
      <c r="O240" s="2">
        <v>11540.99</v>
      </c>
      <c r="P240" s="2">
        <v>12076.16</v>
      </c>
      <c r="Q240" s="2">
        <v>12745.52</v>
      </c>
      <c r="R240" s="2">
        <v>13232.08</v>
      </c>
      <c r="S240" s="2">
        <v>13879.73</v>
      </c>
    </row>
    <row r="241" spans="1:19" x14ac:dyDescent="0.25">
      <c r="A241" t="s">
        <v>85</v>
      </c>
      <c r="F241">
        <v>45.95</v>
      </c>
      <c r="G241">
        <v>44.93</v>
      </c>
      <c r="H241">
        <v>51.38</v>
      </c>
      <c r="I241">
        <v>53.02</v>
      </c>
      <c r="J241">
        <v>24.08</v>
      </c>
      <c r="K241">
        <v>24.24</v>
      </c>
      <c r="L241">
        <v>48.87</v>
      </c>
      <c r="M241">
        <v>57.7</v>
      </c>
      <c r="N241">
        <v>48.69</v>
      </c>
      <c r="O241">
        <v>51.39</v>
      </c>
      <c r="P241">
        <v>51.48</v>
      </c>
      <c r="Q241">
        <v>50.28</v>
      </c>
      <c r="R241">
        <v>48.74</v>
      </c>
      <c r="S241">
        <v>53.95</v>
      </c>
    </row>
    <row r="242" spans="1:19" x14ac:dyDescent="0.25">
      <c r="A242" t="s">
        <v>17</v>
      </c>
    </row>
    <row r="243" spans="1:19" x14ac:dyDescent="0.25">
      <c r="A243" t="s">
        <v>275</v>
      </c>
    </row>
    <row r="244" spans="1:19" x14ac:dyDescent="0.25">
      <c r="A244" t="s">
        <v>276</v>
      </c>
      <c r="E244">
        <v>690</v>
      </c>
      <c r="F244">
        <v>600</v>
      </c>
      <c r="G244">
        <v>926</v>
      </c>
      <c r="H244">
        <v>904</v>
      </c>
      <c r="I244" s="2">
        <v>1035</v>
      </c>
      <c r="J244" s="2">
        <v>1040</v>
      </c>
      <c r="K244" s="2">
        <v>1189</v>
      </c>
      <c r="L244" s="2">
        <v>1308</v>
      </c>
      <c r="M244" s="2">
        <v>1601</v>
      </c>
      <c r="N244" s="2">
        <v>1714</v>
      </c>
      <c r="O244" s="2">
        <v>1653.56</v>
      </c>
      <c r="P244" s="2">
        <v>1648.83</v>
      </c>
      <c r="Q244" s="2">
        <v>1661.58</v>
      </c>
      <c r="R244" s="2">
        <v>1709.78</v>
      </c>
      <c r="S244" s="2">
        <v>1755.96</v>
      </c>
    </row>
    <row r="245" spans="1:19" x14ac:dyDescent="0.25">
      <c r="A245" t="s">
        <v>3439</v>
      </c>
      <c r="E245">
        <v>0</v>
      </c>
      <c r="F245">
        <v>25</v>
      </c>
      <c r="G245">
        <v>0</v>
      </c>
      <c r="H245">
        <v>0</v>
      </c>
      <c r="I245">
        <v>356</v>
      </c>
      <c r="J245">
        <v>71</v>
      </c>
      <c r="K245">
        <v>74</v>
      </c>
      <c r="L245">
        <v>49</v>
      </c>
      <c r="M245">
        <v>0</v>
      </c>
      <c r="N245">
        <v>228</v>
      </c>
    </row>
    <row r="246" spans="1:19" x14ac:dyDescent="0.25">
      <c r="A246" t="s">
        <v>212</v>
      </c>
      <c r="E246">
        <v>872</v>
      </c>
      <c r="F246">
        <v>973</v>
      </c>
      <c r="G246" s="2">
        <v>1297</v>
      </c>
      <c r="H246" s="2">
        <v>1530</v>
      </c>
      <c r="I246" s="2">
        <v>1622</v>
      </c>
      <c r="J246" s="2">
        <v>1559</v>
      </c>
      <c r="K246" s="2">
        <v>1645</v>
      </c>
      <c r="L246" s="2">
        <v>1702</v>
      </c>
      <c r="M246" s="2">
        <v>2414</v>
      </c>
      <c r="N246" s="2">
        <v>2803</v>
      </c>
      <c r="O246" s="2">
        <v>2958.76</v>
      </c>
      <c r="P246" s="2">
        <v>2949.09</v>
      </c>
      <c r="Q246" s="2">
        <v>2932.59</v>
      </c>
      <c r="R246" s="2">
        <v>2972.64</v>
      </c>
      <c r="S246" s="2">
        <v>3025.37</v>
      </c>
    </row>
    <row r="247" spans="1:19" x14ac:dyDescent="0.25">
      <c r="A247" t="s">
        <v>3268</v>
      </c>
      <c r="E247" s="2">
        <v>2802</v>
      </c>
      <c r="F247" s="2">
        <v>2935</v>
      </c>
      <c r="G247" s="2">
        <v>5036</v>
      </c>
      <c r="H247" s="2">
        <v>5742</v>
      </c>
      <c r="I247" s="2">
        <v>5174</v>
      </c>
      <c r="J247" s="2">
        <v>9169</v>
      </c>
      <c r="K247" s="2">
        <v>10401</v>
      </c>
      <c r="L247" s="2">
        <v>7557</v>
      </c>
      <c r="M247" s="2">
        <v>7285</v>
      </c>
      <c r="N247" s="2">
        <v>9101</v>
      </c>
    </row>
    <row r="248" spans="1:19" x14ac:dyDescent="0.25">
      <c r="A248" t="s">
        <v>17</v>
      </c>
    </row>
    <row r="249" spans="1:19" x14ac:dyDescent="0.25">
      <c r="A249" t="s">
        <v>91</v>
      </c>
      <c r="E249">
        <v>407</v>
      </c>
      <c r="F249">
        <v>198</v>
      </c>
      <c r="G249">
        <v>491</v>
      </c>
      <c r="H249" s="2">
        <v>1993</v>
      </c>
      <c r="I249" s="2">
        <v>1519</v>
      </c>
      <c r="J249" s="2">
        <v>1515</v>
      </c>
      <c r="K249" s="2">
        <v>1177</v>
      </c>
      <c r="L249" s="2">
        <v>2661</v>
      </c>
      <c r="M249" s="2">
        <v>4081</v>
      </c>
      <c r="N249" s="2">
        <v>1906</v>
      </c>
      <c r="O249" s="2">
        <v>4659.87</v>
      </c>
      <c r="P249" s="2">
        <v>5434.67</v>
      </c>
      <c r="Q249" s="2">
        <v>6047.21</v>
      </c>
      <c r="R249" s="2">
        <v>7174.65</v>
      </c>
      <c r="S249" s="2">
        <v>7868.8</v>
      </c>
    </row>
    <row r="250" spans="1:19" x14ac:dyDescent="0.25">
      <c r="A250" t="s">
        <v>17</v>
      </c>
    </row>
    <row r="251" spans="1:19" x14ac:dyDescent="0.25">
      <c r="A251" t="s">
        <v>93</v>
      </c>
      <c r="E251">
        <v>675</v>
      </c>
      <c r="F251">
        <v>699</v>
      </c>
      <c r="G251" s="2">
        <v>1394</v>
      </c>
      <c r="H251" s="2">
        <v>1640</v>
      </c>
      <c r="I251" s="2">
        <v>1737</v>
      </c>
      <c r="J251" s="2">
        <v>1753</v>
      </c>
      <c r="K251" s="2">
        <v>1596</v>
      </c>
      <c r="L251" s="2">
        <v>1502</v>
      </c>
      <c r="M251" s="2">
        <v>1843</v>
      </c>
      <c r="N251" s="2">
        <v>1986</v>
      </c>
      <c r="O251" s="2">
        <v>2135.7800000000002</v>
      </c>
      <c r="P251" s="2">
        <v>2298.02</v>
      </c>
      <c r="Q251" s="2">
        <v>2341.1999999999998</v>
      </c>
      <c r="R251" s="2">
        <v>2412.79</v>
      </c>
      <c r="S251" s="2">
        <v>2478.75</v>
      </c>
    </row>
    <row r="252" spans="1:19" x14ac:dyDescent="0.25">
      <c r="A252" t="s">
        <v>277</v>
      </c>
      <c r="E252" s="2">
        <v>23277</v>
      </c>
      <c r="F252" s="2">
        <v>1278</v>
      </c>
      <c r="G252" s="2">
        <v>2004</v>
      </c>
      <c r="H252" s="2">
        <v>3889</v>
      </c>
      <c r="I252" s="2">
        <v>3568</v>
      </c>
      <c r="J252">
        <v>712</v>
      </c>
      <c r="K252">
        <v>855</v>
      </c>
      <c r="L252" s="2">
        <v>4696</v>
      </c>
      <c r="M252" s="2">
        <v>6998</v>
      </c>
      <c r="N252" s="2">
        <v>5252</v>
      </c>
    </row>
    <row r="253" spans="1:19" x14ac:dyDescent="0.25">
      <c r="A253" t="s">
        <v>17</v>
      </c>
    </row>
    <row r="254" spans="1:19" x14ac:dyDescent="0.25">
      <c r="A254" t="s">
        <v>3440</v>
      </c>
      <c r="E254">
        <v>97</v>
      </c>
      <c r="F254">
        <v>-208</v>
      </c>
      <c r="G254">
        <v>84</v>
      </c>
      <c r="H254">
        <v>15</v>
      </c>
      <c r="I254">
        <v>42</v>
      </c>
      <c r="J254">
        <v>16</v>
      </c>
      <c r="K254">
        <v>4</v>
      </c>
      <c r="L254">
        <v>14</v>
      </c>
      <c r="M254">
        <v>21</v>
      </c>
      <c r="N254">
        <v>0</v>
      </c>
    </row>
    <row r="255" spans="1:19" x14ac:dyDescent="0.25">
      <c r="A255" t="s">
        <v>483</v>
      </c>
      <c r="E255" s="2">
        <v>1105</v>
      </c>
      <c r="F255">
        <v>193</v>
      </c>
      <c r="G255">
        <v>572</v>
      </c>
      <c r="H255">
        <v>797</v>
      </c>
      <c r="I255">
        <v>630</v>
      </c>
      <c r="J255">
        <v>384</v>
      </c>
      <c r="K255">
        <v>368</v>
      </c>
      <c r="L255">
        <v>740</v>
      </c>
      <c r="M255">
        <v>900</v>
      </c>
      <c r="N255" s="2">
        <v>1179</v>
      </c>
      <c r="O255" s="2">
        <v>1208.68</v>
      </c>
      <c r="P255" s="2">
        <v>1229.97</v>
      </c>
      <c r="Q255" s="2">
        <v>1175.2</v>
      </c>
      <c r="R255" s="2">
        <v>1066.6600000000001</v>
      </c>
      <c r="S255" s="2">
        <v>1005.25</v>
      </c>
    </row>
    <row r="256" spans="1:19" x14ac:dyDescent="0.25">
      <c r="A256" t="s">
        <v>100</v>
      </c>
      <c r="F256">
        <v>250</v>
      </c>
      <c r="G256">
        <v>-101</v>
      </c>
      <c r="H256" s="2">
        <v>1216</v>
      </c>
      <c r="I256">
        <v>890</v>
      </c>
      <c r="J256" s="2">
        <v>-1722</v>
      </c>
      <c r="K256" s="2">
        <v>-1560</v>
      </c>
      <c r="L256" s="2">
        <v>2000</v>
      </c>
      <c r="M256" s="2">
        <v>3467</v>
      </c>
      <c r="N256" s="2">
        <v>1123</v>
      </c>
      <c r="O256" s="2">
        <v>3847.27</v>
      </c>
      <c r="P256" s="2">
        <v>4518.91</v>
      </c>
      <c r="Q256" s="2">
        <v>5246.64</v>
      </c>
      <c r="R256" s="2">
        <v>5585</v>
      </c>
      <c r="S256" s="2">
        <v>7448.14</v>
      </c>
    </row>
    <row r="257" spans="1:21" x14ac:dyDescent="0.25">
      <c r="A257" t="s">
        <v>17</v>
      </c>
    </row>
    <row r="258" spans="1:21" x14ac:dyDescent="0.25">
      <c r="A258" t="s">
        <v>101</v>
      </c>
      <c r="E258" s="2">
        <v>-1337</v>
      </c>
      <c r="F258">
        <v>504</v>
      </c>
      <c r="G258">
        <v>-45</v>
      </c>
      <c r="H258">
        <v>290</v>
      </c>
      <c r="I258">
        <v>266</v>
      </c>
      <c r="J258">
        <v>-458</v>
      </c>
      <c r="K258">
        <v>-350</v>
      </c>
      <c r="L258">
        <v>508</v>
      </c>
      <c r="M258">
        <v>655</v>
      </c>
      <c r="N258">
        <v>179</v>
      </c>
      <c r="O258">
        <v>716.49</v>
      </c>
      <c r="P258">
        <v>814.92</v>
      </c>
      <c r="Q258">
        <v>968.3</v>
      </c>
      <c r="R258" s="2">
        <v>1023.7</v>
      </c>
      <c r="S258" s="2">
        <v>1103.1400000000001</v>
      </c>
      <c r="T258">
        <v>178</v>
      </c>
      <c r="U258">
        <v>178</v>
      </c>
    </row>
    <row r="259" spans="1:21" x14ac:dyDescent="0.25">
      <c r="A259" t="s">
        <v>102</v>
      </c>
      <c r="F259">
        <v>201.6</v>
      </c>
      <c r="G259">
        <v>44.6</v>
      </c>
      <c r="H259">
        <v>23.8</v>
      </c>
      <c r="I259">
        <v>29.9</v>
      </c>
      <c r="J259">
        <v>26.6</v>
      </c>
      <c r="K259">
        <v>22.4</v>
      </c>
      <c r="L259">
        <v>25.4</v>
      </c>
      <c r="M259">
        <v>18.899999999999999</v>
      </c>
      <c r="N259">
        <v>15.9</v>
      </c>
      <c r="O259">
        <v>20.87</v>
      </c>
      <c r="P259">
        <v>16.010000000000002</v>
      </c>
      <c r="Q259">
        <v>17.57</v>
      </c>
      <c r="R259">
        <v>15.8</v>
      </c>
      <c r="S259">
        <v>15.8</v>
      </c>
    </row>
    <row r="260" spans="1:21" x14ac:dyDescent="0.25">
      <c r="A260" t="s">
        <v>17</v>
      </c>
    </row>
    <row r="261" spans="1:21" x14ac:dyDescent="0.25">
      <c r="A261" t="s">
        <v>3441</v>
      </c>
      <c r="E261" s="2">
        <v>22688</v>
      </c>
      <c r="F261">
        <v>-254</v>
      </c>
      <c r="G261">
        <v>-56</v>
      </c>
      <c r="H261">
        <v>926</v>
      </c>
      <c r="I261">
        <v>624</v>
      </c>
      <c r="J261" s="2">
        <v>-1264</v>
      </c>
      <c r="K261" s="2">
        <v>-1210</v>
      </c>
      <c r="L261" s="2">
        <v>1492</v>
      </c>
      <c r="M261" s="2">
        <v>2812</v>
      </c>
      <c r="N261">
        <v>944</v>
      </c>
      <c r="O261" s="2">
        <v>2982.68</v>
      </c>
      <c r="P261" s="2">
        <v>3453.18</v>
      </c>
      <c r="Q261" s="2">
        <v>3948.15</v>
      </c>
      <c r="R261" s="2">
        <v>4339.34</v>
      </c>
      <c r="S261" s="2">
        <v>4719.8500000000004</v>
      </c>
    </row>
    <row r="262" spans="1:21" x14ac:dyDescent="0.25">
      <c r="A262" t="s">
        <v>105</v>
      </c>
      <c r="F262">
        <v>0</v>
      </c>
      <c r="G262">
        <v>-2</v>
      </c>
      <c r="H262">
        <v>-2</v>
      </c>
      <c r="I262">
        <v>-12</v>
      </c>
      <c r="J262">
        <v>10</v>
      </c>
      <c r="K262">
        <v>17</v>
      </c>
      <c r="L262">
        <v>-1</v>
      </c>
      <c r="M262">
        <v>153</v>
      </c>
      <c r="N262">
        <v>0</v>
      </c>
      <c r="O262">
        <v>-8.3000000000000007</v>
      </c>
      <c r="P262">
        <v>-18.809999999999999</v>
      </c>
      <c r="Q262">
        <v>-22.33</v>
      </c>
    </row>
    <row r="263" spans="1:21" x14ac:dyDescent="0.25">
      <c r="A263" t="s">
        <v>106</v>
      </c>
      <c r="F263">
        <v>-254</v>
      </c>
      <c r="G263">
        <v>-54</v>
      </c>
      <c r="H263">
        <v>928</v>
      </c>
      <c r="I263">
        <v>636</v>
      </c>
      <c r="J263" s="2">
        <v>-1274</v>
      </c>
      <c r="K263" s="2">
        <v>-1377</v>
      </c>
      <c r="L263" s="2">
        <v>1343</v>
      </c>
      <c r="M263" s="2">
        <v>2467</v>
      </c>
      <c r="N263">
        <v>752</v>
      </c>
      <c r="O263" s="2">
        <v>2843.82</v>
      </c>
      <c r="P263" s="2">
        <v>3360</v>
      </c>
      <c r="Q263" s="2">
        <v>3833.45</v>
      </c>
      <c r="R263" s="2">
        <v>4274.5600000000004</v>
      </c>
      <c r="S263" s="2">
        <v>4608.1099999999997</v>
      </c>
    </row>
    <row r="264" spans="1:21" x14ac:dyDescent="0.25">
      <c r="A264" t="s">
        <v>2510</v>
      </c>
      <c r="E264">
        <v>2.3199999999999998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150</v>
      </c>
      <c r="L264">
        <v>150</v>
      </c>
      <c r="M264">
        <v>192</v>
      </c>
      <c r="N264">
        <v>192</v>
      </c>
      <c r="O264">
        <v>189.1</v>
      </c>
      <c r="P264">
        <v>149.13999999999999</v>
      </c>
      <c r="Q264">
        <v>149.13999999999999</v>
      </c>
      <c r="R264">
        <v>191.91</v>
      </c>
      <c r="S264">
        <v>191.91</v>
      </c>
    </row>
    <row r="265" spans="1:21" x14ac:dyDescent="0.25">
      <c r="A265" t="s">
        <v>17</v>
      </c>
    </row>
    <row r="266" spans="1:21" x14ac:dyDescent="0.25">
      <c r="A266" t="s">
        <v>108</v>
      </c>
      <c r="E266">
        <v>427.56</v>
      </c>
      <c r="F266">
        <v>427.76</v>
      </c>
      <c r="G266">
        <v>504.95</v>
      </c>
      <c r="H266">
        <v>494.15</v>
      </c>
      <c r="I266">
        <v>488.67</v>
      </c>
      <c r="J266">
        <v>482.21</v>
      </c>
      <c r="K266">
        <v>422.45</v>
      </c>
      <c r="L266">
        <v>369.77</v>
      </c>
      <c r="M266">
        <v>344.79</v>
      </c>
      <c r="N266">
        <v>339.12</v>
      </c>
      <c r="O266">
        <v>336.43</v>
      </c>
      <c r="P266">
        <v>333.11</v>
      </c>
      <c r="Q266">
        <v>323.73</v>
      </c>
      <c r="R266">
        <v>309.02</v>
      </c>
      <c r="S266">
        <v>296.08999999999997</v>
      </c>
    </row>
    <row r="267" spans="1:21" x14ac:dyDescent="0.25">
      <c r="A267" t="s">
        <v>17</v>
      </c>
    </row>
    <row r="268" spans="1:21" x14ac:dyDescent="0.25">
      <c r="A268" t="s">
        <v>109</v>
      </c>
      <c r="E268">
        <v>427.56</v>
      </c>
      <c r="F268">
        <v>427.76</v>
      </c>
      <c r="G268">
        <v>504.95</v>
      </c>
      <c r="H268">
        <v>499.94</v>
      </c>
      <c r="I268">
        <v>491.09</v>
      </c>
      <c r="J268">
        <v>482.21</v>
      </c>
      <c r="K268">
        <v>422.45</v>
      </c>
      <c r="L268">
        <v>375.19</v>
      </c>
      <c r="M268">
        <v>352.57</v>
      </c>
      <c r="N268">
        <v>345.66</v>
      </c>
      <c r="O268">
        <v>340.08</v>
      </c>
      <c r="P268">
        <v>335.17</v>
      </c>
      <c r="Q268">
        <v>326.56</v>
      </c>
      <c r="R268">
        <v>317.10000000000002</v>
      </c>
      <c r="S268">
        <v>307.81</v>
      </c>
    </row>
    <row r="269" spans="1:21" x14ac:dyDescent="0.25">
      <c r="A269" t="s">
        <v>110</v>
      </c>
      <c r="F269">
        <v>-0.59</v>
      </c>
      <c r="G269">
        <v>-0.11</v>
      </c>
      <c r="H269">
        <v>1.9</v>
      </c>
      <c r="I269">
        <v>1.3</v>
      </c>
      <c r="J269">
        <v>-2.69</v>
      </c>
      <c r="K269">
        <v>-3.26</v>
      </c>
      <c r="L269">
        <v>3.58</v>
      </c>
      <c r="M269">
        <v>7</v>
      </c>
      <c r="N269">
        <v>2.1800000000000002</v>
      </c>
      <c r="O269">
        <v>8.5</v>
      </c>
      <c r="P269">
        <v>10.24</v>
      </c>
      <c r="Q269">
        <v>11.79</v>
      </c>
      <c r="R269">
        <v>13.46</v>
      </c>
      <c r="S269">
        <v>15.36</v>
      </c>
    </row>
    <row r="270" spans="1:21" x14ac:dyDescent="0.25">
      <c r="A270" t="s">
        <v>17</v>
      </c>
    </row>
    <row r="271" spans="1:21" x14ac:dyDescent="0.25">
      <c r="A271" t="s">
        <v>487</v>
      </c>
      <c r="E271">
        <v>2.3199999999999998</v>
      </c>
      <c r="F271">
        <v>0</v>
      </c>
      <c r="G271">
        <v>0</v>
      </c>
      <c r="H271">
        <v>0.5</v>
      </c>
      <c r="I271">
        <v>0.54</v>
      </c>
      <c r="J271">
        <v>0.6</v>
      </c>
      <c r="K271">
        <v>0.72</v>
      </c>
      <c r="L271">
        <v>0.82</v>
      </c>
      <c r="M271">
        <v>0.87</v>
      </c>
      <c r="N271">
        <v>0.9</v>
      </c>
      <c r="O271">
        <v>0.93</v>
      </c>
      <c r="P271">
        <v>0.97</v>
      </c>
      <c r="Q271">
        <v>1.01</v>
      </c>
      <c r="R271">
        <v>1.07</v>
      </c>
      <c r="S271">
        <v>1.07</v>
      </c>
    </row>
    <row r="272" spans="1:21" x14ac:dyDescent="0.25">
      <c r="A272" t="s">
        <v>17</v>
      </c>
    </row>
    <row r="273" spans="1:21" x14ac:dyDescent="0.25">
      <c r="A273" t="s">
        <v>111</v>
      </c>
    </row>
    <row r="274" spans="1:21" x14ac:dyDescent="0.25">
      <c r="A274" t="s">
        <v>116</v>
      </c>
      <c r="F274">
        <v>674</v>
      </c>
      <c r="G274" s="2">
        <v>1288</v>
      </c>
      <c r="H274" s="2">
        <v>1612</v>
      </c>
      <c r="I274" s="2">
        <v>1873</v>
      </c>
      <c r="J274" s="2">
        <v>-1515</v>
      </c>
      <c r="K274" s="2">
        <v>-1177</v>
      </c>
      <c r="L274" s="2">
        <v>2661</v>
      </c>
      <c r="M274" s="2">
        <v>4081</v>
      </c>
      <c r="N274" s="2">
        <v>1906</v>
      </c>
      <c r="O274" s="2">
        <v>4996.08</v>
      </c>
      <c r="P274" s="2">
        <v>5528.85</v>
      </c>
      <c r="Q274" s="2">
        <v>6106.23</v>
      </c>
      <c r="R274" s="2">
        <v>6072.57</v>
      </c>
      <c r="S274" s="2">
        <v>6162.86</v>
      </c>
    </row>
    <row r="275" spans="1:21" x14ac:dyDescent="0.25">
      <c r="A275" t="s">
        <v>117</v>
      </c>
      <c r="F275" s="2">
        <v>1455</v>
      </c>
      <c r="G275" s="2">
        <v>2760</v>
      </c>
      <c r="H275">
        <v>700</v>
      </c>
      <c r="I275" s="2">
        <v>3685</v>
      </c>
      <c r="J275" s="2">
        <v>1908</v>
      </c>
      <c r="K275" s="2">
        <v>2994</v>
      </c>
      <c r="L275" s="2">
        <v>4101</v>
      </c>
      <c r="M275" s="2">
        <v>5539</v>
      </c>
      <c r="N275" s="2">
        <v>5838</v>
      </c>
      <c r="O275" s="2">
        <v>7165.27</v>
      </c>
      <c r="P275" s="2">
        <v>8017.67</v>
      </c>
      <c r="Q275" s="2">
        <v>8678.1200000000008</v>
      </c>
      <c r="R275" s="2">
        <v>9335.57</v>
      </c>
      <c r="S275" s="2">
        <v>9844.8700000000008</v>
      </c>
      <c r="T275" s="2">
        <v>9403.16</v>
      </c>
      <c r="U275" s="2">
        <v>9753.8799999999992</v>
      </c>
    </row>
    <row r="276" spans="1:21" x14ac:dyDescent="0.25">
      <c r="A276" t="s">
        <v>3442</v>
      </c>
      <c r="F276" s="2">
        <v>1455</v>
      </c>
      <c r="G276" s="2">
        <v>2809</v>
      </c>
      <c r="H276" s="2">
        <v>3393</v>
      </c>
      <c r="I276" s="2">
        <v>3766</v>
      </c>
      <c r="J276" s="2">
        <v>1941</v>
      </c>
      <c r="K276" s="2">
        <v>3115</v>
      </c>
      <c r="L276" s="2">
        <v>4140</v>
      </c>
      <c r="M276" s="2">
        <v>5539</v>
      </c>
      <c r="N276" s="2">
        <v>5912</v>
      </c>
      <c r="O276" s="2">
        <v>7293</v>
      </c>
      <c r="P276" s="2">
        <v>8076.33</v>
      </c>
      <c r="Q276" s="2">
        <v>8792.8700000000008</v>
      </c>
      <c r="R276" s="2">
        <v>9317.11</v>
      </c>
      <c r="S276" s="2">
        <v>9760.2199999999993</v>
      </c>
      <c r="T276" s="2">
        <v>9403</v>
      </c>
      <c r="U276" s="2">
        <v>9754</v>
      </c>
    </row>
    <row r="277" spans="1:21" x14ac:dyDescent="0.25">
      <c r="A277" t="s">
        <v>121</v>
      </c>
      <c r="F277">
        <v>308.14999999999998</v>
      </c>
      <c r="G277">
        <v>462.66</v>
      </c>
      <c r="H277">
        <v>666.51</v>
      </c>
      <c r="I277">
        <v>899.86</v>
      </c>
      <c r="J277" s="2">
        <v>-1274</v>
      </c>
      <c r="K277" s="2">
        <v>-1377</v>
      </c>
      <c r="L277" s="2">
        <v>1343</v>
      </c>
      <c r="M277" s="2">
        <v>2467</v>
      </c>
      <c r="N277">
        <v>752</v>
      </c>
      <c r="O277" s="2">
        <v>2974.6</v>
      </c>
      <c r="P277" s="2">
        <v>3437.33</v>
      </c>
      <c r="Q277" s="2">
        <v>3963.2</v>
      </c>
      <c r="R277" s="2">
        <v>4175.5600000000004</v>
      </c>
      <c r="S277" s="2">
        <v>4328.67</v>
      </c>
    </row>
    <row r="278" spans="1:21" x14ac:dyDescent="0.25">
      <c r="A278" t="s">
        <v>124</v>
      </c>
      <c r="F278">
        <v>0.72</v>
      </c>
      <c r="G278">
        <v>0.92</v>
      </c>
      <c r="H278">
        <v>1.37</v>
      </c>
      <c r="I278">
        <v>1.84</v>
      </c>
      <c r="J278">
        <v>-2.69</v>
      </c>
      <c r="K278">
        <v>-3.26</v>
      </c>
      <c r="L278">
        <v>3.58</v>
      </c>
      <c r="M278">
        <v>7</v>
      </c>
      <c r="N278">
        <v>2.1800000000000002</v>
      </c>
      <c r="O278">
        <v>8.59</v>
      </c>
      <c r="P278">
        <v>10.16</v>
      </c>
      <c r="Q278">
        <v>11.92</v>
      </c>
      <c r="R278">
        <v>13.42</v>
      </c>
      <c r="S278">
        <v>14.85</v>
      </c>
    </row>
    <row r="279" spans="1:21" x14ac:dyDescent="0.25">
      <c r="A279" t="s">
        <v>17</v>
      </c>
    </row>
    <row r="280" spans="1:21" x14ac:dyDescent="0.25">
      <c r="A280" t="s">
        <v>134</v>
      </c>
    </row>
    <row r="281" spans="1:21" x14ac:dyDescent="0.25">
      <c r="A281" t="s">
        <v>135</v>
      </c>
    </row>
    <row r="282" spans="1:21" x14ac:dyDescent="0.25">
      <c r="A282" t="s">
        <v>136</v>
      </c>
      <c r="E282" s="2">
        <v>2473</v>
      </c>
      <c r="F282" s="2">
        <v>2673</v>
      </c>
      <c r="G282" s="2">
        <v>3435</v>
      </c>
      <c r="H282" s="2">
        <v>4114</v>
      </c>
      <c r="I282" s="2">
        <v>3429</v>
      </c>
      <c r="J282" s="2">
        <v>7883</v>
      </c>
      <c r="K282" s="2">
        <v>11116</v>
      </c>
      <c r="L282" s="2">
        <v>11637</v>
      </c>
      <c r="M282" s="2">
        <v>8119</v>
      </c>
      <c r="N282" s="2">
        <v>9179</v>
      </c>
      <c r="O282" s="2">
        <v>9696.11</v>
      </c>
      <c r="P282" s="2">
        <v>10771.27</v>
      </c>
      <c r="Q282" s="2">
        <v>11892.14</v>
      </c>
      <c r="R282" s="2">
        <v>14525.66</v>
      </c>
      <c r="S282" s="2">
        <v>16581.02</v>
      </c>
    </row>
    <row r="283" spans="1:21" x14ac:dyDescent="0.25">
      <c r="A283" t="s">
        <v>536</v>
      </c>
      <c r="E283">
        <v>843</v>
      </c>
      <c r="F283" s="2">
        <v>1487</v>
      </c>
      <c r="G283">
        <v>636</v>
      </c>
      <c r="H283">
        <v>300</v>
      </c>
      <c r="I283">
        <v>406</v>
      </c>
      <c r="J283" s="2">
        <v>1325</v>
      </c>
      <c r="K283">
        <v>455</v>
      </c>
      <c r="L283" s="2">
        <v>3485</v>
      </c>
      <c r="M283" s="2">
        <v>1188</v>
      </c>
      <c r="N283">
        <v>785</v>
      </c>
      <c r="O283" s="2">
        <v>1111.45</v>
      </c>
      <c r="P283" s="2">
        <v>1909.09</v>
      </c>
      <c r="Q283" s="2">
        <v>3110.33</v>
      </c>
      <c r="R283" s="2">
        <v>4739.8</v>
      </c>
      <c r="S283" s="2">
        <v>6579.77</v>
      </c>
    </row>
    <row r="284" spans="1:21" x14ac:dyDescent="0.25">
      <c r="A284" t="s">
        <v>408</v>
      </c>
      <c r="E284">
        <v>95</v>
      </c>
      <c r="F284">
        <v>59</v>
      </c>
      <c r="G284">
        <v>57</v>
      </c>
      <c r="H284">
        <v>147</v>
      </c>
      <c r="I284">
        <v>19</v>
      </c>
      <c r="J284">
        <v>21</v>
      </c>
      <c r="K284">
        <v>37</v>
      </c>
      <c r="L284">
        <v>40</v>
      </c>
      <c r="M284">
        <v>28</v>
      </c>
      <c r="N284">
        <v>31</v>
      </c>
      <c r="O284">
        <v>32.43</v>
      </c>
      <c r="P284">
        <v>32.43</v>
      </c>
      <c r="Q284">
        <v>32.43</v>
      </c>
      <c r="R284">
        <v>31</v>
      </c>
      <c r="S284">
        <v>31</v>
      </c>
    </row>
    <row r="285" spans="1:21" x14ac:dyDescent="0.25">
      <c r="A285" t="s">
        <v>141</v>
      </c>
      <c r="E285">
        <v>612</v>
      </c>
      <c r="F285">
        <v>582</v>
      </c>
      <c r="G285" s="2">
        <v>1087</v>
      </c>
      <c r="H285" s="2">
        <v>1365</v>
      </c>
      <c r="I285" s="2">
        <v>1279</v>
      </c>
      <c r="J285" s="2">
        <v>1397</v>
      </c>
      <c r="K285" s="2">
        <v>2059</v>
      </c>
      <c r="L285" s="2">
        <v>1674</v>
      </c>
      <c r="M285" s="2">
        <v>1982</v>
      </c>
      <c r="N285" s="2">
        <v>2323</v>
      </c>
      <c r="O285" s="2">
        <v>2234.85</v>
      </c>
      <c r="P285" s="2">
        <v>2348.39</v>
      </c>
      <c r="Q285" s="2">
        <v>2381.85</v>
      </c>
      <c r="R285" s="2">
        <v>2503.37</v>
      </c>
      <c r="S285" s="2">
        <v>2524.4499999999998</v>
      </c>
    </row>
    <row r="286" spans="1:21" x14ac:dyDescent="0.25">
      <c r="A286" t="s">
        <v>340</v>
      </c>
      <c r="E286">
        <v>285</v>
      </c>
      <c r="F286">
        <v>253</v>
      </c>
      <c r="G286">
        <v>412</v>
      </c>
      <c r="H286">
        <v>469</v>
      </c>
      <c r="I286">
        <v>515</v>
      </c>
      <c r="J286">
        <v>610</v>
      </c>
      <c r="K286">
        <v>570</v>
      </c>
      <c r="L286">
        <v>740</v>
      </c>
      <c r="M286">
        <v>970</v>
      </c>
      <c r="N286" s="2">
        <v>1016</v>
      </c>
      <c r="O286">
        <v>986.39</v>
      </c>
      <c r="P286" s="2">
        <v>1059.27</v>
      </c>
      <c r="Q286" s="2">
        <v>1083.28</v>
      </c>
      <c r="R286" s="2">
        <v>1140.29</v>
      </c>
      <c r="S286" s="2">
        <v>1170.17</v>
      </c>
    </row>
    <row r="287" spans="1:21" x14ac:dyDescent="0.25">
      <c r="A287" t="s">
        <v>145</v>
      </c>
      <c r="E287">
        <v>638</v>
      </c>
      <c r="F287">
        <v>292</v>
      </c>
      <c r="G287" s="2">
        <v>1243</v>
      </c>
      <c r="H287" s="2">
        <v>1833</v>
      </c>
      <c r="I287" s="2">
        <v>1210</v>
      </c>
      <c r="J287" s="2">
        <v>4530</v>
      </c>
      <c r="K287" s="2">
        <v>7995</v>
      </c>
      <c r="L287" s="2">
        <v>5698</v>
      </c>
      <c r="M287" s="2">
        <v>3951</v>
      </c>
      <c r="N287" s="2">
        <v>5024</v>
      </c>
      <c r="O287" s="2">
        <v>5841.67</v>
      </c>
      <c r="P287" s="2">
        <v>6384</v>
      </c>
      <c r="Q287" s="2">
        <v>6859.67</v>
      </c>
      <c r="R287" s="2">
        <v>8092.5</v>
      </c>
      <c r="S287" s="2">
        <v>8684.5</v>
      </c>
    </row>
    <row r="288" spans="1:21" x14ac:dyDescent="0.25">
      <c r="A288" t="s">
        <v>146</v>
      </c>
    </row>
    <row r="289" spans="1:19" x14ac:dyDescent="0.25">
      <c r="A289" t="s">
        <v>409</v>
      </c>
      <c r="E289" s="2">
        <v>4443</v>
      </c>
      <c r="F289" s="2">
        <v>4820</v>
      </c>
      <c r="G289" s="2">
        <v>14612</v>
      </c>
      <c r="H289" s="2">
        <v>13914</v>
      </c>
      <c r="I289" s="2">
        <v>13499</v>
      </c>
      <c r="J289" s="2">
        <v>13056</v>
      </c>
      <c r="K289" s="2">
        <v>12554</v>
      </c>
      <c r="L289" s="2">
        <v>12432</v>
      </c>
      <c r="M289" s="2">
        <v>18173</v>
      </c>
      <c r="N289" s="2">
        <v>19846</v>
      </c>
      <c r="O289" s="2">
        <v>21558.42</v>
      </c>
      <c r="P289" s="2">
        <v>21591.96</v>
      </c>
      <c r="Q289" s="2">
        <v>21610.43</v>
      </c>
      <c r="R289" s="2">
        <v>21574.720000000001</v>
      </c>
      <c r="S289" s="2">
        <v>21515.45</v>
      </c>
    </row>
    <row r="290" spans="1:19" x14ac:dyDescent="0.25">
      <c r="A290" t="s">
        <v>2728</v>
      </c>
      <c r="E290" s="2">
        <v>1064</v>
      </c>
      <c r="F290" s="2">
        <v>1240</v>
      </c>
      <c r="G290" s="2">
        <v>1381</v>
      </c>
      <c r="H290" s="2">
        <v>1661</v>
      </c>
      <c r="I290" s="2">
        <v>1759</v>
      </c>
      <c r="J290" s="2">
        <v>2049</v>
      </c>
      <c r="K290" s="2">
        <v>1729</v>
      </c>
      <c r="L290" s="2">
        <v>2035</v>
      </c>
      <c r="M290" s="2">
        <v>4512</v>
      </c>
      <c r="N290" s="2">
        <v>5091</v>
      </c>
      <c r="O290" s="2">
        <v>5172.68</v>
      </c>
      <c r="P290" s="2">
        <v>5260.53</v>
      </c>
      <c r="Q290" s="2">
        <v>5276.93</v>
      </c>
      <c r="R290" s="2">
        <v>5327.34</v>
      </c>
      <c r="S290" s="2">
        <v>5329.34</v>
      </c>
    </row>
    <row r="291" spans="1:19" x14ac:dyDescent="0.25">
      <c r="A291" t="s">
        <v>604</v>
      </c>
      <c r="E291" s="2">
        <v>1122</v>
      </c>
      <c r="F291">
        <v>710</v>
      </c>
      <c r="G291" s="2">
        <v>1336</v>
      </c>
      <c r="H291" s="2">
        <v>1066</v>
      </c>
      <c r="I291">
        <v>838</v>
      </c>
      <c r="J291" s="2">
        <v>1302</v>
      </c>
      <c r="K291" s="2">
        <v>1710</v>
      </c>
      <c r="L291" s="2">
        <v>1223</v>
      </c>
      <c r="M291">
        <v>9</v>
      </c>
      <c r="N291">
        <v>239</v>
      </c>
      <c r="O291">
        <v>-29.09</v>
      </c>
      <c r="P291">
        <v>-155.52000000000001</v>
      </c>
      <c r="Q291">
        <v>-304.52</v>
      </c>
      <c r="R291">
        <v>39.81</v>
      </c>
      <c r="S291">
        <v>39.81</v>
      </c>
    </row>
    <row r="292" spans="1:19" x14ac:dyDescent="0.25">
      <c r="A292" t="s">
        <v>496</v>
      </c>
      <c r="E292" s="2">
        <v>1907</v>
      </c>
      <c r="F292" s="2">
        <v>1907</v>
      </c>
      <c r="G292" s="2">
        <v>2068</v>
      </c>
      <c r="H292" s="2">
        <v>2553</v>
      </c>
      <c r="I292" s="2">
        <v>2583</v>
      </c>
      <c r="J292" s="2">
        <v>2583</v>
      </c>
      <c r="K292" s="2">
        <v>2583</v>
      </c>
      <c r="L292" s="2">
        <v>2583</v>
      </c>
      <c r="M292" s="2">
        <v>2807</v>
      </c>
      <c r="N292" s="2">
        <v>2810</v>
      </c>
      <c r="O292" s="2">
        <v>2886.25</v>
      </c>
      <c r="P292" s="2">
        <v>2886.25</v>
      </c>
      <c r="Q292" s="2">
        <v>2886.25</v>
      </c>
      <c r="R292" s="2">
        <v>2911.67</v>
      </c>
      <c r="S292" s="2">
        <v>2911.83</v>
      </c>
    </row>
    <row r="293" spans="1:19" x14ac:dyDescent="0.25">
      <c r="A293" t="s">
        <v>312</v>
      </c>
      <c r="E293" s="2">
        <v>3205</v>
      </c>
      <c r="F293" s="2">
        <v>2530</v>
      </c>
      <c r="G293" s="2">
        <v>2493</v>
      </c>
      <c r="H293" s="2">
        <v>2748</v>
      </c>
      <c r="I293" s="2">
        <v>2446</v>
      </c>
      <c r="J293" s="2">
        <v>2146</v>
      </c>
      <c r="K293" s="2">
        <v>1958</v>
      </c>
      <c r="L293" s="2">
        <v>1864</v>
      </c>
      <c r="M293" s="2">
        <v>2213</v>
      </c>
      <c r="N293" s="2">
        <v>2435</v>
      </c>
      <c r="O293" s="2">
        <v>2334.25</v>
      </c>
      <c r="P293" s="2">
        <v>2334.25</v>
      </c>
      <c r="Q293" s="2">
        <v>2334.25</v>
      </c>
      <c r="R293" s="2">
        <v>2325.5</v>
      </c>
      <c r="S293" s="2">
        <v>2342.17</v>
      </c>
    </row>
    <row r="294" spans="1:19" x14ac:dyDescent="0.25">
      <c r="A294" t="s">
        <v>155</v>
      </c>
      <c r="E294" s="2">
        <v>15167</v>
      </c>
      <c r="F294" s="2">
        <v>14600</v>
      </c>
      <c r="G294" s="2">
        <v>26024</v>
      </c>
      <c r="H294" s="2">
        <v>26616</v>
      </c>
      <c r="I294" s="2">
        <v>25208</v>
      </c>
      <c r="J294" s="2">
        <v>29683</v>
      </c>
      <c r="K294" s="2">
        <v>32787</v>
      </c>
      <c r="L294" s="2">
        <v>32966</v>
      </c>
      <c r="M294" s="2">
        <v>37770</v>
      </c>
      <c r="N294" s="2">
        <v>41550</v>
      </c>
      <c r="O294" s="2">
        <v>43859.27</v>
      </c>
      <c r="P294" s="2">
        <v>44952.09</v>
      </c>
      <c r="Q294" s="2">
        <v>46161.42</v>
      </c>
      <c r="R294" s="2">
        <v>48483.17</v>
      </c>
      <c r="S294" s="2">
        <v>50490.09</v>
      </c>
    </row>
    <row r="295" spans="1:19" x14ac:dyDescent="0.25">
      <c r="A295" t="s">
        <v>17</v>
      </c>
    </row>
    <row r="296" spans="1:19" x14ac:dyDescent="0.25">
      <c r="A296" t="s">
        <v>156</v>
      </c>
    </row>
    <row r="297" spans="1:19" x14ac:dyDescent="0.25">
      <c r="A297" t="s">
        <v>157</v>
      </c>
      <c r="E297" s="2">
        <v>1504</v>
      </c>
      <c r="F297" s="2">
        <v>1351</v>
      </c>
      <c r="G297" s="2">
        <v>3625</v>
      </c>
      <c r="H297" s="2">
        <v>4574</v>
      </c>
      <c r="I297" s="2">
        <v>3036</v>
      </c>
      <c r="J297" s="2">
        <v>5843</v>
      </c>
      <c r="K297" s="2">
        <v>10337</v>
      </c>
      <c r="L297" s="2">
        <v>9823</v>
      </c>
      <c r="M297" s="2">
        <v>8432</v>
      </c>
      <c r="N297" s="2">
        <v>11814</v>
      </c>
      <c r="O297" s="2">
        <v>11235.54</v>
      </c>
      <c r="P297" s="2">
        <v>10906.67</v>
      </c>
      <c r="Q297" s="2">
        <v>10951.17</v>
      </c>
      <c r="R297" s="2">
        <v>11381.57</v>
      </c>
      <c r="S297" s="2">
        <v>11752.14</v>
      </c>
    </row>
    <row r="298" spans="1:19" x14ac:dyDescent="0.25">
      <c r="A298" t="s">
        <v>158</v>
      </c>
      <c r="E298">
        <v>479</v>
      </c>
      <c r="F298">
        <v>473</v>
      </c>
      <c r="G298">
        <v>945</v>
      </c>
      <c r="H298">
        <v>947</v>
      </c>
      <c r="I298">
        <v>880</v>
      </c>
      <c r="J298" s="2">
        <v>1515</v>
      </c>
      <c r="K298" s="2">
        <v>1556</v>
      </c>
      <c r="L298" s="2">
        <v>1147</v>
      </c>
      <c r="M298" s="2">
        <v>1510</v>
      </c>
      <c r="N298" s="2">
        <v>1644</v>
      </c>
      <c r="O298" s="2">
        <v>1513.37</v>
      </c>
      <c r="P298" s="2">
        <v>1580.62</v>
      </c>
      <c r="Q298" s="2">
        <v>1573.1</v>
      </c>
      <c r="R298" s="2">
        <v>1567.09</v>
      </c>
      <c r="S298" s="2">
        <v>1568.74</v>
      </c>
    </row>
    <row r="299" spans="1:19" x14ac:dyDescent="0.25">
      <c r="A299" t="s">
        <v>313</v>
      </c>
      <c r="E299">
        <v>46</v>
      </c>
      <c r="F299">
        <v>44</v>
      </c>
      <c r="G299">
        <v>191</v>
      </c>
      <c r="H299">
        <v>641</v>
      </c>
      <c r="I299">
        <v>103</v>
      </c>
      <c r="J299">
        <v>259</v>
      </c>
      <c r="K299">
        <v>696</v>
      </c>
      <c r="L299" s="2">
        <v>2293</v>
      </c>
      <c r="M299">
        <v>880</v>
      </c>
      <c r="N299" s="2">
        <v>3001</v>
      </c>
      <c r="O299" s="2">
        <v>1713</v>
      </c>
      <c r="P299" s="2">
        <v>1713</v>
      </c>
      <c r="Q299" s="2">
        <v>1627.17</v>
      </c>
      <c r="R299" s="2">
        <v>1312.67</v>
      </c>
      <c r="S299" s="2">
        <v>1312.67</v>
      </c>
    </row>
    <row r="300" spans="1:19" x14ac:dyDescent="0.25">
      <c r="A300" t="s">
        <v>694</v>
      </c>
      <c r="E300">
        <v>46</v>
      </c>
      <c r="F300">
        <v>44</v>
      </c>
      <c r="G300">
        <v>191</v>
      </c>
      <c r="H300">
        <v>277</v>
      </c>
      <c r="I300">
        <v>95</v>
      </c>
      <c r="J300">
        <v>254</v>
      </c>
      <c r="K300">
        <v>38</v>
      </c>
      <c r="L300" s="2">
        <v>2286</v>
      </c>
      <c r="M300">
        <v>880</v>
      </c>
      <c r="N300" s="2">
        <v>1201</v>
      </c>
    </row>
    <row r="301" spans="1:19" x14ac:dyDescent="0.25">
      <c r="A301" t="s">
        <v>164</v>
      </c>
      <c r="E301" s="2">
        <v>7066</v>
      </c>
      <c r="F301" s="2">
        <v>6907</v>
      </c>
      <c r="G301" s="2">
        <v>14532</v>
      </c>
      <c r="H301" s="2">
        <v>14082</v>
      </c>
      <c r="I301" s="2">
        <v>13811</v>
      </c>
      <c r="J301" s="2">
        <v>15548</v>
      </c>
      <c r="K301" s="2">
        <v>17532</v>
      </c>
      <c r="L301" s="2">
        <v>17821</v>
      </c>
      <c r="M301" s="2">
        <v>23755</v>
      </c>
      <c r="N301" s="2">
        <v>24626</v>
      </c>
      <c r="O301" s="2">
        <v>26318.48</v>
      </c>
      <c r="P301" s="2">
        <v>26385.55</v>
      </c>
      <c r="Q301" s="2">
        <v>25859.8</v>
      </c>
      <c r="R301" s="2">
        <v>25028.09</v>
      </c>
      <c r="S301" s="2">
        <v>24181.17</v>
      </c>
    </row>
    <row r="302" spans="1:19" x14ac:dyDescent="0.25">
      <c r="A302" t="s">
        <v>315</v>
      </c>
      <c r="E302" s="2">
        <v>4577</v>
      </c>
      <c r="F302" s="2">
        <v>4379</v>
      </c>
      <c r="G302" s="2">
        <v>10874</v>
      </c>
      <c r="H302" s="2">
        <v>10102</v>
      </c>
      <c r="I302" s="2">
        <v>9235</v>
      </c>
      <c r="J302" s="2">
        <v>10477</v>
      </c>
      <c r="K302" s="2">
        <v>11933</v>
      </c>
      <c r="L302" s="2">
        <v>12116</v>
      </c>
      <c r="M302" s="2">
        <v>15418</v>
      </c>
      <c r="N302" s="2">
        <v>15842</v>
      </c>
      <c r="O302" s="2">
        <v>18946.86</v>
      </c>
      <c r="P302" s="2">
        <v>17979.54</v>
      </c>
      <c r="Q302" s="2">
        <v>17250.189999999999</v>
      </c>
      <c r="R302" s="2">
        <v>16220.44</v>
      </c>
      <c r="S302" s="2">
        <v>15877.19</v>
      </c>
    </row>
    <row r="303" spans="1:19" x14ac:dyDescent="0.25">
      <c r="A303" t="s">
        <v>3443</v>
      </c>
      <c r="E303" s="2">
        <v>1671</v>
      </c>
      <c r="F303" s="2">
        <v>1837</v>
      </c>
      <c r="G303" s="2">
        <v>2217</v>
      </c>
      <c r="H303" s="2">
        <v>2097</v>
      </c>
      <c r="I303" s="2">
        <v>2333</v>
      </c>
      <c r="J303" s="2">
        <v>2346</v>
      </c>
      <c r="K303" s="2">
        <v>2309</v>
      </c>
      <c r="L303" s="2">
        <v>2414</v>
      </c>
      <c r="M303" s="2">
        <v>3936</v>
      </c>
      <c r="N303" s="2">
        <v>4035</v>
      </c>
      <c r="O303" s="2">
        <v>3945.33</v>
      </c>
      <c r="P303" s="2">
        <v>3909.11</v>
      </c>
      <c r="Q303" s="2">
        <v>3872.89</v>
      </c>
      <c r="R303" s="2">
        <v>3729.5</v>
      </c>
      <c r="S303" s="2">
        <v>3675.17</v>
      </c>
    </row>
    <row r="304" spans="1:19" x14ac:dyDescent="0.25">
      <c r="A304" t="s">
        <v>167</v>
      </c>
      <c r="E304" s="2">
        <v>8570</v>
      </c>
      <c r="F304" s="2">
        <v>8258</v>
      </c>
      <c r="G304" s="2">
        <v>18157</v>
      </c>
      <c r="H304" s="2">
        <v>18656</v>
      </c>
      <c r="I304" s="2">
        <v>16847</v>
      </c>
      <c r="J304" s="2">
        <v>21391</v>
      </c>
      <c r="K304" s="2">
        <v>27869</v>
      </c>
      <c r="L304" s="2">
        <v>27644</v>
      </c>
      <c r="M304" s="2">
        <v>32187</v>
      </c>
      <c r="N304" s="2">
        <v>36440</v>
      </c>
      <c r="O304" s="2">
        <v>38069.65</v>
      </c>
      <c r="P304" s="2">
        <v>37331.360000000001</v>
      </c>
      <c r="Q304" s="2">
        <v>37004.86</v>
      </c>
      <c r="R304" s="2">
        <v>36665.74</v>
      </c>
      <c r="S304" s="2">
        <v>36414.74</v>
      </c>
    </row>
    <row r="305" spans="1:19" x14ac:dyDescent="0.25">
      <c r="A305" t="s">
        <v>170</v>
      </c>
      <c r="E305" s="2">
        <v>6597</v>
      </c>
      <c r="F305" s="2">
        <v>6342</v>
      </c>
      <c r="G305" s="2">
        <v>7867</v>
      </c>
      <c r="H305" s="2">
        <v>7960</v>
      </c>
      <c r="I305" s="2">
        <v>8361</v>
      </c>
      <c r="J305" s="2">
        <v>8292</v>
      </c>
      <c r="K305" s="2">
        <v>4918</v>
      </c>
      <c r="L305" s="2">
        <v>5322</v>
      </c>
      <c r="M305" s="2">
        <v>5583</v>
      </c>
      <c r="N305" s="2">
        <v>5110</v>
      </c>
      <c r="O305" s="2">
        <v>5968.56</v>
      </c>
      <c r="P305" s="2">
        <v>7494.38</v>
      </c>
      <c r="Q305" s="2">
        <v>9005.06</v>
      </c>
      <c r="R305" s="2">
        <v>12319.06</v>
      </c>
      <c r="S305" s="2">
        <v>14504.84</v>
      </c>
    </row>
    <row r="306" spans="1:19" x14ac:dyDescent="0.25">
      <c r="A306" t="s">
        <v>171</v>
      </c>
      <c r="E306">
        <v>4</v>
      </c>
      <c r="F306">
        <v>4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5.01</v>
      </c>
      <c r="S306">
        <v>5.01</v>
      </c>
    </row>
    <row r="307" spans="1:19" x14ac:dyDescent="0.25">
      <c r="A307" t="s">
        <v>2062</v>
      </c>
      <c r="E307" s="2">
        <v>6597</v>
      </c>
      <c r="F307" s="2">
        <v>6342</v>
      </c>
      <c r="G307" s="2">
        <v>7863</v>
      </c>
      <c r="H307" s="2">
        <v>7959</v>
      </c>
      <c r="I307" s="2">
        <v>8371</v>
      </c>
      <c r="J307" s="2">
        <v>8291</v>
      </c>
      <c r="K307" s="2">
        <v>4902</v>
      </c>
      <c r="L307" s="2">
        <v>5307</v>
      </c>
      <c r="M307" s="2">
        <v>5570</v>
      </c>
      <c r="N307" s="2">
        <v>5097</v>
      </c>
      <c r="O307" s="2">
        <v>5752.39</v>
      </c>
      <c r="P307" s="2">
        <v>7588.47</v>
      </c>
      <c r="Q307" s="2">
        <v>9347.82</v>
      </c>
      <c r="R307" s="2">
        <v>10545.08</v>
      </c>
      <c r="S307" s="2">
        <v>12635.35</v>
      </c>
    </row>
    <row r="308" spans="1:19" x14ac:dyDescent="0.25">
      <c r="A308" t="s">
        <v>172</v>
      </c>
      <c r="E308" s="2">
        <v>7742</v>
      </c>
      <c r="F308" s="2">
        <v>7765</v>
      </c>
      <c r="G308" s="2">
        <v>9329</v>
      </c>
      <c r="H308" s="2">
        <v>9721</v>
      </c>
      <c r="I308" s="2">
        <v>9786</v>
      </c>
      <c r="J308" s="2">
        <v>9824</v>
      </c>
      <c r="K308" s="2">
        <v>9928</v>
      </c>
      <c r="L308" s="2">
        <v>10095</v>
      </c>
      <c r="M308" s="2">
        <v>9435</v>
      </c>
      <c r="N308" s="2">
        <v>9536</v>
      </c>
      <c r="O308" s="2">
        <v>9227.5</v>
      </c>
      <c r="P308" s="2">
        <v>8753.67</v>
      </c>
      <c r="Q308" s="2">
        <v>8117</v>
      </c>
      <c r="R308" s="2">
        <v>7074</v>
      </c>
      <c r="S308" s="2">
        <v>6319.4</v>
      </c>
    </row>
    <row r="309" spans="1:19" x14ac:dyDescent="0.25">
      <c r="A309" t="s">
        <v>173</v>
      </c>
      <c r="E309" s="2">
        <v>-1155</v>
      </c>
      <c r="F309" s="2">
        <v>-1410</v>
      </c>
      <c r="G309" s="2">
        <v>-1449</v>
      </c>
      <c r="H309">
        <v>-764</v>
      </c>
      <c r="I309">
        <v>-399</v>
      </c>
      <c r="J309" s="2">
        <v>-1964</v>
      </c>
      <c r="K309" s="2">
        <v>-3643</v>
      </c>
      <c r="L309" s="2">
        <v>-2613</v>
      </c>
      <c r="M309">
        <v>-454</v>
      </c>
      <c r="N309">
        <v>-12</v>
      </c>
      <c r="O309" s="2">
        <v>1634.81</v>
      </c>
      <c r="P309" s="2">
        <v>4314.93</v>
      </c>
      <c r="Q309" s="2">
        <v>7444.72</v>
      </c>
      <c r="R309" s="2">
        <v>9681.44</v>
      </c>
      <c r="S309" s="2">
        <v>13047.33</v>
      </c>
    </row>
    <row r="310" spans="1:19" x14ac:dyDescent="0.25">
      <c r="A310" t="s">
        <v>809</v>
      </c>
      <c r="E310">
        <v>6</v>
      </c>
      <c r="F310">
        <v>-17</v>
      </c>
      <c r="G310">
        <v>-22</v>
      </c>
      <c r="H310">
        <v>-30</v>
      </c>
      <c r="I310">
        <v>-48</v>
      </c>
      <c r="J310">
        <v>-16</v>
      </c>
      <c r="K310">
        <v>7</v>
      </c>
      <c r="L310">
        <v>6</v>
      </c>
      <c r="M310">
        <v>20</v>
      </c>
      <c r="N310">
        <v>17</v>
      </c>
      <c r="O310">
        <v>16.75</v>
      </c>
      <c r="P310">
        <v>16.75</v>
      </c>
      <c r="Q310">
        <v>16.75</v>
      </c>
      <c r="R310">
        <v>16.8</v>
      </c>
      <c r="S310">
        <v>16.8</v>
      </c>
    </row>
    <row r="311" spans="1:19" x14ac:dyDescent="0.25">
      <c r="A311" t="s">
        <v>1235</v>
      </c>
      <c r="F311">
        <v>0</v>
      </c>
      <c r="G311">
        <v>4</v>
      </c>
      <c r="H311">
        <v>1</v>
      </c>
      <c r="I311">
        <v>-10</v>
      </c>
      <c r="J311">
        <v>1</v>
      </c>
      <c r="K311">
        <v>16</v>
      </c>
      <c r="L311">
        <v>15</v>
      </c>
      <c r="M311">
        <v>13</v>
      </c>
      <c r="N311">
        <v>13</v>
      </c>
      <c r="O311">
        <v>-93.22</v>
      </c>
      <c r="P311">
        <v>-93.22</v>
      </c>
      <c r="Q311">
        <v>-93.22</v>
      </c>
      <c r="R311">
        <v>12.83</v>
      </c>
      <c r="S311">
        <v>12.83</v>
      </c>
    </row>
    <row r="312" spans="1:19" x14ac:dyDescent="0.25">
      <c r="A312" t="s">
        <v>325</v>
      </c>
      <c r="E312">
        <v>0</v>
      </c>
      <c r="F312">
        <v>0</v>
      </c>
      <c r="G312">
        <v>0</v>
      </c>
      <c r="H312">
        <v>973</v>
      </c>
      <c r="I312">
        <v>973</v>
      </c>
      <c r="J312" s="2">
        <v>1558</v>
      </c>
      <c r="K312" s="2">
        <v>3395</v>
      </c>
      <c r="L312" s="2">
        <v>4662</v>
      </c>
      <c r="M312" s="2">
        <v>5912</v>
      </c>
      <c r="N312" s="2">
        <v>6925</v>
      </c>
      <c r="O312" s="2">
        <v>7632</v>
      </c>
      <c r="P312" s="2">
        <v>8220</v>
      </c>
      <c r="Q312" s="2">
        <v>9391.33</v>
      </c>
      <c r="R312" s="2">
        <v>10457.799999999999</v>
      </c>
      <c r="S312" s="2">
        <v>11463.4</v>
      </c>
    </row>
    <row r="313" spans="1:19" x14ac:dyDescent="0.25">
      <c r="A313" t="s">
        <v>326</v>
      </c>
      <c r="E313" s="2">
        <v>15167</v>
      </c>
      <c r="F313" s="2">
        <v>14600</v>
      </c>
      <c r="G313" s="2">
        <v>26024</v>
      </c>
      <c r="H313" s="2">
        <v>26616</v>
      </c>
      <c r="I313" s="2">
        <v>25208</v>
      </c>
      <c r="J313" s="2">
        <v>29683</v>
      </c>
      <c r="K313" s="2">
        <v>32787</v>
      </c>
      <c r="L313" s="2">
        <v>32966</v>
      </c>
      <c r="M313" s="2">
        <v>37770</v>
      </c>
      <c r="N313" s="2">
        <v>41550</v>
      </c>
      <c r="O313" s="2">
        <v>43859.27</v>
      </c>
      <c r="P313" s="2">
        <v>44952.09</v>
      </c>
      <c r="Q313" s="2">
        <v>46161.42</v>
      </c>
      <c r="R313" s="2">
        <v>48483.17</v>
      </c>
      <c r="S313" s="2">
        <v>50490.09</v>
      </c>
    </row>
    <row r="314" spans="1:19" x14ac:dyDescent="0.25">
      <c r="A314" t="s">
        <v>17</v>
      </c>
    </row>
    <row r="315" spans="1:19" x14ac:dyDescent="0.25">
      <c r="A315" t="s">
        <v>176</v>
      </c>
    </row>
    <row r="316" spans="1:19" x14ac:dyDescent="0.25">
      <c r="A316" t="s">
        <v>505</v>
      </c>
      <c r="E316" s="2">
        <v>3035</v>
      </c>
      <c r="F316" s="2">
        <v>2377</v>
      </c>
      <c r="G316" s="2">
        <v>10372</v>
      </c>
      <c r="H316" s="2">
        <v>10309</v>
      </c>
      <c r="I316" s="2">
        <v>8934</v>
      </c>
      <c r="J316" s="2">
        <v>9415</v>
      </c>
      <c r="K316" s="2">
        <v>12149</v>
      </c>
      <c r="L316" s="2">
        <v>11145</v>
      </c>
      <c r="M316" s="2">
        <v>15294</v>
      </c>
      <c r="N316" s="2">
        <v>18239</v>
      </c>
      <c r="O316" s="2">
        <v>19794.849999999999</v>
      </c>
      <c r="P316" s="2">
        <v>18411.14</v>
      </c>
      <c r="Q316" s="2">
        <v>16435.86</v>
      </c>
      <c r="R316" s="2">
        <v>13465.75</v>
      </c>
      <c r="S316" s="2">
        <v>10924.79</v>
      </c>
    </row>
    <row r="317" spans="1:19" x14ac:dyDescent="0.25">
      <c r="A317" t="s">
        <v>1139</v>
      </c>
      <c r="E317">
        <v>2.48</v>
      </c>
      <c r="F317">
        <v>2.2999999999999998</v>
      </c>
      <c r="G317">
        <v>5.12</v>
      </c>
      <c r="H317">
        <v>2.66</v>
      </c>
      <c r="I317">
        <v>2.5</v>
      </c>
      <c r="J317">
        <v>17.47</v>
      </c>
      <c r="K317">
        <v>13.82</v>
      </c>
      <c r="L317">
        <v>2.41</v>
      </c>
      <c r="M317">
        <v>2.2799999999999998</v>
      </c>
      <c r="N317">
        <v>3.76</v>
      </c>
      <c r="O317">
        <v>2.42</v>
      </c>
      <c r="P317">
        <v>2.09</v>
      </c>
      <c r="Q317">
        <v>1.8</v>
      </c>
      <c r="R317">
        <v>1.49</v>
      </c>
      <c r="S317">
        <v>1.1000000000000001</v>
      </c>
    </row>
    <row r="318" spans="1:19" x14ac:dyDescent="0.25">
      <c r="A318" t="s">
        <v>609</v>
      </c>
      <c r="E318" s="2">
        <v>4623</v>
      </c>
      <c r="F318" s="2">
        <v>4423</v>
      </c>
      <c r="G318" s="2">
        <v>11065</v>
      </c>
      <c r="H318" s="2">
        <v>10784</v>
      </c>
      <c r="I318" s="2">
        <v>9378</v>
      </c>
      <c r="J318" s="2">
        <v>10774</v>
      </c>
      <c r="K318" s="2">
        <v>12674</v>
      </c>
      <c r="L318" s="2">
        <v>14684</v>
      </c>
      <c r="M318" s="2">
        <v>16516</v>
      </c>
      <c r="N318" s="2">
        <v>19061</v>
      </c>
      <c r="O318" s="2">
        <v>21150.73</v>
      </c>
      <c r="P318" s="2">
        <v>20431.39</v>
      </c>
      <c r="Q318" s="2">
        <v>19834.73</v>
      </c>
      <c r="R318" s="2">
        <v>19566.36</v>
      </c>
      <c r="S318" s="2">
        <v>18916.36</v>
      </c>
    </row>
    <row r="319" spans="1:19" x14ac:dyDescent="0.25">
      <c r="A319" t="s">
        <v>178</v>
      </c>
    </row>
    <row r="320" spans="1:19" x14ac:dyDescent="0.25">
      <c r="A320" t="s">
        <v>179</v>
      </c>
      <c r="F320">
        <v>-1.71</v>
      </c>
      <c r="G320">
        <v>-0.27</v>
      </c>
      <c r="H320">
        <v>3.53</v>
      </c>
      <c r="I320">
        <v>2.4500000000000002</v>
      </c>
      <c r="J320">
        <v>-4.6399999999999997</v>
      </c>
      <c r="K320">
        <v>-3.93</v>
      </c>
      <c r="L320">
        <v>4.54</v>
      </c>
      <c r="M320">
        <v>7.52</v>
      </c>
      <c r="N320">
        <v>2.38</v>
      </c>
      <c r="O320">
        <v>8.1</v>
      </c>
      <c r="P320">
        <v>8.9499999999999993</v>
      </c>
      <c r="Q320">
        <v>9.35</v>
      </c>
      <c r="R320">
        <v>8.6</v>
      </c>
      <c r="S320">
        <v>8</v>
      </c>
    </row>
    <row r="321" spans="1:19" x14ac:dyDescent="0.25">
      <c r="A321" t="s">
        <v>180</v>
      </c>
      <c r="F321">
        <v>-3.93</v>
      </c>
      <c r="G321">
        <v>-0.76</v>
      </c>
      <c r="H321">
        <v>11.73</v>
      </c>
      <c r="I321">
        <v>7.79</v>
      </c>
      <c r="J321">
        <v>-17.38</v>
      </c>
      <c r="K321">
        <v>-29.96</v>
      </c>
      <c r="L321">
        <v>46.85</v>
      </c>
      <c r="M321">
        <v>83.27</v>
      </c>
      <c r="N321">
        <v>26.32</v>
      </c>
    </row>
    <row r="322" spans="1:19" x14ac:dyDescent="0.25">
      <c r="A322" t="s">
        <v>611</v>
      </c>
      <c r="E322">
        <v>43.38</v>
      </c>
      <c r="F322">
        <v>39.119999999999997</v>
      </c>
      <c r="G322">
        <v>43.39</v>
      </c>
      <c r="H322">
        <v>42.19</v>
      </c>
      <c r="I322">
        <v>40.909999999999997</v>
      </c>
      <c r="J322">
        <v>42.22</v>
      </c>
      <c r="K322">
        <v>54.74</v>
      </c>
      <c r="L322">
        <v>41.34</v>
      </c>
      <c r="M322">
        <v>42.12</v>
      </c>
      <c r="N322">
        <v>47.8</v>
      </c>
      <c r="O322">
        <v>29.25</v>
      </c>
      <c r="P322">
        <v>34.22</v>
      </c>
      <c r="Q322">
        <v>30.43</v>
      </c>
    </row>
    <row r="323" spans="1:19" x14ac:dyDescent="0.25">
      <c r="A323" t="s">
        <v>3444</v>
      </c>
      <c r="E323">
        <v>427.58</v>
      </c>
      <c r="F323">
        <v>428.4</v>
      </c>
      <c r="G323">
        <v>493.22</v>
      </c>
      <c r="H323">
        <v>487.7</v>
      </c>
      <c r="I323">
        <v>489.31</v>
      </c>
      <c r="J323">
        <v>469.07</v>
      </c>
      <c r="K323">
        <v>389.75</v>
      </c>
      <c r="L323">
        <v>351.46</v>
      </c>
      <c r="M323">
        <v>339.75</v>
      </c>
      <c r="N323">
        <v>338.06</v>
      </c>
      <c r="O323">
        <v>335.46</v>
      </c>
      <c r="P323">
        <v>331.6</v>
      </c>
      <c r="Q323">
        <v>323.60000000000002</v>
      </c>
      <c r="R323">
        <v>312.45</v>
      </c>
      <c r="S323">
        <v>301.41000000000003</v>
      </c>
    </row>
    <row r="324" spans="1:19" x14ac:dyDescent="0.25">
      <c r="A324" t="s">
        <v>17</v>
      </c>
    </row>
    <row r="325" spans="1:19" x14ac:dyDescent="0.25">
      <c r="A325" t="s">
        <v>188</v>
      </c>
    </row>
    <row r="326" spans="1:19" x14ac:dyDescent="0.25">
      <c r="A326" t="s">
        <v>189</v>
      </c>
    </row>
    <row r="327" spans="1:19" x14ac:dyDescent="0.25">
      <c r="A327" t="s">
        <v>121</v>
      </c>
      <c r="F327">
        <v>-254</v>
      </c>
      <c r="G327">
        <v>-54</v>
      </c>
      <c r="H327">
        <v>928</v>
      </c>
      <c r="I327">
        <v>636</v>
      </c>
      <c r="J327" s="2">
        <v>-1274</v>
      </c>
      <c r="K327" s="2">
        <v>-1377</v>
      </c>
      <c r="L327" s="2">
        <v>1343</v>
      </c>
      <c r="M327" s="2">
        <v>2467</v>
      </c>
      <c r="N327">
        <v>752</v>
      </c>
      <c r="O327" s="2">
        <v>2843.82</v>
      </c>
      <c r="P327" s="2">
        <v>3360</v>
      </c>
      <c r="Q327" s="2">
        <v>3833.45</v>
      </c>
      <c r="R327" s="2">
        <v>4274.5600000000004</v>
      </c>
      <c r="S327" s="2">
        <v>4608.1099999999997</v>
      </c>
    </row>
    <row r="328" spans="1:19" x14ac:dyDescent="0.25">
      <c r="A328" t="s">
        <v>190</v>
      </c>
      <c r="E328">
        <v>817</v>
      </c>
      <c r="F328">
        <v>835</v>
      </c>
      <c r="G328" s="2">
        <v>1533</v>
      </c>
      <c r="H328" s="2">
        <v>1876</v>
      </c>
      <c r="I328" s="2">
        <v>2048</v>
      </c>
      <c r="J328" s="2">
        <v>2050</v>
      </c>
      <c r="K328" s="2">
        <v>2047</v>
      </c>
      <c r="L328" s="2">
        <v>1956</v>
      </c>
      <c r="M328" s="2">
        <v>2631</v>
      </c>
      <c r="N328" s="2">
        <v>2950</v>
      </c>
      <c r="O328" s="2">
        <v>2493.7600000000002</v>
      </c>
      <c r="P328" s="2">
        <v>2523.63</v>
      </c>
      <c r="Q328" s="2">
        <v>2578.67</v>
      </c>
      <c r="R328" s="2">
        <v>2747.75</v>
      </c>
      <c r="S328" s="2">
        <v>2849.16</v>
      </c>
    </row>
    <row r="329" spans="1:19" x14ac:dyDescent="0.25">
      <c r="A329" t="s">
        <v>546</v>
      </c>
      <c r="E329" s="2">
        <v>-1346</v>
      </c>
      <c r="F329">
        <v>418</v>
      </c>
      <c r="G329">
        <v>-62</v>
      </c>
      <c r="H329">
        <v>281</v>
      </c>
      <c r="I329">
        <v>230</v>
      </c>
      <c r="J329">
        <v>-475</v>
      </c>
      <c r="K329">
        <v>-359</v>
      </c>
      <c r="L329">
        <v>457</v>
      </c>
      <c r="M329">
        <v>607</v>
      </c>
      <c r="N329">
        <v>136</v>
      </c>
      <c r="O329">
        <v>457.32</v>
      </c>
      <c r="P329">
        <v>622.16</v>
      </c>
      <c r="Q329">
        <v>661.8</v>
      </c>
      <c r="R329">
        <v>556.54</v>
      </c>
      <c r="S329">
        <v>575.97</v>
      </c>
    </row>
    <row r="330" spans="1:19" x14ac:dyDescent="0.25">
      <c r="A330" t="s">
        <v>204</v>
      </c>
      <c r="E330">
        <v>-157</v>
      </c>
      <c r="F330" s="2">
        <v>1386</v>
      </c>
      <c r="G330" s="2">
        <v>1471</v>
      </c>
      <c r="H330" s="2">
        <v>2736</v>
      </c>
      <c r="I330" s="2">
        <v>3337</v>
      </c>
      <c r="J330">
        <v>-206</v>
      </c>
      <c r="K330">
        <v>485</v>
      </c>
      <c r="L330" s="2">
        <v>5453</v>
      </c>
      <c r="M330" s="2">
        <v>4563</v>
      </c>
      <c r="N330" s="2">
        <v>4070</v>
      </c>
      <c r="O330" s="2">
        <v>5662.48</v>
      </c>
      <c r="P330" s="2">
        <v>6074.18</v>
      </c>
      <c r="Q330" s="2">
        <v>6744.99</v>
      </c>
      <c r="R330" s="2">
        <v>7264.86</v>
      </c>
      <c r="S330" s="2">
        <v>7747.72</v>
      </c>
    </row>
    <row r="331" spans="1:19" x14ac:dyDescent="0.25">
      <c r="A331" t="s">
        <v>17</v>
      </c>
    </row>
    <row r="332" spans="1:19" x14ac:dyDescent="0.25">
      <c r="A332" t="s">
        <v>205</v>
      </c>
    </row>
    <row r="333" spans="1:19" x14ac:dyDescent="0.25">
      <c r="A333" t="s">
        <v>206</v>
      </c>
      <c r="E333">
        <v>-352</v>
      </c>
      <c r="F333">
        <v>-114</v>
      </c>
      <c r="G333">
        <v>-378</v>
      </c>
      <c r="H333">
        <v>-520</v>
      </c>
      <c r="I333" s="2">
        <v>-1259</v>
      </c>
      <c r="J333" s="2">
        <v>-1033</v>
      </c>
      <c r="K333" s="2">
        <v>-1301</v>
      </c>
      <c r="L333" s="2">
        <v>-1676</v>
      </c>
      <c r="M333" s="2">
        <v>-2078</v>
      </c>
      <c r="N333" s="2">
        <v>-2752</v>
      </c>
      <c r="O333" s="2">
        <v>-3132</v>
      </c>
      <c r="P333" s="2">
        <v>-2525.67</v>
      </c>
      <c r="Q333" s="2">
        <v>-2526.83</v>
      </c>
      <c r="R333" s="2">
        <v>-2578.89</v>
      </c>
      <c r="S333" s="2">
        <v>-2653.33</v>
      </c>
    </row>
    <row r="334" spans="1:19" x14ac:dyDescent="0.25">
      <c r="A334" t="s">
        <v>3445</v>
      </c>
    </row>
    <row r="335" spans="1:19" x14ac:dyDescent="0.25">
      <c r="A335" t="s">
        <v>213</v>
      </c>
      <c r="E335" s="2">
        <v>-1465</v>
      </c>
      <c r="F335">
        <v>-727</v>
      </c>
      <c r="G335">
        <v>-101</v>
      </c>
      <c r="H335" s="2">
        <v>-1717</v>
      </c>
      <c r="I335" s="2">
        <v>-1572</v>
      </c>
      <c r="J335" s="2">
        <v>-1153</v>
      </c>
      <c r="K335" s="2">
        <v>-1239</v>
      </c>
      <c r="L335" s="2">
        <v>-2145</v>
      </c>
      <c r="M335" s="2">
        <v>-5276</v>
      </c>
      <c r="N335" s="2">
        <v>-4396</v>
      </c>
      <c r="O335" s="2">
        <v>-5031.92</v>
      </c>
      <c r="P335" s="2">
        <v>-2694.11</v>
      </c>
      <c r="Q335" s="2">
        <v>-2689.98</v>
      </c>
      <c r="R335" s="2">
        <v>-2819.89</v>
      </c>
      <c r="S335" s="2">
        <v>-2928.38</v>
      </c>
    </row>
    <row r="336" spans="1:19" x14ac:dyDescent="0.25">
      <c r="A336" t="s">
        <v>17</v>
      </c>
    </row>
    <row r="337" spans="1:19" x14ac:dyDescent="0.25">
      <c r="A337" t="s">
        <v>214</v>
      </c>
    </row>
    <row r="338" spans="1:19" x14ac:dyDescent="0.25">
      <c r="A338" t="s">
        <v>347</v>
      </c>
      <c r="E338">
        <v>-992</v>
      </c>
      <c r="F338">
        <v>0</v>
      </c>
      <c r="G338">
        <v>0</v>
      </c>
      <c r="H338">
        <v>-243</v>
      </c>
      <c r="I338">
        <v>-266</v>
      </c>
      <c r="J338">
        <v>-290</v>
      </c>
      <c r="K338">
        <v>-453</v>
      </c>
      <c r="L338">
        <v>-463</v>
      </c>
      <c r="M338">
        <v>-478</v>
      </c>
      <c r="N338">
        <v>-498</v>
      </c>
      <c r="O338">
        <v>-520.69000000000005</v>
      </c>
      <c r="P338">
        <v>-383.52</v>
      </c>
      <c r="Q338">
        <v>-396.96</v>
      </c>
    </row>
    <row r="339" spans="1:19" x14ac:dyDescent="0.25">
      <c r="A339" t="s">
        <v>3446</v>
      </c>
      <c r="L339">
        <v>-313</v>
      </c>
      <c r="M339">
        <v>-305</v>
      </c>
      <c r="N339">
        <v>-306</v>
      </c>
      <c r="O339">
        <v>-306.33999999999997</v>
      </c>
      <c r="P339">
        <v>-322.58999999999997</v>
      </c>
      <c r="Q339">
        <v>-330.73</v>
      </c>
      <c r="R339">
        <v>-340.37</v>
      </c>
      <c r="S339">
        <v>-349.77</v>
      </c>
    </row>
    <row r="340" spans="1:19" x14ac:dyDescent="0.25">
      <c r="A340" t="s">
        <v>822</v>
      </c>
      <c r="E340" s="2">
        <v>-2655</v>
      </c>
      <c r="F340">
        <v>-191</v>
      </c>
      <c r="G340" s="2">
        <v>-2075</v>
      </c>
      <c r="H340">
        <v>-602</v>
      </c>
      <c r="I340" s="2">
        <v>-1358</v>
      </c>
      <c r="J340">
        <v>569</v>
      </c>
      <c r="K340" s="2">
        <v>1672</v>
      </c>
      <c r="L340" s="2">
        <v>1390</v>
      </c>
      <c r="M340" s="2">
        <v>2280</v>
      </c>
      <c r="N340" s="2">
        <v>1817</v>
      </c>
    </row>
    <row r="341" spans="1:19" x14ac:dyDescent="0.25">
      <c r="A341" t="s">
        <v>1155</v>
      </c>
      <c r="F341">
        <v>0</v>
      </c>
      <c r="G341">
        <v>-763</v>
      </c>
      <c r="H341">
        <v>-656</v>
      </c>
      <c r="I341">
        <v>0</v>
      </c>
      <c r="J341">
        <v>-471</v>
      </c>
      <c r="K341" s="2">
        <v>-1949</v>
      </c>
      <c r="L341" s="2">
        <v>-1245</v>
      </c>
      <c r="M341" s="2">
        <v>-1266</v>
      </c>
      <c r="N341" s="2">
        <v>-1028</v>
      </c>
      <c r="O341" s="2">
        <v>-1139.22</v>
      </c>
      <c r="P341" s="2">
        <v>-1391</v>
      </c>
      <c r="Q341" s="2">
        <v>-1578.5</v>
      </c>
      <c r="R341" s="2">
        <v>-1588</v>
      </c>
      <c r="S341" s="2">
        <v>-1921.33</v>
      </c>
    </row>
    <row r="342" spans="1:19" x14ac:dyDescent="0.25">
      <c r="A342" t="s">
        <v>218</v>
      </c>
      <c r="E342" s="2">
        <v>1065</v>
      </c>
      <c r="F342">
        <v>-201</v>
      </c>
      <c r="G342" s="2">
        <v>-2723</v>
      </c>
      <c r="H342" s="2">
        <v>-1237</v>
      </c>
      <c r="I342" s="2">
        <v>-1796</v>
      </c>
      <c r="J342" s="2">
        <v>2274</v>
      </c>
      <c r="K342">
        <v>-80</v>
      </c>
      <c r="L342">
        <v>-294</v>
      </c>
      <c r="M342" s="2">
        <v>-1604</v>
      </c>
      <c r="N342">
        <v>-74</v>
      </c>
      <c r="O342">
        <v>-259.07</v>
      </c>
      <c r="P342" s="2">
        <v>-2731.93</v>
      </c>
      <c r="Q342" s="2">
        <v>-3046.79</v>
      </c>
      <c r="R342" s="2">
        <v>-2953.51</v>
      </c>
      <c r="S342" s="2">
        <v>-3033.64</v>
      </c>
    </row>
    <row r="343" spans="1:19" x14ac:dyDescent="0.25">
      <c r="A343" t="s">
        <v>17</v>
      </c>
    </row>
    <row r="344" spans="1:19" x14ac:dyDescent="0.25">
      <c r="A344" t="s">
        <v>176</v>
      </c>
    </row>
    <row r="345" spans="1:19" x14ac:dyDescent="0.25">
      <c r="A345" t="s">
        <v>220</v>
      </c>
      <c r="E345">
        <v>-557</v>
      </c>
      <c r="F345">
        <v>458</v>
      </c>
      <c r="G345" s="2">
        <v>-1353</v>
      </c>
      <c r="H345">
        <v>-218</v>
      </c>
      <c r="I345">
        <v>-31</v>
      </c>
      <c r="J345">
        <v>915</v>
      </c>
      <c r="K345">
        <v>-834</v>
      </c>
      <c r="L345" s="2">
        <v>3014</v>
      </c>
      <c r="M345" s="2">
        <v>-2317</v>
      </c>
      <c r="N345">
        <v>-400</v>
      </c>
      <c r="O345">
        <v>132.05000000000001</v>
      </c>
      <c r="P345">
        <v>732.13</v>
      </c>
      <c r="Q345" s="2">
        <v>1507.84</v>
      </c>
      <c r="R345" s="2">
        <v>1623.33</v>
      </c>
      <c r="S345" s="2">
        <v>2033.99</v>
      </c>
    </row>
    <row r="346" spans="1:19" x14ac:dyDescent="0.25">
      <c r="A346" t="s">
        <v>221</v>
      </c>
      <c r="E346">
        <v>801</v>
      </c>
      <c r="F346" s="2">
        <v>1588</v>
      </c>
      <c r="G346" s="2">
        <v>2046</v>
      </c>
      <c r="H346">
        <v>693</v>
      </c>
      <c r="I346">
        <v>475</v>
      </c>
      <c r="J346">
        <v>444</v>
      </c>
      <c r="K346" s="2">
        <v>1359</v>
      </c>
      <c r="L346">
        <v>525</v>
      </c>
      <c r="M346" s="2">
        <v>3539</v>
      </c>
      <c r="N346" s="2">
        <v>1222</v>
      </c>
      <c r="O346">
        <v>822.03</v>
      </c>
      <c r="P346" s="2">
        <v>1125.8399999999999</v>
      </c>
      <c r="Q346" s="2">
        <v>1787.28</v>
      </c>
      <c r="R346" s="2">
        <v>2956.77</v>
      </c>
      <c r="S346" s="2">
        <v>4594.3</v>
      </c>
    </row>
    <row r="347" spans="1:19" x14ac:dyDescent="0.25">
      <c r="A347" t="s">
        <v>222</v>
      </c>
      <c r="E347">
        <v>843</v>
      </c>
      <c r="F347" s="2">
        <v>2046</v>
      </c>
      <c r="G347">
        <v>693</v>
      </c>
      <c r="H347">
        <v>475</v>
      </c>
      <c r="I347">
        <v>444</v>
      </c>
      <c r="J347" s="2">
        <v>1359</v>
      </c>
      <c r="K347">
        <v>525</v>
      </c>
      <c r="L347" s="2">
        <v>3539</v>
      </c>
      <c r="M347" s="2">
        <v>1222</v>
      </c>
      <c r="N347">
        <v>822</v>
      </c>
      <c r="O347" s="2">
        <v>1040.06</v>
      </c>
      <c r="P347" s="2">
        <v>1616.25</v>
      </c>
      <c r="Q347" s="2">
        <v>2501.59</v>
      </c>
      <c r="R347" s="2">
        <v>4269.62</v>
      </c>
      <c r="S347" s="2">
        <v>6048.56</v>
      </c>
    </row>
    <row r="348" spans="1:19" x14ac:dyDescent="0.25">
      <c r="A348" t="s">
        <v>178</v>
      </c>
    </row>
    <row r="349" spans="1:19" x14ac:dyDescent="0.25">
      <c r="A349" t="s">
        <v>225</v>
      </c>
      <c r="E349">
        <v>-509</v>
      </c>
      <c r="F349" s="2">
        <v>1210</v>
      </c>
      <c r="G349">
        <v>975</v>
      </c>
      <c r="H349" s="2">
        <v>2127</v>
      </c>
      <c r="I349" s="2">
        <v>2078</v>
      </c>
      <c r="J349" s="2">
        <v>-1239</v>
      </c>
      <c r="K349">
        <v>-816</v>
      </c>
      <c r="L349" s="2">
        <v>3777</v>
      </c>
      <c r="M349" s="2">
        <v>2485</v>
      </c>
      <c r="N349" s="2">
        <v>1318</v>
      </c>
      <c r="O349" s="2">
        <v>3350.73</v>
      </c>
      <c r="P349" s="2">
        <v>3790.66</v>
      </c>
      <c r="Q349" s="2">
        <v>4597.49</v>
      </c>
      <c r="R349" s="2">
        <v>4992.46</v>
      </c>
      <c r="S349" s="2">
        <v>5918.98</v>
      </c>
    </row>
    <row r="350" spans="1:19" x14ac:dyDescent="0.25">
      <c r="A350" t="s">
        <v>17</v>
      </c>
    </row>
    <row r="351" spans="1:19" x14ac:dyDescent="0.25">
      <c r="A351" t="s">
        <v>231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F9C6-3EDD-4FAE-9584-C61E3DECF7EB}">
  <dimension ref="A1:U268"/>
  <sheetViews>
    <sheetView workbookViewId="0">
      <selection sqref="A1:U268"/>
    </sheetView>
  </sheetViews>
  <sheetFormatPr defaultRowHeight="15" x14ac:dyDescent="0.25"/>
  <sheetData>
    <row r="1" spans="1:21" x14ac:dyDescent="0.25">
      <c r="A1" t="s">
        <v>3447</v>
      </c>
    </row>
    <row r="2" spans="1:21" x14ac:dyDescent="0.25">
      <c r="A2" t="s">
        <v>3448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3.23</v>
      </c>
      <c r="C6">
        <v>3.43</v>
      </c>
      <c r="D6">
        <v>3.69</v>
      </c>
      <c r="E6">
        <v>3.94</v>
      </c>
      <c r="F6">
        <v>3.68</v>
      </c>
      <c r="G6">
        <v>3.95</v>
      </c>
      <c r="H6">
        <v>4.24</v>
      </c>
      <c r="I6">
        <v>4.4400000000000004</v>
      </c>
      <c r="J6">
        <v>4.74</v>
      </c>
      <c r="K6">
        <v>5.09</v>
      </c>
      <c r="L6">
        <v>5.25</v>
      </c>
      <c r="M6">
        <v>5.62</v>
      </c>
      <c r="N6">
        <v>5.97</v>
      </c>
      <c r="O6">
        <v>6.38</v>
      </c>
      <c r="P6">
        <v>6.87</v>
      </c>
      <c r="Q6">
        <v>7.56</v>
      </c>
      <c r="R6">
        <v>8.23</v>
      </c>
      <c r="S6">
        <v>9.01</v>
      </c>
      <c r="T6">
        <v>9.34</v>
      </c>
    </row>
    <row r="7" spans="1:21" x14ac:dyDescent="0.25">
      <c r="A7" t="s">
        <v>16</v>
      </c>
      <c r="B7" s="2">
        <v>15400</v>
      </c>
      <c r="C7" s="2">
        <v>17000</v>
      </c>
      <c r="D7" s="2">
        <v>16901</v>
      </c>
      <c r="E7" s="2">
        <v>16400</v>
      </c>
      <c r="F7" s="2">
        <v>15400</v>
      </c>
      <c r="G7" s="2">
        <v>16200</v>
      </c>
      <c r="H7" s="2">
        <v>15600</v>
      </c>
      <c r="I7" s="2">
        <v>14900</v>
      </c>
      <c r="J7" s="2">
        <v>16800</v>
      </c>
      <c r="K7" s="2">
        <v>19600</v>
      </c>
      <c r="L7" s="2">
        <v>19000</v>
      </c>
      <c r="M7" s="2">
        <v>19721.3</v>
      </c>
      <c r="N7" s="2">
        <v>21876</v>
      </c>
      <c r="O7" s="2">
        <v>23421.39</v>
      </c>
      <c r="P7" s="2">
        <v>24817.78</v>
      </c>
      <c r="Q7" s="2">
        <v>26722</v>
      </c>
      <c r="R7" s="2">
        <v>28892.55</v>
      </c>
      <c r="S7" s="2">
        <v>30177.67</v>
      </c>
      <c r="T7" s="2">
        <v>34012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3449</v>
      </c>
      <c r="B10" s="2">
        <v>9992.5</v>
      </c>
      <c r="C10" s="2">
        <v>9484.4</v>
      </c>
      <c r="D10" s="2">
        <v>9172.2000000000007</v>
      </c>
      <c r="E10" s="2">
        <v>9091.9</v>
      </c>
      <c r="F10" s="2">
        <v>9192</v>
      </c>
      <c r="G10" s="2">
        <v>9645.5</v>
      </c>
      <c r="H10" s="2">
        <v>9367.1</v>
      </c>
      <c r="I10" s="2">
        <v>8879.4</v>
      </c>
      <c r="J10" s="2">
        <v>9998.5</v>
      </c>
      <c r="K10" s="2">
        <v>11477.5</v>
      </c>
      <c r="L10" s="2">
        <v>11449.5</v>
      </c>
      <c r="M10" s="2">
        <v>11596.6</v>
      </c>
      <c r="N10" s="2">
        <v>12819</v>
      </c>
      <c r="O10" s="2">
        <v>13744.32</v>
      </c>
      <c r="P10" s="2">
        <v>14497.07</v>
      </c>
      <c r="Q10" s="2">
        <v>15603.29</v>
      </c>
      <c r="R10" s="2">
        <v>16358.89</v>
      </c>
      <c r="S10" s="2">
        <v>15633.68</v>
      </c>
      <c r="T10" s="2">
        <v>18065.09</v>
      </c>
    </row>
    <row r="11" spans="1:21" x14ac:dyDescent="0.25">
      <c r="A11" t="s">
        <v>3450</v>
      </c>
      <c r="B11" s="2">
        <v>4478.3999999999996</v>
      </c>
      <c r="C11" s="2">
        <v>4813.6000000000004</v>
      </c>
      <c r="D11" s="2">
        <v>4556.6000000000004</v>
      </c>
      <c r="E11" s="2">
        <v>4422.3999999999996</v>
      </c>
      <c r="F11" s="2">
        <v>4419.3</v>
      </c>
      <c r="G11" s="2">
        <v>4653.1000000000004</v>
      </c>
      <c r="H11" s="2">
        <v>4482.5</v>
      </c>
      <c r="I11" s="2">
        <v>4345.8999999999996</v>
      </c>
      <c r="J11" s="2">
        <v>4492.8999999999996</v>
      </c>
      <c r="K11" s="2">
        <v>5512</v>
      </c>
      <c r="L11" s="2">
        <v>5713.3</v>
      </c>
      <c r="M11" s="2">
        <v>5907.7</v>
      </c>
      <c r="N11" s="2">
        <v>6147</v>
      </c>
      <c r="O11" s="2">
        <v>6571.73</v>
      </c>
      <c r="P11" s="2">
        <v>7086.63</v>
      </c>
      <c r="Q11" s="2">
        <v>7665.82</v>
      </c>
      <c r="R11" s="2">
        <v>7663.02</v>
      </c>
      <c r="S11" s="2">
        <v>7819.44</v>
      </c>
      <c r="T11" s="2">
        <v>8782.52</v>
      </c>
    </row>
    <row r="12" spans="1:21" x14ac:dyDescent="0.25">
      <c r="A12" t="s">
        <v>3451</v>
      </c>
      <c r="B12">
        <v>77.7</v>
      </c>
      <c r="C12">
        <v>191.9</v>
      </c>
      <c r="D12">
        <v>329.2</v>
      </c>
      <c r="E12">
        <v>512.79999999999995</v>
      </c>
      <c r="F12">
        <v>766.7</v>
      </c>
      <c r="G12">
        <v>804.1</v>
      </c>
      <c r="H12" s="2">
        <v>1073.2</v>
      </c>
      <c r="I12" s="2">
        <v>1198.8</v>
      </c>
      <c r="J12" s="2">
        <v>1526.2</v>
      </c>
      <c r="K12" s="2">
        <v>1677</v>
      </c>
      <c r="L12" s="2">
        <v>1728.5</v>
      </c>
      <c r="M12" s="2">
        <v>1950.8</v>
      </c>
      <c r="N12" s="2">
        <v>2377</v>
      </c>
      <c r="O12" s="2">
        <v>2369.77</v>
      </c>
      <c r="P12" s="2">
        <v>2525.6</v>
      </c>
      <c r="Q12" s="2">
        <v>2736.06</v>
      </c>
      <c r="R12" s="2">
        <v>3104.11</v>
      </c>
      <c r="S12" s="2">
        <v>3406.17</v>
      </c>
      <c r="T12" s="2">
        <v>4227.8999999999996</v>
      </c>
    </row>
    <row r="13" spans="1:21" x14ac:dyDescent="0.25">
      <c r="A13" t="s">
        <v>3452</v>
      </c>
      <c r="B13" s="2">
        <v>3665.2</v>
      </c>
      <c r="C13" s="2">
        <v>3849.6</v>
      </c>
      <c r="D13" s="2">
        <v>3412.7</v>
      </c>
      <c r="E13" s="2">
        <v>2986</v>
      </c>
      <c r="F13" s="2">
        <v>1875.1</v>
      </c>
      <c r="G13" s="2">
        <v>1940.3</v>
      </c>
      <c r="H13" s="2">
        <v>1857.6</v>
      </c>
      <c r="I13" s="2">
        <v>1725.6</v>
      </c>
      <c r="J13" s="2">
        <v>2163.6999999999998</v>
      </c>
      <c r="K13" s="2">
        <v>2466.9</v>
      </c>
      <c r="L13" s="2">
        <v>1632.2</v>
      </c>
      <c r="M13" s="2">
        <v>2045.4</v>
      </c>
      <c r="N13" s="2">
        <v>2762</v>
      </c>
      <c r="O13" s="2">
        <v>2822.95</v>
      </c>
      <c r="P13" s="2">
        <v>2901.49</v>
      </c>
      <c r="Q13" s="2">
        <v>3146.4</v>
      </c>
      <c r="R13" s="2">
        <v>3111.37</v>
      </c>
      <c r="S13" s="2">
        <v>3237.52</v>
      </c>
    </row>
    <row r="14" spans="1:21" x14ac:dyDescent="0.25">
      <c r="A14" t="s">
        <v>3453</v>
      </c>
      <c r="B14">
        <v>88.8</v>
      </c>
      <c r="C14">
        <v>95.4</v>
      </c>
      <c r="D14">
        <v>99</v>
      </c>
      <c r="E14">
        <v>105.1</v>
      </c>
      <c r="F14">
        <v>120.8</v>
      </c>
      <c r="G14">
        <v>95.1</v>
      </c>
      <c r="H14">
        <v>95.8</v>
      </c>
      <c r="I14">
        <v>96.8</v>
      </c>
      <c r="J14">
        <v>72.2</v>
      </c>
      <c r="K14">
        <v>109.9</v>
      </c>
      <c r="L14">
        <v>168</v>
      </c>
      <c r="M14">
        <v>183.1</v>
      </c>
      <c r="N14">
        <v>144</v>
      </c>
    </row>
    <row r="15" spans="1:21" x14ac:dyDescent="0.25">
      <c r="A15" t="s">
        <v>17</v>
      </c>
    </row>
    <row r="16" spans="1:21" x14ac:dyDescent="0.25">
      <c r="A16" t="s">
        <v>204</v>
      </c>
      <c r="B16" s="2">
        <v>4106</v>
      </c>
      <c r="C16" s="2">
        <v>4613.5</v>
      </c>
      <c r="D16" s="2">
        <v>4818.5</v>
      </c>
      <c r="E16" s="2">
        <v>4519.3</v>
      </c>
      <c r="F16" s="2">
        <v>4270.3999999999996</v>
      </c>
      <c r="G16" s="2">
        <v>5223.2</v>
      </c>
      <c r="H16" s="2">
        <v>4270.1000000000004</v>
      </c>
      <c r="I16" s="2">
        <v>1150.0999999999999</v>
      </c>
      <c r="J16" s="2">
        <v>3839.9</v>
      </c>
      <c r="K16" s="2">
        <v>5288</v>
      </c>
      <c r="L16" s="2">
        <v>5012.2</v>
      </c>
      <c r="M16" s="2">
        <v>6804.3</v>
      </c>
      <c r="N16" s="2">
        <v>6944</v>
      </c>
      <c r="O16" s="2">
        <v>7329.44</v>
      </c>
      <c r="P16" s="2">
        <v>7975.97</v>
      </c>
      <c r="Q16" s="2">
        <v>8799.59</v>
      </c>
      <c r="R16" s="2">
        <v>9767.2199999999993</v>
      </c>
      <c r="S16" s="2">
        <v>10809.48</v>
      </c>
      <c r="T16" s="2">
        <v>11057.91</v>
      </c>
    </row>
    <row r="17" spans="1:20" x14ac:dyDescent="0.25">
      <c r="A17" t="s">
        <v>242</v>
      </c>
      <c r="B17" s="2">
        <v>-3624</v>
      </c>
      <c r="C17" s="2">
        <v>-4130</v>
      </c>
      <c r="D17" s="2">
        <v>-4508</v>
      </c>
      <c r="E17" s="2">
        <v>-4781.1000000000004</v>
      </c>
      <c r="F17" s="2">
        <v>-5691.3</v>
      </c>
      <c r="G17" s="2">
        <v>-6310.9</v>
      </c>
      <c r="H17" s="2">
        <v>-6051.4</v>
      </c>
      <c r="I17" s="2">
        <v>-6246.3</v>
      </c>
      <c r="J17" s="2">
        <v>-5659.6</v>
      </c>
      <c r="K17" s="2">
        <v>-6671.7</v>
      </c>
      <c r="L17" s="2">
        <v>-7378.3</v>
      </c>
      <c r="M17" s="2">
        <v>-7630.7</v>
      </c>
      <c r="N17" s="2">
        <v>-8453</v>
      </c>
      <c r="O17" s="2">
        <v>-12762.64</v>
      </c>
      <c r="P17" s="2">
        <v>-14539.64</v>
      </c>
      <c r="Q17" s="2">
        <v>-17857.82</v>
      </c>
      <c r="R17" s="2">
        <v>-17905.78</v>
      </c>
      <c r="S17" s="2">
        <v>-16029</v>
      </c>
      <c r="T17" s="2">
        <v>-15656</v>
      </c>
    </row>
    <row r="18" spans="1:20" x14ac:dyDescent="0.25">
      <c r="A18" t="s">
        <v>17</v>
      </c>
    </row>
    <row r="19" spans="1:20" x14ac:dyDescent="0.25">
      <c r="A19" t="s">
        <v>37</v>
      </c>
    </row>
    <row r="20" spans="1:20" x14ac:dyDescent="0.25">
      <c r="A20" t="s">
        <v>17</v>
      </c>
    </row>
    <row r="21" spans="1:20" x14ac:dyDescent="0.25">
      <c r="A21" t="s">
        <v>38</v>
      </c>
    </row>
    <row r="22" spans="1:20" x14ac:dyDescent="0.25">
      <c r="A22" t="s">
        <v>3250</v>
      </c>
      <c r="F22" s="2">
        <v>35500</v>
      </c>
      <c r="G22" s="2">
        <v>42000</v>
      </c>
      <c r="H22" s="2">
        <v>47000</v>
      </c>
      <c r="I22" s="2">
        <v>50000</v>
      </c>
      <c r="J22" s="2">
        <v>56000</v>
      </c>
      <c r="K22" s="2">
        <v>61000</v>
      </c>
      <c r="L22" s="2">
        <v>66000</v>
      </c>
      <c r="M22" s="2">
        <v>68404</v>
      </c>
      <c r="N22" s="2">
        <v>77611</v>
      </c>
      <c r="O22" s="2">
        <v>83031.02</v>
      </c>
      <c r="P22" s="2">
        <v>92498.09</v>
      </c>
      <c r="Q22" s="2">
        <v>104394.08</v>
      </c>
      <c r="R22" s="2">
        <v>115711.94</v>
      </c>
      <c r="S22" s="2">
        <v>128181.05</v>
      </c>
    </row>
    <row r="23" spans="1:20" x14ac:dyDescent="0.25">
      <c r="A23" t="s">
        <v>3454</v>
      </c>
      <c r="B23" s="2">
        <v>168928</v>
      </c>
      <c r="C23" s="2">
        <v>170772</v>
      </c>
      <c r="D23" s="2">
        <v>168701</v>
      </c>
      <c r="E23" s="2">
        <v>169172</v>
      </c>
      <c r="F23" s="2">
        <v>166453</v>
      </c>
      <c r="G23" s="2">
        <v>173007</v>
      </c>
      <c r="H23" s="2">
        <v>169245</v>
      </c>
      <c r="I23" s="2">
        <v>162493</v>
      </c>
      <c r="J23" s="2">
        <v>167377</v>
      </c>
      <c r="K23" s="2">
        <v>174568</v>
      </c>
      <c r="L23" s="2">
        <v>173982</v>
      </c>
      <c r="M23" s="2">
        <v>182995</v>
      </c>
      <c r="N23" s="2">
        <v>196339</v>
      </c>
    </row>
    <row r="24" spans="1:20" x14ac:dyDescent="0.25">
      <c r="A24" t="s">
        <v>17</v>
      </c>
    </row>
    <row r="25" spans="1:20" x14ac:dyDescent="0.25">
      <c r="A25" t="s">
        <v>3242</v>
      </c>
      <c r="F25" s="2">
        <v>6286</v>
      </c>
      <c r="G25" s="2">
        <v>8196</v>
      </c>
      <c r="H25" s="2">
        <v>7501</v>
      </c>
      <c r="I25" s="2">
        <v>6387</v>
      </c>
      <c r="J25" s="2">
        <v>6835</v>
      </c>
      <c r="K25" s="2">
        <v>7798</v>
      </c>
      <c r="L25" s="2">
        <v>5637</v>
      </c>
      <c r="M25" s="2">
        <v>5786</v>
      </c>
      <c r="N25" s="2">
        <v>7716</v>
      </c>
    </row>
    <row r="26" spans="1:20" x14ac:dyDescent="0.25">
      <c r="A26" t="s">
        <v>3243</v>
      </c>
      <c r="F26" s="2">
        <v>7204</v>
      </c>
      <c r="G26" s="2">
        <v>8208</v>
      </c>
      <c r="H26" s="2">
        <v>7910</v>
      </c>
      <c r="I26" s="2">
        <v>7325</v>
      </c>
      <c r="J26" s="2">
        <v>7513</v>
      </c>
      <c r="K26" s="2">
        <v>7987</v>
      </c>
      <c r="L26" s="2">
        <v>7643</v>
      </c>
      <c r="M26" s="2">
        <v>8653</v>
      </c>
      <c r="N26" s="2">
        <v>7680</v>
      </c>
    </row>
    <row r="27" spans="1:20" x14ac:dyDescent="0.25">
      <c r="A27" t="s">
        <v>17</v>
      </c>
    </row>
    <row r="28" spans="1:20" x14ac:dyDescent="0.25">
      <c r="A28" t="s">
        <v>3455</v>
      </c>
    </row>
    <row r="29" spans="1:20" x14ac:dyDescent="0.25">
      <c r="A29" t="s">
        <v>3337</v>
      </c>
    </row>
    <row r="30" spans="1:20" x14ac:dyDescent="0.25">
      <c r="A30" t="s">
        <v>3456</v>
      </c>
      <c r="D30" s="2">
        <v>28923</v>
      </c>
      <c r="E30" s="2">
        <v>28438</v>
      </c>
      <c r="F30" s="2">
        <v>27593</v>
      </c>
      <c r="G30" s="2">
        <v>28894</v>
      </c>
      <c r="H30" s="2">
        <v>28021</v>
      </c>
      <c r="I30" s="2">
        <v>26470</v>
      </c>
      <c r="J30" s="2">
        <v>26845</v>
      </c>
      <c r="K30" s="2">
        <v>26917</v>
      </c>
      <c r="L30" s="2">
        <v>25368</v>
      </c>
      <c r="M30" s="2">
        <v>25926</v>
      </c>
      <c r="N30" s="2">
        <v>26284</v>
      </c>
      <c r="O30" s="2">
        <v>25981</v>
      </c>
      <c r="P30" s="2">
        <v>26362.75</v>
      </c>
      <c r="Q30" s="2">
        <v>27177.67</v>
      </c>
      <c r="R30" s="2">
        <v>28914.75</v>
      </c>
      <c r="S30" s="2">
        <v>29672.43</v>
      </c>
    </row>
    <row r="31" spans="1:20" x14ac:dyDescent="0.25">
      <c r="A31" t="s">
        <v>3457</v>
      </c>
      <c r="D31" s="2">
        <v>18016</v>
      </c>
      <c r="E31" s="2">
        <v>18408</v>
      </c>
      <c r="F31" s="2">
        <v>17947</v>
      </c>
      <c r="G31" s="2">
        <v>18489</v>
      </c>
      <c r="H31" s="2">
        <v>17752</v>
      </c>
      <c r="I31" s="2">
        <v>17231</v>
      </c>
      <c r="J31" s="2">
        <v>17494</v>
      </c>
      <c r="K31" s="2">
        <v>17795</v>
      </c>
      <c r="L31" s="2">
        <v>17504</v>
      </c>
      <c r="M31" s="2">
        <v>17921</v>
      </c>
      <c r="N31" s="2">
        <v>19308</v>
      </c>
      <c r="O31" s="2">
        <v>20533.63</v>
      </c>
      <c r="P31" s="2">
        <v>21279.03</v>
      </c>
      <c r="Q31" s="2">
        <v>22193.65</v>
      </c>
      <c r="R31" s="2">
        <v>23286.19</v>
      </c>
      <c r="S31" s="2">
        <v>24119.33</v>
      </c>
    </row>
    <row r="32" spans="1:20" x14ac:dyDescent="0.25">
      <c r="A32" t="s">
        <v>3458</v>
      </c>
      <c r="D32" s="2">
        <v>5370</v>
      </c>
      <c r="E32" s="2">
        <v>6064</v>
      </c>
      <c r="F32" s="2">
        <v>31553</v>
      </c>
      <c r="G32" s="2">
        <v>32020</v>
      </c>
      <c r="H32" s="2">
        <v>31962</v>
      </c>
      <c r="I32" s="2">
        <v>31949</v>
      </c>
      <c r="J32" s="2">
        <v>32984</v>
      </c>
      <c r="K32" s="2">
        <v>36474</v>
      </c>
      <c r="L32" s="2">
        <v>39516</v>
      </c>
      <c r="M32" s="2">
        <v>42387</v>
      </c>
      <c r="N32" s="2">
        <v>46847</v>
      </c>
      <c r="O32" s="2">
        <v>48466.81</v>
      </c>
      <c r="P32" s="2">
        <v>50564.27</v>
      </c>
      <c r="Q32" s="2">
        <v>52516.37</v>
      </c>
      <c r="R32" s="2">
        <v>54617.3</v>
      </c>
      <c r="S32" s="2">
        <v>56665.01</v>
      </c>
    </row>
    <row r="33" spans="1:19" x14ac:dyDescent="0.25">
      <c r="A33" t="s">
        <v>3459</v>
      </c>
      <c r="D33" s="2">
        <v>43416</v>
      </c>
      <c r="E33" s="2">
        <v>43388</v>
      </c>
      <c r="F33" s="2">
        <v>42709</v>
      </c>
      <c r="G33" s="2">
        <v>44567</v>
      </c>
      <c r="H33" s="2">
        <v>43531</v>
      </c>
      <c r="I33" s="2">
        <v>41748</v>
      </c>
      <c r="J33" s="2">
        <v>44016</v>
      </c>
      <c r="K33" s="2">
        <v>44641</v>
      </c>
      <c r="L33" s="2">
        <v>44318</v>
      </c>
      <c r="M33" s="2">
        <v>48652</v>
      </c>
      <c r="N33" s="2">
        <v>55525</v>
      </c>
      <c r="O33" s="2">
        <v>58855.48</v>
      </c>
      <c r="P33" s="2">
        <v>61264.49</v>
      </c>
      <c r="Q33" s="2">
        <v>63832.98</v>
      </c>
      <c r="R33" s="2">
        <v>66799.240000000005</v>
      </c>
      <c r="S33" s="2">
        <v>68865.95</v>
      </c>
    </row>
    <row r="34" spans="1:19" x14ac:dyDescent="0.25">
      <c r="A34" t="s">
        <v>3460</v>
      </c>
      <c r="D34" s="2">
        <v>17905</v>
      </c>
      <c r="E34" s="2">
        <v>18285</v>
      </c>
      <c r="F34" s="2">
        <v>18026</v>
      </c>
      <c r="G34" s="2">
        <v>18840</v>
      </c>
      <c r="H34" s="2">
        <v>18633</v>
      </c>
      <c r="I34" s="2">
        <v>17702</v>
      </c>
      <c r="J34" s="2">
        <v>18206</v>
      </c>
      <c r="K34" s="2">
        <v>19141</v>
      </c>
      <c r="L34" s="2">
        <v>18515</v>
      </c>
      <c r="M34" s="2">
        <v>19127</v>
      </c>
      <c r="N34" s="2">
        <v>19257</v>
      </c>
      <c r="O34" s="2">
        <v>19650.78</v>
      </c>
      <c r="P34" s="2">
        <v>20272</v>
      </c>
      <c r="Q34" s="2">
        <v>20862.79</v>
      </c>
      <c r="R34" s="2">
        <v>21454.39</v>
      </c>
      <c r="S34" s="2">
        <v>22095.84</v>
      </c>
    </row>
    <row r="35" spans="1:19" x14ac:dyDescent="0.25">
      <c r="A35" t="s">
        <v>3461</v>
      </c>
      <c r="D35" s="2">
        <v>17862</v>
      </c>
      <c r="E35" s="2">
        <v>17367</v>
      </c>
      <c r="F35" s="2">
        <v>17147</v>
      </c>
      <c r="G35" s="2">
        <v>17945</v>
      </c>
      <c r="H35" s="2">
        <v>17496</v>
      </c>
      <c r="I35" s="2">
        <v>16254</v>
      </c>
      <c r="J35" s="2">
        <v>16453</v>
      </c>
      <c r="K35" s="2">
        <v>17519</v>
      </c>
      <c r="L35" s="2">
        <v>16894</v>
      </c>
      <c r="M35" s="2">
        <v>16895</v>
      </c>
      <c r="N35" s="2">
        <v>17160</v>
      </c>
      <c r="O35" s="2">
        <v>17484.169999999998</v>
      </c>
      <c r="P35" s="2">
        <v>17770.79</v>
      </c>
      <c r="Q35" s="2">
        <v>18220.57</v>
      </c>
      <c r="R35" s="2">
        <v>18795.259999999998</v>
      </c>
      <c r="S35" s="2">
        <v>19372.22</v>
      </c>
    </row>
    <row r="36" spans="1:19" x14ac:dyDescent="0.25">
      <c r="A36" t="s">
        <v>3462</v>
      </c>
    </row>
    <row r="37" spans="1:19" x14ac:dyDescent="0.25">
      <c r="A37" t="s">
        <v>3463</v>
      </c>
      <c r="D37" s="2">
        <v>2726</v>
      </c>
      <c r="E37" s="2">
        <v>3400</v>
      </c>
      <c r="F37" s="2">
        <v>3089</v>
      </c>
      <c r="G37" s="2">
        <v>2693</v>
      </c>
      <c r="H37" s="2">
        <v>3085</v>
      </c>
      <c r="I37" s="2">
        <v>3281</v>
      </c>
      <c r="J37" s="2">
        <v>4285</v>
      </c>
      <c r="K37" s="2">
        <v>1585</v>
      </c>
      <c r="L37" s="2">
        <v>2191</v>
      </c>
      <c r="M37" s="2">
        <v>2243</v>
      </c>
      <c r="N37" s="2">
        <v>3058</v>
      </c>
      <c r="O37" s="2">
        <v>3126.81</v>
      </c>
      <c r="P37" s="2">
        <v>3174.74</v>
      </c>
      <c r="Q37" s="2">
        <v>3318.74</v>
      </c>
      <c r="R37" s="2">
        <v>3381.38</v>
      </c>
      <c r="S37" s="2">
        <v>3450.85</v>
      </c>
    </row>
    <row r="38" spans="1:19" x14ac:dyDescent="0.25">
      <c r="A38" t="s">
        <v>3464</v>
      </c>
      <c r="D38" s="2">
        <v>11231</v>
      </c>
      <c r="E38" s="2">
        <v>8994</v>
      </c>
      <c r="F38" s="2">
        <v>11202</v>
      </c>
      <c r="G38" s="2">
        <v>10873</v>
      </c>
      <c r="H38" s="2">
        <v>8268</v>
      </c>
      <c r="I38" s="2">
        <v>7135</v>
      </c>
      <c r="J38" s="2">
        <v>6618</v>
      </c>
      <c r="K38" s="2">
        <v>6772</v>
      </c>
      <c r="L38" s="2">
        <v>5215</v>
      </c>
      <c r="M38" s="2">
        <v>6278</v>
      </c>
      <c r="N38" s="2">
        <v>6381</v>
      </c>
      <c r="O38" s="2">
        <v>6591.57</v>
      </c>
      <c r="P38" s="2">
        <v>6778.63</v>
      </c>
      <c r="Q38" s="2">
        <v>7020.83</v>
      </c>
      <c r="R38" s="2">
        <v>7174.04</v>
      </c>
      <c r="S38" s="2">
        <v>7283.59</v>
      </c>
    </row>
    <row r="39" spans="1:19" x14ac:dyDescent="0.25">
      <c r="A39" t="s">
        <v>3465</v>
      </c>
      <c r="D39" s="2">
        <v>1701</v>
      </c>
      <c r="E39" s="2">
        <v>1888</v>
      </c>
      <c r="F39" s="2">
        <v>2387</v>
      </c>
      <c r="G39" s="2">
        <v>2441</v>
      </c>
      <c r="H39" s="2">
        <v>2335</v>
      </c>
      <c r="I39" s="2">
        <v>1859</v>
      </c>
      <c r="J39" s="2">
        <v>2018</v>
      </c>
      <c r="K39" s="2">
        <v>2198</v>
      </c>
      <c r="L39" s="2">
        <v>1922</v>
      </c>
      <c r="M39" s="2">
        <v>2014</v>
      </c>
      <c r="N39" s="2">
        <v>2250</v>
      </c>
      <c r="O39" s="2">
        <v>2309.79</v>
      </c>
      <c r="P39" s="2">
        <v>2406.9499999999998</v>
      </c>
      <c r="Q39" s="2">
        <v>2509.48</v>
      </c>
      <c r="R39" s="2">
        <v>2775.82</v>
      </c>
      <c r="S39" s="2">
        <v>2560.58</v>
      </c>
    </row>
    <row r="40" spans="1:19" x14ac:dyDescent="0.25">
      <c r="A40" t="s">
        <v>3466</v>
      </c>
      <c r="D40">
        <v>194</v>
      </c>
      <c r="E40">
        <v>298</v>
      </c>
      <c r="F40">
        <v>355</v>
      </c>
      <c r="G40">
        <v>758</v>
      </c>
      <c r="H40">
        <v>714</v>
      </c>
      <c r="I40">
        <v>345</v>
      </c>
      <c r="J40">
        <v>669</v>
      </c>
      <c r="K40">
        <v>734</v>
      </c>
      <c r="L40">
        <v>180</v>
      </c>
      <c r="M40">
        <v>179</v>
      </c>
      <c r="N40">
        <v>416</v>
      </c>
      <c r="O40">
        <v>426.4</v>
      </c>
      <c r="P40">
        <v>437.32</v>
      </c>
      <c r="Q40">
        <v>452.23</v>
      </c>
      <c r="R40">
        <v>460.77</v>
      </c>
      <c r="S40">
        <v>468.99</v>
      </c>
    </row>
    <row r="41" spans="1:19" x14ac:dyDescent="0.25">
      <c r="A41" t="s">
        <v>3467</v>
      </c>
      <c r="D41" s="2">
        <v>8611</v>
      </c>
      <c r="E41" s="2">
        <v>8069</v>
      </c>
      <c r="F41" s="2">
        <v>8324</v>
      </c>
      <c r="G41" s="2">
        <v>7071</v>
      </c>
      <c r="H41" s="2">
        <v>6791</v>
      </c>
      <c r="I41" s="2">
        <v>5838</v>
      </c>
      <c r="J41" s="2">
        <v>6704</v>
      </c>
      <c r="K41" s="2">
        <v>6714</v>
      </c>
      <c r="L41" s="2">
        <v>5429</v>
      </c>
      <c r="M41" s="2">
        <v>5467</v>
      </c>
      <c r="N41" s="2">
        <v>5804</v>
      </c>
      <c r="O41" s="2">
        <v>5920.08</v>
      </c>
      <c r="P41" s="2">
        <v>6010.62</v>
      </c>
      <c r="Q41" s="2">
        <v>6166.05</v>
      </c>
      <c r="R41" s="2">
        <v>6361.9</v>
      </c>
      <c r="S41" s="2">
        <v>6541.81</v>
      </c>
    </row>
    <row r="42" spans="1:19" x14ac:dyDescent="0.25">
      <c r="A42" t="s">
        <v>17</v>
      </c>
    </row>
    <row r="43" spans="1:19" x14ac:dyDescent="0.25">
      <c r="A43" t="s">
        <v>3247</v>
      </c>
    </row>
    <row r="44" spans="1:19" x14ac:dyDescent="0.25">
      <c r="A44" t="s">
        <v>3468</v>
      </c>
      <c r="O44">
        <v>-27.72</v>
      </c>
      <c r="P44">
        <v>28.46</v>
      </c>
      <c r="Q44">
        <v>40.35</v>
      </c>
      <c r="R44">
        <v>-39.18</v>
      </c>
      <c r="S44">
        <v>-117.89</v>
      </c>
    </row>
    <row r="45" spans="1:19" x14ac:dyDescent="0.25">
      <c r="A45" t="s">
        <v>3469</v>
      </c>
      <c r="O45">
        <v>-90.69</v>
      </c>
      <c r="P45">
        <v>40.33</v>
      </c>
      <c r="Q45">
        <v>117.57</v>
      </c>
      <c r="R45">
        <v>214.03</v>
      </c>
      <c r="S45">
        <v>221.49</v>
      </c>
    </row>
    <row r="46" spans="1:19" x14ac:dyDescent="0.25">
      <c r="A46" t="s">
        <v>3470</v>
      </c>
    </row>
    <row r="47" spans="1:19" x14ac:dyDescent="0.25">
      <c r="A47" t="s">
        <v>3471</v>
      </c>
    </row>
    <row r="48" spans="1:19" x14ac:dyDescent="0.25">
      <c r="A48" t="s">
        <v>3472</v>
      </c>
    </row>
    <row r="49" spans="1:20" x14ac:dyDescent="0.25">
      <c r="A49" t="s">
        <v>3473</v>
      </c>
      <c r="O49" s="2">
        <v>1096</v>
      </c>
      <c r="P49" s="2">
        <v>1090</v>
      </c>
      <c r="Q49" s="2">
        <v>1090</v>
      </c>
      <c r="R49" s="2">
        <v>1090</v>
      </c>
      <c r="S49" s="2">
        <v>1090</v>
      </c>
    </row>
    <row r="50" spans="1:20" x14ac:dyDescent="0.25">
      <c r="A50" t="s">
        <v>3474</v>
      </c>
    </row>
    <row r="51" spans="1:20" x14ac:dyDescent="0.25">
      <c r="A51" t="s">
        <v>3475</v>
      </c>
    </row>
    <row r="52" spans="1:20" x14ac:dyDescent="0.25">
      <c r="A52" t="s">
        <v>3476</v>
      </c>
    </row>
    <row r="53" spans="1:20" x14ac:dyDescent="0.25">
      <c r="A53" t="s">
        <v>17</v>
      </c>
    </row>
    <row r="54" spans="1:20" x14ac:dyDescent="0.25">
      <c r="A54" t="s">
        <v>3477</v>
      </c>
      <c r="B54" s="2">
        <v>11369</v>
      </c>
      <c r="C54" s="2">
        <v>11673.5</v>
      </c>
      <c r="D54" s="2">
        <v>11560</v>
      </c>
      <c r="E54" s="2">
        <v>11713.4</v>
      </c>
      <c r="F54" s="2">
        <v>13424</v>
      </c>
      <c r="G54" s="2">
        <v>15102.7</v>
      </c>
      <c r="H54" s="2">
        <v>13564.7</v>
      </c>
      <c r="I54" s="2">
        <v>14424.1</v>
      </c>
      <c r="J54" s="2">
        <v>14316.3</v>
      </c>
      <c r="K54" s="2">
        <v>16782.400000000001</v>
      </c>
      <c r="L54" s="2">
        <v>16980.900000000001</v>
      </c>
      <c r="M54" s="2">
        <v>17293.599999999999</v>
      </c>
      <c r="N54" s="2">
        <v>18653</v>
      </c>
      <c r="O54" s="2">
        <v>20400.419999999998</v>
      </c>
      <c r="P54" s="2">
        <v>21472.560000000001</v>
      </c>
      <c r="Q54" s="2">
        <v>22784.400000000001</v>
      </c>
      <c r="R54" s="2">
        <v>24204.43</v>
      </c>
      <c r="S54" s="2">
        <v>25617.81</v>
      </c>
    </row>
    <row r="55" spans="1:20" x14ac:dyDescent="0.25">
      <c r="A55" t="s">
        <v>17</v>
      </c>
    </row>
    <row r="56" spans="1:20" x14ac:dyDescent="0.25">
      <c r="A56" t="s">
        <v>58</v>
      </c>
    </row>
    <row r="57" spans="1:20" x14ac:dyDescent="0.25">
      <c r="A57" t="s">
        <v>3478</v>
      </c>
    </row>
    <row r="58" spans="1:20" x14ac:dyDescent="0.25">
      <c r="A58" t="s">
        <v>60</v>
      </c>
      <c r="B58" s="2">
        <v>9992.5</v>
      </c>
      <c r="C58" s="2">
        <v>9484.4</v>
      </c>
      <c r="D58" s="2">
        <v>9172.2000000000007</v>
      </c>
      <c r="E58" s="2">
        <v>9091.9</v>
      </c>
      <c r="F58" s="2">
        <v>9192</v>
      </c>
      <c r="G58" s="2">
        <v>9645.5</v>
      </c>
      <c r="H58" s="2">
        <v>9367.1</v>
      </c>
      <c r="I58" s="2">
        <v>8879.4</v>
      </c>
      <c r="J58" s="2">
        <v>9998.5</v>
      </c>
      <c r="K58" s="2">
        <v>11477.5</v>
      </c>
      <c r="L58" s="2">
        <v>11449.5</v>
      </c>
      <c r="M58" s="2">
        <v>11596.6</v>
      </c>
      <c r="N58" s="2">
        <v>12819</v>
      </c>
      <c r="O58" s="2">
        <v>13744.32</v>
      </c>
      <c r="P58" s="2">
        <v>14497.07</v>
      </c>
      <c r="Q58" s="2">
        <v>15603.29</v>
      </c>
      <c r="R58" s="2">
        <v>16358.89</v>
      </c>
      <c r="S58" s="2">
        <v>15633.68</v>
      </c>
      <c r="T58" s="2">
        <v>18065.09</v>
      </c>
    </row>
    <row r="59" spans="1:20" x14ac:dyDescent="0.25">
      <c r="A59" t="s">
        <v>62</v>
      </c>
      <c r="B59" s="2">
        <v>4770.3999999999996</v>
      </c>
      <c r="C59" s="2">
        <v>3953.4</v>
      </c>
      <c r="D59" s="2">
        <v>3413.6</v>
      </c>
      <c r="E59" s="2">
        <v>3079.3</v>
      </c>
      <c r="F59" s="2">
        <v>3142.7</v>
      </c>
      <c r="G59" s="2">
        <v>3488.9</v>
      </c>
      <c r="H59" s="2">
        <v>3103.1</v>
      </c>
      <c r="I59" s="2">
        <v>2544.9</v>
      </c>
      <c r="J59" s="2">
        <v>3144.2</v>
      </c>
      <c r="K59" s="2">
        <v>4007.9</v>
      </c>
      <c r="L59" s="2">
        <v>4150.3</v>
      </c>
      <c r="M59" s="2">
        <v>3796.2</v>
      </c>
      <c r="N59" s="2">
        <v>4056</v>
      </c>
      <c r="O59" s="2">
        <v>4126.9399999999996</v>
      </c>
      <c r="P59" s="2">
        <v>4267.1899999999996</v>
      </c>
      <c r="Q59" s="2">
        <v>4508.1899999999996</v>
      </c>
      <c r="R59" s="2">
        <v>4167.74</v>
      </c>
      <c r="S59" s="2">
        <v>4281.5</v>
      </c>
      <c r="T59" s="2">
        <v>4035.6</v>
      </c>
    </row>
    <row r="60" spans="1:20" x14ac:dyDescent="0.25">
      <c r="A60" t="s">
        <v>63</v>
      </c>
      <c r="B60" s="2">
        <v>5222.1000000000004</v>
      </c>
      <c r="C60" s="2">
        <v>5531</v>
      </c>
      <c r="D60" s="2">
        <v>5758.9</v>
      </c>
      <c r="E60" s="2">
        <v>6012.6</v>
      </c>
      <c r="F60" s="2">
        <v>6049.3</v>
      </c>
      <c r="G60" s="2">
        <v>6156.6</v>
      </c>
      <c r="H60" s="2">
        <v>6264</v>
      </c>
      <c r="I60" s="2">
        <v>6334.5</v>
      </c>
      <c r="J60" s="2">
        <v>6854.3</v>
      </c>
      <c r="K60" s="2">
        <v>7469.6</v>
      </c>
      <c r="L60" s="2">
        <v>7299.2</v>
      </c>
      <c r="M60" s="2">
        <v>7800.4</v>
      </c>
      <c r="N60" s="2">
        <v>8763</v>
      </c>
      <c r="O60" s="2">
        <v>9312.51</v>
      </c>
      <c r="P60" s="2">
        <v>9773.1299999999992</v>
      </c>
      <c r="Q60" s="2">
        <v>10287.32</v>
      </c>
      <c r="R60" s="2">
        <v>10869.75</v>
      </c>
      <c r="S60" s="2">
        <v>11488.23</v>
      </c>
      <c r="T60" s="2">
        <v>14029.49</v>
      </c>
    </row>
    <row r="61" spans="1:20" x14ac:dyDescent="0.25">
      <c r="A61" t="s">
        <v>1308</v>
      </c>
      <c r="B61" s="2">
        <v>1657.7</v>
      </c>
      <c r="C61" s="2">
        <v>1612</v>
      </c>
      <c r="D61" s="2">
        <v>1783.4</v>
      </c>
      <c r="E61" s="2">
        <v>1845.1</v>
      </c>
      <c r="F61" s="2">
        <v>1739.8</v>
      </c>
      <c r="G61" s="2">
        <v>1448.2</v>
      </c>
      <c r="H61" s="2">
        <v>1443.4</v>
      </c>
      <c r="I61" s="2">
        <v>1548.7</v>
      </c>
      <c r="J61" s="2">
        <v>1566.3</v>
      </c>
      <c r="K61" s="2">
        <v>1702.6</v>
      </c>
      <c r="M61" s="2">
        <v>1393</v>
      </c>
      <c r="N61" s="2">
        <v>2268</v>
      </c>
      <c r="O61" s="2">
        <v>2784.12</v>
      </c>
      <c r="P61" s="2">
        <v>3102.34</v>
      </c>
      <c r="Q61" s="2">
        <v>3483.12</v>
      </c>
      <c r="R61" s="2">
        <v>3915.24</v>
      </c>
      <c r="S61" s="2">
        <v>4068.62</v>
      </c>
      <c r="T61" s="2">
        <v>5843.09</v>
      </c>
    </row>
    <row r="62" spans="1:20" x14ac:dyDescent="0.25">
      <c r="A62" t="s">
        <v>190</v>
      </c>
      <c r="B62">
        <v>941.5</v>
      </c>
      <c r="C62" s="2">
        <v>1033</v>
      </c>
      <c r="D62" s="2">
        <v>1062.5999999999999</v>
      </c>
      <c r="E62" s="2">
        <v>1073.8</v>
      </c>
      <c r="F62" s="2">
        <v>1142.5</v>
      </c>
      <c r="G62" s="2">
        <v>1316.2</v>
      </c>
      <c r="H62" s="2">
        <v>1447</v>
      </c>
      <c r="I62" s="2">
        <v>1600.5</v>
      </c>
      <c r="J62" s="2">
        <v>1747.6</v>
      </c>
      <c r="K62" s="2">
        <v>2007.2</v>
      </c>
      <c r="L62" s="2">
        <v>1876.4</v>
      </c>
      <c r="M62" s="2">
        <v>1970.6</v>
      </c>
      <c r="N62" s="2">
        <v>2076</v>
      </c>
      <c r="O62" s="2">
        <v>2204.4</v>
      </c>
      <c r="P62" s="2">
        <v>2320.36</v>
      </c>
      <c r="Q62" s="2">
        <v>2508.2800000000002</v>
      </c>
      <c r="R62" s="2">
        <v>2695.76</v>
      </c>
      <c r="S62" s="2">
        <v>2829.26</v>
      </c>
      <c r="T62" s="2">
        <v>2978.29</v>
      </c>
    </row>
    <row r="63" spans="1:20" x14ac:dyDescent="0.25">
      <c r="A63" t="s">
        <v>3256</v>
      </c>
      <c r="B63" s="2">
        <v>2275.5</v>
      </c>
      <c r="C63" s="2">
        <v>2515.1999999999998</v>
      </c>
      <c r="D63" s="2">
        <v>2529.8000000000002</v>
      </c>
      <c r="E63" s="2">
        <v>2702.9</v>
      </c>
      <c r="F63" s="2">
        <v>2737.2</v>
      </c>
      <c r="G63" s="2">
        <v>2959.8</v>
      </c>
      <c r="H63" s="2">
        <v>2934.4</v>
      </c>
      <c r="I63" s="2">
        <v>2754.3</v>
      </c>
      <c r="J63" s="2">
        <v>3043.1</v>
      </c>
      <c r="K63" s="2">
        <v>3287.2</v>
      </c>
      <c r="L63" s="2">
        <v>3211.1</v>
      </c>
      <c r="M63" s="2">
        <v>3528</v>
      </c>
      <c r="N63" s="2">
        <v>3884</v>
      </c>
      <c r="O63" s="2">
        <v>4119.0200000000004</v>
      </c>
      <c r="P63" s="2">
        <v>4400.07</v>
      </c>
      <c r="Q63" s="2">
        <v>4664.43</v>
      </c>
      <c r="R63" s="2">
        <v>4158.6499999999996</v>
      </c>
      <c r="S63" s="2">
        <v>4150.62</v>
      </c>
      <c r="T63" s="2">
        <v>4516.0200000000004</v>
      </c>
    </row>
    <row r="64" spans="1:20" x14ac:dyDescent="0.25">
      <c r="A64" t="s">
        <v>484</v>
      </c>
      <c r="B64">
        <v>540</v>
      </c>
      <c r="C64">
        <v>525.5</v>
      </c>
      <c r="D64">
        <v>517.4</v>
      </c>
      <c r="E64">
        <v>522.1</v>
      </c>
      <c r="F64">
        <v>540</v>
      </c>
      <c r="G64">
        <v>567.79999999999995</v>
      </c>
      <c r="H64">
        <v>568.29999999999995</v>
      </c>
      <c r="I64">
        <v>565</v>
      </c>
      <c r="J64">
        <v>574.20000000000005</v>
      </c>
      <c r="K64">
        <v>650.9</v>
      </c>
      <c r="L64">
        <v>764.5</v>
      </c>
      <c r="M64">
        <v>724.3</v>
      </c>
      <c r="N64">
        <v>856</v>
      </c>
      <c r="O64" s="2">
        <v>1009.32</v>
      </c>
      <c r="P64" s="2">
        <v>1126.17</v>
      </c>
      <c r="Q64" s="2">
        <v>1335.18</v>
      </c>
      <c r="R64" s="2">
        <v>1526.94</v>
      </c>
      <c r="S64" s="2">
        <v>1649.16</v>
      </c>
      <c r="T64" s="2">
        <v>2087</v>
      </c>
    </row>
    <row r="65" spans="1:20" x14ac:dyDescent="0.25">
      <c r="A65" t="s">
        <v>3479</v>
      </c>
      <c r="B65">
        <v>744.3</v>
      </c>
      <c r="C65">
        <v>711.6</v>
      </c>
      <c r="D65">
        <v>900.2</v>
      </c>
      <c r="E65">
        <v>990.8</v>
      </c>
      <c r="F65">
        <v>818.8</v>
      </c>
      <c r="G65">
        <v>985.8</v>
      </c>
      <c r="H65" s="2">
        <v>1072.0999999999999</v>
      </c>
      <c r="I65" s="2">
        <v>1095.2</v>
      </c>
      <c r="J65" s="2">
        <v>1131.2</v>
      </c>
      <c r="K65" s="2">
        <v>1307.9000000000001</v>
      </c>
      <c r="L65" s="2">
        <v>1286.9000000000001</v>
      </c>
      <c r="M65" s="2">
        <v>1453.2</v>
      </c>
      <c r="N65" s="2">
        <v>1513</v>
      </c>
      <c r="O65" s="2">
        <v>1815.7</v>
      </c>
      <c r="P65" s="2">
        <v>2015.94</v>
      </c>
      <c r="Q65" s="2">
        <v>2355.09</v>
      </c>
      <c r="R65" s="2">
        <v>2658.3</v>
      </c>
      <c r="S65" s="2">
        <v>2976.52</v>
      </c>
      <c r="T65" s="2">
        <v>3123.73</v>
      </c>
    </row>
    <row r="66" spans="1:20" x14ac:dyDescent="0.25">
      <c r="A66" t="s">
        <v>3480</v>
      </c>
      <c r="C66">
        <v>1.45</v>
      </c>
      <c r="D66">
        <v>1.83</v>
      </c>
      <c r="E66">
        <v>2.0099999999999998</v>
      </c>
      <c r="F66">
        <v>1.64</v>
      </c>
      <c r="G66">
        <v>2</v>
      </c>
      <c r="H66">
        <v>2.17</v>
      </c>
      <c r="I66">
        <v>2.21</v>
      </c>
      <c r="J66">
        <v>2.2599999999999998</v>
      </c>
      <c r="K66">
        <v>2.56</v>
      </c>
      <c r="L66">
        <v>2.4700000000000002</v>
      </c>
      <c r="M66">
        <v>2.63</v>
      </c>
      <c r="N66">
        <v>2.83</v>
      </c>
      <c r="O66">
        <v>3.27</v>
      </c>
      <c r="P66">
        <v>3.52</v>
      </c>
      <c r="Q66">
        <v>3.95</v>
      </c>
      <c r="R66">
        <v>4.42</v>
      </c>
      <c r="S66">
        <v>4.8</v>
      </c>
      <c r="T66">
        <v>5.07</v>
      </c>
    </row>
    <row r="67" spans="1:20" x14ac:dyDescent="0.25">
      <c r="A67" t="s">
        <v>17</v>
      </c>
    </row>
    <row r="68" spans="1:20" x14ac:dyDescent="0.25">
      <c r="A68" t="s">
        <v>3481</v>
      </c>
    </row>
    <row r="69" spans="1:20" x14ac:dyDescent="0.25">
      <c r="A69" t="s">
        <v>60</v>
      </c>
      <c r="B69" s="2">
        <v>4478.3999999999996</v>
      </c>
      <c r="C69" s="2">
        <v>4813.6000000000004</v>
      </c>
      <c r="D69" s="2">
        <v>4556.6000000000004</v>
      </c>
      <c r="E69" s="2">
        <v>4422.3999999999996</v>
      </c>
      <c r="F69" s="2">
        <v>4419.3</v>
      </c>
      <c r="G69" s="2">
        <v>4653.1000000000004</v>
      </c>
      <c r="H69" s="2">
        <v>4482.5</v>
      </c>
      <c r="I69" s="2">
        <v>4345.8999999999996</v>
      </c>
      <c r="J69" s="2">
        <v>4492.8999999999996</v>
      </c>
      <c r="K69" s="2">
        <v>5512</v>
      </c>
      <c r="L69" s="2">
        <v>5713.3</v>
      </c>
      <c r="M69" s="2">
        <v>5907.7</v>
      </c>
      <c r="N69" s="2">
        <v>6147</v>
      </c>
      <c r="O69" s="2">
        <v>6571.73</v>
      </c>
      <c r="P69" s="2">
        <v>7086.63</v>
      </c>
      <c r="Q69" s="2">
        <v>7665.82</v>
      </c>
      <c r="R69" s="2">
        <v>7663.02</v>
      </c>
      <c r="S69" s="2">
        <v>7819.44</v>
      </c>
      <c r="T69" s="2">
        <v>8782.52</v>
      </c>
    </row>
    <row r="70" spans="1:20" x14ac:dyDescent="0.25">
      <c r="A70" t="s">
        <v>62</v>
      </c>
      <c r="B70" s="2">
        <v>1626.5</v>
      </c>
      <c r="C70" s="2">
        <v>1630.6</v>
      </c>
      <c r="D70" s="2">
        <v>1282.5999999999999</v>
      </c>
      <c r="E70">
        <v>997.3</v>
      </c>
      <c r="F70" s="2">
        <v>1064.5</v>
      </c>
      <c r="G70" s="2">
        <v>1082.2</v>
      </c>
      <c r="H70">
        <v>794.3</v>
      </c>
      <c r="I70">
        <v>682.7</v>
      </c>
      <c r="J70">
        <v>729.9</v>
      </c>
      <c r="K70" s="2">
        <v>1287.3</v>
      </c>
      <c r="L70" s="2">
        <v>1214.8</v>
      </c>
      <c r="M70">
        <v>909.1</v>
      </c>
      <c r="N70">
        <v>943</v>
      </c>
      <c r="O70">
        <v>957.53</v>
      </c>
      <c r="P70">
        <v>995.04</v>
      </c>
      <c r="Q70" s="2">
        <v>1044.94</v>
      </c>
      <c r="R70" s="2">
        <v>1044.31</v>
      </c>
      <c r="S70" s="2">
        <v>1087.97</v>
      </c>
      <c r="T70">
        <v>944.5</v>
      </c>
    </row>
    <row r="71" spans="1:20" x14ac:dyDescent="0.25">
      <c r="A71" t="s">
        <v>63</v>
      </c>
      <c r="B71" s="2">
        <v>2851.9</v>
      </c>
      <c r="C71" s="2">
        <v>3183</v>
      </c>
      <c r="D71" s="2">
        <v>3274</v>
      </c>
      <c r="E71" s="2">
        <v>3425.1</v>
      </c>
      <c r="F71" s="2">
        <v>3354.8</v>
      </c>
      <c r="G71" s="2">
        <v>3570.9</v>
      </c>
      <c r="H71" s="2">
        <v>3622.9</v>
      </c>
      <c r="I71" s="2">
        <v>3663.2</v>
      </c>
      <c r="J71" s="2">
        <v>3763</v>
      </c>
      <c r="K71" s="2">
        <v>4224.7</v>
      </c>
      <c r="L71" s="2">
        <v>4498.5</v>
      </c>
      <c r="M71" s="2">
        <v>4998.6000000000004</v>
      </c>
      <c r="N71" s="2">
        <v>5204</v>
      </c>
      <c r="O71" s="2">
        <v>5533.99</v>
      </c>
      <c r="P71" s="2">
        <v>5825.15</v>
      </c>
      <c r="Q71" s="2">
        <v>6151.22</v>
      </c>
      <c r="R71" s="2">
        <v>6501.43</v>
      </c>
      <c r="S71" s="2">
        <v>6660.22</v>
      </c>
      <c r="T71" s="2">
        <v>7838.02</v>
      </c>
    </row>
    <row r="72" spans="1:20" x14ac:dyDescent="0.25">
      <c r="A72" t="s">
        <v>1308</v>
      </c>
      <c r="B72">
        <v>819.9</v>
      </c>
      <c r="C72">
        <v>796</v>
      </c>
      <c r="D72">
        <v>779.6</v>
      </c>
      <c r="E72">
        <v>894</v>
      </c>
      <c r="F72">
        <v>983.2</v>
      </c>
      <c r="G72">
        <v>752.4</v>
      </c>
      <c r="H72">
        <v>649.5</v>
      </c>
      <c r="I72">
        <v>767.6</v>
      </c>
      <c r="J72">
        <v>857.9</v>
      </c>
      <c r="K72">
        <v>953.9</v>
      </c>
      <c r="M72">
        <v>802.1</v>
      </c>
      <c r="N72" s="2">
        <v>1346</v>
      </c>
      <c r="O72" s="2">
        <v>1499.7</v>
      </c>
      <c r="P72" s="2">
        <v>1728.71</v>
      </c>
      <c r="Q72" s="2">
        <v>1954.88</v>
      </c>
      <c r="R72" s="2">
        <v>2125.46</v>
      </c>
      <c r="S72" s="2">
        <v>2251.56</v>
      </c>
      <c r="T72" s="2">
        <v>3174.51</v>
      </c>
    </row>
    <row r="73" spans="1:20" x14ac:dyDescent="0.25">
      <c r="A73" t="s">
        <v>190</v>
      </c>
      <c r="B73">
        <v>591.29999999999995</v>
      </c>
      <c r="C73">
        <v>657.8</v>
      </c>
      <c r="D73">
        <v>686.4</v>
      </c>
      <c r="E73">
        <v>649.9</v>
      </c>
      <c r="F73">
        <v>667.5</v>
      </c>
      <c r="G73">
        <v>734.1</v>
      </c>
      <c r="H73">
        <v>789.5</v>
      </c>
      <c r="I73">
        <v>751.1</v>
      </c>
      <c r="J73">
        <v>690.3</v>
      </c>
      <c r="K73">
        <v>746.7</v>
      </c>
      <c r="L73">
        <v>784.7</v>
      </c>
      <c r="M73">
        <v>879.5</v>
      </c>
      <c r="N73">
        <v>821</v>
      </c>
      <c r="O73">
        <v>864.44</v>
      </c>
      <c r="P73">
        <v>921</v>
      </c>
      <c r="Q73">
        <v>996.81</v>
      </c>
      <c r="R73" s="2">
        <v>1073.27</v>
      </c>
      <c r="S73" s="2">
        <v>1123.1500000000001</v>
      </c>
      <c r="T73" s="2">
        <v>1308.45</v>
      </c>
    </row>
    <row r="74" spans="1:20" x14ac:dyDescent="0.25">
      <c r="A74" t="s">
        <v>3256</v>
      </c>
      <c r="B74" s="2">
        <v>1003.5</v>
      </c>
      <c r="C74" s="2">
        <v>1275.8</v>
      </c>
      <c r="D74" s="2">
        <v>1329.9</v>
      </c>
      <c r="E74" s="2">
        <v>1386.9</v>
      </c>
      <c r="F74" s="2">
        <v>1190.4000000000001</v>
      </c>
      <c r="G74" s="2">
        <v>1541.7</v>
      </c>
      <c r="H74" s="2">
        <v>1628.1</v>
      </c>
      <c r="I74" s="2">
        <v>1575.4</v>
      </c>
      <c r="J74" s="2">
        <v>1573.9</v>
      </c>
      <c r="K74" s="2">
        <v>1864.2</v>
      </c>
      <c r="L74" s="2">
        <v>1947.8</v>
      </c>
      <c r="M74" s="2">
        <v>2166.1</v>
      </c>
      <c r="N74" s="2">
        <v>2318</v>
      </c>
      <c r="O74" s="2">
        <v>2442.64</v>
      </c>
      <c r="P74" s="2">
        <v>2581.7199999999998</v>
      </c>
      <c r="Q74" s="2">
        <v>2729.51</v>
      </c>
      <c r="R74" s="2">
        <v>2467.14</v>
      </c>
      <c r="S74" s="2">
        <v>2461.14</v>
      </c>
      <c r="T74" s="2">
        <v>2441</v>
      </c>
    </row>
    <row r="75" spans="1:20" x14ac:dyDescent="0.25">
      <c r="A75" t="s">
        <v>484</v>
      </c>
      <c r="B75">
        <v>291</v>
      </c>
      <c r="C75">
        <v>279.89999999999998</v>
      </c>
      <c r="D75">
        <v>276.2</v>
      </c>
      <c r="E75">
        <v>256.89999999999998</v>
      </c>
      <c r="F75">
        <v>244.1</v>
      </c>
      <c r="G75">
        <v>248.1</v>
      </c>
      <c r="H75">
        <v>243.3</v>
      </c>
      <c r="I75">
        <v>289.2</v>
      </c>
      <c r="J75">
        <v>300.89999999999998</v>
      </c>
      <c r="K75">
        <v>328</v>
      </c>
      <c r="L75">
        <v>363.6</v>
      </c>
      <c r="M75">
        <v>405.5</v>
      </c>
      <c r="N75">
        <v>424</v>
      </c>
      <c r="O75">
        <v>478.03</v>
      </c>
      <c r="P75">
        <v>576.39</v>
      </c>
      <c r="Q75">
        <v>686.27</v>
      </c>
      <c r="R75">
        <v>799.71</v>
      </c>
      <c r="S75">
        <v>906.14</v>
      </c>
      <c r="T75" s="2">
        <v>1105.53</v>
      </c>
    </row>
    <row r="76" spans="1:20" x14ac:dyDescent="0.25">
      <c r="A76" t="s">
        <v>3479</v>
      </c>
      <c r="B76">
        <v>356.8</v>
      </c>
      <c r="C76">
        <v>354.6</v>
      </c>
      <c r="D76">
        <v>351.7</v>
      </c>
      <c r="E76">
        <v>469.3</v>
      </c>
      <c r="F76">
        <v>498.2</v>
      </c>
      <c r="G76">
        <v>518.70000000000005</v>
      </c>
      <c r="H76">
        <v>492.8</v>
      </c>
      <c r="I76">
        <v>508.3</v>
      </c>
      <c r="J76">
        <v>552.5</v>
      </c>
      <c r="K76">
        <v>595.70000000000005</v>
      </c>
      <c r="L76">
        <v>676.8</v>
      </c>
      <c r="M76">
        <v>725.7</v>
      </c>
      <c r="N76">
        <v>860</v>
      </c>
      <c r="O76">
        <v>962.84</v>
      </c>
      <c r="P76" s="2">
        <v>1071.43</v>
      </c>
      <c r="Q76" s="2">
        <v>1213.8699999999999</v>
      </c>
      <c r="R76" s="2">
        <v>1400.76</v>
      </c>
      <c r="S76" s="2">
        <v>1527.99</v>
      </c>
      <c r="T76" s="2">
        <v>1705.59</v>
      </c>
    </row>
    <row r="77" spans="1:20" x14ac:dyDescent="0.25">
      <c r="A77" t="s">
        <v>3482</v>
      </c>
      <c r="C77">
        <v>0.72</v>
      </c>
      <c r="D77">
        <v>0.78</v>
      </c>
      <c r="E77">
        <v>0.95</v>
      </c>
      <c r="F77">
        <v>1.01</v>
      </c>
      <c r="G77">
        <v>1.05</v>
      </c>
      <c r="H77">
        <v>1</v>
      </c>
      <c r="I77">
        <v>1.03</v>
      </c>
      <c r="J77">
        <v>1.1000000000000001</v>
      </c>
      <c r="K77">
        <v>1.1599999999999999</v>
      </c>
      <c r="L77">
        <v>1.3</v>
      </c>
      <c r="M77">
        <v>1.51</v>
      </c>
      <c r="N77">
        <v>1.61</v>
      </c>
      <c r="O77">
        <v>1.75</v>
      </c>
      <c r="P77">
        <v>1.94</v>
      </c>
      <c r="Q77">
        <v>2.16</v>
      </c>
      <c r="R77">
        <v>2.39</v>
      </c>
      <c r="S77">
        <v>2.59</v>
      </c>
      <c r="T77">
        <v>2.77</v>
      </c>
    </row>
    <row r="78" spans="1:20" x14ac:dyDescent="0.25">
      <c r="A78" t="s">
        <v>17</v>
      </c>
    </row>
    <row r="79" spans="1:20" x14ac:dyDescent="0.25">
      <c r="A79" t="s">
        <v>3483</v>
      </c>
    </row>
    <row r="80" spans="1:20" x14ac:dyDescent="0.25">
      <c r="A80" t="s">
        <v>60</v>
      </c>
      <c r="B80">
        <v>77.7</v>
      </c>
      <c r="C80">
        <v>191.9</v>
      </c>
      <c r="D80">
        <v>329.2</v>
      </c>
      <c r="E80">
        <v>512.79999999999995</v>
      </c>
      <c r="F80">
        <v>766.7</v>
      </c>
      <c r="G80">
        <v>804.1</v>
      </c>
      <c r="H80" s="2">
        <v>1073.2</v>
      </c>
      <c r="I80" s="2">
        <v>1198.8</v>
      </c>
      <c r="J80" s="2">
        <v>1526.2</v>
      </c>
      <c r="K80" s="2">
        <v>1677</v>
      </c>
      <c r="L80" s="2">
        <v>1728.5</v>
      </c>
      <c r="M80" s="2">
        <v>1950.8</v>
      </c>
      <c r="N80" s="2">
        <v>2377</v>
      </c>
      <c r="O80" s="2">
        <v>2369.77</v>
      </c>
      <c r="P80" s="2">
        <v>2525.6</v>
      </c>
      <c r="Q80" s="2">
        <v>2736.06</v>
      </c>
      <c r="R80" s="2">
        <v>3104.11</v>
      </c>
      <c r="S80" s="2">
        <v>3406.17</v>
      </c>
      <c r="T80" s="2">
        <v>4227.8999999999996</v>
      </c>
    </row>
    <row r="81" spans="1:20" x14ac:dyDescent="0.25">
      <c r="A81" t="s">
        <v>63</v>
      </c>
      <c r="B81">
        <v>77.7</v>
      </c>
      <c r="C81">
        <v>191.9</v>
      </c>
      <c r="D81">
        <v>329.2</v>
      </c>
      <c r="E81">
        <v>512.79999999999995</v>
      </c>
      <c r="F81">
        <v>766.7</v>
      </c>
      <c r="G81">
        <v>804.1</v>
      </c>
      <c r="H81" s="2">
        <v>1073.2</v>
      </c>
      <c r="I81" s="2">
        <v>1198.8</v>
      </c>
      <c r="J81" s="2">
        <v>1526.2</v>
      </c>
      <c r="K81" s="2">
        <v>1677</v>
      </c>
      <c r="L81" s="2">
        <v>1728.5</v>
      </c>
      <c r="M81" s="2">
        <v>1950.8</v>
      </c>
      <c r="N81" s="2">
        <v>2377</v>
      </c>
      <c r="O81" s="2">
        <v>2334.91</v>
      </c>
      <c r="P81" s="2">
        <v>2455.73</v>
      </c>
      <c r="Q81" s="2">
        <v>2638.9</v>
      </c>
      <c r="R81" s="2">
        <v>2885.22</v>
      </c>
      <c r="S81" s="2">
        <v>3272.24</v>
      </c>
    </row>
    <row r="82" spans="1:20" x14ac:dyDescent="0.25">
      <c r="A82" t="s">
        <v>1308</v>
      </c>
      <c r="B82">
        <v>36.200000000000003</v>
      </c>
      <c r="C82">
        <v>107.6</v>
      </c>
      <c r="D82">
        <v>182</v>
      </c>
      <c r="E82">
        <v>301.7</v>
      </c>
      <c r="F82">
        <v>476.1</v>
      </c>
      <c r="G82">
        <v>419</v>
      </c>
      <c r="H82">
        <v>596.5</v>
      </c>
      <c r="I82">
        <v>616.20000000000005</v>
      </c>
      <c r="J82">
        <v>842.9</v>
      </c>
      <c r="K82">
        <v>878.7</v>
      </c>
      <c r="M82">
        <v>798.6</v>
      </c>
      <c r="N82" s="2">
        <v>1166</v>
      </c>
      <c r="O82" s="2">
        <v>1319.52</v>
      </c>
      <c r="P82" s="2">
        <v>1455.44</v>
      </c>
      <c r="Q82" s="2">
        <v>1625.68</v>
      </c>
      <c r="R82" s="2">
        <v>1703.23</v>
      </c>
      <c r="S82" s="2">
        <v>2043.19</v>
      </c>
      <c r="T82" s="2">
        <v>2808.97</v>
      </c>
    </row>
    <row r="83" spans="1:20" x14ac:dyDescent="0.25">
      <c r="A83" t="s">
        <v>190</v>
      </c>
      <c r="B83">
        <v>10.1</v>
      </c>
      <c r="C83">
        <v>23.7</v>
      </c>
      <c r="D83">
        <v>43</v>
      </c>
      <c r="E83">
        <v>67.099999999999994</v>
      </c>
      <c r="F83">
        <v>102.2</v>
      </c>
      <c r="G83">
        <v>137.80000000000001</v>
      </c>
      <c r="H83">
        <v>183.4</v>
      </c>
      <c r="I83">
        <v>257.60000000000002</v>
      </c>
      <c r="J83">
        <v>306</v>
      </c>
      <c r="K83">
        <v>355</v>
      </c>
      <c r="L83">
        <v>402.6</v>
      </c>
      <c r="M83">
        <v>439.7</v>
      </c>
      <c r="N83">
        <v>487</v>
      </c>
      <c r="O83">
        <v>503.1</v>
      </c>
      <c r="P83">
        <v>522.25</v>
      </c>
      <c r="Q83">
        <v>565.16999999999996</v>
      </c>
      <c r="R83">
        <v>603.82000000000005</v>
      </c>
      <c r="S83">
        <v>637.02</v>
      </c>
      <c r="T83">
        <v>789.04</v>
      </c>
    </row>
    <row r="84" spans="1:20" x14ac:dyDescent="0.25">
      <c r="A84" t="s">
        <v>3256</v>
      </c>
      <c r="B84">
        <v>11.7</v>
      </c>
      <c r="C84">
        <v>28.8</v>
      </c>
      <c r="D84">
        <v>38.200000000000003</v>
      </c>
      <c r="E84">
        <v>55.3</v>
      </c>
      <c r="F84">
        <v>74.400000000000006</v>
      </c>
      <c r="G84">
        <v>105.6</v>
      </c>
      <c r="H84">
        <v>119</v>
      </c>
      <c r="I84">
        <v>119</v>
      </c>
      <c r="J84">
        <v>132.30000000000001</v>
      </c>
      <c r="K84">
        <v>165.7</v>
      </c>
      <c r="L84">
        <v>141.6</v>
      </c>
      <c r="M84">
        <v>162.80000000000001</v>
      </c>
      <c r="N84">
        <v>194</v>
      </c>
      <c r="O84">
        <v>214.49</v>
      </c>
      <c r="P84">
        <v>226.45</v>
      </c>
      <c r="Q84">
        <v>242.75</v>
      </c>
      <c r="R84">
        <v>274.02</v>
      </c>
      <c r="S84">
        <v>312.02</v>
      </c>
      <c r="T84">
        <v>221.6</v>
      </c>
    </row>
    <row r="85" spans="1:20" x14ac:dyDescent="0.25">
      <c r="A85" t="s">
        <v>120</v>
      </c>
      <c r="B85">
        <v>29</v>
      </c>
      <c r="C85">
        <v>150.80000000000001</v>
      </c>
      <c r="D85">
        <v>91.3</v>
      </c>
      <c r="E85">
        <v>134.1</v>
      </c>
      <c r="F85">
        <v>189.8</v>
      </c>
      <c r="G85">
        <v>95.3</v>
      </c>
      <c r="H85">
        <v>136.19999999999999</v>
      </c>
      <c r="I85">
        <v>130.80000000000001</v>
      </c>
      <c r="J85">
        <v>159.6</v>
      </c>
      <c r="K85">
        <v>193.6</v>
      </c>
      <c r="L85">
        <v>166</v>
      </c>
      <c r="M85">
        <v>214.7</v>
      </c>
      <c r="N85">
        <v>42</v>
      </c>
      <c r="O85">
        <v>240.22</v>
      </c>
      <c r="P85">
        <v>247.2</v>
      </c>
      <c r="Q85">
        <v>273.12</v>
      </c>
      <c r="R85">
        <v>371.58</v>
      </c>
      <c r="S85">
        <v>416.22</v>
      </c>
      <c r="T85">
        <v>490.86</v>
      </c>
    </row>
    <row r="86" spans="1:20" x14ac:dyDescent="0.25">
      <c r="A86" t="s">
        <v>484</v>
      </c>
      <c r="B86">
        <v>10</v>
      </c>
      <c r="C86">
        <v>23.5</v>
      </c>
      <c r="D86">
        <v>37.200000000000003</v>
      </c>
      <c r="E86">
        <v>50.3</v>
      </c>
      <c r="F86">
        <v>72.8</v>
      </c>
      <c r="G86">
        <v>90.7</v>
      </c>
      <c r="H86">
        <v>103.3</v>
      </c>
      <c r="I86">
        <v>133.19999999999999</v>
      </c>
      <c r="J86">
        <v>146.30000000000001</v>
      </c>
      <c r="K86">
        <v>169.3</v>
      </c>
      <c r="L86">
        <v>202.6</v>
      </c>
      <c r="M86">
        <v>222.3</v>
      </c>
      <c r="N86">
        <v>241</v>
      </c>
      <c r="O86">
        <v>271.57</v>
      </c>
      <c r="P86">
        <v>302.12</v>
      </c>
      <c r="Q86">
        <v>343.77</v>
      </c>
      <c r="R86">
        <v>368.16</v>
      </c>
      <c r="S86">
        <v>396.21</v>
      </c>
      <c r="T86">
        <v>569.55999999999995</v>
      </c>
    </row>
    <row r="87" spans="1:20" x14ac:dyDescent="0.25">
      <c r="A87" t="s">
        <v>3484</v>
      </c>
      <c r="B87">
        <v>29.5</v>
      </c>
      <c r="C87">
        <v>44.9</v>
      </c>
      <c r="D87">
        <v>53.1</v>
      </c>
      <c r="E87">
        <v>52.2</v>
      </c>
      <c r="F87">
        <v>52.5</v>
      </c>
      <c r="G87">
        <v>67.2</v>
      </c>
      <c r="H87">
        <v>84.3</v>
      </c>
      <c r="I87">
        <v>74</v>
      </c>
      <c r="J87">
        <v>67.2</v>
      </c>
      <c r="K87">
        <v>70.599999999999994</v>
      </c>
      <c r="L87">
        <v>83.1</v>
      </c>
      <c r="M87">
        <v>89.4</v>
      </c>
      <c r="N87">
        <v>94</v>
      </c>
      <c r="O87">
        <v>84.73</v>
      </c>
      <c r="P87">
        <v>95.33</v>
      </c>
      <c r="Q87">
        <v>99.84</v>
      </c>
      <c r="R87">
        <v>93.11</v>
      </c>
      <c r="S87">
        <v>95.45</v>
      </c>
    </row>
    <row r="88" spans="1:20" x14ac:dyDescent="0.25">
      <c r="A88" t="s">
        <v>169</v>
      </c>
      <c r="H88">
        <v>3.8</v>
      </c>
      <c r="I88">
        <v>3.7</v>
      </c>
      <c r="J88">
        <v>4.2</v>
      </c>
      <c r="K88">
        <v>3.3</v>
      </c>
      <c r="L88">
        <v>3.8</v>
      </c>
      <c r="M88">
        <v>4.2</v>
      </c>
      <c r="N88">
        <v>113</v>
      </c>
      <c r="O88">
        <v>109.97</v>
      </c>
      <c r="P88">
        <v>143.91</v>
      </c>
      <c r="Q88">
        <v>160.96</v>
      </c>
      <c r="R88">
        <v>198.71</v>
      </c>
      <c r="S88">
        <v>235.92</v>
      </c>
      <c r="T88">
        <v>367.46</v>
      </c>
    </row>
    <row r="89" spans="1:20" x14ac:dyDescent="0.25">
      <c r="A89" t="s">
        <v>3479</v>
      </c>
      <c r="B89">
        <v>79.900000000000006</v>
      </c>
      <c r="C89">
        <v>150.80000000000001</v>
      </c>
      <c r="D89">
        <v>221.1</v>
      </c>
      <c r="E89">
        <v>269.3</v>
      </c>
      <c r="F89">
        <v>341.4</v>
      </c>
      <c r="G89">
        <v>370.3</v>
      </c>
      <c r="H89">
        <v>516.4</v>
      </c>
      <c r="I89">
        <v>508.7</v>
      </c>
      <c r="J89">
        <v>673.8</v>
      </c>
      <c r="K89">
        <v>673.5</v>
      </c>
      <c r="L89">
        <v>744</v>
      </c>
      <c r="M89">
        <v>790.2</v>
      </c>
      <c r="N89">
        <v>807</v>
      </c>
      <c r="O89">
        <v>891.81</v>
      </c>
      <c r="P89">
        <v>994.3</v>
      </c>
      <c r="Q89" s="2">
        <v>1091.79</v>
      </c>
      <c r="R89" s="2">
        <v>1276.95</v>
      </c>
      <c r="S89" s="2">
        <v>1421.05</v>
      </c>
      <c r="T89" s="2">
        <v>1568.15</v>
      </c>
    </row>
    <row r="90" spans="1:20" x14ac:dyDescent="0.25">
      <c r="A90" t="s">
        <v>3485</v>
      </c>
      <c r="C90">
        <v>0.31</v>
      </c>
      <c r="D90">
        <v>0.39</v>
      </c>
      <c r="E90">
        <v>0.54</v>
      </c>
      <c r="F90">
        <v>0.72</v>
      </c>
      <c r="G90">
        <v>0.75</v>
      </c>
      <c r="H90">
        <v>1.05</v>
      </c>
      <c r="I90">
        <v>1.03</v>
      </c>
      <c r="J90">
        <v>1.35</v>
      </c>
      <c r="K90">
        <v>1.32</v>
      </c>
      <c r="L90">
        <v>1.43</v>
      </c>
      <c r="M90">
        <v>1.51</v>
      </c>
      <c r="N90">
        <v>1.51</v>
      </c>
      <c r="O90">
        <v>1.54</v>
      </c>
      <c r="P90">
        <v>1.64</v>
      </c>
      <c r="Q90">
        <v>1.81</v>
      </c>
      <c r="R90">
        <v>2</v>
      </c>
      <c r="S90">
        <v>2.16</v>
      </c>
      <c r="T90">
        <v>2.5499999999999998</v>
      </c>
    </row>
    <row r="91" spans="1:20" x14ac:dyDescent="0.25">
      <c r="A91" t="s">
        <v>17</v>
      </c>
    </row>
    <row r="92" spans="1:20" x14ac:dyDescent="0.25">
      <c r="A92" t="s">
        <v>3486</v>
      </c>
    </row>
    <row r="93" spans="1:20" x14ac:dyDescent="0.25">
      <c r="A93" t="s">
        <v>60</v>
      </c>
      <c r="B93" s="2">
        <v>3665.2</v>
      </c>
      <c r="C93" s="2">
        <v>3849.6</v>
      </c>
      <c r="D93" s="2">
        <v>3412.7</v>
      </c>
      <c r="E93" s="2">
        <v>2986</v>
      </c>
      <c r="F93" s="2">
        <v>1875.1</v>
      </c>
      <c r="G93" s="2">
        <v>1940.3</v>
      </c>
      <c r="H93" s="2">
        <v>1857.6</v>
      </c>
      <c r="I93" s="2">
        <v>1725.6</v>
      </c>
      <c r="J93" s="2">
        <v>2163.6999999999998</v>
      </c>
      <c r="K93" s="2">
        <v>2466.9</v>
      </c>
      <c r="L93" s="2">
        <v>1632.2</v>
      </c>
      <c r="M93" s="2">
        <v>2045.4</v>
      </c>
      <c r="N93" s="2">
        <v>2762</v>
      </c>
      <c r="O93" s="2">
        <v>2822.95</v>
      </c>
      <c r="P93" s="2">
        <v>2901.49</v>
      </c>
      <c r="Q93" s="2">
        <v>3146.4</v>
      </c>
      <c r="R93" s="2">
        <v>3111.37</v>
      </c>
      <c r="S93" s="2">
        <v>3237.52</v>
      </c>
    </row>
    <row r="94" spans="1:20" x14ac:dyDescent="0.25">
      <c r="A94" t="s">
        <v>62</v>
      </c>
      <c r="B94" s="2">
        <v>2305.1</v>
      </c>
      <c r="C94" s="2">
        <v>2436.3000000000002</v>
      </c>
      <c r="D94" s="2">
        <v>2164.6</v>
      </c>
      <c r="E94" s="2">
        <v>1948.6</v>
      </c>
      <c r="F94" s="2">
        <v>1377.2</v>
      </c>
      <c r="G94" s="2">
        <v>1537.3</v>
      </c>
      <c r="H94" s="2">
        <v>1456.2</v>
      </c>
      <c r="I94" s="2">
        <v>1403.6</v>
      </c>
      <c r="J94" s="2">
        <v>1806.8</v>
      </c>
      <c r="K94" s="2">
        <v>1984.3</v>
      </c>
      <c r="L94" s="2">
        <v>1487.8</v>
      </c>
      <c r="M94" s="2">
        <v>1542.4</v>
      </c>
      <c r="N94" s="2">
        <v>2325</v>
      </c>
      <c r="O94" s="2">
        <v>2414.04</v>
      </c>
      <c r="P94" s="2">
        <v>2440.84</v>
      </c>
      <c r="Q94" s="2">
        <v>2544.56</v>
      </c>
      <c r="R94" s="2">
        <v>2613.64</v>
      </c>
      <c r="S94" s="2">
        <v>2623.14</v>
      </c>
      <c r="T94" s="2">
        <v>2691.1</v>
      </c>
    </row>
    <row r="95" spans="1:20" x14ac:dyDescent="0.25">
      <c r="A95" t="s">
        <v>63</v>
      </c>
      <c r="B95" s="2">
        <v>1360.1</v>
      </c>
      <c r="C95" s="2">
        <v>1413.3</v>
      </c>
      <c r="D95" s="2">
        <v>1247.9000000000001</v>
      </c>
      <c r="E95" s="2">
        <v>1037.4000000000001</v>
      </c>
      <c r="F95">
        <v>497.9</v>
      </c>
      <c r="G95">
        <v>403</v>
      </c>
      <c r="H95">
        <v>401.4</v>
      </c>
      <c r="I95">
        <v>322</v>
      </c>
      <c r="J95">
        <v>356.9</v>
      </c>
      <c r="K95">
        <v>482.6</v>
      </c>
      <c r="L95">
        <v>144.4</v>
      </c>
      <c r="M95">
        <v>503</v>
      </c>
      <c r="N95">
        <v>437</v>
      </c>
      <c r="O95">
        <v>376.17</v>
      </c>
      <c r="P95">
        <v>378.06</v>
      </c>
      <c r="Q95">
        <v>416.97</v>
      </c>
      <c r="R95">
        <v>438.4</v>
      </c>
      <c r="S95">
        <v>461.44</v>
      </c>
      <c r="T95">
        <v>245.8</v>
      </c>
    </row>
    <row r="96" spans="1:20" x14ac:dyDescent="0.25">
      <c r="A96" t="s">
        <v>116</v>
      </c>
      <c r="K96">
        <v>376.1</v>
      </c>
      <c r="L96">
        <v>-130.5</v>
      </c>
      <c r="M96">
        <v>274</v>
      </c>
      <c r="N96">
        <v>336</v>
      </c>
      <c r="O96">
        <v>296.13</v>
      </c>
      <c r="P96">
        <v>310.58</v>
      </c>
      <c r="Q96">
        <v>360.98</v>
      </c>
      <c r="R96">
        <v>383.04</v>
      </c>
      <c r="S96">
        <v>412.42</v>
      </c>
    </row>
    <row r="97" spans="1:20" x14ac:dyDescent="0.25">
      <c r="A97" t="s">
        <v>1308</v>
      </c>
      <c r="B97">
        <v>567</v>
      </c>
      <c r="C97">
        <v>651.20000000000005</v>
      </c>
      <c r="D97">
        <v>597.6</v>
      </c>
      <c r="E97">
        <v>416.9</v>
      </c>
      <c r="F97">
        <v>195.8</v>
      </c>
      <c r="G97">
        <v>137.19999999999999</v>
      </c>
      <c r="H97">
        <v>107.1</v>
      </c>
      <c r="I97">
        <v>105.3</v>
      </c>
      <c r="J97">
        <v>37.6</v>
      </c>
      <c r="K97">
        <v>173.1</v>
      </c>
      <c r="M97">
        <v>255.8</v>
      </c>
      <c r="N97">
        <v>356</v>
      </c>
      <c r="O97">
        <v>310.26</v>
      </c>
      <c r="P97">
        <v>287.38</v>
      </c>
      <c r="Q97">
        <v>294.39</v>
      </c>
      <c r="R97">
        <v>300.94</v>
      </c>
      <c r="S97">
        <v>233.56</v>
      </c>
      <c r="T97">
        <v>152.91</v>
      </c>
    </row>
    <row r="98" spans="1:20" x14ac:dyDescent="0.25">
      <c r="A98" t="s">
        <v>190</v>
      </c>
      <c r="B98">
        <v>236.1</v>
      </c>
      <c r="C98">
        <v>226.8</v>
      </c>
      <c r="D98">
        <v>201.4</v>
      </c>
      <c r="E98">
        <v>154.6</v>
      </c>
      <c r="F98">
        <v>24.2</v>
      </c>
      <c r="G98">
        <v>41</v>
      </c>
      <c r="H98">
        <v>69.5</v>
      </c>
      <c r="I98">
        <v>72.8</v>
      </c>
      <c r="J98">
        <v>80.900000000000006</v>
      </c>
      <c r="K98">
        <v>93</v>
      </c>
      <c r="L98">
        <v>42.7</v>
      </c>
      <c r="M98">
        <v>20.9</v>
      </c>
      <c r="N98">
        <v>16</v>
      </c>
      <c r="O98">
        <v>20.93</v>
      </c>
      <c r="P98">
        <v>23.1</v>
      </c>
      <c r="Q98">
        <v>24.93</v>
      </c>
      <c r="R98">
        <v>30.44</v>
      </c>
      <c r="S98">
        <v>37.200000000000003</v>
      </c>
      <c r="T98">
        <v>17.59</v>
      </c>
    </row>
    <row r="99" spans="1:20" x14ac:dyDescent="0.25">
      <c r="A99" t="s">
        <v>3256</v>
      </c>
      <c r="B99">
        <v>522.70000000000005</v>
      </c>
      <c r="C99">
        <v>549.70000000000005</v>
      </c>
      <c r="D99">
        <v>408.2</v>
      </c>
      <c r="E99">
        <v>418.4</v>
      </c>
      <c r="F99">
        <v>270.60000000000002</v>
      </c>
      <c r="G99">
        <v>229.3</v>
      </c>
      <c r="H99">
        <v>223.8</v>
      </c>
      <c r="I99">
        <v>124.9</v>
      </c>
      <c r="J99">
        <v>97.5</v>
      </c>
      <c r="K99">
        <v>118.7</v>
      </c>
      <c r="L99">
        <v>132.9</v>
      </c>
      <c r="M99">
        <v>129.9</v>
      </c>
      <c r="N99">
        <v>83</v>
      </c>
      <c r="O99">
        <v>63.14</v>
      </c>
      <c r="P99">
        <v>70.89</v>
      </c>
      <c r="Q99">
        <v>76.150000000000006</v>
      </c>
      <c r="R99">
        <v>85.57</v>
      </c>
      <c r="S99">
        <v>85.96</v>
      </c>
      <c r="T99">
        <v>68.3</v>
      </c>
    </row>
    <row r="100" spans="1:20" x14ac:dyDescent="0.25">
      <c r="A100" t="s">
        <v>3479</v>
      </c>
      <c r="B100">
        <v>340.1</v>
      </c>
      <c r="C100">
        <v>408.4</v>
      </c>
      <c r="D100">
        <v>366</v>
      </c>
      <c r="E100">
        <v>245.5</v>
      </c>
      <c r="F100">
        <v>146.69999999999999</v>
      </c>
      <c r="G100">
        <v>139.80000000000001</v>
      </c>
      <c r="H100">
        <v>148.9</v>
      </c>
      <c r="I100">
        <v>178</v>
      </c>
      <c r="J100">
        <v>129.19999999999999</v>
      </c>
      <c r="K100">
        <v>256.7</v>
      </c>
      <c r="L100">
        <v>304.8</v>
      </c>
      <c r="M100">
        <v>289.2</v>
      </c>
      <c r="N100">
        <v>303</v>
      </c>
      <c r="O100">
        <v>257.19</v>
      </c>
      <c r="P100">
        <v>255.08</v>
      </c>
      <c r="Q100">
        <v>268.61</v>
      </c>
      <c r="R100">
        <v>243.2</v>
      </c>
      <c r="S100">
        <v>262.8</v>
      </c>
      <c r="T100">
        <v>234.18</v>
      </c>
    </row>
    <row r="101" spans="1:20" x14ac:dyDescent="0.25">
      <c r="A101" t="s">
        <v>3480</v>
      </c>
      <c r="C101">
        <v>0.84</v>
      </c>
      <c r="D101">
        <v>0.75</v>
      </c>
      <c r="E101">
        <v>0.5</v>
      </c>
      <c r="F101">
        <v>0.3</v>
      </c>
      <c r="G101">
        <v>0.28999999999999998</v>
      </c>
      <c r="H101">
        <v>0.3</v>
      </c>
      <c r="I101">
        <v>0.36</v>
      </c>
      <c r="J101">
        <v>0.26</v>
      </c>
      <c r="K101">
        <v>0.5</v>
      </c>
      <c r="L101">
        <v>0.59</v>
      </c>
      <c r="M101">
        <v>0.48</v>
      </c>
      <c r="N101">
        <v>0.56999999999999995</v>
      </c>
      <c r="O101">
        <v>0.5</v>
      </c>
      <c r="P101">
        <v>0.48</v>
      </c>
      <c r="Q101">
        <v>0.51</v>
      </c>
      <c r="R101">
        <v>0.47</v>
      </c>
      <c r="S101">
        <v>0.52</v>
      </c>
      <c r="T101">
        <v>0.38</v>
      </c>
    </row>
    <row r="102" spans="1:20" x14ac:dyDescent="0.25">
      <c r="A102" t="s">
        <v>116</v>
      </c>
      <c r="F102">
        <v>304</v>
      </c>
      <c r="G102">
        <v>277.7</v>
      </c>
      <c r="H102">
        <v>255.7</v>
      </c>
      <c r="I102">
        <v>290.5</v>
      </c>
      <c r="J102">
        <v>339.5</v>
      </c>
      <c r="K102">
        <v>370</v>
      </c>
      <c r="L102">
        <v>292.3</v>
      </c>
      <c r="M102">
        <v>217.3</v>
      </c>
      <c r="N102">
        <v>336</v>
      </c>
      <c r="O102">
        <v>621.87</v>
      </c>
      <c r="P102">
        <v>644.88</v>
      </c>
      <c r="Q102">
        <v>750.95</v>
      </c>
      <c r="R102">
        <v>829.9</v>
      </c>
      <c r="S102">
        <v>910.36</v>
      </c>
    </row>
    <row r="103" spans="1:20" x14ac:dyDescent="0.25">
      <c r="A103" t="s">
        <v>17</v>
      </c>
    </row>
    <row r="104" spans="1:20" x14ac:dyDescent="0.25">
      <c r="A104" t="s">
        <v>3279</v>
      </c>
    </row>
    <row r="105" spans="1:20" x14ac:dyDescent="0.25">
      <c r="A105" t="s">
        <v>60</v>
      </c>
      <c r="B105">
        <v>88.8</v>
      </c>
      <c r="C105">
        <v>95.4</v>
      </c>
      <c r="D105">
        <v>99</v>
      </c>
      <c r="E105">
        <v>105.1</v>
      </c>
      <c r="F105">
        <v>120.8</v>
      </c>
      <c r="G105">
        <v>95.1</v>
      </c>
      <c r="H105">
        <v>95.8</v>
      </c>
      <c r="I105">
        <v>96.8</v>
      </c>
      <c r="J105">
        <v>72.2</v>
      </c>
      <c r="K105">
        <v>109.9</v>
      </c>
      <c r="L105">
        <v>168</v>
      </c>
      <c r="M105">
        <v>183.1</v>
      </c>
      <c r="N105">
        <v>144</v>
      </c>
    </row>
    <row r="106" spans="1:20" x14ac:dyDescent="0.25">
      <c r="A106" t="s">
        <v>116</v>
      </c>
      <c r="K106">
        <v>-408.4</v>
      </c>
      <c r="L106">
        <v>80.7</v>
      </c>
      <c r="M106">
        <v>67.2</v>
      </c>
      <c r="N106">
        <v>89</v>
      </c>
      <c r="O106">
        <v>143.27000000000001</v>
      </c>
      <c r="P106">
        <v>174.27</v>
      </c>
      <c r="Q106">
        <v>174.27</v>
      </c>
      <c r="R106">
        <v>174.27</v>
      </c>
      <c r="S106">
        <v>174.27</v>
      </c>
    </row>
    <row r="107" spans="1:20" x14ac:dyDescent="0.25">
      <c r="A107" t="s">
        <v>3479</v>
      </c>
      <c r="B107">
        <v>44.3</v>
      </c>
      <c r="C107">
        <v>3.6</v>
      </c>
      <c r="D107">
        <v>-26</v>
      </c>
      <c r="E107">
        <v>-30.8</v>
      </c>
      <c r="F107">
        <v>2.8</v>
      </c>
      <c r="G107">
        <v>-69.599999999999994</v>
      </c>
      <c r="H107">
        <v>-135.4</v>
      </c>
      <c r="I107">
        <v>-91.6</v>
      </c>
      <c r="J107">
        <v>-113.8</v>
      </c>
      <c r="K107">
        <v>-228.6</v>
      </c>
      <c r="L107">
        <v>-283.5</v>
      </c>
      <c r="M107">
        <v>-291.2</v>
      </c>
      <c r="N107">
        <v>-293</v>
      </c>
      <c r="O107">
        <v>-368.1</v>
      </c>
      <c r="P107">
        <v>-414.67</v>
      </c>
      <c r="Q107">
        <v>-504.88</v>
      </c>
      <c r="R107">
        <v>-529.22</v>
      </c>
      <c r="S107">
        <v>-528.08000000000004</v>
      </c>
      <c r="T107">
        <v>-649.96</v>
      </c>
    </row>
    <row r="108" spans="1:20" x14ac:dyDescent="0.25">
      <c r="A108" t="s">
        <v>17</v>
      </c>
    </row>
    <row r="109" spans="1:20" x14ac:dyDescent="0.25">
      <c r="A109" t="s">
        <v>242</v>
      </c>
    </row>
    <row r="110" spans="1:20" x14ac:dyDescent="0.25">
      <c r="A110" t="s">
        <v>3469</v>
      </c>
      <c r="O110" s="2">
        <v>2089.86</v>
      </c>
      <c r="P110" s="2">
        <v>2663.57</v>
      </c>
      <c r="Q110" s="2">
        <v>2517.86</v>
      </c>
      <c r="R110" s="2">
        <v>3239</v>
      </c>
      <c r="S110" s="2">
        <v>1086</v>
      </c>
      <c r="T110" s="2">
        <v>1086</v>
      </c>
    </row>
    <row r="111" spans="1:20" x14ac:dyDescent="0.25">
      <c r="A111" t="s">
        <v>3471</v>
      </c>
      <c r="O111" s="2">
        <v>1596.25</v>
      </c>
      <c r="P111" s="2">
        <v>1783.88</v>
      </c>
      <c r="Q111" s="2">
        <v>1880.5</v>
      </c>
      <c r="R111" s="2">
        <v>1359.67</v>
      </c>
      <c r="S111" s="2">
        <v>1011</v>
      </c>
      <c r="T111" s="2">
        <v>1011</v>
      </c>
    </row>
    <row r="112" spans="1:20" x14ac:dyDescent="0.25">
      <c r="A112" t="s">
        <v>3338</v>
      </c>
      <c r="O112" s="2">
        <v>2296.8000000000002</v>
      </c>
      <c r="P112" s="2">
        <v>2443.8000000000002</v>
      </c>
      <c r="Q112" s="2">
        <v>3354</v>
      </c>
      <c r="R112" s="2">
        <v>3781</v>
      </c>
      <c r="S112" s="2">
        <v>5265.45</v>
      </c>
    </row>
    <row r="113" spans="1:19" x14ac:dyDescent="0.25">
      <c r="A113" t="s">
        <v>17</v>
      </c>
    </row>
    <row r="114" spans="1:19" x14ac:dyDescent="0.25">
      <c r="A114" t="s">
        <v>72</v>
      </c>
    </row>
    <row r="115" spans="1:19" x14ac:dyDescent="0.25">
      <c r="A115" t="s">
        <v>3487</v>
      </c>
    </row>
    <row r="116" spans="1:19" x14ac:dyDescent="0.25">
      <c r="A116" t="s">
        <v>3488</v>
      </c>
    </row>
    <row r="117" spans="1:19" x14ac:dyDescent="0.25">
      <c r="A117" t="s">
        <v>3489</v>
      </c>
      <c r="O117" s="2">
        <v>3750.66</v>
      </c>
      <c r="P117" s="2">
        <v>3967.43</v>
      </c>
      <c r="Q117" s="2">
        <v>4253.3500000000004</v>
      </c>
      <c r="R117" s="2">
        <v>4665.22</v>
      </c>
      <c r="S117" s="2">
        <v>4911.3</v>
      </c>
    </row>
    <row r="118" spans="1:19" x14ac:dyDescent="0.25">
      <c r="A118" t="s">
        <v>3490</v>
      </c>
      <c r="O118" s="2">
        <v>2724.99</v>
      </c>
      <c r="P118" s="2">
        <v>2863.12</v>
      </c>
      <c r="Q118" s="2">
        <v>3047.09</v>
      </c>
      <c r="R118" s="2">
        <v>3312.37</v>
      </c>
      <c r="S118" s="2">
        <v>3445.56</v>
      </c>
    </row>
    <row r="119" spans="1:19" x14ac:dyDescent="0.25">
      <c r="A119" t="s">
        <v>3491</v>
      </c>
      <c r="O119">
        <v>372.02</v>
      </c>
      <c r="P119">
        <v>345.36</v>
      </c>
      <c r="Q119">
        <v>475.36</v>
      </c>
      <c r="R119">
        <v>345.36</v>
      </c>
      <c r="S119">
        <v>345.36</v>
      </c>
    </row>
    <row r="120" spans="1:19" x14ac:dyDescent="0.25">
      <c r="A120" t="s">
        <v>3492</v>
      </c>
      <c r="O120" s="2">
        <v>1382.61</v>
      </c>
      <c r="P120" s="2">
        <v>1538.43</v>
      </c>
      <c r="Q120" s="2">
        <v>1626.06</v>
      </c>
      <c r="R120" s="2">
        <v>2001.31</v>
      </c>
      <c r="S120" s="2">
        <v>2164.75</v>
      </c>
    </row>
    <row r="121" spans="1:19" x14ac:dyDescent="0.25">
      <c r="A121" t="s">
        <v>3493</v>
      </c>
      <c r="O121" s="2">
        <v>1044.7</v>
      </c>
      <c r="P121" s="2">
        <v>1105.08</v>
      </c>
      <c r="Q121" s="2">
        <v>1177.92</v>
      </c>
      <c r="R121" s="2">
        <v>1321.95</v>
      </c>
      <c r="S121" s="2">
        <v>1424.93</v>
      </c>
    </row>
    <row r="122" spans="1:19" x14ac:dyDescent="0.25">
      <c r="A122" t="s">
        <v>3494</v>
      </c>
      <c r="O122" s="2">
        <v>3750.66</v>
      </c>
      <c r="P122" s="2">
        <v>3967.43</v>
      </c>
      <c r="Q122" s="2">
        <v>4253.3500000000004</v>
      </c>
      <c r="R122" s="2">
        <v>4665.22</v>
      </c>
      <c r="S122" s="2">
        <v>4911.3</v>
      </c>
    </row>
    <row r="123" spans="1:19" x14ac:dyDescent="0.25">
      <c r="A123" t="s">
        <v>3495</v>
      </c>
    </row>
    <row r="124" spans="1:19" x14ac:dyDescent="0.25">
      <c r="A124" t="s">
        <v>3496</v>
      </c>
      <c r="O124">
        <v>196.39</v>
      </c>
      <c r="P124">
        <v>208.95</v>
      </c>
      <c r="Q124">
        <v>221.33</v>
      </c>
      <c r="R124">
        <v>236.55</v>
      </c>
      <c r="S124">
        <v>250.18</v>
      </c>
    </row>
    <row r="125" spans="1:19" x14ac:dyDescent="0.25">
      <c r="A125" t="s">
        <v>3497</v>
      </c>
      <c r="O125">
        <v>-236.25</v>
      </c>
      <c r="P125">
        <v>-256.56</v>
      </c>
      <c r="Q125">
        <v>-303.95999999999998</v>
      </c>
      <c r="R125">
        <v>-388.98</v>
      </c>
      <c r="S125">
        <v>-306.97000000000003</v>
      </c>
    </row>
    <row r="126" spans="1:19" x14ac:dyDescent="0.25">
      <c r="A126" t="s">
        <v>221</v>
      </c>
      <c r="O126">
        <v>24.48</v>
      </c>
      <c r="P126">
        <v>12.13</v>
      </c>
      <c r="Q126">
        <v>11.19</v>
      </c>
      <c r="R126">
        <v>9.43</v>
      </c>
      <c r="S126">
        <v>9.6999999999999993</v>
      </c>
    </row>
    <row r="127" spans="1:19" x14ac:dyDescent="0.25">
      <c r="A127" t="s">
        <v>222</v>
      </c>
      <c r="O127">
        <v>9.31</v>
      </c>
      <c r="P127">
        <v>8.61</v>
      </c>
      <c r="Q127">
        <v>7.28</v>
      </c>
      <c r="R127">
        <v>9.6999999999999993</v>
      </c>
      <c r="S127">
        <v>9.6199999999999992</v>
      </c>
    </row>
    <row r="128" spans="1:19" x14ac:dyDescent="0.25">
      <c r="A128" t="s">
        <v>929</v>
      </c>
    </row>
    <row r="129" spans="1:20" x14ac:dyDescent="0.25">
      <c r="A129" t="s">
        <v>17</v>
      </c>
    </row>
    <row r="130" spans="1:20" x14ac:dyDescent="0.25">
      <c r="A130" t="s">
        <v>79</v>
      </c>
    </row>
    <row r="131" spans="1:20" x14ac:dyDescent="0.25">
      <c r="A131" t="s">
        <v>80</v>
      </c>
      <c r="B131" s="2">
        <v>15400</v>
      </c>
      <c r="C131" s="2">
        <v>17000</v>
      </c>
      <c r="D131" s="2">
        <v>16901</v>
      </c>
      <c r="E131" s="2">
        <v>16400</v>
      </c>
      <c r="F131" s="2">
        <v>15400</v>
      </c>
      <c r="G131" s="2">
        <v>16200</v>
      </c>
      <c r="H131" s="2">
        <v>15600</v>
      </c>
      <c r="I131" s="2">
        <v>14900</v>
      </c>
      <c r="J131" s="2">
        <v>16800</v>
      </c>
      <c r="K131" s="2">
        <v>19600</v>
      </c>
      <c r="L131" s="2">
        <v>19000</v>
      </c>
      <c r="M131" s="2">
        <v>19721.3</v>
      </c>
      <c r="N131" s="2">
        <v>21876</v>
      </c>
      <c r="O131" s="2">
        <v>23421.39</v>
      </c>
      <c r="P131" s="2">
        <v>24817.78</v>
      </c>
      <c r="Q131" s="2">
        <v>26722</v>
      </c>
      <c r="R131" s="2">
        <v>28892.55</v>
      </c>
      <c r="S131" s="2">
        <v>30177.67</v>
      </c>
      <c r="T131" s="2">
        <v>34012</v>
      </c>
    </row>
    <row r="132" spans="1:20" x14ac:dyDescent="0.25">
      <c r="A132" t="s">
        <v>3452</v>
      </c>
      <c r="B132" s="2">
        <v>5728</v>
      </c>
      <c r="C132" s="2">
        <v>2064</v>
      </c>
      <c r="D132" s="2">
        <v>1635.5</v>
      </c>
      <c r="E132" s="2">
        <v>1577.7</v>
      </c>
      <c r="F132" s="2">
        <v>1771.4</v>
      </c>
      <c r="G132" s="2">
        <v>1940.3</v>
      </c>
      <c r="H132" s="2">
        <v>1721.8</v>
      </c>
      <c r="I132" s="2">
        <v>1725.6</v>
      </c>
      <c r="J132" s="2">
        <v>2108.3000000000002</v>
      </c>
      <c r="K132" s="2">
        <v>2448.9</v>
      </c>
      <c r="L132" s="2">
        <v>1543.3</v>
      </c>
      <c r="M132" s="2">
        <v>1944.7</v>
      </c>
      <c r="N132" s="2">
        <v>2697</v>
      </c>
      <c r="O132" s="2">
        <v>2766.53</v>
      </c>
      <c r="P132" s="2">
        <v>2814.85</v>
      </c>
      <c r="Q132" s="2">
        <v>3105.94</v>
      </c>
      <c r="R132" s="2">
        <v>3169.42</v>
      </c>
      <c r="S132" s="2">
        <v>3237.52</v>
      </c>
    </row>
    <row r="133" spans="1:20" x14ac:dyDescent="0.25">
      <c r="A133" t="s">
        <v>17</v>
      </c>
    </row>
    <row r="134" spans="1:20" x14ac:dyDescent="0.25">
      <c r="A134" t="s">
        <v>84</v>
      </c>
      <c r="B134" s="2">
        <v>9798</v>
      </c>
      <c r="C134" s="2">
        <v>10726</v>
      </c>
      <c r="D134" s="2">
        <v>10791.5</v>
      </c>
      <c r="E134" s="2">
        <v>10639.9</v>
      </c>
      <c r="F134" s="2">
        <v>10124</v>
      </c>
      <c r="G134" s="2">
        <v>10410.200000000001</v>
      </c>
      <c r="H134" s="2">
        <v>10491.1</v>
      </c>
      <c r="I134" s="2">
        <v>10573.1</v>
      </c>
      <c r="J134" s="2">
        <v>11234.4</v>
      </c>
      <c r="K134" s="2">
        <v>12444.2</v>
      </c>
      <c r="L134" s="2">
        <v>12909.9</v>
      </c>
      <c r="M134" s="2">
        <v>13825.1</v>
      </c>
      <c r="N134" s="2">
        <v>14803</v>
      </c>
      <c r="O134" s="2">
        <v>16397.09</v>
      </c>
      <c r="P134" s="2">
        <v>17792.54</v>
      </c>
      <c r="Q134" s="2">
        <v>19184.04</v>
      </c>
      <c r="R134" s="2">
        <v>20719.849999999999</v>
      </c>
      <c r="S134" s="2">
        <v>21850.14</v>
      </c>
      <c r="T134" s="2">
        <v>26341.21</v>
      </c>
    </row>
    <row r="135" spans="1:20" x14ac:dyDescent="0.25">
      <c r="A135" t="s">
        <v>85</v>
      </c>
      <c r="E135">
        <v>64.88</v>
      </c>
      <c r="F135">
        <v>111.74</v>
      </c>
      <c r="G135">
        <v>112.01</v>
      </c>
      <c r="H135">
        <v>113.43</v>
      </c>
      <c r="I135">
        <v>85.24</v>
      </c>
      <c r="J135">
        <v>67.41</v>
      </c>
      <c r="K135">
        <v>86.71</v>
      </c>
      <c r="L135">
        <v>65.28</v>
      </c>
      <c r="M135">
        <v>69.900000000000006</v>
      </c>
      <c r="N135">
        <v>67.86</v>
      </c>
      <c r="O135">
        <v>69.599999999999994</v>
      </c>
      <c r="P135">
        <v>72.099999999999994</v>
      </c>
      <c r="Q135">
        <v>73.7</v>
      </c>
    </row>
    <row r="136" spans="1:20" x14ac:dyDescent="0.25">
      <c r="A136" t="s">
        <v>17</v>
      </c>
    </row>
    <row r="137" spans="1:20" x14ac:dyDescent="0.25">
      <c r="A137" t="s">
        <v>275</v>
      </c>
      <c r="B137" s="2">
        <v>12502</v>
      </c>
      <c r="C137" s="2">
        <v>13251.2</v>
      </c>
      <c r="D137" s="2">
        <v>13119.7</v>
      </c>
      <c r="E137" s="2">
        <v>15173</v>
      </c>
      <c r="F137" s="2">
        <v>11899.9</v>
      </c>
      <c r="G137" s="2">
        <v>13513</v>
      </c>
      <c r="H137" s="2">
        <v>12969.1</v>
      </c>
      <c r="I137" s="2">
        <v>11930.8</v>
      </c>
      <c r="J137" s="2">
        <v>13380.7</v>
      </c>
      <c r="K137" s="2">
        <v>16156.8</v>
      </c>
      <c r="L137" s="2">
        <v>15426.1</v>
      </c>
      <c r="M137" s="2">
        <v>15417.7</v>
      </c>
      <c r="N137" s="2">
        <v>16557</v>
      </c>
      <c r="O137" s="2">
        <v>18139.830000000002</v>
      </c>
      <c r="P137" s="2">
        <v>19393.240000000002</v>
      </c>
      <c r="Q137" s="2">
        <v>21196.5</v>
      </c>
      <c r="R137" s="2">
        <v>20885.25</v>
      </c>
      <c r="S137" s="2">
        <v>21885.33</v>
      </c>
    </row>
    <row r="138" spans="1:20" x14ac:dyDescent="0.25">
      <c r="A138" t="s">
        <v>3498</v>
      </c>
      <c r="B138" s="2">
        <v>1179</v>
      </c>
      <c r="C138" s="2">
        <v>1328</v>
      </c>
      <c r="D138" s="2">
        <v>4371.8999999999996</v>
      </c>
      <c r="E138" s="2">
        <v>4194.6000000000004</v>
      </c>
      <c r="F138" s="2">
        <v>3682.4</v>
      </c>
      <c r="G138" s="2">
        <v>4226.6000000000004</v>
      </c>
      <c r="H138" s="2">
        <v>3927.5</v>
      </c>
      <c r="I138" s="2">
        <v>3582.8</v>
      </c>
      <c r="J138" s="2">
        <v>3699.6</v>
      </c>
      <c r="K138" s="2">
        <v>4107.6000000000004</v>
      </c>
      <c r="L138" s="2">
        <v>4075</v>
      </c>
      <c r="M138" s="2">
        <v>4291.8</v>
      </c>
      <c r="N138" s="2">
        <v>4449</v>
      </c>
      <c r="O138" s="2">
        <v>5073.42</v>
      </c>
      <c r="P138" s="2">
        <v>5612.02</v>
      </c>
      <c r="Q138" s="2">
        <v>5943.27</v>
      </c>
      <c r="R138" s="2">
        <v>6012.66</v>
      </c>
      <c r="S138" s="2">
        <v>5934.24</v>
      </c>
      <c r="T138" s="2">
        <v>7246.92</v>
      </c>
    </row>
    <row r="139" spans="1:20" x14ac:dyDescent="0.25">
      <c r="A139" t="s">
        <v>3499</v>
      </c>
      <c r="B139" s="2">
        <v>4068</v>
      </c>
      <c r="C139" s="2">
        <v>4271.8</v>
      </c>
      <c r="D139" s="2">
        <v>3348.1</v>
      </c>
      <c r="E139" s="2">
        <v>2908.9</v>
      </c>
      <c r="F139" s="2">
        <v>2346.5</v>
      </c>
      <c r="G139" s="2">
        <v>2359.4</v>
      </c>
      <c r="H139" s="2">
        <v>5106.1000000000004</v>
      </c>
      <c r="I139" s="2">
        <v>4369.7</v>
      </c>
      <c r="J139" s="2">
        <v>5466.3</v>
      </c>
      <c r="K139" s="2">
        <v>7097.9</v>
      </c>
      <c r="L139" s="2">
        <v>6578.3</v>
      </c>
      <c r="M139" s="2">
        <v>5936.3</v>
      </c>
      <c r="N139" s="2">
        <v>7031</v>
      </c>
      <c r="O139" s="2">
        <v>7446.54</v>
      </c>
      <c r="P139" s="2">
        <v>7821.64</v>
      </c>
      <c r="Q139" s="2">
        <v>8597.4500000000007</v>
      </c>
      <c r="R139" s="2">
        <v>9164.1299999999992</v>
      </c>
      <c r="S139" s="2">
        <v>9725.68</v>
      </c>
    </row>
    <row r="140" spans="1:20" x14ac:dyDescent="0.25">
      <c r="A140" t="s">
        <v>3500</v>
      </c>
      <c r="B140" s="2">
        <v>1179</v>
      </c>
      <c r="C140" s="2">
        <v>1328</v>
      </c>
      <c r="D140" s="2">
        <v>1325.3</v>
      </c>
      <c r="E140" s="2">
        <v>1237.7</v>
      </c>
      <c r="F140" s="2">
        <v>1145.5999999999999</v>
      </c>
      <c r="G140" s="2">
        <v>1247.4000000000001</v>
      </c>
      <c r="H140" s="2">
        <v>1213.9000000000001</v>
      </c>
      <c r="I140" s="2">
        <v>1010.4</v>
      </c>
      <c r="J140" s="2">
        <v>1121.8</v>
      </c>
      <c r="K140" s="2">
        <v>1249.4000000000001</v>
      </c>
      <c r="L140" s="2">
        <v>1276.3</v>
      </c>
      <c r="M140" s="2">
        <v>1325.1</v>
      </c>
      <c r="N140" s="2">
        <v>1499</v>
      </c>
      <c r="O140" s="2">
        <v>1345.88</v>
      </c>
      <c r="P140" s="2">
        <v>1613.48</v>
      </c>
      <c r="Q140" s="2">
        <v>1674.27</v>
      </c>
      <c r="R140" s="2">
        <v>1743.75</v>
      </c>
      <c r="S140" s="2">
        <v>1846.38</v>
      </c>
    </row>
    <row r="141" spans="1:20" x14ac:dyDescent="0.25">
      <c r="A141" t="s">
        <v>78</v>
      </c>
      <c r="B141" s="2">
        <v>2904</v>
      </c>
      <c r="C141" s="2">
        <v>2766.6</v>
      </c>
      <c r="D141" s="2">
        <v>2703.9</v>
      </c>
      <c r="E141" s="2">
        <v>2956.9</v>
      </c>
      <c r="F141" s="2">
        <v>2525.1999999999998</v>
      </c>
      <c r="G141" s="2">
        <v>2979.2</v>
      </c>
      <c r="H141" s="2">
        <v>2743.7</v>
      </c>
      <c r="I141" s="2">
        <v>2572.4</v>
      </c>
      <c r="J141" s="2">
        <v>2547.6999999999998</v>
      </c>
      <c r="K141" s="2">
        <v>2841.1</v>
      </c>
      <c r="L141" s="2">
        <v>2810.5</v>
      </c>
      <c r="M141" s="2">
        <v>3127.6</v>
      </c>
      <c r="N141" s="2">
        <v>2950</v>
      </c>
      <c r="O141" s="2">
        <v>3700.25</v>
      </c>
      <c r="P141" s="2">
        <v>4376.05</v>
      </c>
      <c r="Q141" s="2">
        <v>4500.4399999999996</v>
      </c>
      <c r="R141" s="2">
        <v>4636.17</v>
      </c>
      <c r="S141" s="2">
        <v>4812.21</v>
      </c>
    </row>
    <row r="142" spans="1:20" x14ac:dyDescent="0.25">
      <c r="A142" t="s">
        <v>3501</v>
      </c>
      <c r="C142">
        <v>0</v>
      </c>
      <c r="D142">
        <v>0</v>
      </c>
      <c r="E142" s="2">
        <v>2267.8000000000002</v>
      </c>
      <c r="F142">
        <v>87.1</v>
      </c>
      <c r="G142">
        <v>70.599999999999994</v>
      </c>
      <c r="H142">
        <v>156.4</v>
      </c>
      <c r="I142">
        <v>0</v>
      </c>
      <c r="J142">
        <v>11.6</v>
      </c>
      <c r="K142">
        <v>48.8</v>
      </c>
      <c r="L142">
        <v>85.6</v>
      </c>
      <c r="M142">
        <v>142.5</v>
      </c>
      <c r="N142">
        <v>66</v>
      </c>
    </row>
    <row r="143" spans="1:20" x14ac:dyDescent="0.25">
      <c r="A143" t="s">
        <v>17</v>
      </c>
    </row>
    <row r="144" spans="1:20" x14ac:dyDescent="0.25">
      <c r="A144" t="s">
        <v>91</v>
      </c>
      <c r="B144" s="2">
        <v>2855</v>
      </c>
      <c r="C144" s="2">
        <v>3127.4</v>
      </c>
      <c r="D144" s="2">
        <v>3292.4</v>
      </c>
      <c r="E144" s="2">
        <v>1163.9000000000001</v>
      </c>
      <c r="F144" s="2">
        <v>3525</v>
      </c>
      <c r="G144" s="2">
        <v>2682.7</v>
      </c>
      <c r="H144" s="2">
        <v>2592.3000000000002</v>
      </c>
      <c r="I144" s="2">
        <v>2987.7</v>
      </c>
      <c r="J144" s="2">
        <v>3411.3</v>
      </c>
      <c r="K144" s="2">
        <v>3482.7</v>
      </c>
      <c r="L144" s="2">
        <v>3556.2</v>
      </c>
      <c r="M144" s="2">
        <v>4303.6000000000004</v>
      </c>
      <c r="N144" s="2">
        <v>5319</v>
      </c>
      <c r="O144" s="2">
        <v>6071.37</v>
      </c>
      <c r="P144" s="2">
        <v>6858.09</v>
      </c>
      <c r="Q144" s="2">
        <v>7774.5</v>
      </c>
      <c r="R144" s="2">
        <v>8515.25</v>
      </c>
      <c r="S144" s="2">
        <v>9753.6200000000008</v>
      </c>
    </row>
    <row r="145" spans="1:20" x14ac:dyDescent="0.25">
      <c r="A145" t="s">
        <v>17</v>
      </c>
    </row>
    <row r="146" spans="1:20" x14ac:dyDescent="0.25">
      <c r="A146" t="s">
        <v>390</v>
      </c>
      <c r="B146" s="2">
        <v>1743</v>
      </c>
      <c r="C146" s="2">
        <v>1897.6</v>
      </c>
      <c r="D146" s="2">
        <v>2009.7</v>
      </c>
      <c r="E146" s="2">
        <v>1962.3</v>
      </c>
      <c r="F146" s="2">
        <v>1997.2</v>
      </c>
      <c r="G146" s="2">
        <v>2286.6</v>
      </c>
      <c r="H146" s="2">
        <v>2514.5</v>
      </c>
      <c r="I146" s="2">
        <v>2682.8</v>
      </c>
      <c r="J146" s="2">
        <v>2825.7</v>
      </c>
      <c r="K146" s="2">
        <v>3202.8</v>
      </c>
      <c r="L146" s="2">
        <v>3090.4</v>
      </c>
      <c r="M146" s="2">
        <v>3289.9</v>
      </c>
      <c r="N146" s="2">
        <v>3380</v>
      </c>
      <c r="O146" s="2">
        <v>3647.15</v>
      </c>
      <c r="P146" s="2">
        <v>3898.23</v>
      </c>
      <c r="Q146" s="2">
        <v>4265.7700000000004</v>
      </c>
      <c r="R146" s="2">
        <v>4664.43</v>
      </c>
      <c r="S146" s="2">
        <v>5010.21</v>
      </c>
      <c r="T146" s="2">
        <v>5073.37</v>
      </c>
    </row>
    <row r="147" spans="1:20" x14ac:dyDescent="0.25">
      <c r="A147" t="s">
        <v>2184</v>
      </c>
      <c r="B147">
        <v>891</v>
      </c>
      <c r="C147">
        <v>915</v>
      </c>
      <c r="D147">
        <v>983.2</v>
      </c>
      <c r="E147" s="2">
        <v>1018</v>
      </c>
      <c r="F147" s="2">
        <v>1059.4000000000001</v>
      </c>
      <c r="G147" s="2">
        <v>1141.8</v>
      </c>
      <c r="H147" s="2">
        <v>1234.5</v>
      </c>
      <c r="I147" s="2">
        <v>1295.5</v>
      </c>
      <c r="J147" s="2">
        <v>1407.6</v>
      </c>
      <c r="K147" s="2">
        <v>1469.8</v>
      </c>
      <c r="L147" s="2">
        <v>1492</v>
      </c>
      <c r="M147" s="2">
        <v>1596.3</v>
      </c>
      <c r="N147" s="2">
        <v>1631</v>
      </c>
      <c r="O147" s="2">
        <v>1705.98</v>
      </c>
      <c r="P147" s="2">
        <v>1753.68</v>
      </c>
      <c r="Q147" s="2">
        <v>1828.95</v>
      </c>
      <c r="R147" s="2">
        <v>1854.89</v>
      </c>
      <c r="S147" s="2">
        <v>1958.71</v>
      </c>
      <c r="T147" s="2">
        <v>2021.44</v>
      </c>
    </row>
    <row r="148" spans="1:20" x14ac:dyDescent="0.25">
      <c r="A148" t="s">
        <v>277</v>
      </c>
      <c r="B148" s="2">
        <v>4824</v>
      </c>
      <c r="C148" s="2">
        <v>5161</v>
      </c>
      <c r="D148" s="2">
        <v>5343.2</v>
      </c>
      <c r="E148" s="2">
        <v>5297.1</v>
      </c>
      <c r="F148" s="2">
        <v>5427.7</v>
      </c>
      <c r="G148" s="2">
        <v>5026.2</v>
      </c>
      <c r="H148" s="2">
        <v>5263.2</v>
      </c>
      <c r="I148" s="2">
        <v>4881.3999999999996</v>
      </c>
      <c r="J148" s="2">
        <v>6237</v>
      </c>
      <c r="K148" s="2">
        <v>5808</v>
      </c>
      <c r="L148" s="2">
        <v>5814.9</v>
      </c>
      <c r="M148" s="2">
        <v>7593.5</v>
      </c>
      <c r="N148" s="2">
        <v>8699</v>
      </c>
      <c r="O148" s="2">
        <v>9693.8799999999992</v>
      </c>
      <c r="P148" s="2">
        <v>10687.53</v>
      </c>
      <c r="Q148" s="2">
        <v>11990.63</v>
      </c>
      <c r="R148" s="2">
        <v>13265</v>
      </c>
      <c r="S148" s="2">
        <v>14486.22</v>
      </c>
      <c r="T148" s="2">
        <v>17519</v>
      </c>
    </row>
    <row r="149" spans="1:20" x14ac:dyDescent="0.25">
      <c r="A149" t="s">
        <v>17</v>
      </c>
    </row>
    <row r="150" spans="1:20" x14ac:dyDescent="0.25">
      <c r="A150" t="s">
        <v>96</v>
      </c>
      <c r="B150">
        <v>906</v>
      </c>
      <c r="C150">
        <v>885</v>
      </c>
      <c r="D150">
        <v>890.9</v>
      </c>
      <c r="E150">
        <v>877.2</v>
      </c>
      <c r="F150">
        <v>895</v>
      </c>
      <c r="G150">
        <v>984.4</v>
      </c>
      <c r="H150" s="2">
        <v>1072.5</v>
      </c>
      <c r="I150" s="2">
        <v>1165.7</v>
      </c>
      <c r="J150" s="2">
        <v>1199.0999999999999</v>
      </c>
      <c r="K150" s="2">
        <v>1396.1</v>
      </c>
      <c r="L150" s="2">
        <v>1814</v>
      </c>
      <c r="M150" s="2">
        <v>1862.8</v>
      </c>
      <c r="N150" s="2">
        <v>2026</v>
      </c>
      <c r="O150" s="2">
        <v>2291.2399999999998</v>
      </c>
      <c r="P150" s="2">
        <v>2588.86</v>
      </c>
      <c r="Q150" s="2">
        <v>2984.49</v>
      </c>
      <c r="R150" s="2">
        <v>3335.09</v>
      </c>
      <c r="S150" s="2">
        <v>3679.14</v>
      </c>
      <c r="T150" s="2">
        <v>4645.3</v>
      </c>
    </row>
    <row r="151" spans="1:20" x14ac:dyDescent="0.25">
      <c r="A151" t="s">
        <v>3502</v>
      </c>
      <c r="B151">
        <v>73</v>
      </c>
      <c r="C151">
        <v>102.9</v>
      </c>
      <c r="D151">
        <v>131.9</v>
      </c>
      <c r="E151">
        <v>113.2</v>
      </c>
      <c r="F151">
        <v>93.7</v>
      </c>
      <c r="G151">
        <v>132.5</v>
      </c>
      <c r="H151">
        <v>168.4</v>
      </c>
      <c r="I151">
        <v>148.1</v>
      </c>
      <c r="J151">
        <v>139.69999999999999</v>
      </c>
      <c r="K151">
        <v>133.69999999999999</v>
      </c>
      <c r="L151">
        <v>174.9</v>
      </c>
      <c r="M151">
        <v>211</v>
      </c>
      <c r="N151">
        <v>245</v>
      </c>
      <c r="O151">
        <v>295.58999999999997</v>
      </c>
      <c r="P151">
        <v>286.14</v>
      </c>
      <c r="Q151">
        <v>308.92</v>
      </c>
      <c r="R151">
        <v>309.01</v>
      </c>
      <c r="S151">
        <v>283.77</v>
      </c>
    </row>
    <row r="152" spans="1:20" x14ac:dyDescent="0.25">
      <c r="A152" t="s">
        <v>100</v>
      </c>
      <c r="E152" s="2">
        <v>2603.3000000000002</v>
      </c>
      <c r="F152" s="2">
        <v>2676.2</v>
      </c>
      <c r="G152" s="2">
        <v>2031</v>
      </c>
      <c r="H152" s="2">
        <v>2107.5</v>
      </c>
      <c r="I152">
        <v>-60.4</v>
      </c>
      <c r="J152" s="2">
        <v>2511.9</v>
      </c>
      <c r="K152" s="2">
        <v>2718.4</v>
      </c>
      <c r="L152" s="2">
        <v>2208.6999999999998</v>
      </c>
      <c r="M152" s="2">
        <v>2842.9</v>
      </c>
      <c r="N152" s="2">
        <v>3724</v>
      </c>
      <c r="O152" s="2">
        <v>3974.43</v>
      </c>
      <c r="P152" s="2">
        <v>4512.93</v>
      </c>
      <c r="Q152" s="2">
        <v>5130.38</v>
      </c>
      <c r="R152" s="2">
        <v>5984.25</v>
      </c>
      <c r="S152" s="2">
        <v>6790.83</v>
      </c>
      <c r="T152" s="2">
        <v>7800</v>
      </c>
    </row>
    <row r="153" spans="1:20" x14ac:dyDescent="0.25">
      <c r="A153" t="s">
        <v>17</v>
      </c>
    </row>
    <row r="154" spans="1:20" x14ac:dyDescent="0.25">
      <c r="A154" t="s">
        <v>101</v>
      </c>
      <c r="B154">
        <v>684</v>
      </c>
      <c r="C154">
        <v>902.6</v>
      </c>
      <c r="D154">
        <v>919.6</v>
      </c>
      <c r="E154">
        <v>-73.7</v>
      </c>
      <c r="F154">
        <v>969.7</v>
      </c>
      <c r="G154">
        <v>115.3</v>
      </c>
      <c r="H154">
        <v>-12.9</v>
      </c>
      <c r="I154">
        <v>40.5</v>
      </c>
      <c r="J154">
        <v>115.5</v>
      </c>
      <c r="K154">
        <v>5.4</v>
      </c>
      <c r="L154">
        <v>54.6</v>
      </c>
      <c r="M154">
        <v>-39.200000000000003</v>
      </c>
      <c r="N154">
        <v>129</v>
      </c>
      <c r="O154">
        <v>509.93</v>
      </c>
      <c r="P154">
        <v>681.14</v>
      </c>
      <c r="Q154">
        <v>751.2</v>
      </c>
      <c r="R154" s="2">
        <v>1011.27</v>
      </c>
      <c r="S154" s="2">
        <v>1101.54</v>
      </c>
    </row>
    <row r="155" spans="1:20" x14ac:dyDescent="0.25">
      <c r="A155" t="s">
        <v>102</v>
      </c>
      <c r="B155">
        <v>31.55</v>
      </c>
      <c r="C155">
        <v>36.200000000000003</v>
      </c>
      <c r="D155">
        <v>35.06</v>
      </c>
      <c r="F155">
        <v>34.43</v>
      </c>
      <c r="G155">
        <v>5.84</v>
      </c>
      <c r="I155">
        <v>0.9</v>
      </c>
      <c r="J155">
        <v>4.5999999999999996</v>
      </c>
      <c r="K155">
        <v>0.22</v>
      </c>
      <c r="L155">
        <v>2.4700000000000002</v>
      </c>
      <c r="N155">
        <v>3.46</v>
      </c>
      <c r="O155">
        <v>14.44</v>
      </c>
      <c r="P155">
        <v>17.18</v>
      </c>
      <c r="Q155">
        <v>16.760000000000002</v>
      </c>
      <c r="R155">
        <v>16.649999999999999</v>
      </c>
      <c r="S155">
        <v>15.13</v>
      </c>
    </row>
    <row r="156" spans="1:20" x14ac:dyDescent="0.25">
      <c r="A156" t="s">
        <v>17</v>
      </c>
    </row>
    <row r="157" spans="1:20" x14ac:dyDescent="0.25">
      <c r="A157" t="s">
        <v>3441</v>
      </c>
      <c r="B157" s="2">
        <v>1473.9</v>
      </c>
      <c r="C157" s="2">
        <v>1590.5</v>
      </c>
      <c r="D157" s="2">
        <v>1768.6</v>
      </c>
      <c r="E157">
        <v>620.5</v>
      </c>
      <c r="F157" s="2">
        <v>1928.9</v>
      </c>
      <c r="G157" s="2">
        <v>1931.3</v>
      </c>
      <c r="H157" s="2">
        <v>1919.8</v>
      </c>
      <c r="I157" s="2">
        <v>4528.1000000000004</v>
      </c>
      <c r="J157" s="2">
        <v>2488.1</v>
      </c>
      <c r="K157" s="2">
        <v>2305.6</v>
      </c>
      <c r="L157" s="2">
        <v>2212.6</v>
      </c>
      <c r="M157" s="2">
        <v>2975.8</v>
      </c>
      <c r="N157" s="2">
        <v>3696</v>
      </c>
      <c r="O157" s="2">
        <v>3619.39</v>
      </c>
      <c r="P157" s="2">
        <v>3896.5</v>
      </c>
      <c r="Q157" s="2">
        <v>4360.3599999999997</v>
      </c>
      <c r="R157" s="2">
        <v>4878.95</v>
      </c>
      <c r="S157" s="2">
        <v>5596.04</v>
      </c>
      <c r="T157" s="2">
        <v>5976.69</v>
      </c>
    </row>
    <row r="158" spans="1:20" x14ac:dyDescent="0.25">
      <c r="A158" t="s">
        <v>739</v>
      </c>
      <c r="D158">
        <v>-65.3</v>
      </c>
      <c r="E158">
        <v>-71.2</v>
      </c>
      <c r="F158">
        <v>-82.4</v>
      </c>
      <c r="G158">
        <v>-73.099999999999994</v>
      </c>
      <c r="H158">
        <v>-72.099999999999994</v>
      </c>
      <c r="I158">
        <v>-91.1</v>
      </c>
      <c r="J158">
        <v>-91.7</v>
      </c>
      <c r="K158">
        <v>109.4</v>
      </c>
      <c r="L158">
        <v>-58.5</v>
      </c>
      <c r="M158">
        <v>-93.7</v>
      </c>
      <c r="N158">
        <v>-101</v>
      </c>
      <c r="O158">
        <v>-78.94</v>
      </c>
      <c r="P158">
        <v>-73.75</v>
      </c>
      <c r="Q158">
        <v>-64.31</v>
      </c>
      <c r="R158">
        <v>-48.81</v>
      </c>
      <c r="S158">
        <v>-38.01</v>
      </c>
      <c r="T158">
        <v>-89.06</v>
      </c>
    </row>
    <row r="159" spans="1:20" x14ac:dyDescent="0.25">
      <c r="A159" t="s">
        <v>17</v>
      </c>
    </row>
    <row r="160" spans="1:20" x14ac:dyDescent="0.25">
      <c r="A160" t="s">
        <v>105</v>
      </c>
      <c r="B160">
        <v>3.7</v>
      </c>
      <c r="C160">
        <v>4.2</v>
      </c>
      <c r="D160">
        <v>5.2</v>
      </c>
      <c r="E160">
        <v>7.1</v>
      </c>
      <c r="F160">
        <v>16.3</v>
      </c>
      <c r="G160">
        <v>7.5</v>
      </c>
      <c r="H160">
        <v>-1.3</v>
      </c>
      <c r="I160">
        <v>-3.4</v>
      </c>
      <c r="J160">
        <v>0</v>
      </c>
      <c r="K160">
        <v>-1.6</v>
      </c>
      <c r="L160">
        <v>4.5</v>
      </c>
      <c r="M160">
        <v>8.6999999999999993</v>
      </c>
      <c r="N160">
        <v>116</v>
      </c>
      <c r="O160">
        <v>136.63999999999999</v>
      </c>
      <c r="P160">
        <v>160.91</v>
      </c>
      <c r="Q160">
        <v>182.63</v>
      </c>
      <c r="R160">
        <v>220.24</v>
      </c>
      <c r="S160">
        <v>254.13</v>
      </c>
      <c r="T160">
        <v>372.46</v>
      </c>
    </row>
    <row r="161" spans="1:20" x14ac:dyDescent="0.25">
      <c r="A161" t="s">
        <v>106</v>
      </c>
      <c r="B161" s="2">
        <v>1480</v>
      </c>
      <c r="C161" s="2">
        <v>1634</v>
      </c>
      <c r="D161" s="2">
        <v>2047</v>
      </c>
      <c r="E161">
        <v>613.4</v>
      </c>
      <c r="F161" s="2">
        <v>1912.6</v>
      </c>
      <c r="G161" s="2">
        <v>1923.8</v>
      </c>
      <c r="H161" s="2">
        <v>1921.1</v>
      </c>
      <c r="I161" s="2">
        <v>2200.1</v>
      </c>
      <c r="J161" s="2">
        <v>2488.1</v>
      </c>
      <c r="K161" s="2">
        <v>2307.1999999999998</v>
      </c>
      <c r="L161" s="2">
        <v>2208.1</v>
      </c>
      <c r="M161" s="2">
        <v>2967.1</v>
      </c>
      <c r="N161" s="2">
        <v>3580</v>
      </c>
      <c r="O161" s="2">
        <v>3530.23</v>
      </c>
      <c r="P161" s="2">
        <v>3902</v>
      </c>
      <c r="Q161" s="2">
        <v>4423.25</v>
      </c>
      <c r="R161" s="2">
        <v>5033.6000000000004</v>
      </c>
      <c r="S161" s="2">
        <v>5719.5</v>
      </c>
      <c r="T161" s="2">
        <v>5977</v>
      </c>
    </row>
    <row r="162" spans="1:20" x14ac:dyDescent="0.25">
      <c r="A162" t="s">
        <v>17</v>
      </c>
    </row>
    <row r="163" spans="1:20" x14ac:dyDescent="0.25">
      <c r="A163" t="s">
        <v>108</v>
      </c>
      <c r="B163">
        <v>486.62</v>
      </c>
      <c r="C163">
        <v>488.59</v>
      </c>
      <c r="D163">
        <v>490.3</v>
      </c>
      <c r="E163">
        <v>491.5</v>
      </c>
      <c r="F163">
        <v>491.81</v>
      </c>
      <c r="G163">
        <v>493</v>
      </c>
      <c r="H163">
        <v>493.69</v>
      </c>
      <c r="I163">
        <v>496</v>
      </c>
      <c r="J163">
        <v>500.52</v>
      </c>
      <c r="K163">
        <v>511.84</v>
      </c>
      <c r="L163">
        <v>518.9</v>
      </c>
      <c r="M163">
        <v>530.09</v>
      </c>
      <c r="N163">
        <v>534.54</v>
      </c>
      <c r="O163">
        <v>555.32000000000005</v>
      </c>
      <c r="P163">
        <v>562.9</v>
      </c>
      <c r="Q163">
        <v>577.38</v>
      </c>
      <c r="R163">
        <v>594.83000000000004</v>
      </c>
      <c r="S163">
        <v>617.04999999999995</v>
      </c>
      <c r="T163">
        <v>614.78</v>
      </c>
    </row>
    <row r="164" spans="1:20" x14ac:dyDescent="0.25">
      <c r="A164" t="s">
        <v>17</v>
      </c>
    </row>
    <row r="165" spans="1:20" x14ac:dyDescent="0.25">
      <c r="A165" t="s">
        <v>109</v>
      </c>
      <c r="D165">
        <v>490</v>
      </c>
      <c r="E165">
        <v>491</v>
      </c>
      <c r="F165">
        <v>492</v>
      </c>
      <c r="G165">
        <v>492.8</v>
      </c>
      <c r="H165">
        <v>493.7</v>
      </c>
      <c r="I165">
        <v>495.7</v>
      </c>
      <c r="J165">
        <v>500.5</v>
      </c>
      <c r="K165">
        <v>511.8</v>
      </c>
      <c r="L165">
        <v>518.9</v>
      </c>
      <c r="M165">
        <v>531.34</v>
      </c>
      <c r="N165">
        <v>534.5</v>
      </c>
      <c r="O165">
        <v>553.20000000000005</v>
      </c>
      <c r="P165">
        <v>568.33000000000004</v>
      </c>
      <c r="Q165">
        <v>582.03</v>
      </c>
      <c r="R165">
        <v>597.45000000000005</v>
      </c>
      <c r="S165">
        <v>617.16</v>
      </c>
      <c r="T165">
        <v>619.75</v>
      </c>
    </row>
    <row r="166" spans="1:20" x14ac:dyDescent="0.25">
      <c r="A166" t="s">
        <v>110</v>
      </c>
      <c r="B166">
        <v>3.04</v>
      </c>
      <c r="C166">
        <v>3.34</v>
      </c>
      <c r="D166">
        <v>4.17</v>
      </c>
      <c r="E166">
        <v>1.25</v>
      </c>
      <c r="F166">
        <v>3.89</v>
      </c>
      <c r="G166">
        <v>3.9</v>
      </c>
      <c r="H166">
        <v>3.89</v>
      </c>
      <c r="I166">
        <v>4.4400000000000004</v>
      </c>
      <c r="J166">
        <v>4.97</v>
      </c>
      <c r="K166">
        <v>4.51</v>
      </c>
      <c r="L166">
        <v>4.26</v>
      </c>
      <c r="M166">
        <v>5.6</v>
      </c>
      <c r="N166">
        <v>6.7</v>
      </c>
      <c r="O166">
        <v>6.37</v>
      </c>
      <c r="P166">
        <v>6.86</v>
      </c>
      <c r="Q166">
        <v>7.54</v>
      </c>
      <c r="R166">
        <v>8.26</v>
      </c>
      <c r="S166">
        <v>9.0500000000000007</v>
      </c>
      <c r="T166">
        <v>9.7200000000000006</v>
      </c>
    </row>
    <row r="167" spans="1:20" x14ac:dyDescent="0.25">
      <c r="A167" t="s">
        <v>17</v>
      </c>
    </row>
    <row r="168" spans="1:20" x14ac:dyDescent="0.25">
      <c r="A168" t="s">
        <v>487</v>
      </c>
      <c r="B168">
        <v>1.95</v>
      </c>
      <c r="C168">
        <v>2.0299999999999998</v>
      </c>
      <c r="D168">
        <v>2.15</v>
      </c>
      <c r="E168">
        <v>2.27</v>
      </c>
      <c r="F168">
        <v>2.39</v>
      </c>
      <c r="G168">
        <v>2.5299999999999998</v>
      </c>
      <c r="H168">
        <v>2.71</v>
      </c>
      <c r="I168">
        <v>2.84</v>
      </c>
      <c r="J168">
        <v>3</v>
      </c>
      <c r="K168">
        <v>3.17</v>
      </c>
      <c r="L168">
        <v>3.37</v>
      </c>
      <c r="M168">
        <v>3.57</v>
      </c>
      <c r="N168">
        <v>3.74</v>
      </c>
      <c r="O168">
        <v>3.84</v>
      </c>
      <c r="P168">
        <v>4.0199999999999996</v>
      </c>
      <c r="Q168">
        <v>4.2</v>
      </c>
      <c r="R168">
        <v>4.3</v>
      </c>
      <c r="S168">
        <v>4.54</v>
      </c>
      <c r="T168">
        <v>4.62</v>
      </c>
    </row>
    <row r="169" spans="1:20" x14ac:dyDescent="0.25">
      <c r="A169" t="s">
        <v>1123</v>
      </c>
      <c r="B169">
        <v>64.45</v>
      </c>
      <c r="C169">
        <v>62.53</v>
      </c>
      <c r="D169">
        <v>59.78</v>
      </c>
      <c r="E169">
        <v>181.89</v>
      </c>
      <c r="F169">
        <v>62.32</v>
      </c>
      <c r="G169">
        <v>66.12</v>
      </c>
      <c r="H169">
        <v>70.27</v>
      </c>
      <c r="I169">
        <v>31.44</v>
      </c>
      <c r="J169">
        <v>61.07</v>
      </c>
      <c r="K169">
        <v>76.3</v>
      </c>
      <c r="L169">
        <v>79.72</v>
      </c>
      <c r="M169">
        <v>64.17</v>
      </c>
      <c r="N169">
        <v>56.09</v>
      </c>
      <c r="O169">
        <v>60.74</v>
      </c>
      <c r="P169">
        <v>58.64</v>
      </c>
      <c r="Q169">
        <v>55.95</v>
      </c>
      <c r="R169">
        <v>52.15</v>
      </c>
      <c r="S169">
        <v>50.53</v>
      </c>
      <c r="T169">
        <v>47.56</v>
      </c>
    </row>
    <row r="170" spans="1:20" x14ac:dyDescent="0.25">
      <c r="A170" t="s">
        <v>17</v>
      </c>
    </row>
    <row r="171" spans="1:20" x14ac:dyDescent="0.25">
      <c r="A171" t="s">
        <v>111</v>
      </c>
    </row>
    <row r="172" spans="1:20" x14ac:dyDescent="0.25">
      <c r="A172" t="s">
        <v>62</v>
      </c>
      <c r="B172" s="2">
        <v>5559</v>
      </c>
      <c r="C172" s="2">
        <v>6303</v>
      </c>
      <c r="D172" s="2">
        <v>3348.1</v>
      </c>
      <c r="E172" s="2">
        <v>5730.3</v>
      </c>
      <c r="F172" s="2">
        <v>5311.8</v>
      </c>
      <c r="G172" s="2">
        <v>5786.5</v>
      </c>
      <c r="H172" s="2">
        <v>5106.1000000000004</v>
      </c>
      <c r="I172" s="2">
        <v>4369.3999999999996</v>
      </c>
      <c r="J172" s="2">
        <v>5466.3</v>
      </c>
      <c r="K172" s="2">
        <v>7097.9</v>
      </c>
      <c r="L172" s="2">
        <v>6354.8</v>
      </c>
      <c r="M172" s="2">
        <v>5936.3</v>
      </c>
      <c r="N172" s="2">
        <v>7031</v>
      </c>
      <c r="O172" s="2">
        <v>7260.63</v>
      </c>
      <c r="P172" s="2">
        <v>7457.87</v>
      </c>
      <c r="Q172" s="2">
        <v>7837.78</v>
      </c>
      <c r="R172" s="2">
        <v>8018.4</v>
      </c>
      <c r="S172" s="2">
        <v>8340.2099999999991</v>
      </c>
      <c r="T172" s="2">
        <v>7671.2</v>
      </c>
    </row>
    <row r="173" spans="1:20" x14ac:dyDescent="0.25">
      <c r="A173" t="s">
        <v>116</v>
      </c>
      <c r="E173" s="2">
        <v>3334.8</v>
      </c>
      <c r="F173" s="2">
        <v>3430.5</v>
      </c>
      <c r="G173" s="2">
        <v>2740.2</v>
      </c>
      <c r="H173" s="2">
        <v>2651</v>
      </c>
      <c r="I173" s="2">
        <v>2198.6</v>
      </c>
      <c r="J173" s="2">
        <v>2372.9</v>
      </c>
      <c r="K173" s="2">
        <v>2605.1999999999998</v>
      </c>
      <c r="L173" s="2">
        <v>2724.5</v>
      </c>
      <c r="M173" s="2">
        <v>4303.6000000000004</v>
      </c>
      <c r="N173" s="2">
        <v>5319</v>
      </c>
      <c r="O173" s="2">
        <v>5965.33</v>
      </c>
      <c r="P173" s="2">
        <v>6665.33</v>
      </c>
      <c r="Q173" s="2">
        <v>7494.5</v>
      </c>
      <c r="R173" s="2">
        <v>8512.27</v>
      </c>
      <c r="S173" s="2">
        <v>9426.56</v>
      </c>
      <c r="T173" s="2">
        <v>11999</v>
      </c>
    </row>
    <row r="174" spans="1:20" x14ac:dyDescent="0.25">
      <c r="A174" t="s">
        <v>120</v>
      </c>
      <c r="B174">
        <v>684</v>
      </c>
      <c r="C174">
        <v>965</v>
      </c>
      <c r="D174">
        <v>946.6</v>
      </c>
      <c r="E174">
        <v>892.1</v>
      </c>
      <c r="F174">
        <v>934.4</v>
      </c>
      <c r="G174">
        <v>167.2</v>
      </c>
      <c r="H174">
        <v>-12.9</v>
      </c>
      <c r="I174">
        <v>100.9</v>
      </c>
      <c r="J174">
        <v>123.5</v>
      </c>
      <c r="K174">
        <v>81.3</v>
      </c>
      <c r="L174">
        <v>246.5</v>
      </c>
      <c r="M174">
        <v>275.8</v>
      </c>
      <c r="N174">
        <v>474</v>
      </c>
      <c r="O174">
        <v>637.41999999999996</v>
      </c>
      <c r="P174">
        <v>763.32</v>
      </c>
      <c r="Q174">
        <v>877.85</v>
      </c>
      <c r="R174">
        <v>968.92</v>
      </c>
      <c r="S174" s="2">
        <v>1101.8900000000001</v>
      </c>
      <c r="T174" s="2">
        <v>1540.09</v>
      </c>
    </row>
    <row r="175" spans="1:20" x14ac:dyDescent="0.25">
      <c r="A175" t="s">
        <v>121</v>
      </c>
      <c r="B175" s="2">
        <v>1573</v>
      </c>
      <c r="C175" s="2">
        <v>1675</v>
      </c>
      <c r="D175" s="2">
        <v>1808</v>
      </c>
      <c r="E175" s="2">
        <v>1937</v>
      </c>
      <c r="F175" s="2">
        <v>1807.9</v>
      </c>
      <c r="G175" s="2">
        <v>1945</v>
      </c>
      <c r="H175" s="2">
        <v>2094.8000000000002</v>
      </c>
      <c r="I175" s="2">
        <v>2198.6</v>
      </c>
      <c r="J175" s="2">
        <v>2372.9</v>
      </c>
      <c r="K175" s="2">
        <v>2605.1999999999998</v>
      </c>
      <c r="L175" s="2">
        <v>2724.5</v>
      </c>
      <c r="M175" s="2">
        <v>2977.9</v>
      </c>
      <c r="N175" s="2">
        <v>3190</v>
      </c>
      <c r="O175" s="2">
        <v>3534.06</v>
      </c>
      <c r="P175" s="2">
        <v>3897.33</v>
      </c>
      <c r="Q175" s="2">
        <v>4384.82</v>
      </c>
      <c r="R175" s="2">
        <v>4950.2700000000004</v>
      </c>
      <c r="S175" s="2">
        <v>5580.67</v>
      </c>
      <c r="T175" s="2">
        <v>5977</v>
      </c>
    </row>
    <row r="176" spans="1:20" x14ac:dyDescent="0.25">
      <c r="A176" t="s">
        <v>124</v>
      </c>
      <c r="B176">
        <v>3.23</v>
      </c>
      <c r="C176">
        <v>3.43</v>
      </c>
      <c r="D176">
        <v>3.69</v>
      </c>
      <c r="E176">
        <v>3.94</v>
      </c>
      <c r="F176">
        <v>3.68</v>
      </c>
      <c r="G176">
        <v>3.95</v>
      </c>
      <c r="H176">
        <v>4.24</v>
      </c>
      <c r="I176">
        <v>4.4400000000000004</v>
      </c>
      <c r="J176">
        <v>4.74</v>
      </c>
      <c r="K176">
        <v>5.09</v>
      </c>
      <c r="L176">
        <v>5.25</v>
      </c>
      <c r="M176">
        <v>5.62</v>
      </c>
      <c r="N176">
        <v>5.97</v>
      </c>
      <c r="O176">
        <v>6.38</v>
      </c>
      <c r="P176">
        <v>6.87</v>
      </c>
      <c r="Q176">
        <v>7.56</v>
      </c>
      <c r="R176">
        <v>8.23</v>
      </c>
      <c r="S176">
        <v>9.01</v>
      </c>
      <c r="T176">
        <v>9.34</v>
      </c>
    </row>
    <row r="177" spans="1:20" x14ac:dyDescent="0.25">
      <c r="A177" t="s">
        <v>17</v>
      </c>
    </row>
    <row r="178" spans="1:20" x14ac:dyDescent="0.25">
      <c r="A178" t="s">
        <v>134</v>
      </c>
    </row>
    <row r="179" spans="1:20" x14ac:dyDescent="0.25">
      <c r="A179" t="s">
        <v>135</v>
      </c>
    </row>
    <row r="180" spans="1:20" x14ac:dyDescent="0.25">
      <c r="A180" t="s">
        <v>136</v>
      </c>
      <c r="B180" s="2">
        <v>4310</v>
      </c>
      <c r="C180" s="2">
        <v>4478.1000000000004</v>
      </c>
      <c r="D180" s="2">
        <v>4072.4</v>
      </c>
      <c r="E180" s="2">
        <v>6033.9</v>
      </c>
      <c r="F180" s="2">
        <v>4253.1000000000004</v>
      </c>
      <c r="G180" s="2">
        <v>4113.8999999999996</v>
      </c>
      <c r="H180" s="2">
        <v>4077.8</v>
      </c>
      <c r="I180" s="2">
        <v>4351.5</v>
      </c>
      <c r="J180" s="2">
        <v>7809.2</v>
      </c>
      <c r="K180" s="2">
        <v>6775.5</v>
      </c>
      <c r="L180" s="2">
        <v>6082.1</v>
      </c>
      <c r="M180" s="2">
        <v>5788.8</v>
      </c>
      <c r="N180" s="2">
        <v>6052</v>
      </c>
      <c r="O180" s="2">
        <v>6897.5</v>
      </c>
      <c r="P180" s="2">
        <v>6882.38</v>
      </c>
      <c r="Q180" s="2">
        <v>7035.47</v>
      </c>
      <c r="R180" s="2">
        <v>6758.2</v>
      </c>
      <c r="S180" s="2">
        <v>6878.64</v>
      </c>
      <c r="T180" s="2">
        <v>11046.93</v>
      </c>
    </row>
    <row r="181" spans="1:20" x14ac:dyDescent="0.25">
      <c r="A181" t="s">
        <v>536</v>
      </c>
      <c r="B181">
        <v>118</v>
      </c>
      <c r="C181">
        <v>162.5</v>
      </c>
      <c r="D181">
        <v>176.4</v>
      </c>
      <c r="E181">
        <v>403.5</v>
      </c>
      <c r="F181">
        <v>412.6</v>
      </c>
      <c r="G181">
        <v>603.20000000000005</v>
      </c>
      <c r="H181">
        <v>432.6</v>
      </c>
      <c r="I181">
        <v>639.1</v>
      </c>
      <c r="J181">
        <v>451.4</v>
      </c>
      <c r="K181">
        <v>556.5</v>
      </c>
      <c r="L181">
        <v>379</v>
      </c>
      <c r="M181">
        <v>246</v>
      </c>
      <c r="N181">
        <v>268</v>
      </c>
      <c r="O181">
        <v>226.09</v>
      </c>
      <c r="P181">
        <v>210.26</v>
      </c>
      <c r="Q181">
        <v>194.68</v>
      </c>
      <c r="R181">
        <v>386.09</v>
      </c>
      <c r="S181">
        <v>419.04</v>
      </c>
    </row>
    <row r="182" spans="1:20" x14ac:dyDescent="0.25">
      <c r="A182" t="s">
        <v>141</v>
      </c>
      <c r="B182" s="2">
        <v>1860</v>
      </c>
      <c r="C182" s="2">
        <v>1835.2</v>
      </c>
      <c r="D182" s="2">
        <v>1640.5</v>
      </c>
      <c r="E182" s="2">
        <v>1916.7</v>
      </c>
      <c r="F182" s="2">
        <v>1891</v>
      </c>
      <c r="G182" s="2">
        <v>1926.5</v>
      </c>
      <c r="H182" s="2">
        <v>1705.1</v>
      </c>
      <c r="I182" s="2">
        <v>1842.7</v>
      </c>
      <c r="J182" s="2">
        <v>1941.6</v>
      </c>
      <c r="K182" s="2">
        <v>2668</v>
      </c>
      <c r="L182" s="2">
        <v>2447.4</v>
      </c>
      <c r="M182" s="2">
        <v>2631.9</v>
      </c>
      <c r="N182" s="2">
        <v>2867</v>
      </c>
      <c r="O182" s="2">
        <v>3106.41</v>
      </c>
      <c r="P182" s="2">
        <v>3213.09</v>
      </c>
      <c r="Q182" s="2">
        <v>3335.08</v>
      </c>
      <c r="R182" s="2">
        <v>3530.05</v>
      </c>
      <c r="S182" s="2">
        <v>3672</v>
      </c>
      <c r="T182" s="2">
        <v>3035</v>
      </c>
    </row>
    <row r="183" spans="1:20" x14ac:dyDescent="0.25">
      <c r="A183" t="s">
        <v>340</v>
      </c>
      <c r="B183" s="2">
        <v>1423</v>
      </c>
      <c r="C183" s="2">
        <v>1316.6</v>
      </c>
      <c r="D183" s="2">
        <v>1339.4</v>
      </c>
      <c r="E183">
        <v>967.3</v>
      </c>
      <c r="F183">
        <v>953.2</v>
      </c>
      <c r="G183">
        <v>921.1</v>
      </c>
      <c r="H183" s="2">
        <v>1169.2</v>
      </c>
      <c r="I183" s="2">
        <v>1310</v>
      </c>
      <c r="J183">
        <v>989.2</v>
      </c>
      <c r="K183" s="2">
        <v>1350.2</v>
      </c>
      <c r="L183" s="2">
        <v>1879.5</v>
      </c>
      <c r="M183" s="2">
        <v>1715.1</v>
      </c>
      <c r="N183" s="2">
        <v>1622</v>
      </c>
      <c r="O183" s="2">
        <v>1694.75</v>
      </c>
      <c r="P183" s="2">
        <v>1704.5</v>
      </c>
      <c r="Q183" s="2">
        <v>1714.25</v>
      </c>
      <c r="R183" s="2">
        <v>1702.67</v>
      </c>
      <c r="S183" s="2">
        <v>1716.33</v>
      </c>
    </row>
    <row r="184" spans="1:20" x14ac:dyDescent="0.25">
      <c r="A184" t="s">
        <v>3292</v>
      </c>
      <c r="B184" s="2">
        <v>1932</v>
      </c>
      <c r="C184" s="2">
        <v>2095.6999999999998</v>
      </c>
      <c r="D184" s="2">
        <v>2106.4</v>
      </c>
      <c r="E184" s="2">
        <v>2256.1999999999998</v>
      </c>
      <c r="F184" s="2">
        <v>2527.6</v>
      </c>
      <c r="G184" s="2">
        <v>2474.9</v>
      </c>
      <c r="H184" s="2">
        <v>2975.7</v>
      </c>
      <c r="I184" s="2">
        <v>3306.7</v>
      </c>
      <c r="J184" s="2">
        <v>3867</v>
      </c>
      <c r="K184" s="2">
        <v>3341.2</v>
      </c>
      <c r="L184" s="2">
        <v>3860.2</v>
      </c>
      <c r="M184" s="2">
        <v>4395.1000000000004</v>
      </c>
      <c r="N184" s="2">
        <v>4916</v>
      </c>
      <c r="O184" s="2">
        <v>4829.3</v>
      </c>
      <c r="P184" s="2">
        <v>4846.78</v>
      </c>
      <c r="Q184" s="2">
        <v>4864.26</v>
      </c>
      <c r="R184" s="2">
        <v>4881.74</v>
      </c>
      <c r="S184" s="2">
        <v>5025.25</v>
      </c>
    </row>
    <row r="185" spans="1:20" x14ac:dyDescent="0.25">
      <c r="A185" t="s">
        <v>3503</v>
      </c>
      <c r="B185">
        <v>80</v>
      </c>
      <c r="C185">
        <v>126.6</v>
      </c>
      <c r="D185">
        <v>115.2</v>
      </c>
      <c r="E185">
        <v>156.6</v>
      </c>
      <c r="F185">
        <v>292.5</v>
      </c>
      <c r="G185">
        <v>150.1</v>
      </c>
      <c r="H185">
        <v>92.9</v>
      </c>
      <c r="I185">
        <v>90.7</v>
      </c>
      <c r="J185">
        <v>647.79999999999995</v>
      </c>
      <c r="K185" s="2">
        <v>1310</v>
      </c>
      <c r="L185">
        <v>514</v>
      </c>
      <c r="M185">
        <v>445.9</v>
      </c>
      <c r="N185">
        <v>426</v>
      </c>
      <c r="O185">
        <v>463.24</v>
      </c>
      <c r="P185">
        <v>467.6</v>
      </c>
      <c r="Q185">
        <v>472.18</v>
      </c>
      <c r="R185">
        <v>476.99</v>
      </c>
      <c r="S185">
        <v>468.52</v>
      </c>
    </row>
    <row r="186" spans="1:20" x14ac:dyDescent="0.25">
      <c r="A186" t="s">
        <v>3504</v>
      </c>
      <c r="B186">
        <v>246</v>
      </c>
      <c r="C186">
        <v>275.2</v>
      </c>
      <c r="D186">
        <v>172.4</v>
      </c>
      <c r="E186">
        <v>325.5</v>
      </c>
      <c r="F186">
        <v>310.39999999999998</v>
      </c>
      <c r="G186">
        <v>208.8</v>
      </c>
      <c r="H186">
        <v>156.30000000000001</v>
      </c>
      <c r="I186">
        <v>127</v>
      </c>
      <c r="J186">
        <v>323.2</v>
      </c>
      <c r="K186">
        <v>255</v>
      </c>
      <c r="L186">
        <v>274.2</v>
      </c>
      <c r="M186">
        <v>285.89999999999998</v>
      </c>
      <c r="N186">
        <v>212</v>
      </c>
      <c r="O186">
        <v>261.3</v>
      </c>
      <c r="P186">
        <v>261.3</v>
      </c>
      <c r="Q186">
        <v>261.3</v>
      </c>
      <c r="R186">
        <v>261.3</v>
      </c>
      <c r="S186">
        <v>249</v>
      </c>
    </row>
    <row r="187" spans="1:20" x14ac:dyDescent="0.25">
      <c r="A187" t="s">
        <v>146</v>
      </c>
    </row>
    <row r="188" spans="1:20" x14ac:dyDescent="0.25">
      <c r="A188" t="s">
        <v>3505</v>
      </c>
      <c r="B188" s="2">
        <v>59646.7</v>
      </c>
      <c r="C188" s="2">
        <v>63605.9</v>
      </c>
      <c r="D188" s="2">
        <v>65481.4</v>
      </c>
      <c r="E188" s="2">
        <v>62036.6</v>
      </c>
      <c r="F188" s="2">
        <v>67428.5</v>
      </c>
      <c r="G188" s="2">
        <v>73085.2</v>
      </c>
      <c r="H188" s="2">
        <v>79145.7</v>
      </c>
      <c r="I188" s="2">
        <v>84313</v>
      </c>
      <c r="J188" s="2">
        <v>86806.399999999994</v>
      </c>
      <c r="K188" s="2">
        <v>97021.4</v>
      </c>
      <c r="O188" s="2">
        <v>130546.86</v>
      </c>
      <c r="P188" s="2">
        <v>144142.97</v>
      </c>
      <c r="Q188" s="2">
        <v>160179.32999999999</v>
      </c>
      <c r="R188" s="2">
        <v>175807.04</v>
      </c>
      <c r="S188" s="2">
        <v>196135.43</v>
      </c>
    </row>
    <row r="189" spans="1:20" x14ac:dyDescent="0.25">
      <c r="A189" t="s">
        <v>2956</v>
      </c>
      <c r="B189" s="2">
        <v>19288</v>
      </c>
      <c r="C189" s="2">
        <v>19970.8</v>
      </c>
      <c r="D189" s="2">
        <v>19348.2</v>
      </c>
      <c r="E189" s="2">
        <v>16397.3</v>
      </c>
      <c r="F189" s="2">
        <v>17167</v>
      </c>
      <c r="G189" s="2">
        <v>17986.099999999999</v>
      </c>
      <c r="H189" s="2">
        <v>19007.599999999999</v>
      </c>
      <c r="I189" s="2">
        <v>20411.400000000001</v>
      </c>
      <c r="J189" s="2">
        <v>20805.099999999999</v>
      </c>
      <c r="K189" s="2">
        <v>23682.3</v>
      </c>
      <c r="N189" s="2">
        <v>28205</v>
      </c>
      <c r="O189" s="2">
        <v>31312.25</v>
      </c>
      <c r="P189" s="2">
        <v>34911.42</v>
      </c>
      <c r="Q189" s="2">
        <v>38791.800000000003</v>
      </c>
      <c r="R189" s="2">
        <v>44121.91</v>
      </c>
      <c r="S189" s="2">
        <v>48429.36</v>
      </c>
    </row>
    <row r="190" spans="1:20" x14ac:dyDescent="0.25">
      <c r="A190" t="s">
        <v>3506</v>
      </c>
      <c r="B190" s="2">
        <v>2471</v>
      </c>
      <c r="C190" s="2">
        <v>3215.3</v>
      </c>
      <c r="D190" s="2">
        <v>3903.9</v>
      </c>
      <c r="E190" s="2">
        <v>3183.9</v>
      </c>
      <c r="F190" s="2">
        <v>4120.7</v>
      </c>
      <c r="G190" s="2">
        <v>4393.8999999999996</v>
      </c>
      <c r="H190" s="2">
        <v>4319.8</v>
      </c>
      <c r="I190" s="2">
        <v>4025.7</v>
      </c>
      <c r="J190" s="2">
        <v>3684.3</v>
      </c>
      <c r="K190" s="2">
        <v>4809.7</v>
      </c>
      <c r="L190" s="2">
        <v>5508</v>
      </c>
      <c r="M190" s="2">
        <v>6346.9</v>
      </c>
      <c r="N190" s="2">
        <v>7635</v>
      </c>
      <c r="O190" s="2">
        <v>9217.33</v>
      </c>
      <c r="P190" s="2">
        <v>9577.1</v>
      </c>
      <c r="Q190" s="2">
        <v>10436.94</v>
      </c>
      <c r="R190" s="2">
        <v>10310.57</v>
      </c>
      <c r="S190" s="2">
        <v>10111.93</v>
      </c>
    </row>
    <row r="191" spans="1:20" x14ac:dyDescent="0.25">
      <c r="A191" t="s">
        <v>3295</v>
      </c>
      <c r="B191" s="2">
        <v>40548.1</v>
      </c>
      <c r="C191" s="2">
        <v>43635.1</v>
      </c>
      <c r="D191" s="2">
        <v>46133.2</v>
      </c>
      <c r="E191" s="2">
        <v>45639.3</v>
      </c>
      <c r="F191" s="2">
        <v>50261.5</v>
      </c>
      <c r="G191" s="2">
        <v>55099.1</v>
      </c>
      <c r="H191" s="2">
        <v>60138.1</v>
      </c>
      <c r="I191" s="2">
        <v>63901.599999999999</v>
      </c>
      <c r="J191" s="2">
        <v>66001.3</v>
      </c>
      <c r="K191" s="2">
        <v>73339.100000000006</v>
      </c>
      <c r="L191" s="2">
        <v>76693.399999999994</v>
      </c>
      <c r="M191" s="2">
        <v>82415.600000000006</v>
      </c>
      <c r="N191" s="2">
        <v>92374</v>
      </c>
      <c r="O191" s="2">
        <v>102543.91</v>
      </c>
      <c r="P191" s="2">
        <v>113853.08</v>
      </c>
      <c r="Q191" s="2">
        <v>128615.71</v>
      </c>
      <c r="R191" s="2">
        <v>138970.64000000001</v>
      </c>
      <c r="S191" s="2">
        <v>152185.17000000001</v>
      </c>
      <c r="T191" s="2">
        <v>159488.85999999999</v>
      </c>
    </row>
    <row r="192" spans="1:20" x14ac:dyDescent="0.25">
      <c r="A192" t="s">
        <v>3507</v>
      </c>
      <c r="B192" s="2">
        <v>11107</v>
      </c>
      <c r="C192" s="2">
        <v>11431.4</v>
      </c>
      <c r="D192" s="2">
        <v>11477.5</v>
      </c>
      <c r="E192" s="2">
        <v>11794.5</v>
      </c>
      <c r="F192" s="2">
        <v>10214.5</v>
      </c>
      <c r="G192" s="2">
        <v>12910.9</v>
      </c>
      <c r="H192" s="2">
        <v>11676.4</v>
      </c>
      <c r="I192" s="2">
        <v>15810.8</v>
      </c>
      <c r="J192" s="2">
        <v>13858.2</v>
      </c>
      <c r="K192" s="2">
        <v>13288.7</v>
      </c>
      <c r="L192" s="2">
        <v>13908.5</v>
      </c>
      <c r="M192" s="2">
        <v>14873.6</v>
      </c>
      <c r="N192" s="2">
        <v>16034</v>
      </c>
      <c r="O192" s="2">
        <v>16864.400000000001</v>
      </c>
      <c r="P192" s="2">
        <v>17574.310000000001</v>
      </c>
      <c r="Q192" s="2">
        <v>18001.93</v>
      </c>
      <c r="R192" s="2">
        <v>18056.11</v>
      </c>
      <c r="S192" s="2">
        <v>18563.169999999998</v>
      </c>
      <c r="T192" s="2">
        <v>22398.880000000001</v>
      </c>
    </row>
    <row r="193" spans="1:20" x14ac:dyDescent="0.25">
      <c r="A193" t="s">
        <v>496</v>
      </c>
      <c r="B193">
        <v>91</v>
      </c>
      <c r="C193">
        <v>52.5</v>
      </c>
      <c r="D193">
        <v>52.5</v>
      </c>
      <c r="E193">
        <v>52.5</v>
      </c>
      <c r="F193">
        <v>52.5</v>
      </c>
      <c r="G193">
        <v>0</v>
      </c>
      <c r="H193">
        <v>52.5</v>
      </c>
      <c r="I193">
        <v>0</v>
      </c>
      <c r="J193">
        <v>52.5</v>
      </c>
      <c r="K193">
        <v>52.5</v>
      </c>
      <c r="L193">
        <v>52.5</v>
      </c>
      <c r="M193">
        <v>52.5</v>
      </c>
      <c r="N193">
        <v>53</v>
      </c>
      <c r="O193">
        <v>52.86</v>
      </c>
      <c r="P193">
        <v>52.86</v>
      </c>
      <c r="Q193">
        <v>52.86</v>
      </c>
      <c r="R193">
        <v>52.83</v>
      </c>
      <c r="S193">
        <v>52.88</v>
      </c>
    </row>
    <row r="194" spans="1:20" x14ac:dyDescent="0.25">
      <c r="A194" t="s">
        <v>3296</v>
      </c>
      <c r="B194" s="2">
        <v>4376</v>
      </c>
      <c r="C194" s="2">
        <v>4263.7</v>
      </c>
      <c r="D194" s="2">
        <v>5140.3</v>
      </c>
      <c r="E194" s="2">
        <v>5625.5</v>
      </c>
      <c r="F194" s="2">
        <v>3587.6</v>
      </c>
      <c r="G194" s="2">
        <v>3310.4</v>
      </c>
      <c r="H194" s="2">
        <v>3158.8</v>
      </c>
      <c r="I194" s="2">
        <v>3527</v>
      </c>
      <c r="J194" s="2">
        <v>4142.3</v>
      </c>
      <c r="K194" s="2">
        <v>4762</v>
      </c>
      <c r="L194" s="2">
        <v>5092.3999999999996</v>
      </c>
      <c r="M194" s="2">
        <v>5129.2</v>
      </c>
      <c r="N194" s="2">
        <v>4804</v>
      </c>
      <c r="O194" s="2">
        <v>5004.82</v>
      </c>
      <c r="P194" s="2">
        <v>5073.71</v>
      </c>
      <c r="Q194" s="2">
        <v>5159.99</v>
      </c>
      <c r="R194" s="2">
        <v>5266.79</v>
      </c>
      <c r="S194" s="2">
        <v>5431.79</v>
      </c>
      <c r="T194" s="2">
        <v>5021</v>
      </c>
    </row>
    <row r="195" spans="1:20" x14ac:dyDescent="0.25">
      <c r="A195" t="s">
        <v>155</v>
      </c>
      <c r="B195" s="2">
        <v>56321</v>
      </c>
      <c r="C195" s="2">
        <v>59544.6</v>
      </c>
      <c r="D195" s="2">
        <v>61683.1</v>
      </c>
      <c r="E195" s="2">
        <v>63467.7</v>
      </c>
      <c r="F195" s="2">
        <v>64729.1</v>
      </c>
      <c r="G195" s="2">
        <v>68802.8</v>
      </c>
      <c r="H195" s="2">
        <v>75892.3</v>
      </c>
      <c r="I195" s="2">
        <v>80757.2</v>
      </c>
      <c r="J195" s="2">
        <v>87668.7</v>
      </c>
      <c r="K195" s="2">
        <v>93403.3</v>
      </c>
      <c r="L195" s="2">
        <v>96684</v>
      </c>
      <c r="M195" s="2">
        <v>103078</v>
      </c>
      <c r="N195" s="2">
        <v>114460</v>
      </c>
      <c r="O195" s="2">
        <v>126433.02</v>
      </c>
      <c r="P195" s="2">
        <v>138172.93</v>
      </c>
      <c r="Q195" s="2">
        <v>153460.18</v>
      </c>
      <c r="R195" s="2">
        <v>163595.31</v>
      </c>
      <c r="S195" s="2">
        <v>178396</v>
      </c>
      <c r="T195" s="2">
        <v>192934.67</v>
      </c>
    </row>
    <row r="196" spans="1:20" x14ac:dyDescent="0.25">
      <c r="A196" t="s">
        <v>17</v>
      </c>
    </row>
    <row r="197" spans="1:20" x14ac:dyDescent="0.25">
      <c r="A197" t="s">
        <v>156</v>
      </c>
    </row>
    <row r="198" spans="1:20" x14ac:dyDescent="0.25">
      <c r="A198" t="s">
        <v>157</v>
      </c>
      <c r="B198" s="2">
        <v>6112</v>
      </c>
      <c r="C198" s="2">
        <v>7966.6</v>
      </c>
      <c r="D198" s="2">
        <v>7108.5</v>
      </c>
      <c r="E198" s="2">
        <v>9498</v>
      </c>
      <c r="F198" s="2">
        <v>8271.2999999999993</v>
      </c>
      <c r="G198" s="2">
        <v>8648.7999999999993</v>
      </c>
      <c r="H198" s="2">
        <v>10299.1</v>
      </c>
      <c r="I198" s="2">
        <v>9926.7000000000007</v>
      </c>
      <c r="J198" s="2">
        <v>12426.7</v>
      </c>
      <c r="K198" s="2">
        <v>13266.3</v>
      </c>
      <c r="L198" s="2">
        <v>11583.6</v>
      </c>
      <c r="M198" s="2">
        <v>13009.3</v>
      </c>
      <c r="N198" s="2">
        <v>13314</v>
      </c>
      <c r="O198" s="2">
        <v>13462.68</v>
      </c>
      <c r="P198" s="2">
        <v>14958.68</v>
      </c>
      <c r="Q198" s="2">
        <v>15648.08</v>
      </c>
      <c r="R198" s="2">
        <v>15757.81</v>
      </c>
      <c r="S198" s="2">
        <v>14751.56</v>
      </c>
      <c r="T198" s="2">
        <v>24096.44</v>
      </c>
    </row>
    <row r="199" spans="1:20" x14ac:dyDescent="0.25">
      <c r="A199" t="s">
        <v>158</v>
      </c>
      <c r="B199" s="2">
        <v>1266</v>
      </c>
      <c r="C199" s="2">
        <v>1258.2</v>
      </c>
      <c r="D199" s="2">
        <v>1418</v>
      </c>
      <c r="E199" s="2">
        <v>1688.5</v>
      </c>
      <c r="F199" s="2">
        <v>2065.3000000000002</v>
      </c>
      <c r="G199" s="2">
        <v>1874.3</v>
      </c>
      <c r="H199" s="2">
        <v>2085.8000000000002</v>
      </c>
      <c r="I199" s="2">
        <v>1709.7</v>
      </c>
      <c r="J199" s="2">
        <v>2054.6</v>
      </c>
      <c r="K199" s="2">
        <v>2670.8</v>
      </c>
      <c r="L199" s="2">
        <v>2032.5</v>
      </c>
      <c r="M199" s="2">
        <v>2637.6</v>
      </c>
      <c r="N199" s="2">
        <v>3429</v>
      </c>
      <c r="O199" s="2">
        <v>3710.66</v>
      </c>
      <c r="P199" s="2">
        <v>3779.28</v>
      </c>
      <c r="Q199" s="2">
        <v>3854.11</v>
      </c>
      <c r="R199" s="2">
        <v>3927.14</v>
      </c>
      <c r="S199" s="2">
        <v>3945</v>
      </c>
      <c r="T199" s="2">
        <v>3969</v>
      </c>
    </row>
    <row r="200" spans="1:20" x14ac:dyDescent="0.25">
      <c r="A200" t="s">
        <v>313</v>
      </c>
      <c r="B200">
        <v>757</v>
      </c>
      <c r="C200" s="2">
        <v>1346</v>
      </c>
      <c r="D200">
        <v>800</v>
      </c>
      <c r="E200" s="2">
        <v>1713</v>
      </c>
      <c r="F200" s="2">
        <v>1638.6</v>
      </c>
      <c r="G200" s="2">
        <v>1910</v>
      </c>
      <c r="H200" s="2">
        <v>2838.3</v>
      </c>
      <c r="I200" s="2">
        <v>2479.3000000000002</v>
      </c>
      <c r="J200" s="2">
        <v>2614</v>
      </c>
      <c r="K200" s="2">
        <v>4112.2</v>
      </c>
      <c r="L200" s="2">
        <v>2830.2</v>
      </c>
      <c r="M200" s="2">
        <v>2523.8000000000002</v>
      </c>
      <c r="N200" s="2">
        <v>1508</v>
      </c>
      <c r="O200" s="2">
        <v>1819.53</v>
      </c>
      <c r="P200" s="2">
        <v>1954.78</v>
      </c>
      <c r="Q200" s="2">
        <v>1954.78</v>
      </c>
      <c r="R200" s="2">
        <v>1794.18</v>
      </c>
      <c r="S200" s="2">
        <v>2006.33</v>
      </c>
    </row>
    <row r="201" spans="1:20" x14ac:dyDescent="0.25">
      <c r="A201" t="s">
        <v>694</v>
      </c>
      <c r="B201" s="2">
        <v>1549</v>
      </c>
      <c r="C201" s="2">
        <v>2500.4</v>
      </c>
      <c r="D201" s="2">
        <v>1831.8</v>
      </c>
      <c r="E201" s="2">
        <v>2878</v>
      </c>
      <c r="F201" s="2">
        <v>1753.7</v>
      </c>
      <c r="G201" s="2">
        <v>1698.5</v>
      </c>
      <c r="H201" s="2">
        <v>1598.7</v>
      </c>
      <c r="I201" s="2">
        <v>2086.1</v>
      </c>
      <c r="J201" s="2">
        <v>2153.8000000000002</v>
      </c>
      <c r="K201" s="2">
        <v>2486.4</v>
      </c>
      <c r="L201" s="2">
        <v>2490.5</v>
      </c>
      <c r="M201" s="2">
        <v>3335</v>
      </c>
      <c r="N201" s="2">
        <v>3194</v>
      </c>
      <c r="O201" s="2">
        <v>2139.54</v>
      </c>
      <c r="P201" s="2">
        <v>2787.5</v>
      </c>
      <c r="Q201" s="2">
        <v>2452.14</v>
      </c>
      <c r="R201" s="2">
        <v>2066.06</v>
      </c>
      <c r="S201" s="2">
        <v>2043.65</v>
      </c>
    </row>
    <row r="202" spans="1:20" x14ac:dyDescent="0.25">
      <c r="A202" t="s">
        <v>1821</v>
      </c>
      <c r="B202">
        <v>299</v>
      </c>
      <c r="C202">
        <v>323.89999999999998</v>
      </c>
      <c r="D202">
        <v>346.6</v>
      </c>
      <c r="E202">
        <v>343.2</v>
      </c>
      <c r="F202">
        <v>357</v>
      </c>
      <c r="G202">
        <v>412.2</v>
      </c>
      <c r="H202">
        <v>366.1</v>
      </c>
      <c r="I202">
        <v>335.6</v>
      </c>
      <c r="J202">
        <v>321.60000000000002</v>
      </c>
      <c r="K202">
        <v>408.8</v>
      </c>
      <c r="L202">
        <v>423.7</v>
      </c>
      <c r="M202">
        <v>454.7</v>
      </c>
      <c r="N202">
        <v>507</v>
      </c>
      <c r="O202">
        <v>501.23</v>
      </c>
      <c r="P202">
        <v>512.9</v>
      </c>
      <c r="Q202">
        <v>524.57000000000005</v>
      </c>
      <c r="R202">
        <v>536.23</v>
      </c>
      <c r="S202">
        <v>594.5</v>
      </c>
    </row>
    <row r="203" spans="1:20" x14ac:dyDescent="0.25">
      <c r="A203" t="s">
        <v>608</v>
      </c>
      <c r="B203">
        <v>822</v>
      </c>
      <c r="C203">
        <v>863.5</v>
      </c>
      <c r="D203">
        <v>979.1</v>
      </c>
      <c r="E203" s="2">
        <v>1048</v>
      </c>
      <c r="F203" s="2">
        <v>1115.5</v>
      </c>
      <c r="G203" s="2">
        <v>1218</v>
      </c>
      <c r="H203" s="2">
        <v>1357.8</v>
      </c>
      <c r="I203" s="2">
        <v>1476.4</v>
      </c>
      <c r="J203" s="2">
        <v>1586.4</v>
      </c>
      <c r="K203" s="2">
        <v>1714.6</v>
      </c>
      <c r="L203" s="2">
        <v>1800.1</v>
      </c>
      <c r="M203" s="2">
        <v>1922.1</v>
      </c>
      <c r="N203" s="2">
        <v>2002</v>
      </c>
      <c r="O203" s="2">
        <v>2008.7</v>
      </c>
      <c r="P203" s="2">
        <v>2042.03</v>
      </c>
      <c r="Q203" s="2">
        <v>2075.37</v>
      </c>
      <c r="R203" s="2">
        <v>2108.6999999999998</v>
      </c>
      <c r="S203" s="2">
        <v>2252</v>
      </c>
    </row>
    <row r="204" spans="1:20" x14ac:dyDescent="0.25">
      <c r="A204" t="s">
        <v>3508</v>
      </c>
      <c r="B204">
        <v>245</v>
      </c>
      <c r="C204">
        <v>238.3</v>
      </c>
      <c r="D204">
        <v>226.9</v>
      </c>
      <c r="E204">
        <v>227.2</v>
      </c>
      <c r="F204">
        <v>234.5</v>
      </c>
      <c r="G204">
        <v>231.7</v>
      </c>
      <c r="H204">
        <v>243.6</v>
      </c>
      <c r="I204">
        <v>267.60000000000002</v>
      </c>
      <c r="J204">
        <v>273.2</v>
      </c>
      <c r="K204">
        <v>336.5</v>
      </c>
      <c r="L204">
        <v>410.2</v>
      </c>
      <c r="M204">
        <v>453.3</v>
      </c>
      <c r="N204">
        <v>544</v>
      </c>
      <c r="O204">
        <v>527.1</v>
      </c>
      <c r="P204">
        <v>540.42999999999995</v>
      </c>
      <c r="Q204">
        <v>553.77</v>
      </c>
      <c r="R204">
        <v>567.1</v>
      </c>
      <c r="S204">
        <v>644</v>
      </c>
    </row>
    <row r="205" spans="1:20" x14ac:dyDescent="0.25">
      <c r="A205" t="s">
        <v>3509</v>
      </c>
      <c r="H205">
        <v>234.1</v>
      </c>
      <c r="I205">
        <v>241.3</v>
      </c>
      <c r="J205">
        <v>97.6</v>
      </c>
      <c r="K205">
        <v>113.6</v>
      </c>
      <c r="L205">
        <v>115.7</v>
      </c>
      <c r="M205">
        <v>91.9</v>
      </c>
      <c r="N205">
        <v>100</v>
      </c>
      <c r="O205">
        <v>97.3</v>
      </c>
      <c r="P205">
        <v>97.3</v>
      </c>
      <c r="Q205">
        <v>97.3</v>
      </c>
      <c r="R205">
        <v>97.3</v>
      </c>
      <c r="S205">
        <v>100</v>
      </c>
    </row>
    <row r="206" spans="1:20" x14ac:dyDescent="0.25">
      <c r="A206" t="s">
        <v>314</v>
      </c>
      <c r="B206">
        <v>965</v>
      </c>
      <c r="C206" s="2">
        <v>1204.7</v>
      </c>
      <c r="D206" s="2">
        <v>1305.0999999999999</v>
      </c>
      <c r="E206" s="2">
        <v>1302.8</v>
      </c>
      <c r="F206" s="2">
        <v>1033.2</v>
      </c>
      <c r="G206" s="2">
        <v>1190.5</v>
      </c>
      <c r="H206" s="2">
        <v>1373.8</v>
      </c>
      <c r="I206" s="2">
        <v>3572.8</v>
      </c>
      <c r="J206" s="2">
        <v>1369.2</v>
      </c>
      <c r="K206" s="2">
        <v>1278.2</v>
      </c>
      <c r="L206" s="2">
        <v>1251.0999999999999</v>
      </c>
      <c r="M206" s="2">
        <v>1490.9</v>
      </c>
      <c r="N206" s="2">
        <v>1898</v>
      </c>
      <c r="O206" s="2">
        <v>1939.13</v>
      </c>
      <c r="P206" s="2">
        <v>2052.71</v>
      </c>
      <c r="Q206" s="2">
        <v>2175.63</v>
      </c>
      <c r="R206" s="2">
        <v>2303.75</v>
      </c>
      <c r="S206" s="2">
        <v>2398</v>
      </c>
    </row>
    <row r="207" spans="1:20" x14ac:dyDescent="0.25">
      <c r="A207" t="s">
        <v>164</v>
      </c>
      <c r="B207" s="2">
        <v>34216</v>
      </c>
      <c r="C207" s="2">
        <v>34753.5</v>
      </c>
      <c r="D207" s="2">
        <v>36669.699999999997</v>
      </c>
      <c r="E207" s="2">
        <v>36549.599999999999</v>
      </c>
      <c r="F207" s="2">
        <v>38132.300000000003</v>
      </c>
      <c r="G207" s="2">
        <v>40985.800000000003</v>
      </c>
      <c r="H207" s="2">
        <v>45571.4</v>
      </c>
      <c r="I207" s="2">
        <v>50010.8</v>
      </c>
      <c r="J207" s="2">
        <v>52518.5</v>
      </c>
      <c r="K207" s="2">
        <v>55968.7</v>
      </c>
      <c r="L207" s="2">
        <v>59772</v>
      </c>
      <c r="M207" s="2">
        <v>63044.800000000003</v>
      </c>
      <c r="N207" s="2">
        <v>68890</v>
      </c>
      <c r="O207" s="2">
        <v>75231.679999999993</v>
      </c>
      <c r="P207" s="2">
        <v>81073.23</v>
      </c>
      <c r="Q207" s="2">
        <v>88525.4</v>
      </c>
      <c r="R207" s="2">
        <v>95824.93</v>
      </c>
      <c r="S207" s="2">
        <v>105769.47</v>
      </c>
      <c r="T207" s="2">
        <v>112548.67</v>
      </c>
    </row>
    <row r="208" spans="1:20" x14ac:dyDescent="0.25">
      <c r="A208" t="s">
        <v>165</v>
      </c>
      <c r="B208" s="2">
        <v>16828</v>
      </c>
      <c r="C208" s="2">
        <v>16012</v>
      </c>
      <c r="D208" s="2">
        <v>17740.900000000001</v>
      </c>
      <c r="E208" s="2">
        <v>17378.400000000001</v>
      </c>
      <c r="F208" s="2">
        <v>19419.599999999999</v>
      </c>
      <c r="G208" s="2">
        <v>21648.2</v>
      </c>
      <c r="H208" s="2">
        <v>25126.799999999999</v>
      </c>
      <c r="I208" s="2">
        <v>28986.400000000001</v>
      </c>
      <c r="J208" s="2">
        <v>31300.7</v>
      </c>
      <c r="K208" s="2">
        <v>34314.6</v>
      </c>
      <c r="L208" s="2">
        <v>37652.699999999997</v>
      </c>
      <c r="M208" s="2">
        <v>39307.800000000003</v>
      </c>
      <c r="N208" s="2">
        <v>44128</v>
      </c>
      <c r="O208" s="2">
        <v>50993.86</v>
      </c>
      <c r="P208" s="2">
        <v>58735.81</v>
      </c>
      <c r="Q208" s="2">
        <v>67370.77</v>
      </c>
      <c r="R208" s="2">
        <v>72729.25</v>
      </c>
      <c r="S208" s="2">
        <v>81995.8</v>
      </c>
      <c r="T208" s="2">
        <v>77799.28</v>
      </c>
    </row>
    <row r="209" spans="1:20" x14ac:dyDescent="0.25">
      <c r="A209" t="s">
        <v>501</v>
      </c>
      <c r="B209" s="2">
        <v>10300</v>
      </c>
      <c r="C209" s="2">
        <v>10892.2</v>
      </c>
      <c r="D209" s="2">
        <v>11733.2</v>
      </c>
      <c r="E209" s="2">
        <v>11884.4</v>
      </c>
      <c r="F209" s="2">
        <v>6813.9</v>
      </c>
      <c r="G209" s="2">
        <v>7086.5</v>
      </c>
      <c r="H209" s="2">
        <v>7588.2</v>
      </c>
      <c r="I209" s="2">
        <v>8240.9</v>
      </c>
      <c r="J209" s="2">
        <v>8202.5</v>
      </c>
      <c r="K209" s="2">
        <v>8896.9</v>
      </c>
      <c r="L209" s="2">
        <v>9415.7000000000007</v>
      </c>
      <c r="M209" s="2">
        <v>9972.4</v>
      </c>
      <c r="N209" s="2">
        <v>10951</v>
      </c>
      <c r="O209" s="2">
        <v>11328.53</v>
      </c>
      <c r="P209" s="2">
        <v>11660.88</v>
      </c>
      <c r="Q209" s="2">
        <v>12040.86</v>
      </c>
      <c r="R209" s="2">
        <v>12609.87</v>
      </c>
      <c r="S209" s="2">
        <v>13442.55</v>
      </c>
      <c r="T209" s="2">
        <v>18093.39</v>
      </c>
    </row>
    <row r="210" spans="1:20" x14ac:dyDescent="0.25">
      <c r="A210" t="s">
        <v>3510</v>
      </c>
      <c r="B210" s="2">
        <v>3694</v>
      </c>
      <c r="C210" s="2">
        <v>3892.4</v>
      </c>
      <c r="D210" s="2">
        <v>3736.1</v>
      </c>
      <c r="E210" s="2">
        <v>3751.3</v>
      </c>
      <c r="F210" s="2">
        <v>8422.2999999999993</v>
      </c>
      <c r="G210" s="2">
        <v>8540.2999999999993</v>
      </c>
      <c r="H210" s="2">
        <v>8457.6</v>
      </c>
      <c r="I210" s="2">
        <v>8378.7000000000007</v>
      </c>
      <c r="J210" s="2">
        <v>8686.2999999999993</v>
      </c>
      <c r="K210" s="2">
        <v>8115.6</v>
      </c>
      <c r="L210" s="2">
        <v>8182.4</v>
      </c>
      <c r="M210" s="2">
        <v>8344</v>
      </c>
      <c r="N210" s="2">
        <v>8362</v>
      </c>
      <c r="O210" s="2">
        <v>8501.4699999999993</v>
      </c>
      <c r="P210" s="2">
        <v>8537.23</v>
      </c>
      <c r="Q210" s="2">
        <v>8571.69</v>
      </c>
      <c r="R210" s="2">
        <v>8602.7099999999991</v>
      </c>
      <c r="S210" s="2">
        <v>8690.4</v>
      </c>
      <c r="T210" s="2">
        <v>8622</v>
      </c>
    </row>
    <row r="211" spans="1:20" x14ac:dyDescent="0.25">
      <c r="A211" t="s">
        <v>3443</v>
      </c>
      <c r="B211" s="2">
        <v>1835</v>
      </c>
      <c r="C211" s="2">
        <v>1950.7</v>
      </c>
      <c r="D211" s="2">
        <v>1806.5</v>
      </c>
      <c r="E211" s="2">
        <v>1830.6</v>
      </c>
      <c r="F211" s="2">
        <v>1925.5</v>
      </c>
      <c r="G211" s="2">
        <v>2287.6999999999998</v>
      </c>
      <c r="H211" s="2">
        <v>2216.6</v>
      </c>
      <c r="I211" s="2">
        <v>2469.1999999999998</v>
      </c>
      <c r="J211" s="2">
        <v>2676.2</v>
      </c>
      <c r="K211" s="2">
        <v>2879.3</v>
      </c>
      <c r="L211" s="2">
        <v>2972.5</v>
      </c>
      <c r="M211" s="2">
        <v>3530.6</v>
      </c>
      <c r="N211" s="2">
        <v>3556</v>
      </c>
      <c r="O211" s="2">
        <v>3680.87</v>
      </c>
      <c r="P211" s="2">
        <v>3814.2</v>
      </c>
      <c r="Q211" s="2">
        <v>3947.53</v>
      </c>
      <c r="R211" s="2">
        <v>4080.87</v>
      </c>
      <c r="S211" s="2">
        <v>4556</v>
      </c>
    </row>
    <row r="212" spans="1:20" x14ac:dyDescent="0.25">
      <c r="A212" t="s">
        <v>3511</v>
      </c>
      <c r="B212">
        <v>415</v>
      </c>
      <c r="C212">
        <v>629.5</v>
      </c>
      <c r="D212">
        <v>583.29999999999995</v>
      </c>
      <c r="E212">
        <v>614.1</v>
      </c>
      <c r="F212">
        <v>398.1</v>
      </c>
      <c r="G212">
        <v>0</v>
      </c>
      <c r="H212">
        <v>466</v>
      </c>
      <c r="I212">
        <v>336.4</v>
      </c>
      <c r="J212">
        <v>328.4</v>
      </c>
      <c r="K212">
        <v>257.3</v>
      </c>
      <c r="L212">
        <v>241.7</v>
      </c>
      <c r="M212">
        <v>360.7</v>
      </c>
      <c r="N212">
        <v>232</v>
      </c>
      <c r="O212">
        <v>314.89999999999998</v>
      </c>
      <c r="P212">
        <v>354.9</v>
      </c>
      <c r="Q212">
        <v>394.9</v>
      </c>
      <c r="R212">
        <v>434.9</v>
      </c>
      <c r="S212">
        <v>532</v>
      </c>
    </row>
    <row r="213" spans="1:20" x14ac:dyDescent="0.25">
      <c r="A213" t="s">
        <v>3509</v>
      </c>
      <c r="G213">
        <v>0</v>
      </c>
      <c r="H213">
        <v>734.6</v>
      </c>
      <c r="I213">
        <v>638.4</v>
      </c>
      <c r="J213">
        <v>492.8</v>
      </c>
      <c r="K213">
        <v>552.5</v>
      </c>
      <c r="L213">
        <v>519.4</v>
      </c>
      <c r="M213">
        <v>504.3</v>
      </c>
      <c r="N213">
        <v>578</v>
      </c>
      <c r="O213">
        <v>553.42999999999995</v>
      </c>
      <c r="P213">
        <v>553.42999999999995</v>
      </c>
      <c r="Q213">
        <v>553.42999999999995</v>
      </c>
      <c r="R213">
        <v>553.42999999999995</v>
      </c>
      <c r="S213">
        <v>578</v>
      </c>
    </row>
    <row r="214" spans="1:20" x14ac:dyDescent="0.25">
      <c r="A214" t="s">
        <v>167</v>
      </c>
      <c r="B214" s="2">
        <v>40328</v>
      </c>
      <c r="C214" s="2">
        <v>42720.1</v>
      </c>
      <c r="D214" s="2">
        <v>43778.2</v>
      </c>
      <c r="E214" s="2">
        <v>46047.6</v>
      </c>
      <c r="F214" s="2">
        <v>46403.6</v>
      </c>
      <c r="G214" s="2">
        <v>49634.6</v>
      </c>
      <c r="H214" s="2">
        <v>55870.5</v>
      </c>
      <c r="I214" s="2">
        <v>59937.5</v>
      </c>
      <c r="J214" s="2">
        <v>64945.2</v>
      </c>
      <c r="K214" s="2">
        <v>69235</v>
      </c>
      <c r="L214" s="2">
        <v>71355.600000000006</v>
      </c>
      <c r="M214" s="2">
        <v>76054.100000000006</v>
      </c>
      <c r="N214" s="2">
        <v>82204</v>
      </c>
      <c r="O214" s="2">
        <v>89783.45</v>
      </c>
      <c r="P214" s="2">
        <v>99306.83</v>
      </c>
      <c r="Q214" s="2">
        <v>109817.34</v>
      </c>
      <c r="R214" s="2">
        <v>114628.32</v>
      </c>
      <c r="S214" s="2">
        <v>124565.95</v>
      </c>
    </row>
    <row r="215" spans="1:20" x14ac:dyDescent="0.25">
      <c r="A215" t="s">
        <v>170</v>
      </c>
      <c r="B215" s="2">
        <v>16085</v>
      </c>
      <c r="C215" s="2">
        <v>16820.2</v>
      </c>
      <c r="D215" s="2">
        <v>17891.7</v>
      </c>
      <c r="E215" s="2">
        <v>17420.099999999999</v>
      </c>
      <c r="F215" s="2">
        <v>18313.599999999999</v>
      </c>
      <c r="G215" s="2">
        <v>19059.400000000001</v>
      </c>
      <c r="H215" s="2">
        <v>19675.099999999999</v>
      </c>
      <c r="I215" s="2">
        <v>20596.099999999999</v>
      </c>
      <c r="J215" s="2">
        <v>22476.5</v>
      </c>
      <c r="K215" s="2">
        <v>23939.3</v>
      </c>
      <c r="L215" s="2">
        <v>25289.200000000001</v>
      </c>
      <c r="M215" s="2">
        <v>26981.599999999999</v>
      </c>
      <c r="N215" s="2">
        <v>31176</v>
      </c>
      <c r="O215" s="2">
        <v>34933</v>
      </c>
      <c r="P215" s="2">
        <v>36851.9</v>
      </c>
      <c r="Q215" s="2">
        <v>41159.599999999999</v>
      </c>
      <c r="R215" s="2">
        <v>45074.559999999998</v>
      </c>
      <c r="S215" s="2">
        <v>50096.14</v>
      </c>
      <c r="T215" s="2">
        <v>55080</v>
      </c>
    </row>
    <row r="216" spans="1:20" x14ac:dyDescent="0.25">
      <c r="A216" t="s">
        <v>1965</v>
      </c>
      <c r="B216" s="2">
        <v>16085</v>
      </c>
      <c r="C216" s="2">
        <v>16820.2</v>
      </c>
      <c r="D216" s="2">
        <v>17891.7</v>
      </c>
      <c r="E216" s="2">
        <v>17397</v>
      </c>
      <c r="F216" s="2">
        <v>18298.900000000001</v>
      </c>
      <c r="G216" s="2">
        <v>19062.5</v>
      </c>
      <c r="H216" s="2">
        <v>19675.099999999999</v>
      </c>
      <c r="I216" s="2">
        <v>20596.099999999999</v>
      </c>
      <c r="J216" s="2">
        <v>22476.5</v>
      </c>
      <c r="K216" s="2">
        <v>23939.3</v>
      </c>
      <c r="L216" s="2">
        <v>25289.200000000001</v>
      </c>
      <c r="M216" s="2">
        <v>26981.599999999999</v>
      </c>
      <c r="N216" s="2">
        <v>31176</v>
      </c>
      <c r="O216" s="2">
        <v>34932.89</v>
      </c>
      <c r="P216" s="2">
        <v>36851.93</v>
      </c>
      <c r="Q216" s="2">
        <v>41159.550000000003</v>
      </c>
      <c r="R216" s="2">
        <v>45074.49</v>
      </c>
      <c r="S216" s="2">
        <v>50096.03</v>
      </c>
      <c r="T216" s="2">
        <v>55079.56</v>
      </c>
    </row>
    <row r="217" spans="1:20" x14ac:dyDescent="0.25">
      <c r="A217" t="s">
        <v>3512</v>
      </c>
      <c r="B217" s="2">
        <v>9434</v>
      </c>
      <c r="C217" s="2">
        <v>9516.7000000000007</v>
      </c>
      <c r="D217" s="2">
        <v>9620.5</v>
      </c>
      <c r="E217" s="2">
        <v>9660.9</v>
      </c>
      <c r="F217" s="2">
        <v>9728.1</v>
      </c>
      <c r="G217" s="2">
        <v>9823.5</v>
      </c>
      <c r="H217" s="2">
        <v>9879</v>
      </c>
      <c r="I217" s="2">
        <v>9948.2000000000007</v>
      </c>
      <c r="J217" s="2">
        <v>10581.3</v>
      </c>
      <c r="K217" s="2">
        <v>11464.1</v>
      </c>
      <c r="L217" s="2">
        <v>12501.8</v>
      </c>
      <c r="M217" s="2">
        <v>13077.7</v>
      </c>
      <c r="N217" s="2">
        <v>15661</v>
      </c>
      <c r="O217" s="2">
        <v>14814.5</v>
      </c>
      <c r="P217" s="2">
        <v>14814.5</v>
      </c>
      <c r="Q217" s="2">
        <v>14997.83</v>
      </c>
      <c r="R217" s="2">
        <v>23160</v>
      </c>
      <c r="S217" s="2">
        <v>25340</v>
      </c>
      <c r="T217" s="2">
        <v>26340</v>
      </c>
    </row>
    <row r="218" spans="1:20" x14ac:dyDescent="0.25">
      <c r="A218" t="s">
        <v>3513</v>
      </c>
      <c r="B218" s="2">
        <v>3303</v>
      </c>
      <c r="C218" s="2">
        <v>3313.3</v>
      </c>
      <c r="D218" s="2">
        <v>3324</v>
      </c>
      <c r="E218" s="2">
        <v>3328.3</v>
      </c>
      <c r="F218" s="2">
        <v>3329.4</v>
      </c>
      <c r="G218" s="2">
        <v>3337.4</v>
      </c>
      <c r="H218" s="2">
        <v>3343.4</v>
      </c>
      <c r="I218" s="2">
        <v>3359.3</v>
      </c>
      <c r="J218" s="2">
        <v>3408.7</v>
      </c>
      <c r="K218" s="2">
        <v>3413.1</v>
      </c>
      <c r="L218" s="2">
        <v>3427.9</v>
      </c>
      <c r="M218" s="2">
        <v>3471.6</v>
      </c>
      <c r="N218" s="2">
        <v>3523</v>
      </c>
      <c r="O218" s="2">
        <v>4388.6899999999996</v>
      </c>
      <c r="P218" s="2">
        <v>4500.42</v>
      </c>
      <c r="Q218" s="2">
        <v>4875.2</v>
      </c>
      <c r="R218" s="2">
        <v>5221.12</v>
      </c>
      <c r="S218" s="2">
        <v>5574.73</v>
      </c>
    </row>
    <row r="219" spans="1:20" x14ac:dyDescent="0.25">
      <c r="A219" t="s">
        <v>3514</v>
      </c>
      <c r="B219" s="2">
        <v>6131</v>
      </c>
      <c r="C219" s="2">
        <v>6203.4</v>
      </c>
      <c r="D219" s="2">
        <v>6296.5</v>
      </c>
      <c r="E219" s="2">
        <v>6332.6</v>
      </c>
      <c r="F219" s="2">
        <v>6398.7</v>
      </c>
      <c r="G219" s="2">
        <v>6486.1</v>
      </c>
      <c r="H219" s="2">
        <v>6535.6</v>
      </c>
      <c r="I219" s="2">
        <v>6588.9</v>
      </c>
      <c r="J219" s="2">
        <v>7172.6</v>
      </c>
      <c r="K219" s="2">
        <v>8051</v>
      </c>
      <c r="L219" s="2">
        <v>9073.9</v>
      </c>
      <c r="M219" s="2">
        <v>9606.1</v>
      </c>
      <c r="N219" s="2">
        <v>12138</v>
      </c>
      <c r="O219" s="2">
        <v>12970.12</v>
      </c>
      <c r="P219" s="2">
        <v>13500.12</v>
      </c>
      <c r="Q219" s="2">
        <v>14706.78</v>
      </c>
      <c r="R219" s="2">
        <v>15790.12</v>
      </c>
      <c r="S219" s="2">
        <v>18246.919999999998</v>
      </c>
    </row>
    <row r="220" spans="1:20" x14ac:dyDescent="0.25">
      <c r="A220" t="s">
        <v>2526</v>
      </c>
      <c r="B220">
        <v>-115</v>
      </c>
      <c r="C220">
        <v>-103.1</v>
      </c>
      <c r="D220">
        <v>-127.1</v>
      </c>
      <c r="E220">
        <v>-156.30000000000001</v>
      </c>
      <c r="F220">
        <v>-67.8</v>
      </c>
      <c r="G220">
        <v>-120.4</v>
      </c>
      <c r="H220">
        <v>-147.69999999999999</v>
      </c>
      <c r="I220">
        <v>-85.1</v>
      </c>
      <c r="J220">
        <v>184.8</v>
      </c>
      <c r="K220">
        <v>83.7</v>
      </c>
      <c r="L220">
        <v>-55.5</v>
      </c>
      <c r="M220">
        <v>-3.1</v>
      </c>
      <c r="N220">
        <v>36</v>
      </c>
      <c r="O220">
        <v>39.6</v>
      </c>
      <c r="P220">
        <v>39.6</v>
      </c>
      <c r="Q220">
        <v>30.9</v>
      </c>
      <c r="R220">
        <v>28.08</v>
      </c>
      <c r="S220">
        <v>28.08</v>
      </c>
    </row>
    <row r="221" spans="1:20" x14ac:dyDescent="0.25">
      <c r="A221" t="s">
        <v>2123</v>
      </c>
      <c r="B221" s="2">
        <v>6766</v>
      </c>
      <c r="C221" s="2">
        <v>7406.6</v>
      </c>
      <c r="D221" s="2">
        <v>8398.2999999999993</v>
      </c>
      <c r="E221" s="2">
        <v>7892.4</v>
      </c>
      <c r="F221" s="2">
        <v>8626.7000000000007</v>
      </c>
      <c r="G221" s="2">
        <v>9325.2999999999993</v>
      </c>
      <c r="H221" s="2">
        <v>9900.9</v>
      </c>
      <c r="I221" s="2">
        <v>10687.8</v>
      </c>
      <c r="J221" s="2">
        <v>11667.1</v>
      </c>
      <c r="K221" s="2">
        <v>12345.6</v>
      </c>
      <c r="L221" s="2">
        <v>12800.4</v>
      </c>
      <c r="M221" s="2">
        <v>13869.2</v>
      </c>
      <c r="N221" s="2">
        <v>15441</v>
      </c>
      <c r="O221" s="2">
        <v>17321.86</v>
      </c>
      <c r="P221" s="2">
        <v>19120.91</v>
      </c>
      <c r="Q221" s="2">
        <v>21761.46</v>
      </c>
      <c r="R221" s="2">
        <v>24141.95</v>
      </c>
      <c r="S221" s="2">
        <v>26091.81</v>
      </c>
      <c r="T221" s="2">
        <v>28630.560000000001</v>
      </c>
    </row>
    <row r="222" spans="1:20" x14ac:dyDescent="0.25">
      <c r="A222" t="s">
        <v>2124</v>
      </c>
      <c r="E222">
        <v>0</v>
      </c>
      <c r="F222">
        <v>11.9</v>
      </c>
      <c r="G222">
        <v>39.4</v>
      </c>
      <c r="H222">
        <v>42.9</v>
      </c>
      <c r="I222">
        <v>45.2</v>
      </c>
      <c r="J222">
        <v>43.3</v>
      </c>
      <c r="K222">
        <v>45.9</v>
      </c>
      <c r="L222">
        <v>42.5</v>
      </c>
      <c r="M222">
        <v>37.799999999999997</v>
      </c>
      <c r="N222">
        <v>38</v>
      </c>
      <c r="O222">
        <v>50.88</v>
      </c>
      <c r="P222">
        <v>50.88</v>
      </c>
      <c r="Q222">
        <v>50.88</v>
      </c>
      <c r="R222">
        <v>47.6</v>
      </c>
      <c r="S222">
        <v>50.87</v>
      </c>
    </row>
    <row r="223" spans="1:20" x14ac:dyDescent="0.25">
      <c r="A223" t="s">
        <v>1235</v>
      </c>
      <c r="B223">
        <v>0.8</v>
      </c>
      <c r="C223">
        <v>4.3</v>
      </c>
      <c r="D223">
        <v>13.2</v>
      </c>
      <c r="E223">
        <v>23.1</v>
      </c>
      <c r="F223">
        <v>26.6</v>
      </c>
      <c r="G223">
        <v>31</v>
      </c>
      <c r="H223">
        <v>346.7</v>
      </c>
      <c r="I223">
        <v>223.6</v>
      </c>
      <c r="J223">
        <v>247</v>
      </c>
      <c r="K223">
        <v>229</v>
      </c>
      <c r="L223">
        <v>39.200000000000003</v>
      </c>
      <c r="M223">
        <v>42.3</v>
      </c>
      <c r="N223" s="2">
        <v>1080</v>
      </c>
      <c r="O223" s="2">
        <v>1471.24</v>
      </c>
      <c r="P223" s="2">
        <v>1491.24</v>
      </c>
      <c r="Q223" s="2">
        <v>1692.73</v>
      </c>
      <c r="R223">
        <v>736.44</v>
      </c>
      <c r="S223">
        <v>773.2</v>
      </c>
      <c r="T223" s="2">
        <v>1210</v>
      </c>
    </row>
    <row r="224" spans="1:20" x14ac:dyDescent="0.25">
      <c r="A224" t="s">
        <v>326</v>
      </c>
      <c r="B224" s="2">
        <v>56321</v>
      </c>
      <c r="C224" s="2">
        <v>59544.6</v>
      </c>
      <c r="D224" s="2">
        <v>61683.1</v>
      </c>
      <c r="E224" s="2">
        <v>63467.7</v>
      </c>
      <c r="F224" s="2">
        <v>64729.1</v>
      </c>
      <c r="G224" s="2">
        <v>68802.8</v>
      </c>
      <c r="H224" s="2">
        <v>75892.3</v>
      </c>
      <c r="I224" s="2">
        <v>80757.2</v>
      </c>
      <c r="J224" s="2">
        <v>87668.7</v>
      </c>
      <c r="K224" s="2">
        <v>93403.3</v>
      </c>
      <c r="L224" s="2">
        <v>96684</v>
      </c>
      <c r="M224" s="2">
        <v>103078</v>
      </c>
      <c r="N224" s="2">
        <v>114460</v>
      </c>
      <c r="O224" s="2">
        <v>126433.02</v>
      </c>
      <c r="P224" s="2">
        <v>138172.93</v>
      </c>
      <c r="Q224" s="2">
        <v>153460.18</v>
      </c>
      <c r="R224" s="2">
        <v>163595.31</v>
      </c>
      <c r="S224" s="2">
        <v>178396</v>
      </c>
      <c r="T224" s="2">
        <v>192934.67</v>
      </c>
    </row>
    <row r="225" spans="1:20" x14ac:dyDescent="0.25">
      <c r="A225" t="s">
        <v>17</v>
      </c>
    </row>
    <row r="226" spans="1:20" x14ac:dyDescent="0.25">
      <c r="A226" t="s">
        <v>176</v>
      </c>
    </row>
    <row r="227" spans="1:20" x14ac:dyDescent="0.25">
      <c r="A227" t="s">
        <v>3515</v>
      </c>
      <c r="B227" s="2">
        <v>3860</v>
      </c>
      <c r="C227" s="2">
        <v>4430.8</v>
      </c>
      <c r="D227" s="2">
        <v>4596</v>
      </c>
      <c r="E227" s="2">
        <v>4492.3</v>
      </c>
      <c r="F227" s="2">
        <v>4432.6000000000004</v>
      </c>
      <c r="G227" s="2">
        <v>4706.5</v>
      </c>
      <c r="H227" s="2">
        <v>4260.6000000000004</v>
      </c>
      <c r="I227" s="2">
        <v>1806.4</v>
      </c>
      <c r="J227" s="2">
        <v>3603.6</v>
      </c>
      <c r="K227" s="2">
        <v>5525.7</v>
      </c>
      <c r="L227" s="2">
        <v>5715.7</v>
      </c>
      <c r="M227" s="2">
        <v>6294</v>
      </c>
      <c r="N227" s="2">
        <v>6603</v>
      </c>
      <c r="O227" s="2">
        <v>7326.21</v>
      </c>
      <c r="P227" s="2">
        <v>7826.82</v>
      </c>
      <c r="Q227" s="2">
        <v>8613.36</v>
      </c>
      <c r="R227" s="2">
        <v>9567.4</v>
      </c>
      <c r="S227" s="2">
        <v>10519.68</v>
      </c>
    </row>
    <row r="228" spans="1:20" x14ac:dyDescent="0.25">
      <c r="A228" t="s">
        <v>3516</v>
      </c>
      <c r="B228">
        <v>54.33</v>
      </c>
      <c r="C228">
        <v>54.14</v>
      </c>
      <c r="D228">
        <v>53.22</v>
      </c>
      <c r="E228">
        <v>55.77</v>
      </c>
      <c r="F228">
        <v>55.45</v>
      </c>
      <c r="G228">
        <v>56.95</v>
      </c>
      <c r="H228">
        <v>60.4</v>
      </c>
      <c r="I228">
        <v>62.15</v>
      </c>
      <c r="J228">
        <v>61.73</v>
      </c>
      <c r="K228">
        <v>63.24</v>
      </c>
      <c r="L228">
        <v>63.26</v>
      </c>
      <c r="M228">
        <v>62.87</v>
      </c>
      <c r="N228">
        <v>60.55</v>
      </c>
      <c r="O228">
        <v>59.73</v>
      </c>
      <c r="P228">
        <v>61.45</v>
      </c>
      <c r="Q228">
        <v>61.62</v>
      </c>
      <c r="R228">
        <v>61.98</v>
      </c>
      <c r="S228">
        <v>61.48</v>
      </c>
      <c r="T228">
        <v>62.19</v>
      </c>
    </row>
    <row r="229" spans="1:20" x14ac:dyDescent="0.25">
      <c r="A229" t="s">
        <v>177</v>
      </c>
      <c r="B229" s="2">
        <v>18663</v>
      </c>
      <c r="C229" s="2">
        <v>19310.3</v>
      </c>
      <c r="D229" s="2">
        <v>19809.5</v>
      </c>
      <c r="E229" s="2">
        <v>21427.200000000001</v>
      </c>
      <c r="F229" s="2">
        <v>22237.599999999999</v>
      </c>
      <c r="G229" s="2">
        <v>24653.5</v>
      </c>
      <c r="H229" s="2">
        <v>28928.5</v>
      </c>
      <c r="I229" s="2">
        <v>32912.699999999997</v>
      </c>
      <c r="J229" s="2">
        <v>35396.699999999997</v>
      </c>
      <c r="K229" s="2">
        <v>40169.1</v>
      </c>
      <c r="L229" s="2">
        <v>42380.1</v>
      </c>
      <c r="M229" s="2">
        <v>44705.2</v>
      </c>
      <c r="N229" s="2">
        <v>48342</v>
      </c>
      <c r="O229" s="2">
        <v>53182.18</v>
      </c>
      <c r="P229" s="2">
        <v>60325.36</v>
      </c>
      <c r="Q229" s="2">
        <v>67929</v>
      </c>
      <c r="R229" s="2">
        <v>75448.89</v>
      </c>
      <c r="S229" s="2">
        <v>82982</v>
      </c>
      <c r="T229" s="2">
        <v>92590</v>
      </c>
    </row>
    <row r="230" spans="1:20" x14ac:dyDescent="0.25">
      <c r="A230" t="s">
        <v>3517</v>
      </c>
      <c r="B230" s="2">
        <v>19159</v>
      </c>
      <c r="C230" s="2">
        <v>18708</v>
      </c>
      <c r="D230" s="2">
        <v>19692.099999999999</v>
      </c>
      <c r="F230" s="2">
        <v>21320.6</v>
      </c>
      <c r="G230" s="2">
        <v>47054.400000000001</v>
      </c>
      <c r="H230" s="2">
        <v>29563.8</v>
      </c>
      <c r="I230" s="2">
        <v>33551.800000000003</v>
      </c>
      <c r="J230" s="2">
        <v>36068.5</v>
      </c>
      <c r="K230" s="2">
        <v>35930.199999999997</v>
      </c>
      <c r="L230" s="2">
        <v>40471.699999999997</v>
      </c>
      <c r="M230" s="2">
        <v>45166.6</v>
      </c>
      <c r="N230" s="2">
        <v>48830</v>
      </c>
      <c r="O230" s="2">
        <v>53388.61</v>
      </c>
      <c r="P230" s="2">
        <v>59704.800000000003</v>
      </c>
      <c r="Q230" s="2">
        <v>67133.8</v>
      </c>
      <c r="R230" s="2">
        <v>77368.95</v>
      </c>
      <c r="S230" s="2">
        <v>86042.32</v>
      </c>
      <c r="T230" s="2">
        <v>92589.72</v>
      </c>
    </row>
    <row r="231" spans="1:20" x14ac:dyDescent="0.25">
      <c r="A231" t="s">
        <v>3518</v>
      </c>
      <c r="O231">
        <v>13.62</v>
      </c>
      <c r="P231">
        <v>12.82</v>
      </c>
      <c r="Q231">
        <v>12.86</v>
      </c>
      <c r="R231">
        <v>12.21</v>
      </c>
      <c r="S231">
        <v>12.27</v>
      </c>
    </row>
    <row r="232" spans="1:20" x14ac:dyDescent="0.25">
      <c r="A232" t="s">
        <v>179</v>
      </c>
      <c r="B232">
        <v>2.67</v>
      </c>
      <c r="C232">
        <v>2.82</v>
      </c>
      <c r="D232">
        <v>3.38</v>
      </c>
      <c r="E232">
        <v>0.98</v>
      </c>
      <c r="F232">
        <v>2.98</v>
      </c>
      <c r="G232">
        <v>2.88</v>
      </c>
      <c r="H232">
        <v>2.66</v>
      </c>
      <c r="I232">
        <v>5.79</v>
      </c>
      <c r="J232">
        <v>2.95</v>
      </c>
      <c r="K232">
        <v>2.5499999999999998</v>
      </c>
      <c r="L232">
        <v>2.3199999999999998</v>
      </c>
      <c r="M232">
        <v>2.97</v>
      </c>
      <c r="N232">
        <v>3.29</v>
      </c>
      <c r="O232">
        <v>2.89</v>
      </c>
      <c r="P232">
        <v>2.91</v>
      </c>
      <c r="Q232">
        <v>2.97</v>
      </c>
      <c r="R232">
        <v>3.07</v>
      </c>
      <c r="S232">
        <v>3</v>
      </c>
    </row>
    <row r="233" spans="1:20" x14ac:dyDescent="0.25">
      <c r="A233" t="s">
        <v>180</v>
      </c>
      <c r="B233">
        <v>9.4499999999999993</v>
      </c>
      <c r="C233">
        <v>9.93</v>
      </c>
      <c r="D233">
        <v>11.79</v>
      </c>
      <c r="E233">
        <v>3.46</v>
      </c>
      <c r="F233">
        <v>10.72</v>
      </c>
      <c r="G233">
        <v>10.3</v>
      </c>
      <c r="H233">
        <v>9.92</v>
      </c>
      <c r="I233">
        <v>10.93</v>
      </c>
      <c r="J233">
        <v>11.55</v>
      </c>
      <c r="K233">
        <v>9.94</v>
      </c>
      <c r="L233">
        <v>8.9700000000000006</v>
      </c>
      <c r="M233">
        <v>11.35</v>
      </c>
      <c r="N233">
        <v>12.31</v>
      </c>
      <c r="O233">
        <v>10.77</v>
      </c>
      <c r="P233">
        <v>10.93</v>
      </c>
      <c r="Q233">
        <v>11.14</v>
      </c>
      <c r="R233">
        <v>11.11</v>
      </c>
      <c r="S233">
        <v>11.22</v>
      </c>
      <c r="T233">
        <v>12.62</v>
      </c>
    </row>
    <row r="234" spans="1:20" x14ac:dyDescent="0.25">
      <c r="A234" t="s">
        <v>424</v>
      </c>
      <c r="B234">
        <v>32.979999999999997</v>
      </c>
      <c r="C234">
        <v>34.369999999999997</v>
      </c>
      <c r="D234">
        <v>36.44</v>
      </c>
      <c r="E234">
        <v>35.380000000000003</v>
      </c>
      <c r="F234">
        <v>37.17</v>
      </c>
      <c r="G234">
        <v>38.58</v>
      </c>
      <c r="H234">
        <v>39.729999999999997</v>
      </c>
      <c r="I234">
        <v>41.47</v>
      </c>
      <c r="J234">
        <v>44.58</v>
      </c>
      <c r="K234">
        <v>46.59</v>
      </c>
      <c r="L234">
        <v>48.06</v>
      </c>
      <c r="M234">
        <v>50.63</v>
      </c>
      <c r="N234">
        <v>57.64</v>
      </c>
      <c r="O234">
        <v>64</v>
      </c>
      <c r="P234">
        <v>66.680000000000007</v>
      </c>
      <c r="Q234">
        <v>72.8</v>
      </c>
      <c r="R234">
        <v>81.55</v>
      </c>
      <c r="S234">
        <v>87.06</v>
      </c>
    </row>
    <row r="235" spans="1:20" x14ac:dyDescent="0.25">
      <c r="A235" t="s">
        <v>17</v>
      </c>
    </row>
    <row r="236" spans="1:20" x14ac:dyDescent="0.25">
      <c r="A236" t="s">
        <v>188</v>
      </c>
    </row>
    <row r="237" spans="1:20" x14ac:dyDescent="0.25">
      <c r="A237" t="s">
        <v>189</v>
      </c>
    </row>
    <row r="238" spans="1:20" x14ac:dyDescent="0.25">
      <c r="A238" t="s">
        <v>121</v>
      </c>
      <c r="B238" s="2">
        <v>1480</v>
      </c>
      <c r="C238" s="2">
        <v>1634</v>
      </c>
      <c r="D238" s="2">
        <v>2047</v>
      </c>
      <c r="E238">
        <v>613.4</v>
      </c>
      <c r="F238" s="2">
        <v>1912.6</v>
      </c>
      <c r="G238" s="2">
        <v>1923.8</v>
      </c>
      <c r="H238" s="2">
        <v>1921.1</v>
      </c>
      <c r="I238" s="2">
        <v>2200.1</v>
      </c>
      <c r="J238" s="2">
        <v>2488.1</v>
      </c>
      <c r="K238" s="2">
        <v>2307.1999999999998</v>
      </c>
      <c r="L238" s="2">
        <v>2208.1</v>
      </c>
      <c r="M238" s="2">
        <v>2967.1</v>
      </c>
      <c r="N238" s="2">
        <v>3580</v>
      </c>
      <c r="O238" s="2">
        <v>3530.23</v>
      </c>
      <c r="P238" s="2">
        <v>3902</v>
      </c>
      <c r="Q238" s="2">
        <v>4423.25</v>
      </c>
      <c r="R238" s="2">
        <v>5033.6000000000004</v>
      </c>
      <c r="S238" s="2">
        <v>5719.5</v>
      </c>
      <c r="T238" s="2">
        <v>5977</v>
      </c>
    </row>
    <row r="239" spans="1:20" x14ac:dyDescent="0.25">
      <c r="A239" t="s">
        <v>2262</v>
      </c>
      <c r="B239" s="2">
        <v>1743</v>
      </c>
      <c r="C239" s="2">
        <v>1897.6</v>
      </c>
      <c r="D239" s="2">
        <v>2009.7</v>
      </c>
      <c r="E239" s="2">
        <v>1962.3</v>
      </c>
      <c r="F239" s="2">
        <v>1997.2</v>
      </c>
      <c r="G239" s="2">
        <v>2286.6</v>
      </c>
      <c r="H239" s="2">
        <v>2514.5</v>
      </c>
      <c r="I239" s="2">
        <v>2682.8</v>
      </c>
      <c r="J239" s="2">
        <v>2825.7</v>
      </c>
      <c r="K239" s="2">
        <v>3202.8</v>
      </c>
      <c r="L239" s="2">
        <v>3090.4</v>
      </c>
      <c r="M239" s="2">
        <v>3289.9</v>
      </c>
      <c r="N239" s="2">
        <v>3380</v>
      </c>
      <c r="O239" s="2">
        <v>3647.15</v>
      </c>
      <c r="P239" s="2">
        <v>3898.23</v>
      </c>
      <c r="Q239" s="2">
        <v>4265.7700000000004</v>
      </c>
      <c r="R239" s="2">
        <v>4664.43</v>
      </c>
      <c r="S239" s="2">
        <v>5010.21</v>
      </c>
      <c r="T239" s="2">
        <v>5073.37</v>
      </c>
    </row>
    <row r="240" spans="1:20" x14ac:dyDescent="0.25">
      <c r="A240" t="s">
        <v>546</v>
      </c>
      <c r="B240">
        <v>709</v>
      </c>
      <c r="C240">
        <v>868.8</v>
      </c>
      <c r="D240">
        <v>808.2</v>
      </c>
      <c r="E240">
        <v>-50</v>
      </c>
      <c r="F240">
        <v>901.5</v>
      </c>
      <c r="G240">
        <v>170.8</v>
      </c>
      <c r="H240">
        <v>-17.8</v>
      </c>
      <c r="I240">
        <v>240.3</v>
      </c>
      <c r="J240">
        <v>107.6</v>
      </c>
      <c r="K240">
        <v>-137.19999999999999</v>
      </c>
      <c r="L240">
        <v>185.1</v>
      </c>
      <c r="M240">
        <v>58.3</v>
      </c>
      <c r="N240">
        <v>311</v>
      </c>
      <c r="O240">
        <v>410.76</v>
      </c>
      <c r="P240">
        <v>423.68</v>
      </c>
      <c r="Q240">
        <v>466.13</v>
      </c>
      <c r="R240">
        <v>678.69</v>
      </c>
      <c r="S240">
        <v>739.24</v>
      </c>
      <c r="T240" s="2">
        <v>1540.09</v>
      </c>
    </row>
    <row r="241" spans="1:20" x14ac:dyDescent="0.25">
      <c r="A241" t="s">
        <v>3519</v>
      </c>
      <c r="B241">
        <v>131</v>
      </c>
      <c r="C241">
        <v>144.19999999999999</v>
      </c>
      <c r="D241">
        <v>145</v>
      </c>
      <c r="E241">
        <v>128.6</v>
      </c>
      <c r="F241">
        <v>129.1</v>
      </c>
      <c r="G241">
        <v>113.8</v>
      </c>
      <c r="H241">
        <v>89.1</v>
      </c>
      <c r="I241">
        <v>87.5</v>
      </c>
      <c r="J241">
        <v>85.3</v>
      </c>
      <c r="K241">
        <v>82.9</v>
      </c>
      <c r="L241">
        <v>96.6</v>
      </c>
      <c r="M241">
        <v>102.9</v>
      </c>
      <c r="N241">
        <v>109</v>
      </c>
      <c r="O241">
        <v>100.2</v>
      </c>
      <c r="P241">
        <v>114.08</v>
      </c>
      <c r="Q241">
        <v>117.13</v>
      </c>
      <c r="R241">
        <v>119.88</v>
      </c>
      <c r="S241">
        <v>117.24</v>
      </c>
    </row>
    <row r="242" spans="1:20" x14ac:dyDescent="0.25">
      <c r="A242" t="s">
        <v>204</v>
      </c>
      <c r="B242" s="2">
        <v>4106</v>
      </c>
      <c r="C242" s="2">
        <v>4613.5</v>
      </c>
      <c r="D242" s="2">
        <v>4818.5</v>
      </c>
      <c r="E242" s="2">
        <v>4519.3</v>
      </c>
      <c r="F242" s="2">
        <v>4270.3999999999996</v>
      </c>
      <c r="G242" s="2">
        <v>5223.2</v>
      </c>
      <c r="H242" s="2">
        <v>4270.1000000000004</v>
      </c>
      <c r="I242" s="2">
        <v>1150.0999999999999</v>
      </c>
      <c r="J242" s="2">
        <v>3839.9</v>
      </c>
      <c r="K242" s="2">
        <v>5288</v>
      </c>
      <c r="L242" s="2">
        <v>5012.2</v>
      </c>
      <c r="M242" s="2">
        <v>6804.3</v>
      </c>
      <c r="N242" s="2">
        <v>6944</v>
      </c>
      <c r="O242" s="2">
        <v>7329.44</v>
      </c>
      <c r="P242" s="2">
        <v>7975.97</v>
      </c>
      <c r="Q242" s="2">
        <v>8799.59</v>
      </c>
      <c r="R242" s="2">
        <v>9767.2199999999993</v>
      </c>
      <c r="S242" s="2">
        <v>10809.48</v>
      </c>
      <c r="T242" s="2">
        <v>11057.91</v>
      </c>
    </row>
    <row r="243" spans="1:20" x14ac:dyDescent="0.25">
      <c r="A243" t="s">
        <v>17</v>
      </c>
    </row>
    <row r="244" spans="1:20" x14ac:dyDescent="0.25">
      <c r="A244" t="s">
        <v>205</v>
      </c>
    </row>
    <row r="245" spans="1:20" x14ac:dyDescent="0.25">
      <c r="A245" t="s">
        <v>206</v>
      </c>
      <c r="B245" s="2">
        <v>-3624</v>
      </c>
      <c r="C245" s="2">
        <v>-4130</v>
      </c>
      <c r="D245" s="2">
        <v>-4508</v>
      </c>
      <c r="E245" s="2">
        <v>-4781.1000000000004</v>
      </c>
      <c r="F245" s="2">
        <v>-5691.3</v>
      </c>
      <c r="G245" s="2">
        <v>-6310.9</v>
      </c>
      <c r="H245" s="2">
        <v>-6051.4</v>
      </c>
      <c r="I245" s="2">
        <v>-6246.3</v>
      </c>
      <c r="J245" s="2">
        <v>-5659.6</v>
      </c>
      <c r="K245" s="2">
        <v>-6671.7</v>
      </c>
      <c r="L245" s="2">
        <v>-7378.3</v>
      </c>
      <c r="M245" s="2">
        <v>-7630.7</v>
      </c>
      <c r="N245" s="2">
        <v>-8453</v>
      </c>
      <c r="O245" s="2">
        <v>-12762.64</v>
      </c>
      <c r="P245" s="2">
        <v>-14539.64</v>
      </c>
      <c r="Q245" s="2">
        <v>-17857.82</v>
      </c>
      <c r="R245" s="2">
        <v>-17905.78</v>
      </c>
      <c r="S245" s="2">
        <v>-16029</v>
      </c>
      <c r="T245" s="2">
        <v>-15656</v>
      </c>
    </row>
    <row r="246" spans="1:20" x14ac:dyDescent="0.25">
      <c r="A246" t="s">
        <v>3520</v>
      </c>
      <c r="B246">
        <v>-154</v>
      </c>
      <c r="C246">
        <v>-116.2</v>
      </c>
      <c r="D246">
        <v>-92</v>
      </c>
      <c r="E246">
        <v>-128.5</v>
      </c>
      <c r="F246">
        <v>-108</v>
      </c>
      <c r="G246">
        <v>-46.1</v>
      </c>
      <c r="H246">
        <v>-92.3</v>
      </c>
      <c r="I246">
        <v>-69.7</v>
      </c>
      <c r="J246">
        <v>-104.5</v>
      </c>
      <c r="K246">
        <v>-100.7</v>
      </c>
      <c r="L246">
        <v>-128.19999999999999</v>
      </c>
      <c r="M246">
        <v>-139.9</v>
      </c>
      <c r="N246">
        <v>-130</v>
      </c>
      <c r="O246">
        <v>-138.97</v>
      </c>
      <c r="P246">
        <v>-147.06</v>
      </c>
      <c r="Q246">
        <v>-150.68</v>
      </c>
      <c r="R246">
        <v>-154.52000000000001</v>
      </c>
      <c r="S246">
        <v>-130</v>
      </c>
    </row>
    <row r="247" spans="1:20" x14ac:dyDescent="0.25">
      <c r="A247" t="s">
        <v>3521</v>
      </c>
      <c r="B247">
        <v>-32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-767.2</v>
      </c>
      <c r="K247" s="2">
        <v>-1207.3</v>
      </c>
      <c r="L247">
        <v>-155.19999999999999</v>
      </c>
      <c r="M247">
        <v>-399.5</v>
      </c>
      <c r="N247" s="2">
        <v>-3453</v>
      </c>
      <c r="O247" s="2">
        <v>-1359</v>
      </c>
      <c r="P247" s="2">
        <v>-1359</v>
      </c>
      <c r="Q247" s="2">
        <v>-1359</v>
      </c>
      <c r="R247" s="2">
        <v>-1359</v>
      </c>
      <c r="S247" s="2">
        <v>-1359</v>
      </c>
    </row>
    <row r="248" spans="1:20" x14ac:dyDescent="0.25">
      <c r="A248" t="s">
        <v>213</v>
      </c>
      <c r="B248" s="2">
        <v>-3818</v>
      </c>
      <c r="C248" s="2">
        <v>-4406</v>
      </c>
      <c r="D248" s="2">
        <v>-4015.2</v>
      </c>
      <c r="E248" s="2">
        <v>-4989.1000000000004</v>
      </c>
      <c r="F248" s="2">
        <v>-3656.4</v>
      </c>
      <c r="G248" s="2">
        <v>-6353.6</v>
      </c>
      <c r="H248" s="2">
        <v>-7144.5</v>
      </c>
      <c r="I248" s="2">
        <v>-6233.9</v>
      </c>
      <c r="J248" s="2">
        <v>-6433.9</v>
      </c>
      <c r="K248" s="2">
        <v>-7751.8</v>
      </c>
      <c r="L248" s="2">
        <v>-6266.7</v>
      </c>
      <c r="M248" s="2">
        <v>-7596.5</v>
      </c>
      <c r="N248" s="2">
        <v>-11939</v>
      </c>
      <c r="O248" s="2">
        <v>-13828.85</v>
      </c>
      <c r="P248" s="2">
        <v>-15387.08</v>
      </c>
      <c r="Q248" s="2">
        <v>-19026.48</v>
      </c>
      <c r="R248" s="2">
        <v>-17432.330000000002</v>
      </c>
      <c r="S248" s="2">
        <v>-15994.54</v>
      </c>
      <c r="T248" s="2">
        <v>-15656</v>
      </c>
    </row>
    <row r="249" spans="1:20" x14ac:dyDescent="0.25">
      <c r="A249" t="s">
        <v>17</v>
      </c>
    </row>
    <row r="250" spans="1:20" x14ac:dyDescent="0.25">
      <c r="A250" t="s">
        <v>214</v>
      </c>
    </row>
    <row r="251" spans="1:20" x14ac:dyDescent="0.25">
      <c r="A251" t="s">
        <v>347</v>
      </c>
      <c r="B251">
        <v>-954</v>
      </c>
      <c r="C251">
        <v>-997.6</v>
      </c>
      <c r="D251" s="2">
        <v>-1059</v>
      </c>
      <c r="E251" s="2">
        <v>-1121</v>
      </c>
      <c r="F251" s="2">
        <v>-1191.9000000000001</v>
      </c>
      <c r="G251" s="2">
        <v>-1255.5</v>
      </c>
      <c r="H251" s="2">
        <v>-1350</v>
      </c>
      <c r="I251" s="2">
        <v>-1424.9</v>
      </c>
      <c r="J251" s="2">
        <v>-1519.5</v>
      </c>
      <c r="K251" s="2">
        <v>-1645.2</v>
      </c>
      <c r="L251" s="2">
        <v>-1760.4</v>
      </c>
      <c r="M251" s="2">
        <v>-1903.9</v>
      </c>
      <c r="N251" s="2">
        <v>-2116</v>
      </c>
      <c r="O251" s="2">
        <v>-2142.5300000000002</v>
      </c>
      <c r="P251" s="2">
        <v>-2285.9499999999998</v>
      </c>
      <c r="Q251" s="2">
        <v>-2445.85</v>
      </c>
      <c r="R251" s="2">
        <v>-2543.48</v>
      </c>
      <c r="S251" s="2">
        <v>-2733.12</v>
      </c>
      <c r="T251" s="2">
        <v>-2845.91</v>
      </c>
    </row>
    <row r="252" spans="1:20" x14ac:dyDescent="0.25">
      <c r="A252" t="s">
        <v>2291</v>
      </c>
      <c r="B252">
        <v>-224</v>
      </c>
      <c r="C252">
        <v>589</v>
      </c>
      <c r="D252">
        <v>-546</v>
      </c>
      <c r="E252">
        <v>913</v>
      </c>
      <c r="F252">
        <v>-74.400000000000006</v>
      </c>
      <c r="G252">
        <v>271.39999999999998</v>
      </c>
      <c r="H252">
        <v>928.3</v>
      </c>
      <c r="I252">
        <v>-359</v>
      </c>
      <c r="J252">
        <v>134.69999999999999</v>
      </c>
      <c r="K252" s="2">
        <v>1498.2</v>
      </c>
      <c r="L252" s="2">
        <v>-1282</v>
      </c>
      <c r="M252">
        <v>-306.39999999999998</v>
      </c>
      <c r="N252" s="2">
        <v>-1016</v>
      </c>
      <c r="O252" s="2">
        <v>1623.28</v>
      </c>
      <c r="P252" s="2">
        <v>9615.6200000000008</v>
      </c>
      <c r="Q252" s="2">
        <v>8847.2000000000007</v>
      </c>
      <c r="R252" s="2">
        <v>10585.1</v>
      </c>
      <c r="S252" s="2">
        <v>8370.36</v>
      </c>
    </row>
    <row r="253" spans="1:20" x14ac:dyDescent="0.25">
      <c r="A253" t="s">
        <v>3309</v>
      </c>
      <c r="B253">
        <v>527</v>
      </c>
      <c r="C253">
        <v>178.4</v>
      </c>
      <c r="D253">
        <v>939.7</v>
      </c>
      <c r="E253">
        <v>693.4</v>
      </c>
      <c r="F253">
        <v>652.79999999999995</v>
      </c>
      <c r="G253">
        <v>-696.9</v>
      </c>
      <c r="H253" s="2">
        <v>3245.1</v>
      </c>
      <c r="I253" s="2">
        <v>4286.3</v>
      </c>
      <c r="J253" s="2">
        <v>3433</v>
      </c>
      <c r="K253" s="2">
        <v>1994.8</v>
      </c>
      <c r="L253" s="2">
        <v>3198.4</v>
      </c>
      <c r="M253" s="2">
        <v>2367.1999999999998</v>
      </c>
      <c r="N253" s="2">
        <v>4561</v>
      </c>
      <c r="O253" s="2">
        <v>5026.28</v>
      </c>
      <c r="P253" s="2">
        <v>7011.75</v>
      </c>
      <c r="Q253" s="2">
        <v>7851.75</v>
      </c>
      <c r="R253" s="2">
        <v>7711.16</v>
      </c>
      <c r="S253" s="2">
        <v>6955.34</v>
      </c>
      <c r="T253" s="2">
        <v>6500</v>
      </c>
    </row>
    <row r="254" spans="1:20" x14ac:dyDescent="0.25">
      <c r="A254" t="s">
        <v>3522</v>
      </c>
      <c r="B254" s="2">
        <v>3207</v>
      </c>
      <c r="C254" s="2">
        <v>2067</v>
      </c>
      <c r="D254" s="2">
        <v>3436.6</v>
      </c>
      <c r="E254" s="2">
        <v>2594.9</v>
      </c>
      <c r="F254" s="2">
        <v>3854.1</v>
      </c>
      <c r="G254" s="2">
        <v>2163.6999999999998</v>
      </c>
      <c r="H254" s="2">
        <v>4536.6000000000004</v>
      </c>
      <c r="I254" s="2">
        <v>4286.3</v>
      </c>
      <c r="J254" s="2">
        <v>6486.3</v>
      </c>
      <c r="K254" s="2">
        <v>4649.7</v>
      </c>
      <c r="L254" s="2">
        <v>5462.8</v>
      </c>
      <c r="M254" s="2">
        <v>5117</v>
      </c>
      <c r="N254" s="2">
        <v>8261</v>
      </c>
      <c r="O254" s="2">
        <v>8282.68</v>
      </c>
      <c r="P254" s="2">
        <v>8698.7999999999993</v>
      </c>
      <c r="Q254" s="2">
        <v>10890.2</v>
      </c>
      <c r="R254" s="2">
        <v>9499.2000000000007</v>
      </c>
      <c r="S254" s="2">
        <v>7177.85</v>
      </c>
      <c r="T254" s="2">
        <v>6500</v>
      </c>
    </row>
    <row r="255" spans="1:20" x14ac:dyDescent="0.25">
      <c r="A255" t="s">
        <v>1291</v>
      </c>
      <c r="B255" s="2">
        <v>-2680</v>
      </c>
      <c r="C255" s="2">
        <v>-1888.6</v>
      </c>
      <c r="D255" s="2">
        <v>-2496.9</v>
      </c>
      <c r="E255" s="2">
        <v>-1901.5</v>
      </c>
      <c r="F255" s="2">
        <v>-3201.3</v>
      </c>
      <c r="G255" s="2">
        <v>-2860.6</v>
      </c>
      <c r="H255" s="2">
        <v>-1291.5</v>
      </c>
      <c r="I255">
        <v>0</v>
      </c>
      <c r="J255" s="2">
        <v>-3053.3</v>
      </c>
      <c r="K255" s="2">
        <v>-2654.9</v>
      </c>
      <c r="L255" s="2">
        <v>-2264.4</v>
      </c>
      <c r="M255" s="2">
        <v>-2749.8</v>
      </c>
      <c r="N255" s="2">
        <v>-3700</v>
      </c>
      <c r="O255" s="2">
        <v>-3378.47</v>
      </c>
      <c r="P255" s="2">
        <v>-1376.98</v>
      </c>
      <c r="Q255" s="2">
        <v>-2535.86</v>
      </c>
      <c r="R255" s="2">
        <v>-1988.46</v>
      </c>
      <c r="S255" s="2">
        <v>-1856.91</v>
      </c>
    </row>
    <row r="256" spans="1:20" x14ac:dyDescent="0.25">
      <c r="A256" t="s">
        <v>674</v>
      </c>
      <c r="B256">
        <v>84</v>
      </c>
      <c r="C256">
        <v>73.599999999999994</v>
      </c>
      <c r="D256">
        <v>81.599999999999994</v>
      </c>
      <c r="E256">
        <v>34.200000000000003</v>
      </c>
      <c r="F256">
        <v>12.2</v>
      </c>
      <c r="G256">
        <v>73.599999999999994</v>
      </c>
      <c r="H256">
        <v>65.3</v>
      </c>
      <c r="I256">
        <v>155</v>
      </c>
      <c r="J256">
        <v>600.5</v>
      </c>
      <c r="K256">
        <v>826.5</v>
      </c>
      <c r="L256">
        <v>999.6</v>
      </c>
      <c r="M256">
        <v>552.1</v>
      </c>
      <c r="N256">
        <v>775</v>
      </c>
      <c r="O256" s="2">
        <v>2568.4299999999998</v>
      </c>
      <c r="P256">
        <v>593.75</v>
      </c>
      <c r="Q256" s="2">
        <v>2560.69</v>
      </c>
      <c r="R256" s="2">
        <v>1940</v>
      </c>
      <c r="S256" s="2">
        <v>1952</v>
      </c>
      <c r="T256" s="2">
        <v>1000</v>
      </c>
    </row>
    <row r="257" spans="1:20" x14ac:dyDescent="0.25">
      <c r="A257" t="s">
        <v>215</v>
      </c>
      <c r="B257">
        <v>84</v>
      </c>
      <c r="C257">
        <v>73.599999999999994</v>
      </c>
      <c r="D257">
        <v>81.599999999999994</v>
      </c>
      <c r="E257">
        <v>34.200000000000003</v>
      </c>
      <c r="F257">
        <v>12.2</v>
      </c>
      <c r="G257">
        <v>73.599999999999994</v>
      </c>
      <c r="H257">
        <v>65.3</v>
      </c>
      <c r="I257">
        <v>155</v>
      </c>
      <c r="J257">
        <v>600.5</v>
      </c>
      <c r="K257">
        <v>826.5</v>
      </c>
      <c r="L257">
        <v>999.6</v>
      </c>
      <c r="M257">
        <v>552.1</v>
      </c>
      <c r="N257">
        <v>775</v>
      </c>
      <c r="O257" s="2">
        <v>2980</v>
      </c>
      <c r="P257">
        <v>180</v>
      </c>
      <c r="Q257" s="2">
        <v>3643.5</v>
      </c>
      <c r="R257" s="2">
        <v>1699.5</v>
      </c>
      <c r="S257" s="2">
        <v>1197.5</v>
      </c>
    </row>
    <row r="258" spans="1:20" x14ac:dyDescent="0.25">
      <c r="A258" t="s">
        <v>218</v>
      </c>
      <c r="B258">
        <v>-449</v>
      </c>
      <c r="C258">
        <v>-150.9</v>
      </c>
      <c r="D258">
        <v>-661.7</v>
      </c>
      <c r="E258">
        <v>503.9</v>
      </c>
      <c r="F258">
        <v>-604.9</v>
      </c>
      <c r="G258" s="2">
        <v>1161.9000000000001</v>
      </c>
      <c r="H258" s="2">
        <v>2862.9</v>
      </c>
      <c r="I258" s="2">
        <v>2406.6999999999998</v>
      </c>
      <c r="J258" s="2">
        <v>2607.1</v>
      </c>
      <c r="K258" s="2">
        <v>2568.9</v>
      </c>
      <c r="L258" s="2">
        <v>1077</v>
      </c>
      <c r="M258">
        <v>659.2</v>
      </c>
      <c r="N258" s="2">
        <v>5017</v>
      </c>
      <c r="O258" s="2">
        <v>6984.25</v>
      </c>
      <c r="P258" s="2">
        <v>6670.65</v>
      </c>
      <c r="Q258" s="2">
        <v>9882.7199999999993</v>
      </c>
      <c r="R258" s="2">
        <v>7898.27</v>
      </c>
      <c r="S258" s="2">
        <v>5522.39</v>
      </c>
      <c r="T258" s="2">
        <v>4854.09</v>
      </c>
    </row>
    <row r="259" spans="1:20" x14ac:dyDescent="0.25">
      <c r="A259" t="s">
        <v>17</v>
      </c>
    </row>
    <row r="260" spans="1:20" x14ac:dyDescent="0.25">
      <c r="A260" t="s">
        <v>176</v>
      </c>
    </row>
    <row r="261" spans="1:20" x14ac:dyDescent="0.25">
      <c r="A261" t="s">
        <v>220</v>
      </c>
      <c r="B261">
        <v>-161</v>
      </c>
      <c r="C261">
        <v>45</v>
      </c>
      <c r="D261">
        <v>13.9</v>
      </c>
      <c r="E261">
        <v>34.1</v>
      </c>
      <c r="F261">
        <v>9.1</v>
      </c>
      <c r="G261">
        <v>31.5</v>
      </c>
      <c r="H261">
        <v>-11.5</v>
      </c>
      <c r="I261" s="2">
        <v>-2677.1</v>
      </c>
      <c r="J261">
        <v>13.1</v>
      </c>
      <c r="K261">
        <v>105.1</v>
      </c>
      <c r="L261">
        <v>-177.5</v>
      </c>
      <c r="M261">
        <v>-133</v>
      </c>
      <c r="N261">
        <v>22</v>
      </c>
      <c r="O261">
        <v>194.81</v>
      </c>
      <c r="P261" s="2">
        <v>-1630.9</v>
      </c>
      <c r="Q261" s="2">
        <v>-1339.47</v>
      </c>
      <c r="R261" s="2">
        <v>-1206.8699999999999</v>
      </c>
      <c r="S261">
        <v>146.82</v>
      </c>
      <c r="T261">
        <v>256</v>
      </c>
    </row>
    <row r="262" spans="1:20" x14ac:dyDescent="0.25">
      <c r="A262" t="s">
        <v>221</v>
      </c>
      <c r="B262">
        <v>279</v>
      </c>
      <c r="C262">
        <v>117.5</v>
      </c>
      <c r="D262">
        <v>162.5</v>
      </c>
      <c r="E262">
        <v>176.4</v>
      </c>
      <c r="F262">
        <v>403.5</v>
      </c>
      <c r="G262">
        <v>412.6</v>
      </c>
      <c r="H262">
        <v>444.1</v>
      </c>
      <c r="I262">
        <v>432.6</v>
      </c>
      <c r="J262">
        <v>438.3</v>
      </c>
      <c r="K262">
        <v>451.4</v>
      </c>
      <c r="L262">
        <v>556.5</v>
      </c>
      <c r="M262">
        <v>379</v>
      </c>
      <c r="N262">
        <v>246</v>
      </c>
      <c r="O262">
        <v>77.260000000000005</v>
      </c>
      <c r="P262">
        <v>187.36</v>
      </c>
      <c r="Q262">
        <v>-308.69</v>
      </c>
      <c r="R262" s="2">
        <v>1127.96</v>
      </c>
      <c r="S262">
        <v>311.87</v>
      </c>
      <c r="T262">
        <v>0</v>
      </c>
    </row>
    <row r="263" spans="1:20" x14ac:dyDescent="0.25">
      <c r="A263" t="s">
        <v>222</v>
      </c>
      <c r="B263">
        <v>118</v>
      </c>
      <c r="C263">
        <v>162.5</v>
      </c>
      <c r="D263">
        <v>176.4</v>
      </c>
      <c r="E263">
        <v>210.5</v>
      </c>
      <c r="F263">
        <v>412.6</v>
      </c>
      <c r="G263">
        <v>444.1</v>
      </c>
      <c r="H263">
        <v>432.6</v>
      </c>
      <c r="I263">
        <v>438.3</v>
      </c>
      <c r="J263">
        <v>451.4</v>
      </c>
      <c r="K263">
        <v>556.5</v>
      </c>
      <c r="L263">
        <v>379</v>
      </c>
      <c r="M263">
        <v>246</v>
      </c>
      <c r="N263">
        <v>268</v>
      </c>
      <c r="O263" s="2">
        <v>1482.07</v>
      </c>
      <c r="P263">
        <v>592.76</v>
      </c>
      <c r="Q263">
        <v>627.59</v>
      </c>
      <c r="R263">
        <v>390.67</v>
      </c>
      <c r="S263">
        <v>143.74</v>
      </c>
      <c r="T263">
        <v>0</v>
      </c>
    </row>
    <row r="264" spans="1:20" x14ac:dyDescent="0.25">
      <c r="A264" t="s">
        <v>178</v>
      </c>
    </row>
    <row r="265" spans="1:20" x14ac:dyDescent="0.25">
      <c r="A265" t="s">
        <v>224</v>
      </c>
      <c r="B265">
        <v>8.44</v>
      </c>
      <c r="C265">
        <v>9.44</v>
      </c>
      <c r="D265">
        <v>9.83</v>
      </c>
      <c r="E265">
        <v>9.19</v>
      </c>
      <c r="F265">
        <v>8.68</v>
      </c>
      <c r="G265">
        <v>10.59</v>
      </c>
      <c r="H265">
        <v>8.65</v>
      </c>
      <c r="I265">
        <v>2.3199999999999998</v>
      </c>
      <c r="J265">
        <v>7.67</v>
      </c>
      <c r="K265">
        <v>10.33</v>
      </c>
      <c r="L265">
        <v>9.66</v>
      </c>
      <c r="M265">
        <v>12.84</v>
      </c>
      <c r="N265">
        <v>12.99</v>
      </c>
    </row>
    <row r="266" spans="1:20" x14ac:dyDescent="0.25">
      <c r="A266" t="s">
        <v>225</v>
      </c>
      <c r="B266">
        <v>296</v>
      </c>
      <c r="C266">
        <v>367.3</v>
      </c>
      <c r="D266">
        <v>218.5</v>
      </c>
      <c r="E266">
        <v>-390.3</v>
      </c>
      <c r="F266" s="2">
        <v>-1528.9</v>
      </c>
      <c r="G266" s="2">
        <v>-1133.8</v>
      </c>
      <c r="H266" s="2">
        <v>-1873.6</v>
      </c>
      <c r="I266" s="2">
        <v>-2483.1</v>
      </c>
      <c r="J266" s="2">
        <v>-2691.4</v>
      </c>
      <c r="K266" s="2">
        <v>-2691.7</v>
      </c>
      <c r="L266" s="2">
        <v>-2649.5</v>
      </c>
      <c r="M266" s="2">
        <v>-1365.8</v>
      </c>
      <c r="N266" s="2">
        <v>-5092</v>
      </c>
      <c r="O266" s="2">
        <v>-5530.55</v>
      </c>
      <c r="P266" s="2">
        <v>-6804.77</v>
      </c>
      <c r="Q266" s="2">
        <v>-9640.68</v>
      </c>
      <c r="R266" s="2">
        <v>-8263.44</v>
      </c>
      <c r="S266" s="2">
        <v>-5790.93</v>
      </c>
    </row>
    <row r="267" spans="1:20" x14ac:dyDescent="0.25">
      <c r="A267" t="s">
        <v>17</v>
      </c>
    </row>
    <row r="268" spans="1:20" x14ac:dyDescent="0.25">
      <c r="A268" t="s">
        <v>231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6D43-E10D-466D-B8FE-F2311A739159}">
  <dimension ref="A1:U895"/>
  <sheetViews>
    <sheetView workbookViewId="0">
      <selection sqref="A1:U895"/>
    </sheetView>
  </sheetViews>
  <sheetFormatPr defaultRowHeight="15" x14ac:dyDescent="0.25"/>
  <sheetData>
    <row r="1" spans="1:21" x14ac:dyDescent="0.25">
      <c r="A1" t="s">
        <v>3523</v>
      </c>
    </row>
    <row r="2" spans="1:21" x14ac:dyDescent="0.25">
      <c r="A2" t="s">
        <v>3524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4.1500000000000004</v>
      </c>
      <c r="C6">
        <v>2.78</v>
      </c>
      <c r="D6">
        <v>3.43</v>
      </c>
      <c r="E6">
        <v>3.52</v>
      </c>
      <c r="F6">
        <v>4.28</v>
      </c>
      <c r="G6">
        <v>5.55</v>
      </c>
      <c r="H6">
        <v>6.04</v>
      </c>
      <c r="I6">
        <v>7.93</v>
      </c>
      <c r="J6">
        <v>8.16</v>
      </c>
      <c r="K6">
        <v>7.94</v>
      </c>
      <c r="L6">
        <v>6.32</v>
      </c>
      <c r="M6">
        <v>12.99</v>
      </c>
      <c r="N6">
        <v>24.21</v>
      </c>
      <c r="O6">
        <v>36.590000000000003</v>
      </c>
      <c r="P6">
        <v>47.1</v>
      </c>
      <c r="Q6">
        <v>54.47</v>
      </c>
      <c r="R6">
        <v>61.19</v>
      </c>
      <c r="S6">
        <v>66.84</v>
      </c>
      <c r="T6">
        <v>73.41</v>
      </c>
      <c r="U6">
        <v>77.790000000000006</v>
      </c>
    </row>
    <row r="7" spans="1:21" x14ac:dyDescent="0.25">
      <c r="A7" t="s">
        <v>16</v>
      </c>
      <c r="B7" s="2">
        <v>23113.1</v>
      </c>
      <c r="C7" s="2">
        <v>19615.599999999999</v>
      </c>
      <c r="D7" s="2">
        <v>19958.7</v>
      </c>
      <c r="E7" s="2">
        <v>21222.1</v>
      </c>
      <c r="F7" s="2">
        <v>22871.3</v>
      </c>
      <c r="G7" s="2">
        <v>24555.7</v>
      </c>
      <c r="H7" s="2">
        <v>22319.5</v>
      </c>
      <c r="I7" s="2">
        <v>24539.8</v>
      </c>
      <c r="J7" s="2">
        <v>28318.400000000001</v>
      </c>
      <c r="K7" s="2">
        <v>28541.4</v>
      </c>
      <c r="L7" s="2">
        <v>34124.1</v>
      </c>
      <c r="M7" s="2">
        <v>45042.7</v>
      </c>
      <c r="N7" s="2">
        <v>65179</v>
      </c>
      <c r="O7" s="2">
        <v>88390.26</v>
      </c>
      <c r="P7" s="2">
        <v>101836.9</v>
      </c>
      <c r="Q7" s="2">
        <v>114280.48</v>
      </c>
      <c r="R7" s="2">
        <v>124033.19</v>
      </c>
      <c r="S7" s="2">
        <v>132538.67000000001</v>
      </c>
      <c r="T7" s="2">
        <v>141207.56</v>
      </c>
      <c r="U7" s="2">
        <v>147227.60999999999</v>
      </c>
    </row>
    <row r="8" spans="1:21" x14ac:dyDescent="0.25">
      <c r="A8" t="s">
        <v>17</v>
      </c>
    </row>
    <row r="9" spans="1:21" x14ac:dyDescent="0.25">
      <c r="A9" t="s">
        <v>30</v>
      </c>
      <c r="B9">
        <v>78.760000000000005</v>
      </c>
      <c r="C9">
        <v>74.900000000000006</v>
      </c>
      <c r="D9">
        <v>78.12</v>
      </c>
      <c r="E9">
        <v>76.540000000000006</v>
      </c>
      <c r="F9">
        <v>76.569999999999993</v>
      </c>
      <c r="G9">
        <v>73.81</v>
      </c>
      <c r="H9">
        <v>78.849999999999994</v>
      </c>
      <c r="I9">
        <v>77.66</v>
      </c>
      <c r="J9">
        <v>77.38</v>
      </c>
      <c r="K9">
        <v>78.8</v>
      </c>
      <c r="L9">
        <v>80.7</v>
      </c>
      <c r="M9">
        <v>82.5</v>
      </c>
      <c r="N9">
        <v>83.8</v>
      </c>
      <c r="O9">
        <v>84.06</v>
      </c>
      <c r="P9">
        <v>84.01</v>
      </c>
      <c r="Q9">
        <v>84.22</v>
      </c>
      <c r="R9">
        <v>84.29</v>
      </c>
      <c r="S9">
        <v>84.38</v>
      </c>
      <c r="T9">
        <v>84.31</v>
      </c>
      <c r="U9">
        <v>84.35</v>
      </c>
    </row>
    <row r="10" spans="1:21" x14ac:dyDescent="0.25">
      <c r="A10" t="s">
        <v>3525</v>
      </c>
      <c r="B10" s="2">
        <v>7125.6</v>
      </c>
      <c r="C10" s="2">
        <v>6804.9</v>
      </c>
      <c r="D10" s="2">
        <v>6424.3</v>
      </c>
      <c r="E10" s="2">
        <v>6445.1</v>
      </c>
      <c r="F10" s="2">
        <v>6674.5</v>
      </c>
      <c r="G10" s="2">
        <v>5975.1</v>
      </c>
      <c r="H10" s="2">
        <v>6213.8</v>
      </c>
      <c r="I10" s="2">
        <v>6121.2</v>
      </c>
      <c r="J10" s="2">
        <v>6431.6</v>
      </c>
      <c r="K10" s="2">
        <v>6440.4</v>
      </c>
      <c r="L10" s="2">
        <v>7403.1</v>
      </c>
      <c r="M10" s="2">
        <v>8594</v>
      </c>
      <c r="N10" s="2">
        <v>11094</v>
      </c>
      <c r="O10" s="2">
        <v>13678.71</v>
      </c>
      <c r="P10" s="2">
        <v>15154.15</v>
      </c>
      <c r="Q10" s="2">
        <v>16527.46</v>
      </c>
      <c r="R10" s="2">
        <v>17522.669999999998</v>
      </c>
      <c r="S10" s="2">
        <v>18380.759999999998</v>
      </c>
      <c r="T10" s="2">
        <v>18768.82</v>
      </c>
      <c r="U10" s="2">
        <v>19197.740000000002</v>
      </c>
    </row>
    <row r="11" spans="1:21" x14ac:dyDescent="0.25">
      <c r="A11" t="s">
        <v>2823</v>
      </c>
      <c r="B11" s="2">
        <v>5531.3</v>
      </c>
      <c r="C11" s="2">
        <v>4733.6000000000004</v>
      </c>
      <c r="D11" s="2">
        <v>4796.3999999999996</v>
      </c>
      <c r="E11" s="2">
        <v>5243.9</v>
      </c>
      <c r="F11" s="2">
        <v>5357.3</v>
      </c>
      <c r="G11" s="2">
        <v>5051.2</v>
      </c>
      <c r="H11" s="2">
        <v>5595</v>
      </c>
      <c r="I11" s="2">
        <v>5976.3</v>
      </c>
      <c r="J11" s="2">
        <v>6930.7</v>
      </c>
      <c r="K11" s="2">
        <v>7190.8</v>
      </c>
      <c r="L11" s="2">
        <v>9313.4</v>
      </c>
      <c r="M11" s="2">
        <v>10991</v>
      </c>
      <c r="N11" s="2">
        <v>13337</v>
      </c>
      <c r="O11" s="2">
        <v>15950.06</v>
      </c>
      <c r="P11" s="2">
        <v>17938.43</v>
      </c>
      <c r="Q11" s="2">
        <v>19693.93</v>
      </c>
      <c r="R11" s="2">
        <v>20939</v>
      </c>
      <c r="S11" s="2">
        <v>22033.26</v>
      </c>
      <c r="T11" s="2">
        <v>22652.55</v>
      </c>
      <c r="U11" s="2">
        <v>23280.49</v>
      </c>
    </row>
    <row r="12" spans="1:21" x14ac:dyDescent="0.25">
      <c r="A12" t="s">
        <v>29</v>
      </c>
      <c r="B12" s="2">
        <v>5491</v>
      </c>
      <c r="C12" s="2">
        <v>3447.8</v>
      </c>
      <c r="D12" s="2">
        <v>4371.3</v>
      </c>
      <c r="E12" s="2">
        <v>4554.6000000000004</v>
      </c>
      <c r="F12" s="2">
        <v>5648.7</v>
      </c>
      <c r="G12" s="2">
        <v>6765.6</v>
      </c>
      <c r="H12" s="2">
        <v>6136.4</v>
      </c>
      <c r="I12" s="2">
        <v>7264.8</v>
      </c>
      <c r="J12" s="2">
        <v>8457.1</v>
      </c>
      <c r="K12" s="2">
        <v>7946</v>
      </c>
      <c r="L12" s="2">
        <v>7032</v>
      </c>
      <c r="M12" s="2">
        <v>14313</v>
      </c>
      <c r="N12" s="2">
        <v>27273</v>
      </c>
      <c r="O12" s="2">
        <v>40959.81</v>
      </c>
      <c r="P12" s="2">
        <v>51473.440000000002</v>
      </c>
      <c r="Q12" s="2">
        <v>58769.23</v>
      </c>
      <c r="R12" s="2">
        <v>64961.48</v>
      </c>
      <c r="S12" s="2">
        <v>70248.62</v>
      </c>
      <c r="T12" s="2">
        <v>78330.350000000006</v>
      </c>
      <c r="U12" s="2">
        <v>82605.649999999994</v>
      </c>
    </row>
    <row r="13" spans="1:21" x14ac:dyDescent="0.25">
      <c r="A13" t="s">
        <v>1265</v>
      </c>
      <c r="B13">
        <v>24</v>
      </c>
      <c r="C13">
        <v>20.29</v>
      </c>
      <c r="D13">
        <v>21.9</v>
      </c>
      <c r="E13">
        <v>15.8</v>
      </c>
      <c r="F13">
        <v>23.61</v>
      </c>
      <c r="G13">
        <v>28.54</v>
      </c>
      <c r="H13">
        <v>27.24</v>
      </c>
      <c r="I13">
        <v>29.6</v>
      </c>
      <c r="J13">
        <v>26.77</v>
      </c>
      <c r="K13">
        <v>27.84</v>
      </c>
      <c r="L13">
        <v>20.61</v>
      </c>
      <c r="M13">
        <v>31.78</v>
      </c>
      <c r="N13">
        <v>41.84</v>
      </c>
      <c r="O13">
        <v>47.21</v>
      </c>
      <c r="P13">
        <v>51.58</v>
      </c>
      <c r="Q13">
        <v>52.59</v>
      </c>
      <c r="R13">
        <v>53.37</v>
      </c>
      <c r="S13">
        <v>53.96</v>
      </c>
      <c r="T13">
        <v>54.81</v>
      </c>
      <c r="U13">
        <v>55.28</v>
      </c>
    </row>
    <row r="14" spans="1:21" x14ac:dyDescent="0.25">
      <c r="A14" t="s">
        <v>3526</v>
      </c>
      <c r="B14">
        <v>57.1</v>
      </c>
      <c r="C14">
        <v>200.2</v>
      </c>
      <c r="D14">
        <v>535</v>
      </c>
      <c r="E14">
        <v>30</v>
      </c>
      <c r="F14" s="2">
        <v>1112.5999999999999</v>
      </c>
      <c r="G14" s="2">
        <v>1983.9</v>
      </c>
      <c r="H14">
        <v>239.6</v>
      </c>
      <c r="I14">
        <v>660.4</v>
      </c>
      <c r="J14">
        <v>874.9</v>
      </c>
      <c r="K14">
        <v>908.5</v>
      </c>
      <c r="L14" s="2">
        <v>3799.8</v>
      </c>
      <c r="M14" s="2">
        <v>3280</v>
      </c>
      <c r="N14" s="2">
        <v>2910</v>
      </c>
      <c r="O14" s="2">
        <v>3568.24</v>
      </c>
      <c r="P14" s="2">
        <v>1657.33</v>
      </c>
      <c r="Q14" s="2">
        <v>1204.33</v>
      </c>
      <c r="R14">
        <v>390.88</v>
      </c>
      <c r="S14">
        <v>397.85</v>
      </c>
      <c r="T14">
        <v>403.57</v>
      </c>
      <c r="U14">
        <v>416.69</v>
      </c>
    </row>
    <row r="15" spans="1:21" x14ac:dyDescent="0.25">
      <c r="A15" t="s">
        <v>3527</v>
      </c>
      <c r="B15">
        <v>44.89</v>
      </c>
      <c r="C15">
        <v>88.19</v>
      </c>
      <c r="D15">
        <v>88.69</v>
      </c>
      <c r="E15">
        <v>79.180000000000007</v>
      </c>
      <c r="G15">
        <v>75.290000000000006</v>
      </c>
      <c r="H15">
        <v>52.41</v>
      </c>
      <c r="I15">
        <v>44.98</v>
      </c>
      <c r="J15">
        <v>57.36</v>
      </c>
      <c r="K15">
        <v>58.73</v>
      </c>
      <c r="L15">
        <v>80.55</v>
      </c>
      <c r="M15">
        <v>44.22</v>
      </c>
      <c r="N15">
        <v>26.08</v>
      </c>
      <c r="O15">
        <v>18.760000000000002</v>
      </c>
      <c r="P15">
        <v>16.57</v>
      </c>
      <c r="Q15">
        <v>16.3</v>
      </c>
      <c r="R15">
        <v>16.2</v>
      </c>
      <c r="S15">
        <v>16.63</v>
      </c>
      <c r="T15">
        <v>16.559999999999999</v>
      </c>
      <c r="U15">
        <v>17.34</v>
      </c>
    </row>
    <row r="16" spans="1:21" x14ac:dyDescent="0.25">
      <c r="A16" t="s">
        <v>17</v>
      </c>
    </row>
    <row r="17" spans="1:21" x14ac:dyDescent="0.25">
      <c r="A17" t="s">
        <v>3528</v>
      </c>
    </row>
    <row r="18" spans="1:21" x14ac:dyDescent="0.25">
      <c r="A18" t="s">
        <v>3529</v>
      </c>
      <c r="K18">
        <v>482.5</v>
      </c>
      <c r="L18" s="2">
        <v>5163.1000000000004</v>
      </c>
      <c r="M18" s="2">
        <v>11540.1</v>
      </c>
      <c r="N18" s="2">
        <v>22965</v>
      </c>
      <c r="O18" s="2">
        <v>38668.04</v>
      </c>
      <c r="P18" s="2">
        <v>45333.54</v>
      </c>
      <c r="Q18" s="2">
        <v>49125.75</v>
      </c>
      <c r="R18" s="2">
        <v>51301.01</v>
      </c>
      <c r="S18" s="2">
        <v>51847.11</v>
      </c>
      <c r="T18" s="2">
        <v>52018.42</v>
      </c>
      <c r="U18" s="2">
        <v>51416.97</v>
      </c>
    </row>
    <row r="19" spans="1:21" x14ac:dyDescent="0.25">
      <c r="A19" t="s">
        <v>3530</v>
      </c>
      <c r="L19">
        <v>175.8</v>
      </c>
      <c r="M19" s="2">
        <v>4925.7</v>
      </c>
      <c r="N19" s="2">
        <v>13542</v>
      </c>
      <c r="O19" s="2">
        <v>19461.16</v>
      </c>
      <c r="P19" s="2">
        <v>23607.37</v>
      </c>
      <c r="Q19" s="2">
        <v>26030.09</v>
      </c>
      <c r="R19" s="2">
        <v>26917.52</v>
      </c>
      <c r="S19" s="2">
        <v>27017.88</v>
      </c>
      <c r="T19" s="2">
        <v>26658.21</v>
      </c>
      <c r="U19" s="2">
        <v>26054.14</v>
      </c>
    </row>
    <row r="20" spans="1:21" x14ac:dyDescent="0.25">
      <c r="A20" t="s">
        <v>3531</v>
      </c>
      <c r="C20">
        <v>10.199999999999999</v>
      </c>
      <c r="D20">
        <v>248.7</v>
      </c>
      <c r="E20">
        <v>925.5</v>
      </c>
      <c r="F20" s="2">
        <v>2029.8</v>
      </c>
      <c r="G20" s="2">
        <v>3199.1</v>
      </c>
      <c r="H20" s="2">
        <v>4127.8</v>
      </c>
      <c r="I20" s="2">
        <v>5068.1000000000004</v>
      </c>
      <c r="J20" s="2">
        <v>6471.9</v>
      </c>
      <c r="K20" s="2">
        <v>7439.7</v>
      </c>
      <c r="L20" s="2">
        <v>7132.6</v>
      </c>
      <c r="M20" s="2">
        <v>5253.5</v>
      </c>
      <c r="N20" s="2">
        <v>4276</v>
      </c>
      <c r="O20" s="2">
        <v>3722.75</v>
      </c>
      <c r="P20" s="2">
        <v>2733.88</v>
      </c>
      <c r="Q20" s="2">
        <v>1910.11</v>
      </c>
      <c r="R20" s="2">
        <v>1297.21</v>
      </c>
      <c r="S20">
        <v>932.17</v>
      </c>
      <c r="T20">
        <v>743.35</v>
      </c>
      <c r="U20">
        <v>554.80999999999995</v>
      </c>
    </row>
    <row r="21" spans="1:21" x14ac:dyDescent="0.25">
      <c r="A21" t="s">
        <v>3532</v>
      </c>
      <c r="F21">
        <v>21</v>
      </c>
      <c r="G21">
        <v>255</v>
      </c>
      <c r="H21">
        <v>579.70000000000005</v>
      </c>
      <c r="I21">
        <v>912.7</v>
      </c>
      <c r="J21" s="2">
        <v>1349.9</v>
      </c>
      <c r="K21" s="2">
        <v>2483.5</v>
      </c>
      <c r="L21" s="2">
        <v>3863.4</v>
      </c>
      <c r="M21" s="2">
        <v>5306.6</v>
      </c>
      <c r="N21" s="2">
        <v>5723</v>
      </c>
      <c r="O21" s="2">
        <v>5892.3</v>
      </c>
      <c r="P21" s="2">
        <v>6125.85</v>
      </c>
      <c r="Q21" s="2">
        <v>6162.99</v>
      </c>
      <c r="R21" s="2">
        <v>6206.27</v>
      </c>
      <c r="S21" s="2">
        <v>6188.56</v>
      </c>
      <c r="T21" s="2">
        <v>5520.37</v>
      </c>
      <c r="U21" s="2">
        <v>4576.97</v>
      </c>
    </row>
    <row r="22" spans="1:21" x14ac:dyDescent="0.25">
      <c r="A22" t="s">
        <v>3533</v>
      </c>
      <c r="C22">
        <v>10.1</v>
      </c>
      <c r="D22">
        <v>60.2</v>
      </c>
      <c r="E22">
        <v>201.9</v>
      </c>
      <c r="F22">
        <v>447.5</v>
      </c>
      <c r="G22">
        <v>658.3</v>
      </c>
      <c r="H22">
        <v>944.2</v>
      </c>
      <c r="I22" s="2">
        <v>1153.8</v>
      </c>
      <c r="J22" s="2">
        <v>1490.8</v>
      </c>
      <c r="K22" s="2">
        <v>2066</v>
      </c>
      <c r="L22" s="2">
        <v>2744.7</v>
      </c>
      <c r="M22" s="2">
        <v>3340.9</v>
      </c>
      <c r="N22" s="2">
        <v>3432</v>
      </c>
      <c r="O22" s="2">
        <v>3934</v>
      </c>
      <c r="P22" s="2">
        <v>3478.37</v>
      </c>
      <c r="Q22" s="2">
        <v>2905.14</v>
      </c>
      <c r="R22" s="2">
        <v>1728.06</v>
      </c>
      <c r="S22" s="2">
        <v>1141.81</v>
      </c>
      <c r="T22">
        <v>828.16</v>
      </c>
      <c r="U22">
        <v>647.79999999999995</v>
      </c>
    </row>
    <row r="23" spans="1:21" x14ac:dyDescent="0.25">
      <c r="A23" t="s">
        <v>3534</v>
      </c>
      <c r="O23">
        <v>738.97</v>
      </c>
      <c r="P23" s="2">
        <v>4091.02</v>
      </c>
      <c r="Q23" s="2">
        <v>8617.7199999999993</v>
      </c>
      <c r="R23" s="2">
        <v>12498.37</v>
      </c>
      <c r="S23" s="2">
        <v>15491.37</v>
      </c>
      <c r="T23" s="2">
        <v>18388.62</v>
      </c>
      <c r="U23" s="2">
        <v>20489.740000000002</v>
      </c>
    </row>
    <row r="24" spans="1:21" x14ac:dyDescent="0.25">
      <c r="A24" t="s">
        <v>3535</v>
      </c>
      <c r="E24">
        <v>113.1</v>
      </c>
      <c r="F24">
        <v>559.20000000000005</v>
      </c>
      <c r="G24">
        <v>937.5</v>
      </c>
      <c r="H24" s="2">
        <v>1366.4</v>
      </c>
      <c r="I24" s="2">
        <v>1788.5</v>
      </c>
      <c r="J24" s="2">
        <v>2212.8000000000002</v>
      </c>
      <c r="K24" s="2">
        <v>2482</v>
      </c>
      <c r="L24" s="2">
        <v>2759.6</v>
      </c>
      <c r="M24" s="2">
        <v>3260.4</v>
      </c>
      <c r="N24" s="2">
        <v>3562</v>
      </c>
      <c r="O24" s="2">
        <v>3472.78</v>
      </c>
      <c r="P24" s="2">
        <v>3535.18</v>
      </c>
      <c r="Q24" s="2">
        <v>3512.35</v>
      </c>
      <c r="R24" s="2">
        <v>3419.6</v>
      </c>
      <c r="S24" s="2">
        <v>2883.17</v>
      </c>
      <c r="T24" s="2">
        <v>2140.5700000000002</v>
      </c>
      <c r="U24" s="2">
        <v>1538.12</v>
      </c>
    </row>
    <row r="25" spans="1:21" x14ac:dyDescent="0.25">
      <c r="A25" t="s">
        <v>3536</v>
      </c>
      <c r="B25" s="2">
        <v>2611.1999999999998</v>
      </c>
      <c r="C25" s="2">
        <v>2785.2</v>
      </c>
      <c r="D25" s="2">
        <v>2841.9</v>
      </c>
      <c r="E25" s="2">
        <v>2768</v>
      </c>
      <c r="F25" s="2">
        <v>2865.2</v>
      </c>
      <c r="G25" s="2">
        <v>2996.5</v>
      </c>
      <c r="H25" s="2">
        <v>2820.7</v>
      </c>
      <c r="I25" s="2">
        <v>2625.9</v>
      </c>
      <c r="J25" s="2">
        <v>2453</v>
      </c>
      <c r="K25" s="2">
        <v>2060.6</v>
      </c>
      <c r="L25" s="2">
        <v>1663.3</v>
      </c>
      <c r="M25" s="2">
        <v>2324.8000000000002</v>
      </c>
      <c r="N25" s="2">
        <v>2168</v>
      </c>
      <c r="O25" s="2">
        <v>1757.95</v>
      </c>
      <c r="P25" s="2">
        <v>1587.77</v>
      </c>
      <c r="Q25" s="2">
        <v>1451.52</v>
      </c>
      <c r="R25" s="2">
        <v>1325.06</v>
      </c>
      <c r="S25" s="2">
        <v>1210.21</v>
      </c>
      <c r="T25" s="2">
        <v>1121.0899999999999</v>
      </c>
      <c r="U25" s="2">
        <v>1042.75</v>
      </c>
    </row>
    <row r="26" spans="1:21" x14ac:dyDescent="0.25">
      <c r="A26" t="s">
        <v>3537</v>
      </c>
      <c r="C26">
        <v>75.599999999999994</v>
      </c>
      <c r="D26">
        <v>383.8</v>
      </c>
      <c r="E26">
        <v>614.1</v>
      </c>
      <c r="F26">
        <v>758.3</v>
      </c>
      <c r="G26">
        <v>821.4</v>
      </c>
      <c r="H26">
        <v>925.1</v>
      </c>
      <c r="I26" s="2">
        <v>1032.5999999999999</v>
      </c>
      <c r="J26" s="2">
        <v>1033.0999999999999</v>
      </c>
      <c r="K26">
        <v>971.4</v>
      </c>
      <c r="L26">
        <v>974.7</v>
      </c>
      <c r="M26">
        <v>973.3</v>
      </c>
      <c r="N26">
        <v>986</v>
      </c>
      <c r="O26">
        <v>892.09</v>
      </c>
      <c r="P26">
        <v>712.01</v>
      </c>
      <c r="Q26">
        <v>551.62</v>
      </c>
      <c r="R26">
        <v>419.82</v>
      </c>
      <c r="S26">
        <v>332.28</v>
      </c>
      <c r="T26">
        <v>269.29000000000002</v>
      </c>
      <c r="U26">
        <v>218.45</v>
      </c>
    </row>
    <row r="27" spans="1:21" x14ac:dyDescent="0.25">
      <c r="A27" t="s">
        <v>3538</v>
      </c>
      <c r="F27">
        <v>45.9</v>
      </c>
      <c r="G27">
        <v>202.5</v>
      </c>
      <c r="H27">
        <v>426.9</v>
      </c>
      <c r="I27">
        <v>638.9</v>
      </c>
      <c r="J27" s="2">
        <v>1115.0999999999999</v>
      </c>
      <c r="K27">
        <v>830.5</v>
      </c>
      <c r="L27">
        <v>922.6</v>
      </c>
      <c r="M27">
        <v>957.4</v>
      </c>
      <c r="N27" s="2">
        <v>1011</v>
      </c>
      <c r="O27" s="2">
        <v>1064.67</v>
      </c>
      <c r="P27" s="2">
        <v>1089.51</v>
      </c>
      <c r="Q27" s="2">
        <v>1114.57</v>
      </c>
      <c r="R27" s="2">
        <v>1131.5</v>
      </c>
      <c r="S27" s="2">
        <v>1145.6199999999999</v>
      </c>
      <c r="T27" s="2">
        <v>1141.05</v>
      </c>
      <c r="U27">
        <v>913.58</v>
      </c>
    </row>
    <row r="28" spans="1:21" x14ac:dyDescent="0.25">
      <c r="A28" t="s">
        <v>3539</v>
      </c>
      <c r="G28">
        <v>4.8</v>
      </c>
      <c r="H28">
        <v>162.5</v>
      </c>
      <c r="I28">
        <v>362.9</v>
      </c>
      <c r="J28">
        <v>577.20000000000005</v>
      </c>
      <c r="K28">
        <v>650.9</v>
      </c>
      <c r="L28">
        <v>678.3</v>
      </c>
      <c r="M28">
        <v>870.4</v>
      </c>
      <c r="N28">
        <v>748</v>
      </c>
      <c r="O28">
        <v>774.44</v>
      </c>
      <c r="P28">
        <v>800.96</v>
      </c>
      <c r="Q28">
        <v>819.33</v>
      </c>
      <c r="R28">
        <v>828.52</v>
      </c>
      <c r="S28">
        <v>846.08</v>
      </c>
      <c r="T28">
        <v>859.46</v>
      </c>
      <c r="U28">
        <v>864.84</v>
      </c>
    </row>
    <row r="29" spans="1:21" x14ac:dyDescent="0.25">
      <c r="A29" t="s">
        <v>3540</v>
      </c>
      <c r="H29">
        <v>134</v>
      </c>
      <c r="I29">
        <v>308.7</v>
      </c>
      <c r="J29">
        <v>418.1</v>
      </c>
      <c r="K29">
        <v>293.3</v>
      </c>
      <c r="L29">
        <v>393.4</v>
      </c>
      <c r="M29">
        <v>526</v>
      </c>
      <c r="N29">
        <v>551</v>
      </c>
      <c r="O29">
        <v>523.80999999999995</v>
      </c>
      <c r="P29">
        <v>568.03</v>
      </c>
      <c r="Q29">
        <v>579.16999999999996</v>
      </c>
      <c r="R29">
        <v>565.4</v>
      </c>
      <c r="S29">
        <v>546.73</v>
      </c>
      <c r="T29">
        <v>523.83000000000004</v>
      </c>
      <c r="U29">
        <v>502.64</v>
      </c>
    </row>
    <row r="30" spans="1:21" x14ac:dyDescent="0.25">
      <c r="A30" t="s">
        <v>3541</v>
      </c>
      <c r="I30">
        <v>36.6</v>
      </c>
      <c r="J30">
        <v>114.7</v>
      </c>
      <c r="K30">
        <v>191.9</v>
      </c>
      <c r="L30">
        <v>253.6</v>
      </c>
      <c r="M30">
        <v>364.3</v>
      </c>
      <c r="N30">
        <v>456</v>
      </c>
      <c r="O30">
        <v>563.26</v>
      </c>
      <c r="P30">
        <v>634.66</v>
      </c>
      <c r="Q30">
        <v>671.58</v>
      </c>
      <c r="R30">
        <v>707.97</v>
      </c>
      <c r="S30">
        <v>743.41</v>
      </c>
      <c r="T30">
        <v>777.21</v>
      </c>
      <c r="U30">
        <v>806.65</v>
      </c>
    </row>
    <row r="31" spans="1:21" x14ac:dyDescent="0.25">
      <c r="A31" t="s">
        <v>3542</v>
      </c>
      <c r="B31" s="2">
        <v>2703</v>
      </c>
      <c r="C31" s="2">
        <v>2792</v>
      </c>
      <c r="D31" s="2">
        <v>2493.1</v>
      </c>
      <c r="E31" s="2">
        <v>2283.3000000000002</v>
      </c>
      <c r="F31" s="2">
        <v>2062.5</v>
      </c>
      <c r="G31" s="2">
        <v>2132.9</v>
      </c>
      <c r="H31" s="2">
        <v>2115.8000000000002</v>
      </c>
      <c r="I31" s="2">
        <v>2329.9</v>
      </c>
      <c r="J31" s="2">
        <v>2061.4</v>
      </c>
      <c r="K31">
        <v>927.7</v>
      </c>
      <c r="L31">
        <v>217.5</v>
      </c>
      <c r="M31">
        <v>190.3</v>
      </c>
      <c r="N31">
        <v>114</v>
      </c>
      <c r="O31">
        <v>88.28</v>
      </c>
      <c r="P31">
        <v>79.180000000000007</v>
      </c>
      <c r="Q31">
        <v>72.290000000000006</v>
      </c>
      <c r="R31">
        <v>66.59</v>
      </c>
      <c r="S31">
        <v>62.11</v>
      </c>
      <c r="T31">
        <v>58.05</v>
      </c>
      <c r="U31">
        <v>54.22</v>
      </c>
    </row>
    <row r="32" spans="1:21" x14ac:dyDescent="0.25">
      <c r="A32" t="s">
        <v>17</v>
      </c>
    </row>
    <row r="33" spans="1:21" x14ac:dyDescent="0.25">
      <c r="A33" t="s">
        <v>258</v>
      </c>
    </row>
    <row r="34" spans="1:21" x14ac:dyDescent="0.25">
      <c r="A34" t="s">
        <v>3543</v>
      </c>
    </row>
    <row r="35" spans="1:21" x14ac:dyDescent="0.25">
      <c r="A35" t="s">
        <v>3544</v>
      </c>
      <c r="B35" s="2">
        <v>7304.4</v>
      </c>
      <c r="C35" s="2">
        <v>6939</v>
      </c>
      <c r="D35" s="2">
        <v>7036.8</v>
      </c>
      <c r="E35" s="2">
        <v>8082.8</v>
      </c>
      <c r="F35" s="2">
        <v>10085.299999999999</v>
      </c>
      <c r="G35" s="2">
        <v>9819.6</v>
      </c>
      <c r="H35" s="2">
        <v>11132</v>
      </c>
      <c r="I35" s="2">
        <v>11834.5</v>
      </c>
      <c r="J35" s="2">
        <v>13188.1</v>
      </c>
      <c r="K35" s="2">
        <v>14464.9</v>
      </c>
      <c r="L35" s="2">
        <v>19667.5</v>
      </c>
      <c r="M35" s="2">
        <v>29520.799999999999</v>
      </c>
      <c r="N35" s="2">
        <v>48221</v>
      </c>
      <c r="O35" s="2">
        <v>70199.100000000006</v>
      </c>
      <c r="P35" s="2">
        <v>82656.3</v>
      </c>
      <c r="Q35" s="2">
        <v>92277.77</v>
      </c>
      <c r="R35" s="2">
        <v>98308.23</v>
      </c>
      <c r="S35" s="2">
        <v>102805.49</v>
      </c>
      <c r="T35" s="2">
        <v>106684.06</v>
      </c>
      <c r="U35" s="2">
        <v>108335.73</v>
      </c>
    </row>
    <row r="36" spans="1:21" x14ac:dyDescent="0.25">
      <c r="A36" t="s">
        <v>3545</v>
      </c>
      <c r="K36">
        <v>482.5</v>
      </c>
      <c r="L36" s="2">
        <v>5163.1000000000004</v>
      </c>
      <c r="M36" s="2">
        <v>11540.1</v>
      </c>
      <c r="N36" s="2">
        <v>22965</v>
      </c>
      <c r="O36" s="2">
        <v>38668.04</v>
      </c>
      <c r="P36" s="2">
        <v>45333.54</v>
      </c>
      <c r="Q36" s="2">
        <v>49125.75</v>
      </c>
      <c r="R36" s="2">
        <v>51301.01</v>
      </c>
      <c r="S36" s="2">
        <v>51847.11</v>
      </c>
      <c r="T36" s="2">
        <v>52018.42</v>
      </c>
      <c r="U36" s="2">
        <v>51416.97</v>
      </c>
    </row>
    <row r="37" spans="1:21" x14ac:dyDescent="0.25">
      <c r="A37" t="s">
        <v>3546</v>
      </c>
      <c r="K37">
        <v>366.6</v>
      </c>
      <c r="L37" s="2">
        <v>4834.2</v>
      </c>
      <c r="M37" s="2">
        <v>8949.9</v>
      </c>
      <c r="N37" s="2">
        <v>13651</v>
      </c>
      <c r="O37" s="2">
        <v>18691.52</v>
      </c>
      <c r="P37" s="2">
        <v>21214.42</v>
      </c>
      <c r="Q37" s="2">
        <v>22448.62</v>
      </c>
      <c r="R37" s="2">
        <v>23017.61</v>
      </c>
      <c r="S37" s="2">
        <v>22948.29</v>
      </c>
      <c r="T37" s="2">
        <v>22973.64</v>
      </c>
      <c r="U37" s="2">
        <v>22664.9</v>
      </c>
    </row>
    <row r="38" spans="1:21" x14ac:dyDescent="0.25">
      <c r="A38" t="s">
        <v>3547</v>
      </c>
      <c r="P38">
        <v>155.04</v>
      </c>
      <c r="Q38">
        <v>424.73</v>
      </c>
      <c r="R38">
        <v>672.84</v>
      </c>
      <c r="S38">
        <v>909.46</v>
      </c>
      <c r="T38" s="2">
        <v>1010.59</v>
      </c>
      <c r="U38" s="2">
        <v>1196.78</v>
      </c>
    </row>
    <row r="39" spans="1:21" x14ac:dyDescent="0.25">
      <c r="A39" t="s">
        <v>3548</v>
      </c>
      <c r="K39">
        <v>115.9</v>
      </c>
      <c r="L39">
        <v>328.9</v>
      </c>
      <c r="M39" s="2">
        <v>2590.1999999999998</v>
      </c>
      <c r="N39" s="2">
        <v>9315</v>
      </c>
      <c r="O39" s="2">
        <v>20010.759999999998</v>
      </c>
      <c r="P39" s="2">
        <v>24155.8</v>
      </c>
      <c r="Q39" s="2">
        <v>26723.7</v>
      </c>
      <c r="R39" s="2">
        <v>28339.56</v>
      </c>
      <c r="S39" s="2">
        <v>28964.28</v>
      </c>
      <c r="T39" s="2">
        <v>29118.74</v>
      </c>
      <c r="U39" s="2">
        <v>28830.9</v>
      </c>
    </row>
    <row r="40" spans="1:21" x14ac:dyDescent="0.25">
      <c r="A40" t="s">
        <v>3547</v>
      </c>
      <c r="Q40">
        <v>128.37</v>
      </c>
      <c r="R40">
        <v>362.86</v>
      </c>
      <c r="S40">
        <v>597.63</v>
      </c>
      <c r="T40">
        <v>831.79</v>
      </c>
      <c r="U40">
        <v>958.92</v>
      </c>
    </row>
    <row r="41" spans="1:21" x14ac:dyDescent="0.25">
      <c r="A41" t="s">
        <v>3549</v>
      </c>
      <c r="C41">
        <v>10.199999999999999</v>
      </c>
      <c r="D41">
        <v>248.7</v>
      </c>
      <c r="E41">
        <v>925.5</v>
      </c>
      <c r="F41" s="2">
        <v>2029.8</v>
      </c>
      <c r="G41" s="2">
        <v>3199.1</v>
      </c>
      <c r="H41" s="2">
        <v>4127.8</v>
      </c>
      <c r="I41" s="2">
        <v>5068.1000000000004</v>
      </c>
      <c r="J41" s="2">
        <v>6471.9</v>
      </c>
      <c r="K41" s="2">
        <v>7439.7</v>
      </c>
      <c r="L41" s="2">
        <v>7132.6</v>
      </c>
      <c r="M41" s="2">
        <v>5253.5</v>
      </c>
      <c r="N41" s="2">
        <v>4276</v>
      </c>
      <c r="O41" s="2">
        <v>3722.75</v>
      </c>
      <c r="P41" s="2">
        <v>2733.88</v>
      </c>
      <c r="Q41" s="2">
        <v>1910.11</v>
      </c>
      <c r="R41" s="2">
        <v>1297.21</v>
      </c>
      <c r="S41">
        <v>932.17</v>
      </c>
      <c r="T41">
        <v>743.35</v>
      </c>
      <c r="U41">
        <v>554.80999999999995</v>
      </c>
    </row>
    <row r="42" spans="1:21" x14ac:dyDescent="0.25">
      <c r="A42" t="s">
        <v>3546</v>
      </c>
      <c r="C42">
        <v>10.199999999999999</v>
      </c>
      <c r="D42">
        <v>207.7</v>
      </c>
      <c r="E42">
        <v>737.6</v>
      </c>
      <c r="F42" s="2">
        <v>1609.8</v>
      </c>
      <c r="G42" s="2">
        <v>2515.8000000000002</v>
      </c>
      <c r="H42" s="2">
        <v>3155.2</v>
      </c>
      <c r="I42" s="2">
        <v>3835.9</v>
      </c>
      <c r="J42" s="2">
        <v>4914.3999999999996</v>
      </c>
      <c r="K42" s="2">
        <v>5688.8</v>
      </c>
      <c r="L42" s="2">
        <v>5433.3</v>
      </c>
      <c r="M42" s="2">
        <v>3693.8</v>
      </c>
      <c r="N42" s="2">
        <v>2914</v>
      </c>
      <c r="O42" s="2">
        <v>2517.64</v>
      </c>
      <c r="P42" s="2">
        <v>1770.24</v>
      </c>
      <c r="Q42" s="2">
        <v>1158.8900000000001</v>
      </c>
      <c r="R42">
        <v>714.79</v>
      </c>
      <c r="S42">
        <v>526.39</v>
      </c>
      <c r="T42">
        <v>399.02</v>
      </c>
      <c r="U42">
        <v>280.69</v>
      </c>
    </row>
    <row r="43" spans="1:21" x14ac:dyDescent="0.25">
      <c r="A43" t="s">
        <v>3548</v>
      </c>
      <c r="C43">
        <v>1.1000000000000001</v>
      </c>
      <c r="D43">
        <v>41</v>
      </c>
      <c r="E43">
        <v>187.9</v>
      </c>
      <c r="F43">
        <v>419.9</v>
      </c>
      <c r="G43">
        <v>683.3</v>
      </c>
      <c r="H43">
        <v>972.7</v>
      </c>
      <c r="I43" s="2">
        <v>1232.2</v>
      </c>
      <c r="J43" s="2">
        <v>1557.6</v>
      </c>
      <c r="K43" s="2">
        <v>1750.9</v>
      </c>
      <c r="L43" s="2">
        <v>1699.2</v>
      </c>
      <c r="M43" s="2">
        <v>1559.7</v>
      </c>
      <c r="N43" s="2">
        <v>1362</v>
      </c>
      <c r="O43" s="2">
        <v>1195.8399999999999</v>
      </c>
      <c r="P43">
        <v>954.95</v>
      </c>
      <c r="Q43">
        <v>748.82</v>
      </c>
      <c r="R43">
        <v>569.63</v>
      </c>
      <c r="S43">
        <v>417.12</v>
      </c>
      <c r="T43">
        <v>321.57</v>
      </c>
      <c r="U43">
        <v>254.32</v>
      </c>
    </row>
    <row r="44" spans="1:21" x14ac:dyDescent="0.25">
      <c r="A44" t="s">
        <v>3550</v>
      </c>
      <c r="L44">
        <v>175.8</v>
      </c>
      <c r="M44" s="2">
        <v>4925.7</v>
      </c>
      <c r="N44" s="2">
        <v>13542</v>
      </c>
      <c r="O44" s="2">
        <v>19461.16</v>
      </c>
      <c r="P44" s="2">
        <v>23607.37</v>
      </c>
      <c r="Q44" s="2">
        <v>26030.09</v>
      </c>
      <c r="R44" s="2">
        <v>26917.52</v>
      </c>
      <c r="S44" s="2">
        <v>27017.88</v>
      </c>
      <c r="T44" s="2">
        <v>26658.21</v>
      </c>
      <c r="U44" s="2">
        <v>26054.14</v>
      </c>
    </row>
    <row r="45" spans="1:21" x14ac:dyDescent="0.25">
      <c r="A45" t="s">
        <v>3546</v>
      </c>
      <c r="L45">
        <v>175.8</v>
      </c>
      <c r="M45" s="2">
        <v>4925.7</v>
      </c>
      <c r="N45" s="2">
        <v>13484</v>
      </c>
      <c r="O45" s="2">
        <v>19491.84</v>
      </c>
      <c r="P45" s="2">
        <v>23632.35</v>
      </c>
      <c r="Q45" s="2">
        <v>26052.67</v>
      </c>
      <c r="R45" s="2">
        <v>26782.61</v>
      </c>
      <c r="S45" s="2">
        <v>27579.02</v>
      </c>
      <c r="T45" s="2">
        <v>27360.49</v>
      </c>
      <c r="U45" s="2">
        <v>26727.57</v>
      </c>
    </row>
    <row r="46" spans="1:21" x14ac:dyDescent="0.25">
      <c r="A46" t="s">
        <v>3551</v>
      </c>
      <c r="Q46">
        <v>130.82</v>
      </c>
      <c r="R46">
        <v>387.73</v>
      </c>
      <c r="S46">
        <v>509.27</v>
      </c>
      <c r="T46">
        <v>713.64</v>
      </c>
      <c r="U46">
        <v>886.69</v>
      </c>
    </row>
    <row r="47" spans="1:21" x14ac:dyDescent="0.25">
      <c r="A47" t="s">
        <v>3552</v>
      </c>
      <c r="L47">
        <v>0</v>
      </c>
      <c r="M47">
        <v>0</v>
      </c>
      <c r="N47">
        <v>58</v>
      </c>
      <c r="O47">
        <v>188.78</v>
      </c>
      <c r="P47">
        <v>261.13</v>
      </c>
      <c r="Q47">
        <v>304.73</v>
      </c>
      <c r="R47">
        <v>347.07</v>
      </c>
      <c r="S47">
        <v>408.81</v>
      </c>
      <c r="T47">
        <v>443.28</v>
      </c>
      <c r="U47">
        <v>467.9</v>
      </c>
    </row>
    <row r="48" spans="1:21" x14ac:dyDescent="0.25">
      <c r="A48" t="s">
        <v>3551</v>
      </c>
      <c r="Q48">
        <v>203.19</v>
      </c>
      <c r="R48">
        <v>404.62</v>
      </c>
      <c r="S48">
        <v>603.30999999999995</v>
      </c>
      <c r="T48">
        <v>798.2</v>
      </c>
      <c r="U48">
        <v>969.51</v>
      </c>
    </row>
    <row r="49" spans="1:21" x14ac:dyDescent="0.25">
      <c r="A49" t="s">
        <v>3553</v>
      </c>
      <c r="O49">
        <v>738.97</v>
      </c>
      <c r="P49" s="2">
        <v>4091.02</v>
      </c>
      <c r="Q49" s="2">
        <v>8617.7199999999993</v>
      </c>
      <c r="R49" s="2">
        <v>12498.37</v>
      </c>
      <c r="S49" s="2">
        <v>15491.37</v>
      </c>
      <c r="T49" s="2">
        <v>18388.62</v>
      </c>
      <c r="U49" s="2">
        <v>20489.740000000002</v>
      </c>
    </row>
    <row r="50" spans="1:21" x14ac:dyDescent="0.25">
      <c r="A50" t="s">
        <v>3546</v>
      </c>
      <c r="O50">
        <v>582.35</v>
      </c>
      <c r="P50" s="2">
        <v>2787.32</v>
      </c>
      <c r="Q50" s="2">
        <v>5943.33</v>
      </c>
      <c r="R50" s="2">
        <v>8275.31</v>
      </c>
      <c r="S50" s="2">
        <v>10657.94</v>
      </c>
      <c r="T50" s="2">
        <v>11610.67</v>
      </c>
      <c r="U50" s="2">
        <v>12681.54</v>
      </c>
    </row>
    <row r="51" spans="1:21" x14ac:dyDescent="0.25">
      <c r="A51" t="s">
        <v>3554</v>
      </c>
      <c r="O51">
        <v>696.59</v>
      </c>
      <c r="P51" s="2">
        <v>1472.38</v>
      </c>
      <c r="Q51" s="2">
        <v>3322.73</v>
      </c>
      <c r="R51" s="2">
        <v>4781.42</v>
      </c>
      <c r="S51" s="2">
        <v>6505.2</v>
      </c>
      <c r="T51" s="2">
        <v>5902.71</v>
      </c>
      <c r="U51" s="2">
        <v>6034.16</v>
      </c>
    </row>
    <row r="52" spans="1:21" x14ac:dyDescent="0.25">
      <c r="A52" t="s">
        <v>3555</v>
      </c>
      <c r="O52">
        <v>623.73</v>
      </c>
      <c r="P52" s="2">
        <v>2496.6</v>
      </c>
      <c r="Q52" s="2">
        <v>4578.22</v>
      </c>
      <c r="R52" s="2">
        <v>6517.09</v>
      </c>
      <c r="S52" s="2">
        <v>7786.47</v>
      </c>
      <c r="T52" s="2">
        <v>7733.99</v>
      </c>
      <c r="U52" s="2">
        <v>7934.13</v>
      </c>
    </row>
    <row r="53" spans="1:21" x14ac:dyDescent="0.25">
      <c r="A53" t="s">
        <v>3548</v>
      </c>
      <c r="O53">
        <v>325.86</v>
      </c>
      <c r="P53" s="2">
        <v>1861.25</v>
      </c>
      <c r="Q53" s="2">
        <v>4304.75</v>
      </c>
      <c r="R53" s="2">
        <v>6707.28</v>
      </c>
      <c r="S53" s="2">
        <v>9517.31</v>
      </c>
      <c r="T53" s="2">
        <v>10844.41</v>
      </c>
      <c r="U53" s="2">
        <v>12371.68</v>
      </c>
    </row>
    <row r="54" spans="1:21" x14ac:dyDescent="0.25">
      <c r="A54" t="s">
        <v>3554</v>
      </c>
      <c r="Q54">
        <v>154.78</v>
      </c>
      <c r="R54">
        <v>479.91</v>
      </c>
      <c r="S54">
        <v>676.83</v>
      </c>
      <c r="T54" s="2">
        <v>1068.8599999999999</v>
      </c>
      <c r="U54" s="2">
        <v>1183.26</v>
      </c>
    </row>
    <row r="55" spans="1:21" x14ac:dyDescent="0.25">
      <c r="A55" t="s">
        <v>3555</v>
      </c>
      <c r="O55">
        <v>158.5</v>
      </c>
      <c r="P55">
        <v>835.31</v>
      </c>
      <c r="Q55" s="2">
        <v>1961.63</v>
      </c>
      <c r="R55" s="2">
        <v>3133.87</v>
      </c>
      <c r="S55" s="2">
        <v>4127.7700000000004</v>
      </c>
      <c r="T55" s="2">
        <v>4949.4399999999996</v>
      </c>
      <c r="U55" s="2">
        <v>5639.47</v>
      </c>
    </row>
    <row r="56" spans="1:21" x14ac:dyDescent="0.25">
      <c r="A56" t="s">
        <v>3556</v>
      </c>
      <c r="C56">
        <v>10.1</v>
      </c>
      <c r="D56">
        <v>60.2</v>
      </c>
      <c r="E56">
        <v>201.9</v>
      </c>
      <c r="F56">
        <v>447.5</v>
      </c>
      <c r="G56">
        <v>658.3</v>
      </c>
      <c r="H56">
        <v>944.2</v>
      </c>
      <c r="I56" s="2">
        <v>1153.8</v>
      </c>
      <c r="J56" s="2">
        <v>1490.8</v>
      </c>
      <c r="K56" s="2">
        <v>2066</v>
      </c>
      <c r="L56" s="2">
        <v>2744.7</v>
      </c>
      <c r="M56" s="2">
        <v>3340.9</v>
      </c>
      <c r="N56" s="2">
        <v>3432</v>
      </c>
      <c r="O56" s="2">
        <v>3934</v>
      </c>
      <c r="P56" s="2">
        <v>3478.37</v>
      </c>
      <c r="Q56" s="2">
        <v>2905.14</v>
      </c>
      <c r="R56" s="2">
        <v>1728.06</v>
      </c>
      <c r="S56" s="2">
        <v>1141.81</v>
      </c>
      <c r="T56">
        <v>828.16</v>
      </c>
      <c r="U56">
        <v>647.79999999999995</v>
      </c>
    </row>
    <row r="57" spans="1:21" x14ac:dyDescent="0.25">
      <c r="A57" t="s">
        <v>3546</v>
      </c>
      <c r="C57">
        <v>9</v>
      </c>
      <c r="D57">
        <v>47.8</v>
      </c>
      <c r="E57">
        <v>144.5</v>
      </c>
      <c r="F57">
        <v>290.39999999999998</v>
      </c>
      <c r="G57">
        <v>400.2</v>
      </c>
      <c r="H57">
        <v>565.9</v>
      </c>
      <c r="I57">
        <v>620.79999999999995</v>
      </c>
      <c r="J57">
        <v>807.3</v>
      </c>
      <c r="K57" s="2">
        <v>1194.5</v>
      </c>
      <c r="L57" s="2">
        <v>1600.4</v>
      </c>
      <c r="M57" s="2">
        <v>1597.5</v>
      </c>
      <c r="N57" s="2">
        <v>1582</v>
      </c>
      <c r="O57" s="2">
        <v>1966.56</v>
      </c>
      <c r="P57" s="2">
        <v>1756.52</v>
      </c>
      <c r="Q57" s="2">
        <v>1310.84</v>
      </c>
      <c r="R57">
        <v>680.1</v>
      </c>
      <c r="S57">
        <v>508.73</v>
      </c>
      <c r="T57">
        <v>494.71</v>
      </c>
      <c r="U57">
        <v>468.8</v>
      </c>
    </row>
    <row r="58" spans="1:21" x14ac:dyDescent="0.25">
      <c r="A58" t="s">
        <v>3554</v>
      </c>
    </row>
    <row r="59" spans="1:21" x14ac:dyDescent="0.25">
      <c r="A59" t="s">
        <v>3557</v>
      </c>
    </row>
    <row r="60" spans="1:21" x14ac:dyDescent="0.25">
      <c r="A60" t="s">
        <v>3548</v>
      </c>
      <c r="C60">
        <v>0</v>
      </c>
      <c r="D60">
        <v>12.4</v>
      </c>
      <c r="E60">
        <v>57.4</v>
      </c>
      <c r="F60">
        <v>157</v>
      </c>
      <c r="G60">
        <v>258.10000000000002</v>
      </c>
      <c r="H60">
        <v>378.3</v>
      </c>
      <c r="I60">
        <v>533</v>
      </c>
      <c r="J60">
        <v>683.5</v>
      </c>
      <c r="K60">
        <v>871.5</v>
      </c>
      <c r="L60" s="2">
        <v>1144.2</v>
      </c>
      <c r="M60" s="2">
        <v>1743.4</v>
      </c>
      <c r="N60" s="2">
        <v>1849</v>
      </c>
      <c r="O60" s="2">
        <v>1927.18</v>
      </c>
      <c r="P60" s="2">
        <v>1637.8</v>
      </c>
      <c r="Q60" s="2">
        <v>1529.97</v>
      </c>
      <c r="R60" s="2">
        <v>1134.98</v>
      </c>
      <c r="S60">
        <v>775.32</v>
      </c>
      <c r="T60">
        <v>541.16</v>
      </c>
      <c r="U60">
        <v>436.25</v>
      </c>
    </row>
    <row r="61" spans="1:21" x14ac:dyDescent="0.25">
      <c r="A61" t="s">
        <v>3558</v>
      </c>
      <c r="B61" s="2">
        <v>2611.1999999999998</v>
      </c>
      <c r="C61" s="2">
        <v>2785.2</v>
      </c>
      <c r="D61" s="2">
        <v>2841.9</v>
      </c>
      <c r="E61" s="2">
        <v>2768</v>
      </c>
      <c r="F61" s="2">
        <v>2865.2</v>
      </c>
      <c r="G61" s="2">
        <v>2996.5</v>
      </c>
      <c r="H61" s="2">
        <v>2820.7</v>
      </c>
      <c r="I61" s="2">
        <v>2625.9</v>
      </c>
      <c r="J61" s="2">
        <v>2453</v>
      </c>
      <c r="K61" s="2">
        <v>2060.6</v>
      </c>
      <c r="L61" s="2">
        <v>1663.3</v>
      </c>
      <c r="M61" s="2">
        <v>2324.8000000000002</v>
      </c>
      <c r="N61" s="2">
        <v>2168</v>
      </c>
      <c r="O61" s="2">
        <v>1757.95</v>
      </c>
      <c r="P61" s="2">
        <v>1587.77</v>
      </c>
      <c r="Q61" s="2">
        <v>1451.52</v>
      </c>
      <c r="R61" s="2">
        <v>1325.06</v>
      </c>
      <c r="S61" s="2">
        <v>1210.21</v>
      </c>
      <c r="T61" s="2">
        <v>1121.0899999999999</v>
      </c>
      <c r="U61" s="2">
        <v>1042.75</v>
      </c>
    </row>
    <row r="62" spans="1:21" x14ac:dyDescent="0.25">
      <c r="A62" t="s">
        <v>3546</v>
      </c>
      <c r="B62" s="2">
        <v>1521.4</v>
      </c>
      <c r="C62" s="2">
        <v>1627.6</v>
      </c>
      <c r="D62" s="2">
        <v>1772.3</v>
      </c>
      <c r="E62" s="2">
        <v>1685.2</v>
      </c>
      <c r="F62" s="2">
        <v>1717.8</v>
      </c>
      <c r="G62" s="2">
        <v>1787.8</v>
      </c>
      <c r="H62" s="2">
        <v>1669.7</v>
      </c>
      <c r="I62" s="2">
        <v>1485.6</v>
      </c>
      <c r="J62" s="2">
        <v>1320.7</v>
      </c>
      <c r="K62" s="2">
        <v>1191.9000000000001</v>
      </c>
      <c r="L62">
        <v>863.2</v>
      </c>
      <c r="M62" s="2">
        <v>1502.6</v>
      </c>
      <c r="N62" s="2">
        <v>1346</v>
      </c>
      <c r="O62">
        <v>928.94</v>
      </c>
      <c r="P62">
        <v>800.14</v>
      </c>
      <c r="Q62">
        <v>706.27</v>
      </c>
      <c r="R62">
        <v>622.28</v>
      </c>
      <c r="S62">
        <v>551.66999999999996</v>
      </c>
      <c r="T62">
        <v>500.52</v>
      </c>
      <c r="U62">
        <v>455.8</v>
      </c>
    </row>
    <row r="63" spans="1:21" x14ac:dyDescent="0.25">
      <c r="A63" t="s">
        <v>3548</v>
      </c>
      <c r="B63" s="2">
        <v>1089.8</v>
      </c>
      <c r="C63" s="2">
        <v>1157.5999999999999</v>
      </c>
      <c r="D63" s="2">
        <v>1069.5999999999999</v>
      </c>
      <c r="E63" s="2">
        <v>1083.5999999999999</v>
      </c>
      <c r="F63" s="2">
        <v>1147.4000000000001</v>
      </c>
      <c r="G63" s="2">
        <v>1208.7</v>
      </c>
      <c r="H63" s="2">
        <v>1151</v>
      </c>
      <c r="I63" s="2">
        <v>1140.3</v>
      </c>
      <c r="J63" s="2">
        <v>1132.3</v>
      </c>
      <c r="K63">
        <v>868.7</v>
      </c>
      <c r="L63">
        <v>800.2</v>
      </c>
      <c r="M63">
        <v>822.2</v>
      </c>
      <c r="N63">
        <v>822</v>
      </c>
      <c r="O63">
        <v>825.8</v>
      </c>
      <c r="P63">
        <v>781.95</v>
      </c>
      <c r="Q63">
        <v>738.29</v>
      </c>
      <c r="R63">
        <v>693.67</v>
      </c>
      <c r="S63">
        <v>647.17999999999995</v>
      </c>
      <c r="T63">
        <v>608.55999999999995</v>
      </c>
      <c r="U63">
        <v>573.82000000000005</v>
      </c>
    </row>
    <row r="64" spans="1:21" x14ac:dyDescent="0.25">
      <c r="A64" t="s">
        <v>3559</v>
      </c>
      <c r="B64" s="2">
        <v>1315.8</v>
      </c>
      <c r="C64" s="2">
        <v>1400.1</v>
      </c>
      <c r="D64" s="2">
        <v>1307.4000000000001</v>
      </c>
      <c r="E64" s="2">
        <v>1365.9</v>
      </c>
      <c r="F64" s="2">
        <v>1335.4</v>
      </c>
      <c r="G64" s="2">
        <v>1331.4</v>
      </c>
      <c r="H64" s="2">
        <v>1290.0999999999999</v>
      </c>
      <c r="I64" s="2">
        <v>1259.5999999999999</v>
      </c>
      <c r="J64" s="2">
        <v>1222.5999999999999</v>
      </c>
      <c r="K64" s="2">
        <v>1019.4</v>
      </c>
      <c r="L64">
        <v>852.1</v>
      </c>
      <c r="M64">
        <v>917.1</v>
      </c>
      <c r="N64">
        <v>705</v>
      </c>
      <c r="O64">
        <v>629.38</v>
      </c>
      <c r="P64">
        <v>571.73</v>
      </c>
      <c r="Q64">
        <v>524.37</v>
      </c>
      <c r="R64">
        <v>481.36</v>
      </c>
      <c r="S64">
        <v>442.56</v>
      </c>
      <c r="T64">
        <v>410.21</v>
      </c>
      <c r="U64">
        <v>381.75</v>
      </c>
    </row>
    <row r="65" spans="1:21" x14ac:dyDescent="0.25">
      <c r="A65" t="s">
        <v>3546</v>
      </c>
      <c r="B65">
        <v>677.2</v>
      </c>
      <c r="C65">
        <v>713.1</v>
      </c>
      <c r="D65">
        <v>764.4</v>
      </c>
      <c r="E65">
        <v>861.8</v>
      </c>
      <c r="F65">
        <v>884.6</v>
      </c>
      <c r="G65">
        <v>910.2</v>
      </c>
      <c r="H65">
        <v>879.7</v>
      </c>
      <c r="I65">
        <v>866.4</v>
      </c>
      <c r="J65">
        <v>832.9</v>
      </c>
      <c r="K65">
        <v>730.2</v>
      </c>
      <c r="L65">
        <v>610.1</v>
      </c>
      <c r="M65">
        <v>643.4</v>
      </c>
      <c r="N65">
        <v>490</v>
      </c>
      <c r="O65">
        <v>425.32</v>
      </c>
      <c r="P65">
        <v>384.95</v>
      </c>
      <c r="Q65">
        <v>350.1</v>
      </c>
      <c r="R65">
        <v>318.70999999999998</v>
      </c>
      <c r="S65">
        <v>291.08999999999997</v>
      </c>
      <c r="T65">
        <v>268.88</v>
      </c>
      <c r="U65">
        <v>250.3</v>
      </c>
    </row>
    <row r="66" spans="1:21" x14ac:dyDescent="0.25">
      <c r="A66" t="s">
        <v>3548</v>
      </c>
      <c r="B66">
        <v>638.6</v>
      </c>
      <c r="C66">
        <v>687</v>
      </c>
      <c r="D66">
        <v>543</v>
      </c>
      <c r="E66">
        <v>504.1</v>
      </c>
      <c r="F66">
        <v>450.8</v>
      </c>
      <c r="G66">
        <v>421.2</v>
      </c>
      <c r="H66">
        <v>410.4</v>
      </c>
      <c r="I66">
        <v>393.2</v>
      </c>
      <c r="J66">
        <v>389.6</v>
      </c>
      <c r="K66">
        <v>289.2</v>
      </c>
      <c r="L66">
        <v>242</v>
      </c>
      <c r="M66">
        <v>273.7</v>
      </c>
      <c r="N66">
        <v>215</v>
      </c>
      <c r="O66">
        <v>205.06</v>
      </c>
      <c r="P66">
        <v>189.45</v>
      </c>
      <c r="Q66">
        <v>177.76</v>
      </c>
      <c r="R66">
        <v>166.31</v>
      </c>
      <c r="S66">
        <v>155.53</v>
      </c>
      <c r="T66">
        <v>145.66999999999999</v>
      </c>
      <c r="U66">
        <v>136.34</v>
      </c>
    </row>
    <row r="67" spans="1:21" x14ac:dyDescent="0.25">
      <c r="A67" t="s">
        <v>3560</v>
      </c>
      <c r="D67">
        <v>11.1</v>
      </c>
      <c r="E67">
        <v>86.1</v>
      </c>
      <c r="F67">
        <v>432.1</v>
      </c>
      <c r="G67">
        <v>801.3</v>
      </c>
      <c r="H67" s="2">
        <v>1112.5999999999999</v>
      </c>
      <c r="I67" s="2">
        <v>1124.5</v>
      </c>
      <c r="J67">
        <v>892.5</v>
      </c>
      <c r="K67">
        <v>760.4</v>
      </c>
      <c r="L67">
        <v>728.3</v>
      </c>
      <c r="M67">
        <v>676.9</v>
      </c>
      <c r="N67">
        <v>626</v>
      </c>
      <c r="O67">
        <v>634.28</v>
      </c>
      <c r="P67">
        <v>596.35</v>
      </c>
      <c r="Q67">
        <v>564.47</v>
      </c>
      <c r="R67">
        <v>535.6</v>
      </c>
      <c r="S67">
        <v>509.14</v>
      </c>
      <c r="T67">
        <v>484.87</v>
      </c>
      <c r="U67">
        <v>462.07</v>
      </c>
    </row>
    <row r="68" spans="1:21" x14ac:dyDescent="0.25">
      <c r="A68" t="s">
        <v>3546</v>
      </c>
      <c r="D68">
        <v>0</v>
      </c>
      <c r="E68">
        <v>15.8</v>
      </c>
      <c r="F68">
        <v>73.5</v>
      </c>
      <c r="G68">
        <v>622.79999999999995</v>
      </c>
      <c r="H68">
        <v>876.2</v>
      </c>
      <c r="I68">
        <v>842.4</v>
      </c>
      <c r="J68">
        <v>588.29999999999995</v>
      </c>
      <c r="K68">
        <v>470.7</v>
      </c>
      <c r="L68">
        <v>443.1</v>
      </c>
      <c r="M68">
        <v>375.4</v>
      </c>
      <c r="N68">
        <v>301</v>
      </c>
      <c r="O68">
        <v>290.14999999999998</v>
      </c>
      <c r="P68">
        <v>266.57</v>
      </c>
      <c r="Q68">
        <v>245.44</v>
      </c>
      <c r="R68">
        <v>228.07</v>
      </c>
      <c r="S68">
        <v>211.99</v>
      </c>
      <c r="T68">
        <v>198.83</v>
      </c>
      <c r="U68">
        <v>186.78</v>
      </c>
    </row>
    <row r="69" spans="1:21" x14ac:dyDescent="0.25">
      <c r="A69" t="s">
        <v>3548</v>
      </c>
      <c r="D69">
        <v>11.1</v>
      </c>
      <c r="E69">
        <v>70.3</v>
      </c>
      <c r="F69">
        <v>6</v>
      </c>
      <c r="G69">
        <v>178.5</v>
      </c>
      <c r="H69">
        <v>236.3</v>
      </c>
      <c r="I69">
        <v>282.10000000000002</v>
      </c>
      <c r="J69">
        <v>304.2</v>
      </c>
      <c r="K69">
        <v>289.7</v>
      </c>
      <c r="L69">
        <v>285.2</v>
      </c>
      <c r="M69">
        <v>301.5</v>
      </c>
      <c r="N69">
        <v>325</v>
      </c>
      <c r="O69">
        <v>339.59</v>
      </c>
      <c r="P69">
        <v>331.28</v>
      </c>
      <c r="Q69">
        <v>323.63</v>
      </c>
      <c r="R69">
        <v>315.16000000000003</v>
      </c>
      <c r="S69">
        <v>306.97000000000003</v>
      </c>
      <c r="T69">
        <v>297.95999999999998</v>
      </c>
      <c r="U69">
        <v>289.22000000000003</v>
      </c>
    </row>
    <row r="70" spans="1:21" x14ac:dyDescent="0.25">
      <c r="A70" t="s">
        <v>3561</v>
      </c>
      <c r="B70">
        <v>249.2</v>
      </c>
      <c r="C70">
        <v>328.8</v>
      </c>
      <c r="D70">
        <v>356.8</v>
      </c>
      <c r="E70">
        <v>436.6</v>
      </c>
      <c r="F70">
        <v>537.9</v>
      </c>
      <c r="G70">
        <v>574.70000000000005</v>
      </c>
      <c r="H70">
        <v>590.6</v>
      </c>
      <c r="I70">
        <v>358.5</v>
      </c>
      <c r="J70">
        <v>372.5</v>
      </c>
      <c r="K70">
        <v>383.7</v>
      </c>
      <c r="L70">
        <v>386.9</v>
      </c>
      <c r="M70">
        <v>353.9</v>
      </c>
      <c r="N70">
        <v>318</v>
      </c>
      <c r="O70">
        <v>272.14999999999998</v>
      </c>
      <c r="P70">
        <v>222.05</v>
      </c>
      <c r="Q70">
        <v>189.77</v>
      </c>
      <c r="R70">
        <v>169.28</v>
      </c>
      <c r="S70">
        <v>154.71</v>
      </c>
      <c r="T70">
        <v>140.15</v>
      </c>
      <c r="U70">
        <v>129.09</v>
      </c>
    </row>
    <row r="71" spans="1:21" x14ac:dyDescent="0.25">
      <c r="A71" t="s">
        <v>3546</v>
      </c>
      <c r="B71">
        <v>118.6</v>
      </c>
      <c r="C71">
        <v>118.4</v>
      </c>
      <c r="D71">
        <v>142.6</v>
      </c>
      <c r="E71">
        <v>165.9</v>
      </c>
      <c r="F71">
        <v>213.2</v>
      </c>
      <c r="G71">
        <v>224.2</v>
      </c>
      <c r="H71">
        <v>224.8</v>
      </c>
      <c r="I71">
        <v>95.6</v>
      </c>
      <c r="J71">
        <v>82.1</v>
      </c>
      <c r="K71">
        <v>89.5</v>
      </c>
      <c r="L71">
        <v>90.1</v>
      </c>
      <c r="M71">
        <v>62.6</v>
      </c>
      <c r="N71">
        <v>24</v>
      </c>
      <c r="O71">
        <v>3.36</v>
      </c>
      <c r="P71">
        <v>3.87</v>
      </c>
      <c r="Q71">
        <v>2.9</v>
      </c>
      <c r="R71">
        <v>1.99</v>
      </c>
      <c r="S71">
        <v>1.92</v>
      </c>
      <c r="T71">
        <v>1.87</v>
      </c>
      <c r="U71">
        <v>1.81</v>
      </c>
    </row>
    <row r="72" spans="1:21" x14ac:dyDescent="0.25">
      <c r="A72" t="s">
        <v>3548</v>
      </c>
      <c r="B72">
        <v>130.6</v>
      </c>
      <c r="C72">
        <v>210.4</v>
      </c>
      <c r="D72">
        <v>214.2</v>
      </c>
      <c r="E72">
        <v>270.7</v>
      </c>
      <c r="F72">
        <v>324.7</v>
      </c>
      <c r="G72">
        <v>350.5</v>
      </c>
      <c r="H72">
        <v>365.8</v>
      </c>
      <c r="I72">
        <v>263</v>
      </c>
      <c r="J72">
        <v>290.39999999999998</v>
      </c>
      <c r="K72">
        <v>294.2</v>
      </c>
      <c r="L72">
        <v>296.8</v>
      </c>
      <c r="M72">
        <v>291.39999999999998</v>
      </c>
      <c r="N72">
        <v>294</v>
      </c>
      <c r="O72">
        <v>269.02999999999997</v>
      </c>
      <c r="P72">
        <v>213.2</v>
      </c>
      <c r="Q72">
        <v>178.43</v>
      </c>
      <c r="R72">
        <v>157.71</v>
      </c>
      <c r="S72">
        <v>143.36000000000001</v>
      </c>
      <c r="T72">
        <v>127.3</v>
      </c>
      <c r="U72">
        <v>116.77</v>
      </c>
    </row>
    <row r="73" spans="1:21" x14ac:dyDescent="0.25">
      <c r="A73" t="s">
        <v>3562</v>
      </c>
      <c r="B73">
        <v>142.1</v>
      </c>
      <c r="C73">
        <v>20.8</v>
      </c>
      <c r="D73">
        <v>9.1</v>
      </c>
      <c r="E73">
        <v>42.8</v>
      </c>
      <c r="F73">
        <v>29.2</v>
      </c>
      <c r="G73">
        <v>109.2</v>
      </c>
      <c r="H73">
        <v>90.8</v>
      </c>
      <c r="I73">
        <v>70.2</v>
      </c>
      <c r="J73">
        <v>121.2</v>
      </c>
      <c r="K73">
        <v>113.3</v>
      </c>
      <c r="L73">
        <v>143.1</v>
      </c>
      <c r="M73">
        <v>158.80000000000001</v>
      </c>
      <c r="N73">
        <v>189</v>
      </c>
      <c r="O73">
        <v>311.82</v>
      </c>
      <c r="P73">
        <v>313.14999999999998</v>
      </c>
      <c r="Q73">
        <v>311.24</v>
      </c>
      <c r="R73">
        <v>310.39</v>
      </c>
      <c r="S73">
        <v>310.37</v>
      </c>
      <c r="T73">
        <v>310.82</v>
      </c>
      <c r="U73">
        <v>312.07</v>
      </c>
    </row>
    <row r="74" spans="1:21" x14ac:dyDescent="0.25">
      <c r="A74" t="s">
        <v>3546</v>
      </c>
      <c r="B74">
        <v>28.8</v>
      </c>
      <c r="C74">
        <v>2.4</v>
      </c>
      <c r="D74">
        <v>0.3</v>
      </c>
      <c r="E74">
        <v>1.1000000000000001</v>
      </c>
      <c r="F74">
        <v>1.7</v>
      </c>
      <c r="G74">
        <v>2.7</v>
      </c>
      <c r="H74">
        <v>9.9</v>
      </c>
      <c r="I74">
        <v>6.1</v>
      </c>
      <c r="J74">
        <v>33.5</v>
      </c>
      <c r="K74">
        <v>68.599999999999994</v>
      </c>
      <c r="L74">
        <v>84.9</v>
      </c>
      <c r="M74">
        <v>99.5</v>
      </c>
      <c r="N74">
        <v>72</v>
      </c>
      <c r="O74">
        <v>169.95</v>
      </c>
      <c r="P74">
        <v>160.69</v>
      </c>
      <c r="Q74">
        <v>160.65</v>
      </c>
      <c r="R74">
        <v>160.99</v>
      </c>
      <c r="S74">
        <v>161.47</v>
      </c>
      <c r="T74">
        <v>162.27000000000001</v>
      </c>
      <c r="U74">
        <v>163.54</v>
      </c>
    </row>
    <row r="75" spans="1:21" x14ac:dyDescent="0.25">
      <c r="A75" t="s">
        <v>3548</v>
      </c>
      <c r="B75">
        <v>113.3</v>
      </c>
      <c r="C75">
        <v>18.399999999999999</v>
      </c>
      <c r="D75">
        <v>8.8000000000000007</v>
      </c>
      <c r="E75">
        <v>41.7</v>
      </c>
      <c r="F75">
        <v>27.6</v>
      </c>
      <c r="G75">
        <v>106.5</v>
      </c>
      <c r="H75">
        <v>80.8</v>
      </c>
      <c r="I75">
        <v>64</v>
      </c>
      <c r="J75">
        <v>87.7</v>
      </c>
      <c r="K75">
        <v>44.7</v>
      </c>
      <c r="L75">
        <v>58.4</v>
      </c>
      <c r="M75">
        <v>88.5</v>
      </c>
      <c r="N75">
        <v>117</v>
      </c>
      <c r="O75">
        <v>119.94</v>
      </c>
      <c r="P75">
        <v>118.09</v>
      </c>
      <c r="Q75">
        <v>116.53</v>
      </c>
      <c r="R75">
        <v>115.82</v>
      </c>
      <c r="S75">
        <v>115.96</v>
      </c>
      <c r="T75">
        <v>116.29</v>
      </c>
      <c r="U75">
        <v>117.05</v>
      </c>
    </row>
    <row r="76" spans="1:21" x14ac:dyDescent="0.25">
      <c r="A76" t="s">
        <v>3563</v>
      </c>
      <c r="B76" s="2">
        <v>3268.5</v>
      </c>
      <c r="C76" s="2">
        <v>3393</v>
      </c>
      <c r="D76" s="2">
        <v>3509.8</v>
      </c>
      <c r="E76" s="2">
        <v>3721.8</v>
      </c>
      <c r="F76" s="2">
        <v>3811.9</v>
      </c>
      <c r="G76" s="2">
        <v>4260.5</v>
      </c>
      <c r="H76" s="2">
        <v>4614.3999999999996</v>
      </c>
      <c r="I76" s="2">
        <v>5319.3</v>
      </c>
      <c r="J76" s="2">
        <v>5741.4</v>
      </c>
      <c r="K76" s="2">
        <v>5666.1</v>
      </c>
      <c r="L76" s="2">
        <v>6658.3</v>
      </c>
      <c r="M76" s="2">
        <v>8752.5</v>
      </c>
      <c r="N76" s="2">
        <v>9376</v>
      </c>
      <c r="O76" s="2">
        <v>10072.35</v>
      </c>
      <c r="P76" s="2">
        <v>10574.94</v>
      </c>
      <c r="Q76" s="2">
        <v>10960.42</v>
      </c>
      <c r="R76" s="2">
        <v>11382.59</v>
      </c>
      <c r="S76" s="2">
        <v>11747</v>
      </c>
      <c r="T76" s="2">
        <v>11432.54</v>
      </c>
      <c r="U76" s="2">
        <v>10839.84</v>
      </c>
    </row>
    <row r="77" spans="1:21" x14ac:dyDescent="0.25">
      <c r="A77" t="s">
        <v>3564</v>
      </c>
      <c r="F77">
        <v>21</v>
      </c>
      <c r="G77">
        <v>255</v>
      </c>
      <c r="H77">
        <v>579.70000000000005</v>
      </c>
      <c r="I77">
        <v>912.7</v>
      </c>
      <c r="J77" s="2">
        <v>1349.9</v>
      </c>
      <c r="K77" s="2">
        <v>2483.5</v>
      </c>
      <c r="L77" s="2">
        <v>3863.4</v>
      </c>
      <c r="M77" s="2">
        <v>5306.6</v>
      </c>
      <c r="N77" s="2">
        <v>5723</v>
      </c>
      <c r="O77" s="2">
        <v>5892.3</v>
      </c>
      <c r="P77" s="2">
        <v>6125.85</v>
      </c>
      <c r="Q77" s="2">
        <v>6162.99</v>
      </c>
      <c r="R77" s="2">
        <v>6206.27</v>
      </c>
      <c r="S77" s="2">
        <v>6188.56</v>
      </c>
      <c r="T77" s="2">
        <v>5520.37</v>
      </c>
      <c r="U77" s="2">
        <v>4576.97</v>
      </c>
    </row>
    <row r="78" spans="1:21" x14ac:dyDescent="0.25">
      <c r="A78" t="s">
        <v>3546</v>
      </c>
      <c r="F78">
        <v>21</v>
      </c>
      <c r="G78">
        <v>248.5</v>
      </c>
      <c r="H78">
        <v>454.8</v>
      </c>
      <c r="I78">
        <v>618.20000000000005</v>
      </c>
      <c r="J78">
        <v>834.9</v>
      </c>
      <c r="K78" s="2">
        <v>1653.2</v>
      </c>
      <c r="L78" s="2">
        <v>2509</v>
      </c>
      <c r="M78" s="2">
        <v>3420.6</v>
      </c>
      <c r="N78" s="2">
        <v>3464</v>
      </c>
      <c r="O78" s="2">
        <v>3378.62</v>
      </c>
      <c r="P78" s="2">
        <v>3469.24</v>
      </c>
      <c r="Q78" s="2">
        <v>3425.56</v>
      </c>
      <c r="R78" s="2">
        <v>3416.23</v>
      </c>
      <c r="S78" s="2">
        <v>3385.67</v>
      </c>
      <c r="T78" s="2">
        <v>2820.2</v>
      </c>
      <c r="U78" s="2">
        <v>1948.07</v>
      </c>
    </row>
    <row r="79" spans="1:21" x14ac:dyDescent="0.25">
      <c r="A79" t="s">
        <v>3565</v>
      </c>
      <c r="O79" s="2">
        <v>2742.39</v>
      </c>
      <c r="P79" s="2">
        <v>2075.9499999999998</v>
      </c>
      <c r="Q79" s="2">
        <v>1980.03</v>
      </c>
      <c r="R79" s="2">
        <v>1890.41</v>
      </c>
      <c r="S79" s="2">
        <v>1804.84</v>
      </c>
      <c r="T79">
        <v>910.8</v>
      </c>
      <c r="U79">
        <v>459.62</v>
      </c>
    </row>
    <row r="80" spans="1:21" x14ac:dyDescent="0.25">
      <c r="A80" t="s">
        <v>3566</v>
      </c>
      <c r="O80" s="2">
        <v>1876.03</v>
      </c>
      <c r="P80" s="2">
        <v>1136.1199999999999</v>
      </c>
      <c r="Q80" s="2">
        <v>1083.6400000000001</v>
      </c>
      <c r="R80" s="2">
        <v>1034.6099999999999</v>
      </c>
      <c r="S80">
        <v>987.79</v>
      </c>
      <c r="T80">
        <v>498.49</v>
      </c>
      <c r="U80">
        <v>251.56</v>
      </c>
    </row>
    <row r="81" spans="1:21" x14ac:dyDescent="0.25">
      <c r="A81" t="s">
        <v>3548</v>
      </c>
      <c r="F81">
        <v>0</v>
      </c>
      <c r="G81">
        <v>6.6</v>
      </c>
      <c r="H81">
        <v>124.9</v>
      </c>
      <c r="I81">
        <v>294.39999999999998</v>
      </c>
      <c r="J81">
        <v>515</v>
      </c>
      <c r="K81">
        <v>830.3</v>
      </c>
      <c r="L81" s="2">
        <v>1354.3</v>
      </c>
      <c r="M81" s="2">
        <v>1886</v>
      </c>
      <c r="N81" s="2">
        <v>2258</v>
      </c>
      <c r="O81" s="2">
        <v>2517.35</v>
      </c>
      <c r="P81" s="2">
        <v>2679.45</v>
      </c>
      <c r="Q81" s="2">
        <v>2826.33</v>
      </c>
      <c r="R81" s="2">
        <v>2912</v>
      </c>
      <c r="S81" s="2">
        <v>2983.25</v>
      </c>
      <c r="T81" s="2">
        <v>2870.82</v>
      </c>
      <c r="U81" s="2">
        <v>2737.28</v>
      </c>
    </row>
    <row r="82" spans="1:21" x14ac:dyDescent="0.25">
      <c r="A82" t="s">
        <v>3565</v>
      </c>
      <c r="O82" s="2">
        <v>2166.25</v>
      </c>
      <c r="P82" s="2">
        <v>1961.71</v>
      </c>
      <c r="Q82" s="2">
        <v>1869.36</v>
      </c>
      <c r="R82" s="2">
        <v>1773.28</v>
      </c>
      <c r="S82" s="2">
        <v>1682.04</v>
      </c>
      <c r="T82">
        <v>837.59</v>
      </c>
      <c r="U82">
        <v>417.07</v>
      </c>
    </row>
    <row r="83" spans="1:21" x14ac:dyDescent="0.25">
      <c r="A83" t="s">
        <v>3567</v>
      </c>
      <c r="O83">
        <v>204.07</v>
      </c>
      <c r="P83">
        <v>528.29</v>
      </c>
      <c r="Q83">
        <v>499.91</v>
      </c>
      <c r="R83">
        <v>474.22</v>
      </c>
      <c r="S83">
        <v>449.82</v>
      </c>
      <c r="T83">
        <v>223.99</v>
      </c>
      <c r="U83">
        <v>111.53</v>
      </c>
    </row>
    <row r="84" spans="1:21" x14ac:dyDescent="0.25">
      <c r="A84" t="s">
        <v>3568</v>
      </c>
      <c r="C84">
        <v>75.599999999999994</v>
      </c>
      <c r="D84">
        <v>383.8</v>
      </c>
      <c r="E84">
        <v>614.1</v>
      </c>
      <c r="F84">
        <v>758.3</v>
      </c>
      <c r="G84">
        <v>821.4</v>
      </c>
      <c r="H84">
        <v>925.1</v>
      </c>
      <c r="I84" s="2">
        <v>1032.5999999999999</v>
      </c>
      <c r="J84" s="2">
        <v>1033.0999999999999</v>
      </c>
      <c r="K84">
        <v>971.4</v>
      </c>
      <c r="L84">
        <v>974.7</v>
      </c>
      <c r="M84">
        <v>973.3</v>
      </c>
      <c r="N84">
        <v>986</v>
      </c>
      <c r="O84">
        <v>892.09</v>
      </c>
      <c r="P84">
        <v>712.01</v>
      </c>
      <c r="Q84">
        <v>551.62</v>
      </c>
      <c r="R84">
        <v>419.82</v>
      </c>
      <c r="S84">
        <v>332.28</v>
      </c>
      <c r="T84">
        <v>269.29000000000002</v>
      </c>
      <c r="U84">
        <v>218.45</v>
      </c>
    </row>
    <row r="85" spans="1:21" x14ac:dyDescent="0.25">
      <c r="A85" t="s">
        <v>3546</v>
      </c>
      <c r="C85">
        <v>75.599999999999994</v>
      </c>
      <c r="D85">
        <v>277.7</v>
      </c>
      <c r="E85">
        <v>270.10000000000002</v>
      </c>
      <c r="F85">
        <v>278.8</v>
      </c>
      <c r="G85">
        <v>291.5</v>
      </c>
      <c r="H85">
        <v>335.3</v>
      </c>
      <c r="I85">
        <v>381.9</v>
      </c>
      <c r="J85">
        <v>358.1</v>
      </c>
      <c r="K85">
        <v>351.4</v>
      </c>
      <c r="L85">
        <v>402.3</v>
      </c>
      <c r="M85">
        <v>442.2</v>
      </c>
      <c r="N85">
        <v>448</v>
      </c>
      <c r="O85">
        <v>383.97</v>
      </c>
      <c r="P85">
        <v>277.37</v>
      </c>
      <c r="Q85">
        <v>204.1</v>
      </c>
      <c r="R85">
        <v>160.54</v>
      </c>
      <c r="S85">
        <v>128.24</v>
      </c>
      <c r="T85">
        <v>103.4</v>
      </c>
      <c r="U85">
        <v>84.32</v>
      </c>
    </row>
    <row r="86" spans="1:21" x14ac:dyDescent="0.25">
      <c r="A86" t="s">
        <v>3548</v>
      </c>
      <c r="C86">
        <v>0</v>
      </c>
      <c r="D86">
        <v>106.1</v>
      </c>
      <c r="E86">
        <v>344</v>
      </c>
      <c r="F86">
        <v>479.6</v>
      </c>
      <c r="G86">
        <v>529.9</v>
      </c>
      <c r="H86">
        <v>589.9</v>
      </c>
      <c r="I86">
        <v>650.79999999999995</v>
      </c>
      <c r="J86">
        <v>674.8</v>
      </c>
      <c r="K86">
        <v>620</v>
      </c>
      <c r="L86">
        <v>572.4</v>
      </c>
      <c r="M86">
        <v>531</v>
      </c>
      <c r="N86">
        <v>538</v>
      </c>
      <c r="O86">
        <v>507.01</v>
      </c>
      <c r="P86">
        <v>432.56</v>
      </c>
      <c r="Q86">
        <v>346.91</v>
      </c>
      <c r="R86">
        <v>248.31</v>
      </c>
      <c r="S86">
        <v>205.57</v>
      </c>
      <c r="T86">
        <v>163.69999999999999</v>
      </c>
      <c r="U86">
        <v>130.55000000000001</v>
      </c>
    </row>
    <row r="87" spans="1:21" x14ac:dyDescent="0.25">
      <c r="A87" t="s">
        <v>3569</v>
      </c>
      <c r="D87">
        <v>485</v>
      </c>
      <c r="E87">
        <v>687</v>
      </c>
      <c r="F87">
        <v>645.9</v>
      </c>
      <c r="G87">
        <v>635.29999999999995</v>
      </c>
      <c r="H87">
        <v>543.4</v>
      </c>
      <c r="I87">
        <v>536.4</v>
      </c>
      <c r="J87">
        <v>548.29999999999995</v>
      </c>
      <c r="K87">
        <v>566.5</v>
      </c>
      <c r="L87">
        <v>596.5</v>
      </c>
      <c r="M87">
        <v>627.4</v>
      </c>
      <c r="N87">
        <v>727</v>
      </c>
      <c r="O87">
        <v>766.37</v>
      </c>
      <c r="P87">
        <v>721.77</v>
      </c>
      <c r="Q87">
        <v>682.83</v>
      </c>
      <c r="R87">
        <v>640.13</v>
      </c>
      <c r="S87">
        <v>580.54999999999995</v>
      </c>
      <c r="T87">
        <v>543.42999999999995</v>
      </c>
      <c r="U87">
        <v>508.15</v>
      </c>
    </row>
    <row r="88" spans="1:21" x14ac:dyDescent="0.25">
      <c r="A88" t="s">
        <v>3546</v>
      </c>
      <c r="B88">
        <v>221.1</v>
      </c>
      <c r="C88">
        <v>219.5</v>
      </c>
      <c r="D88">
        <v>386.7</v>
      </c>
      <c r="E88">
        <v>581.1</v>
      </c>
      <c r="F88">
        <v>541.70000000000005</v>
      </c>
      <c r="G88">
        <v>531.6</v>
      </c>
      <c r="H88">
        <v>487.9</v>
      </c>
      <c r="I88">
        <v>480.1</v>
      </c>
      <c r="J88">
        <v>481.8</v>
      </c>
      <c r="K88">
        <v>500.1</v>
      </c>
      <c r="L88">
        <v>528.9</v>
      </c>
      <c r="M88">
        <v>562.1</v>
      </c>
      <c r="N88">
        <v>659</v>
      </c>
      <c r="O88">
        <v>686.03</v>
      </c>
      <c r="P88">
        <v>648.16999999999996</v>
      </c>
      <c r="Q88">
        <v>613.28</v>
      </c>
      <c r="R88">
        <v>573.85</v>
      </c>
      <c r="S88">
        <v>555.37</v>
      </c>
      <c r="T88">
        <v>518.34</v>
      </c>
      <c r="U88">
        <v>483.05</v>
      </c>
    </row>
    <row r="89" spans="1:21" x14ac:dyDescent="0.25">
      <c r="A89" t="s">
        <v>3548</v>
      </c>
      <c r="C89">
        <v>107.7</v>
      </c>
      <c r="D89">
        <v>98.3</v>
      </c>
      <c r="E89">
        <v>105.9</v>
      </c>
      <c r="F89">
        <v>104.2</v>
      </c>
      <c r="G89">
        <v>103.8</v>
      </c>
      <c r="H89">
        <v>55.4</v>
      </c>
      <c r="I89">
        <v>56.3</v>
      </c>
      <c r="J89">
        <v>66.400000000000006</v>
      </c>
      <c r="K89">
        <v>66.400000000000006</v>
      </c>
      <c r="L89">
        <v>67.5</v>
      </c>
      <c r="M89">
        <v>65.3</v>
      </c>
      <c r="N89">
        <v>68</v>
      </c>
      <c r="O89">
        <v>73.790000000000006</v>
      </c>
      <c r="P89">
        <v>68.09</v>
      </c>
      <c r="Q89">
        <v>65.13</v>
      </c>
      <c r="R89">
        <v>62.42</v>
      </c>
      <c r="S89">
        <v>60.12</v>
      </c>
      <c r="T89">
        <v>57.87</v>
      </c>
      <c r="U89">
        <v>55.76</v>
      </c>
    </row>
    <row r="90" spans="1:21" x14ac:dyDescent="0.25">
      <c r="A90" t="s">
        <v>3570</v>
      </c>
      <c r="B90" s="2">
        <v>2703</v>
      </c>
      <c r="C90" s="2">
        <v>2792</v>
      </c>
      <c r="D90" s="2">
        <v>2493.1</v>
      </c>
      <c r="E90" s="2">
        <v>2283.3000000000002</v>
      </c>
      <c r="F90" s="2">
        <v>2062.5</v>
      </c>
      <c r="G90" s="2">
        <v>2132.9</v>
      </c>
      <c r="H90" s="2">
        <v>2115.8000000000002</v>
      </c>
      <c r="I90" s="2">
        <v>2329.9</v>
      </c>
      <c r="J90" s="2">
        <v>2061.4</v>
      </c>
      <c r="K90">
        <v>927.7</v>
      </c>
      <c r="L90">
        <v>217.5</v>
      </c>
      <c r="M90">
        <v>190.3</v>
      </c>
      <c r="N90">
        <v>114</v>
      </c>
      <c r="O90">
        <v>88.28</v>
      </c>
      <c r="P90">
        <v>79.180000000000007</v>
      </c>
      <c r="Q90">
        <v>72.290000000000006</v>
      </c>
      <c r="R90">
        <v>66.59</v>
      </c>
      <c r="S90">
        <v>62.11</v>
      </c>
      <c r="T90">
        <v>58.05</v>
      </c>
      <c r="U90">
        <v>54.22</v>
      </c>
    </row>
    <row r="91" spans="1:21" x14ac:dyDescent="0.25">
      <c r="A91" t="s">
        <v>3546</v>
      </c>
      <c r="B91" s="2">
        <v>1209.0999999999999</v>
      </c>
      <c r="C91" s="2">
        <v>1229.5</v>
      </c>
      <c r="D91" s="2">
        <v>1162.4000000000001</v>
      </c>
      <c r="E91" s="2">
        <v>1101</v>
      </c>
      <c r="F91" s="2">
        <v>1034.3</v>
      </c>
      <c r="G91" s="2">
        <v>1131</v>
      </c>
      <c r="H91" s="2">
        <v>1219.5</v>
      </c>
      <c r="I91" s="2">
        <v>1265.3</v>
      </c>
      <c r="J91" s="2">
        <v>1233.9000000000001</v>
      </c>
      <c r="K91">
        <v>543.70000000000005</v>
      </c>
      <c r="L91">
        <v>72.900000000000006</v>
      </c>
      <c r="M91">
        <v>49.6</v>
      </c>
      <c r="N91">
        <v>35</v>
      </c>
      <c r="O91">
        <v>27.1</v>
      </c>
      <c r="P91">
        <v>23.08</v>
      </c>
      <c r="Q91">
        <v>21.16</v>
      </c>
      <c r="R91">
        <v>19.57</v>
      </c>
      <c r="S91">
        <v>18.61</v>
      </c>
      <c r="T91">
        <v>17.739999999999998</v>
      </c>
      <c r="U91">
        <v>16.940000000000001</v>
      </c>
    </row>
    <row r="92" spans="1:21" x14ac:dyDescent="0.25">
      <c r="A92" t="s">
        <v>3548</v>
      </c>
      <c r="B92" s="2">
        <v>1493.9</v>
      </c>
      <c r="C92" s="2">
        <v>1562.5</v>
      </c>
      <c r="D92" s="2">
        <v>1330.7</v>
      </c>
      <c r="E92" s="2">
        <v>1182.3</v>
      </c>
      <c r="F92" s="2">
        <v>1028.2</v>
      </c>
      <c r="G92" s="2">
        <v>1001.9</v>
      </c>
      <c r="H92">
        <v>896.4</v>
      </c>
      <c r="I92" s="2">
        <v>1064.7</v>
      </c>
      <c r="J92">
        <v>827.5</v>
      </c>
      <c r="K92">
        <v>384</v>
      </c>
      <c r="L92">
        <v>144.6</v>
      </c>
      <c r="M92">
        <v>140.69999999999999</v>
      </c>
      <c r="N92">
        <v>80</v>
      </c>
      <c r="O92">
        <v>64.52</v>
      </c>
      <c r="P92">
        <v>57.66</v>
      </c>
      <c r="Q92">
        <v>52.67</v>
      </c>
      <c r="R92">
        <v>48.72</v>
      </c>
      <c r="S92">
        <v>45.59</v>
      </c>
      <c r="T92">
        <v>42.81</v>
      </c>
      <c r="U92">
        <v>40.19</v>
      </c>
    </row>
    <row r="93" spans="1:21" x14ac:dyDescent="0.25">
      <c r="A93" t="s">
        <v>3571</v>
      </c>
      <c r="H93">
        <v>134</v>
      </c>
      <c r="I93">
        <v>308.7</v>
      </c>
      <c r="J93">
        <v>418.1</v>
      </c>
      <c r="K93">
        <v>293.3</v>
      </c>
      <c r="L93">
        <v>393.4</v>
      </c>
      <c r="M93">
        <v>526</v>
      </c>
      <c r="N93">
        <v>551</v>
      </c>
      <c r="O93">
        <v>523.80999999999995</v>
      </c>
      <c r="P93">
        <v>568.03</v>
      </c>
      <c r="Q93">
        <v>579.16999999999996</v>
      </c>
      <c r="R93">
        <v>565.4</v>
      </c>
      <c r="S93">
        <v>546.73</v>
      </c>
      <c r="T93">
        <v>523.83000000000004</v>
      </c>
      <c r="U93">
        <v>502.64</v>
      </c>
    </row>
    <row r="94" spans="1:21" x14ac:dyDescent="0.25">
      <c r="A94" t="s">
        <v>3572</v>
      </c>
      <c r="K94">
        <v>91</v>
      </c>
      <c r="L94">
        <v>103.6</v>
      </c>
      <c r="M94">
        <v>111.4</v>
      </c>
      <c r="N94">
        <v>95</v>
      </c>
      <c r="O94">
        <v>112.68</v>
      </c>
      <c r="P94">
        <v>120.4</v>
      </c>
      <c r="Q94">
        <v>127.31</v>
      </c>
      <c r="R94">
        <v>134.97999999999999</v>
      </c>
      <c r="S94">
        <v>142.28</v>
      </c>
      <c r="T94">
        <v>149.22</v>
      </c>
      <c r="U94">
        <v>156.21</v>
      </c>
    </row>
    <row r="95" spans="1:21" x14ac:dyDescent="0.25">
      <c r="A95" t="s">
        <v>3573</v>
      </c>
      <c r="I95">
        <v>36.6</v>
      </c>
      <c r="J95">
        <v>114.7</v>
      </c>
      <c r="K95">
        <v>191.9</v>
      </c>
      <c r="L95">
        <v>253.6</v>
      </c>
      <c r="M95">
        <v>364.3</v>
      </c>
      <c r="N95">
        <v>456</v>
      </c>
      <c r="O95">
        <v>563.26</v>
      </c>
      <c r="P95">
        <v>634.66</v>
      </c>
      <c r="Q95">
        <v>671.58</v>
      </c>
      <c r="R95">
        <v>707.97</v>
      </c>
      <c r="S95">
        <v>743.41</v>
      </c>
      <c r="T95">
        <v>777.21</v>
      </c>
      <c r="U95">
        <v>806.65</v>
      </c>
    </row>
    <row r="96" spans="1:21" x14ac:dyDescent="0.25">
      <c r="A96" t="s">
        <v>3546</v>
      </c>
      <c r="I96">
        <v>36.5</v>
      </c>
      <c r="J96">
        <v>99.4</v>
      </c>
      <c r="K96">
        <v>142.5</v>
      </c>
      <c r="L96">
        <v>175.2</v>
      </c>
      <c r="M96">
        <v>240.8</v>
      </c>
      <c r="N96">
        <v>275</v>
      </c>
      <c r="O96">
        <v>329.81</v>
      </c>
      <c r="P96">
        <v>367.08</v>
      </c>
      <c r="Q96">
        <v>393.32</v>
      </c>
      <c r="R96">
        <v>412.45</v>
      </c>
      <c r="S96">
        <v>430.26</v>
      </c>
      <c r="T96">
        <v>447.88</v>
      </c>
      <c r="U96">
        <v>463.65</v>
      </c>
    </row>
    <row r="97" spans="1:21" x14ac:dyDescent="0.25">
      <c r="A97" t="s">
        <v>3574</v>
      </c>
    </row>
    <row r="98" spans="1:21" x14ac:dyDescent="0.25">
      <c r="A98" t="s">
        <v>3575</v>
      </c>
    </row>
    <row r="99" spans="1:21" x14ac:dyDescent="0.25">
      <c r="A99" t="s">
        <v>3548</v>
      </c>
      <c r="J99">
        <v>15.4</v>
      </c>
      <c r="K99">
        <v>49.4</v>
      </c>
      <c r="L99">
        <v>78.400000000000006</v>
      </c>
      <c r="M99">
        <v>123.5</v>
      </c>
      <c r="N99">
        <v>182</v>
      </c>
      <c r="O99">
        <v>236.84</v>
      </c>
      <c r="P99">
        <v>268.58999999999997</v>
      </c>
      <c r="Q99">
        <v>273.02999999999997</v>
      </c>
      <c r="R99">
        <v>286.8</v>
      </c>
      <c r="S99">
        <v>332.97</v>
      </c>
      <c r="T99">
        <v>348.96</v>
      </c>
      <c r="U99">
        <v>363.69</v>
      </c>
    </row>
    <row r="100" spans="1:21" x14ac:dyDescent="0.25">
      <c r="A100" t="s">
        <v>3574</v>
      </c>
    </row>
    <row r="101" spans="1:21" x14ac:dyDescent="0.25">
      <c r="A101" t="s">
        <v>3575</v>
      </c>
    </row>
    <row r="102" spans="1:21" x14ac:dyDescent="0.25">
      <c r="A102" t="s">
        <v>3576</v>
      </c>
      <c r="L102">
        <v>74.900000000000006</v>
      </c>
      <c r="M102">
        <v>337</v>
      </c>
      <c r="N102">
        <v>506</v>
      </c>
      <c r="O102">
        <v>816.21</v>
      </c>
      <c r="P102" s="2">
        <v>1166.22</v>
      </c>
      <c r="Q102" s="2">
        <v>1517.67</v>
      </c>
      <c r="R102" s="2">
        <v>1832.12</v>
      </c>
      <c r="S102" s="2">
        <v>2124.33</v>
      </c>
      <c r="T102" s="2">
        <v>2400.27</v>
      </c>
      <c r="U102" s="2">
        <v>2640.77</v>
      </c>
    </row>
    <row r="103" spans="1:21" x14ac:dyDescent="0.25">
      <c r="A103" t="s">
        <v>3546</v>
      </c>
      <c r="L103">
        <v>74.900000000000006</v>
      </c>
      <c r="M103">
        <v>279.89999999999998</v>
      </c>
      <c r="N103">
        <v>410</v>
      </c>
      <c r="O103">
        <v>610.80999999999995</v>
      </c>
      <c r="P103">
        <v>873.29</v>
      </c>
      <c r="Q103" s="2">
        <v>1119.06</v>
      </c>
      <c r="R103" s="2">
        <v>1334.18</v>
      </c>
      <c r="S103" s="2">
        <v>1533.95</v>
      </c>
      <c r="T103" s="2">
        <v>1728.15</v>
      </c>
      <c r="U103" s="2">
        <v>1888.42</v>
      </c>
    </row>
    <row r="104" spans="1:21" x14ac:dyDescent="0.25">
      <c r="A104" t="s">
        <v>3548</v>
      </c>
      <c r="L104">
        <v>0.1</v>
      </c>
      <c r="M104">
        <v>57.2</v>
      </c>
      <c r="N104">
        <v>95</v>
      </c>
      <c r="O104">
        <v>201.62</v>
      </c>
      <c r="P104">
        <v>346.73</v>
      </c>
      <c r="Q104">
        <v>481.27</v>
      </c>
      <c r="R104">
        <v>595.39</v>
      </c>
      <c r="S104">
        <v>698.15</v>
      </c>
      <c r="T104">
        <v>796.91</v>
      </c>
      <c r="U104">
        <v>889.98</v>
      </c>
    </row>
    <row r="105" spans="1:21" x14ac:dyDescent="0.25">
      <c r="A105" t="s">
        <v>3577</v>
      </c>
      <c r="N105">
        <v>14</v>
      </c>
      <c r="O105">
        <v>258.02999999999997</v>
      </c>
      <c r="P105">
        <v>410.55</v>
      </c>
      <c r="Q105">
        <v>585.58000000000004</v>
      </c>
      <c r="R105">
        <v>775.54</v>
      </c>
      <c r="S105" s="2">
        <v>1027.73</v>
      </c>
      <c r="T105" s="2">
        <v>1272.1500000000001</v>
      </c>
      <c r="U105" s="2">
        <v>1438.07</v>
      </c>
    </row>
    <row r="106" spans="1:21" x14ac:dyDescent="0.25">
      <c r="A106" t="s">
        <v>3578</v>
      </c>
      <c r="B106">
        <v>-1.2</v>
      </c>
      <c r="C106">
        <v>-0.6</v>
      </c>
      <c r="D106">
        <v>0.6</v>
      </c>
      <c r="E106">
        <v>-0.2</v>
      </c>
      <c r="F106">
        <v>0</v>
      </c>
      <c r="G106">
        <v>111.1</v>
      </c>
      <c r="H106">
        <v>316.39999999999998</v>
      </c>
      <c r="I106">
        <v>162.4</v>
      </c>
      <c r="J106">
        <v>215.9</v>
      </c>
      <c r="K106">
        <v>140.80000000000001</v>
      </c>
      <c r="L106">
        <v>180.7</v>
      </c>
      <c r="M106">
        <v>316.2</v>
      </c>
      <c r="N106">
        <v>204</v>
      </c>
      <c r="O106">
        <v>226.04</v>
      </c>
      <c r="P106">
        <v>222.38</v>
      </c>
      <c r="Q106">
        <v>219.93</v>
      </c>
      <c r="R106">
        <v>218.01</v>
      </c>
      <c r="S106">
        <v>216.72</v>
      </c>
      <c r="T106">
        <v>215.68</v>
      </c>
      <c r="U106">
        <v>215.03</v>
      </c>
    </row>
    <row r="107" spans="1:21" x14ac:dyDescent="0.25">
      <c r="A107" t="s">
        <v>3546</v>
      </c>
      <c r="B107">
        <v>0</v>
      </c>
      <c r="C107">
        <v>0</v>
      </c>
      <c r="D107">
        <v>0.6</v>
      </c>
      <c r="E107">
        <v>0</v>
      </c>
      <c r="F107">
        <v>0</v>
      </c>
      <c r="G107">
        <v>200.6</v>
      </c>
      <c r="H107">
        <v>111</v>
      </c>
      <c r="I107">
        <v>10.1</v>
      </c>
      <c r="J107">
        <v>20.7</v>
      </c>
      <c r="K107">
        <v>27.2</v>
      </c>
      <c r="L107">
        <v>33.799999999999997</v>
      </c>
      <c r="M107">
        <v>40.6</v>
      </c>
      <c r="N107">
        <v>47</v>
      </c>
      <c r="O107">
        <v>74.98</v>
      </c>
      <c r="P107">
        <v>74.55</v>
      </c>
      <c r="Q107">
        <v>74.27</v>
      </c>
      <c r="R107">
        <v>74.040000000000006</v>
      </c>
      <c r="S107">
        <v>74.61</v>
      </c>
      <c r="T107">
        <v>75.319999999999993</v>
      </c>
      <c r="U107">
        <v>76.739999999999995</v>
      </c>
    </row>
    <row r="108" spans="1:21" x14ac:dyDescent="0.25">
      <c r="A108" t="s">
        <v>3548</v>
      </c>
      <c r="B108">
        <v>92.9</v>
      </c>
      <c r="C108">
        <v>-0.6</v>
      </c>
      <c r="D108">
        <v>0</v>
      </c>
      <c r="E108">
        <v>-0.2</v>
      </c>
      <c r="F108">
        <v>0</v>
      </c>
      <c r="G108">
        <v>101.9</v>
      </c>
      <c r="H108">
        <v>205.3</v>
      </c>
      <c r="I108">
        <v>152.30000000000001</v>
      </c>
      <c r="J108">
        <v>195.3</v>
      </c>
      <c r="K108">
        <v>113.6</v>
      </c>
      <c r="L108">
        <v>147</v>
      </c>
      <c r="M108">
        <v>275.60000000000002</v>
      </c>
      <c r="N108">
        <v>157</v>
      </c>
      <c r="O108">
        <v>143.84</v>
      </c>
      <c r="P108">
        <v>141.88999999999999</v>
      </c>
      <c r="Q108">
        <v>141.12</v>
      </c>
      <c r="R108">
        <v>140.88</v>
      </c>
      <c r="S108">
        <v>141.03</v>
      </c>
      <c r="T108">
        <v>141.25</v>
      </c>
      <c r="U108">
        <v>141.69</v>
      </c>
    </row>
    <row r="109" spans="1:21" x14ac:dyDescent="0.25">
      <c r="A109" t="s">
        <v>3579</v>
      </c>
      <c r="E109">
        <v>113.1</v>
      </c>
      <c r="F109">
        <v>605.1</v>
      </c>
      <c r="G109" s="2">
        <v>1140</v>
      </c>
      <c r="H109" s="2">
        <v>1793.3</v>
      </c>
      <c r="I109" s="2">
        <v>2461.9</v>
      </c>
      <c r="J109" s="2">
        <v>3360.7</v>
      </c>
      <c r="K109" s="2">
        <v>3312.5</v>
      </c>
      <c r="L109" s="2">
        <v>3797.6</v>
      </c>
      <c r="M109" s="2">
        <v>4392.8999999999996</v>
      </c>
      <c r="N109" s="2">
        <v>5247</v>
      </c>
      <c r="O109" s="2">
        <v>5751.82</v>
      </c>
      <c r="P109" s="2">
        <v>6309.87</v>
      </c>
      <c r="Q109" s="2">
        <v>6867.18</v>
      </c>
      <c r="R109" s="2">
        <v>7278.32</v>
      </c>
      <c r="S109" s="2">
        <v>7145.57</v>
      </c>
      <c r="T109" s="2">
        <v>6760.4</v>
      </c>
      <c r="U109" s="2">
        <v>6240.48</v>
      </c>
    </row>
    <row r="110" spans="1:21" x14ac:dyDescent="0.25">
      <c r="A110" t="s">
        <v>3580</v>
      </c>
      <c r="E110">
        <v>113.1</v>
      </c>
      <c r="F110">
        <v>559.20000000000005</v>
      </c>
      <c r="G110">
        <v>937.5</v>
      </c>
      <c r="H110" s="2">
        <v>1366.4</v>
      </c>
      <c r="I110" s="2">
        <v>1788.5</v>
      </c>
      <c r="J110" s="2">
        <v>2212.8000000000002</v>
      </c>
      <c r="K110" s="2">
        <v>2482</v>
      </c>
      <c r="L110" s="2">
        <v>2759.6</v>
      </c>
      <c r="M110" s="2">
        <v>3260.4</v>
      </c>
      <c r="N110" s="2">
        <v>3562</v>
      </c>
      <c r="O110" s="2">
        <v>3472.78</v>
      </c>
      <c r="P110" s="2">
        <v>3535.18</v>
      </c>
      <c r="Q110" s="2">
        <v>3512.35</v>
      </c>
      <c r="R110" s="2">
        <v>3419.6</v>
      </c>
      <c r="S110" s="2">
        <v>2883.17</v>
      </c>
      <c r="T110" s="2">
        <v>2140.5700000000002</v>
      </c>
      <c r="U110" s="2">
        <v>1538.12</v>
      </c>
    </row>
    <row r="111" spans="1:21" x14ac:dyDescent="0.25">
      <c r="A111" t="s">
        <v>3546</v>
      </c>
      <c r="E111">
        <v>110.8</v>
      </c>
      <c r="F111">
        <v>486</v>
      </c>
      <c r="G111">
        <v>738.7</v>
      </c>
      <c r="H111" s="2">
        <v>1016.8</v>
      </c>
      <c r="I111" s="2">
        <v>1288.5</v>
      </c>
      <c r="J111" s="2">
        <v>1542.4</v>
      </c>
      <c r="K111" s="2">
        <v>1724.6</v>
      </c>
      <c r="L111" s="2">
        <v>1831.6</v>
      </c>
      <c r="M111" s="2">
        <v>2152.3000000000002</v>
      </c>
      <c r="N111" s="2">
        <v>2333</v>
      </c>
      <c r="O111" s="2">
        <v>2166.58</v>
      </c>
      <c r="P111" s="2">
        <v>2184.59</v>
      </c>
      <c r="Q111" s="2">
        <v>2130.25</v>
      </c>
      <c r="R111" s="2">
        <v>2034.2</v>
      </c>
      <c r="S111" s="2">
        <v>1630.7</v>
      </c>
      <c r="T111" s="2">
        <v>1144.53</v>
      </c>
      <c r="U111">
        <v>761.49</v>
      </c>
    </row>
    <row r="112" spans="1:21" x14ac:dyDescent="0.25">
      <c r="A112" t="s">
        <v>3548</v>
      </c>
      <c r="E112">
        <v>2.2999999999999998</v>
      </c>
      <c r="F112">
        <v>73.2</v>
      </c>
      <c r="G112">
        <v>198.7</v>
      </c>
      <c r="H112">
        <v>349.6</v>
      </c>
      <c r="I112">
        <v>500</v>
      </c>
      <c r="J112">
        <v>670.4</v>
      </c>
      <c r="K112">
        <v>757.4</v>
      </c>
      <c r="L112">
        <v>928</v>
      </c>
      <c r="M112" s="2">
        <v>1108.0999999999999</v>
      </c>
      <c r="N112" s="2">
        <v>1230</v>
      </c>
      <c r="O112" s="2">
        <v>1304.79</v>
      </c>
      <c r="P112" s="2">
        <v>1354.47</v>
      </c>
      <c r="Q112" s="2">
        <v>1385.78</v>
      </c>
      <c r="R112" s="2">
        <v>1384.64</v>
      </c>
      <c r="S112" s="2">
        <v>1250.48</v>
      </c>
      <c r="T112" s="2">
        <v>1032.6600000000001</v>
      </c>
      <c r="U112">
        <v>796.37</v>
      </c>
    </row>
    <row r="113" spans="1:21" x14ac:dyDescent="0.25">
      <c r="A113" t="s">
        <v>3581</v>
      </c>
      <c r="F113">
        <v>45.9</v>
      </c>
      <c r="G113">
        <v>202.5</v>
      </c>
      <c r="H113">
        <v>426.9</v>
      </c>
      <c r="I113">
        <v>638.9</v>
      </c>
      <c r="J113" s="2">
        <v>1115.0999999999999</v>
      </c>
      <c r="K113">
        <v>830.5</v>
      </c>
      <c r="L113">
        <v>922.6</v>
      </c>
      <c r="M113">
        <v>957.4</v>
      </c>
      <c r="N113" s="2">
        <v>1011</v>
      </c>
      <c r="O113" s="2">
        <v>1064.67</v>
      </c>
      <c r="P113" s="2">
        <v>1089.51</v>
      </c>
      <c r="Q113" s="2">
        <v>1114.57</v>
      </c>
      <c r="R113" s="2">
        <v>1131.5</v>
      </c>
      <c r="S113" s="2">
        <v>1145.6199999999999</v>
      </c>
      <c r="T113" s="2">
        <v>1141.05</v>
      </c>
      <c r="U113">
        <v>913.58</v>
      </c>
    </row>
    <row r="114" spans="1:21" x14ac:dyDescent="0.25">
      <c r="A114" t="s">
        <v>3546</v>
      </c>
      <c r="F114">
        <v>0</v>
      </c>
      <c r="G114">
        <v>6.7</v>
      </c>
      <c r="H114">
        <v>42.2</v>
      </c>
      <c r="I114">
        <v>63.8</v>
      </c>
      <c r="J114">
        <v>324.10000000000002</v>
      </c>
      <c r="K114">
        <v>148.19999999999999</v>
      </c>
      <c r="L114">
        <v>225.5</v>
      </c>
      <c r="M114">
        <v>228.7</v>
      </c>
      <c r="N114">
        <v>234</v>
      </c>
    </row>
    <row r="115" spans="1:21" x14ac:dyDescent="0.25">
      <c r="A115" t="s">
        <v>3582</v>
      </c>
      <c r="O115">
        <v>249.38</v>
      </c>
      <c r="P115">
        <v>253.37</v>
      </c>
      <c r="Q115">
        <v>258.10000000000002</v>
      </c>
      <c r="R115">
        <v>261.99</v>
      </c>
      <c r="S115">
        <v>263.52</v>
      </c>
      <c r="T115">
        <v>243.9</v>
      </c>
      <c r="U115">
        <v>204.24</v>
      </c>
    </row>
    <row r="116" spans="1:21" x14ac:dyDescent="0.25">
      <c r="A116" t="s">
        <v>3583</v>
      </c>
      <c r="O116">
        <v>98.22</v>
      </c>
      <c r="P116">
        <v>107.28</v>
      </c>
      <c r="Q116">
        <v>116.92</v>
      </c>
      <c r="R116">
        <v>121.63</v>
      </c>
      <c r="S116">
        <v>122.85</v>
      </c>
      <c r="T116">
        <v>124.08</v>
      </c>
      <c r="U116">
        <v>125.32</v>
      </c>
    </row>
    <row r="117" spans="1:21" x14ac:dyDescent="0.25">
      <c r="A117" t="s">
        <v>3548</v>
      </c>
      <c r="F117">
        <v>45.8</v>
      </c>
      <c r="G117">
        <v>195.9</v>
      </c>
      <c r="H117">
        <v>384.7</v>
      </c>
      <c r="I117">
        <v>575</v>
      </c>
      <c r="J117">
        <v>791</v>
      </c>
      <c r="K117">
        <v>682.3</v>
      </c>
      <c r="L117">
        <v>697.2</v>
      </c>
      <c r="M117">
        <v>728.7</v>
      </c>
      <c r="N117">
        <v>778</v>
      </c>
      <c r="O117">
        <v>814.27</v>
      </c>
      <c r="P117">
        <v>831.4</v>
      </c>
      <c r="Q117">
        <v>848.91</v>
      </c>
      <c r="R117">
        <v>864.81</v>
      </c>
      <c r="S117">
        <v>879.92</v>
      </c>
      <c r="T117">
        <v>893.35</v>
      </c>
      <c r="U117">
        <v>731.12</v>
      </c>
    </row>
    <row r="118" spans="1:21" x14ac:dyDescent="0.25">
      <c r="A118" t="s">
        <v>3582</v>
      </c>
      <c r="O118">
        <v>482.21</v>
      </c>
      <c r="P118">
        <v>497.43</v>
      </c>
      <c r="Q118">
        <v>506.72</v>
      </c>
      <c r="R118">
        <v>515.84</v>
      </c>
      <c r="S118">
        <v>524.82000000000005</v>
      </c>
      <c r="T118">
        <v>533.65</v>
      </c>
      <c r="U118">
        <v>542.33000000000004</v>
      </c>
    </row>
    <row r="119" spans="1:21" x14ac:dyDescent="0.25">
      <c r="A119" t="s">
        <v>3583</v>
      </c>
      <c r="O119">
        <v>261.31</v>
      </c>
      <c r="P119">
        <v>277.89</v>
      </c>
      <c r="Q119">
        <v>294.41000000000003</v>
      </c>
      <c r="R119">
        <v>310.88</v>
      </c>
      <c r="S119">
        <v>325.29000000000002</v>
      </c>
      <c r="T119">
        <v>339.59</v>
      </c>
      <c r="U119">
        <v>353.77</v>
      </c>
    </row>
    <row r="120" spans="1:21" x14ac:dyDescent="0.25">
      <c r="A120" t="s">
        <v>3584</v>
      </c>
      <c r="L120">
        <v>44.2</v>
      </c>
      <c r="M120">
        <v>132.30000000000001</v>
      </c>
      <c r="N120">
        <v>265</v>
      </c>
      <c r="O120">
        <v>417.08</v>
      </c>
      <c r="P120">
        <v>585.05999999999995</v>
      </c>
      <c r="Q120">
        <v>741.48</v>
      </c>
      <c r="R120">
        <v>871.2</v>
      </c>
      <c r="S120">
        <v>989.34</v>
      </c>
      <c r="T120" s="2">
        <v>1088.32</v>
      </c>
      <c r="U120" s="2">
        <v>1173.0899999999999</v>
      </c>
    </row>
    <row r="121" spans="1:21" x14ac:dyDescent="0.25">
      <c r="A121" t="s">
        <v>3546</v>
      </c>
      <c r="K121">
        <v>20</v>
      </c>
      <c r="L121">
        <v>0.8</v>
      </c>
      <c r="M121">
        <v>67.3</v>
      </c>
      <c r="N121">
        <v>124</v>
      </c>
      <c r="O121">
        <v>201.5</v>
      </c>
      <c r="P121">
        <v>293.02</v>
      </c>
      <c r="Q121">
        <v>373.65</v>
      </c>
      <c r="R121">
        <v>433.6</v>
      </c>
      <c r="S121">
        <v>493.32</v>
      </c>
      <c r="T121">
        <v>549.53</v>
      </c>
      <c r="U121">
        <v>601.49</v>
      </c>
    </row>
    <row r="122" spans="1:21" x14ac:dyDescent="0.25">
      <c r="A122" t="s">
        <v>3585</v>
      </c>
    </row>
    <row r="123" spans="1:21" x14ac:dyDescent="0.25">
      <c r="A123" t="s">
        <v>3586</v>
      </c>
    </row>
    <row r="124" spans="1:21" x14ac:dyDescent="0.25">
      <c r="A124" t="s">
        <v>3548</v>
      </c>
      <c r="K124">
        <v>12.1</v>
      </c>
      <c r="L124">
        <v>43.2</v>
      </c>
      <c r="M124">
        <v>65</v>
      </c>
      <c r="N124">
        <v>141</v>
      </c>
      <c r="O124">
        <v>219.41</v>
      </c>
      <c r="P124">
        <v>302.91000000000003</v>
      </c>
      <c r="Q124">
        <v>372.5</v>
      </c>
      <c r="R124">
        <v>436.87</v>
      </c>
      <c r="S124">
        <v>490.79</v>
      </c>
      <c r="T124">
        <v>530.61</v>
      </c>
      <c r="U124">
        <v>562.09</v>
      </c>
    </row>
    <row r="125" spans="1:21" x14ac:dyDescent="0.25">
      <c r="A125" t="s">
        <v>3585</v>
      </c>
    </row>
    <row r="126" spans="1:21" x14ac:dyDescent="0.25">
      <c r="A126" t="s">
        <v>3586</v>
      </c>
    </row>
    <row r="127" spans="1:21" x14ac:dyDescent="0.25">
      <c r="A127" t="s">
        <v>3587</v>
      </c>
      <c r="L127">
        <v>71.2</v>
      </c>
      <c r="M127">
        <v>42.8</v>
      </c>
      <c r="N127">
        <v>408</v>
      </c>
      <c r="O127">
        <v>791.25</v>
      </c>
      <c r="P127" s="2">
        <v>1153.99</v>
      </c>
      <c r="Q127" s="2">
        <v>1532.16</v>
      </c>
      <c r="R127" s="2">
        <v>1787.66</v>
      </c>
      <c r="S127" s="2">
        <v>2371.9499999999998</v>
      </c>
      <c r="T127" s="2">
        <v>3082.14</v>
      </c>
      <c r="U127" s="2">
        <v>3771.18</v>
      </c>
    </row>
    <row r="128" spans="1:21" x14ac:dyDescent="0.25">
      <c r="A128" t="s">
        <v>3546</v>
      </c>
      <c r="L128">
        <v>0</v>
      </c>
      <c r="M128">
        <v>9.3000000000000007</v>
      </c>
      <c r="N128">
        <v>274</v>
      </c>
      <c r="O128">
        <v>574.16999999999996</v>
      </c>
      <c r="P128">
        <v>836.73</v>
      </c>
      <c r="Q128" s="2">
        <v>1106.03</v>
      </c>
      <c r="R128" s="2">
        <v>1340.61</v>
      </c>
      <c r="S128" s="2">
        <v>1533.39</v>
      </c>
      <c r="T128" s="2">
        <v>1691.52</v>
      </c>
      <c r="U128" s="2">
        <v>1836.29</v>
      </c>
    </row>
    <row r="129" spans="1:21" x14ac:dyDescent="0.25">
      <c r="A129" t="s">
        <v>3548</v>
      </c>
      <c r="L129">
        <v>71.2</v>
      </c>
      <c r="M129">
        <v>33.4</v>
      </c>
      <c r="N129">
        <v>134</v>
      </c>
      <c r="O129">
        <v>229.08</v>
      </c>
      <c r="P129">
        <v>336.95</v>
      </c>
      <c r="Q129">
        <v>456.61</v>
      </c>
      <c r="R129">
        <v>564.49</v>
      </c>
      <c r="S129">
        <v>653.54999999999995</v>
      </c>
      <c r="T129">
        <v>729.68</v>
      </c>
      <c r="U129">
        <v>791.11</v>
      </c>
    </row>
    <row r="130" spans="1:21" x14ac:dyDescent="0.25">
      <c r="A130" t="s">
        <v>3588</v>
      </c>
      <c r="B130" s="2">
        <v>7216.2</v>
      </c>
      <c r="C130" s="2">
        <v>3596.4</v>
      </c>
      <c r="D130" s="2">
        <v>2935.4</v>
      </c>
      <c r="E130" s="2">
        <v>2720.3</v>
      </c>
      <c r="F130" s="2">
        <v>2170.9</v>
      </c>
      <c r="G130" s="2">
        <v>1820.7</v>
      </c>
      <c r="H130" s="2">
        <v>1722.9</v>
      </c>
      <c r="I130" s="2">
        <v>1831.3</v>
      </c>
      <c r="J130" s="2">
        <v>1898.4</v>
      </c>
      <c r="K130" s="2">
        <v>1546.2</v>
      </c>
      <c r="L130" s="2">
        <v>2878.5</v>
      </c>
      <c r="M130" s="2">
        <v>1473.6</v>
      </c>
      <c r="N130" s="2">
        <v>1391</v>
      </c>
      <c r="O130" s="2">
        <v>1747.37</v>
      </c>
      <c r="P130" s="2">
        <v>2146.39</v>
      </c>
      <c r="Q130" s="2">
        <v>2747.8</v>
      </c>
      <c r="R130" s="2">
        <v>3435.46</v>
      </c>
      <c r="S130" s="2">
        <v>4211.8900000000003</v>
      </c>
      <c r="T130" s="2">
        <v>5021.88</v>
      </c>
      <c r="U130" s="2">
        <v>5573.14</v>
      </c>
    </row>
    <row r="131" spans="1:21" x14ac:dyDescent="0.25">
      <c r="A131" t="s">
        <v>3589</v>
      </c>
      <c r="G131">
        <v>4.8</v>
      </c>
      <c r="H131">
        <v>162.5</v>
      </c>
      <c r="I131">
        <v>362.9</v>
      </c>
      <c r="J131">
        <v>577.20000000000005</v>
      </c>
      <c r="K131">
        <v>650.9</v>
      </c>
      <c r="L131">
        <v>678.3</v>
      </c>
      <c r="M131">
        <v>870.4</v>
      </c>
      <c r="N131">
        <v>748</v>
      </c>
      <c r="O131">
        <v>774.44</v>
      </c>
      <c r="P131">
        <v>800.96</v>
      </c>
      <c r="Q131">
        <v>819.33</v>
      </c>
      <c r="R131">
        <v>828.52</v>
      </c>
      <c r="S131">
        <v>846.08</v>
      </c>
      <c r="T131">
        <v>859.46</v>
      </c>
      <c r="U131">
        <v>864.84</v>
      </c>
    </row>
    <row r="132" spans="1:21" x14ac:dyDescent="0.25">
      <c r="A132" t="s">
        <v>3546</v>
      </c>
      <c r="G132">
        <v>4.9000000000000004</v>
      </c>
      <c r="H132">
        <v>154.9</v>
      </c>
      <c r="I132">
        <v>325.89999999999998</v>
      </c>
      <c r="J132">
        <v>434.5</v>
      </c>
      <c r="K132">
        <v>462.8</v>
      </c>
      <c r="L132">
        <v>482.2</v>
      </c>
      <c r="M132">
        <v>559.70000000000005</v>
      </c>
      <c r="N132">
        <v>553</v>
      </c>
      <c r="O132">
        <v>573.92999999999995</v>
      </c>
      <c r="P132">
        <v>603.6</v>
      </c>
      <c r="Q132">
        <v>619.15</v>
      </c>
      <c r="R132">
        <v>624.49</v>
      </c>
      <c r="S132">
        <v>639.70000000000005</v>
      </c>
      <c r="T132">
        <v>649.63</v>
      </c>
      <c r="U132">
        <v>657.11</v>
      </c>
    </row>
    <row r="133" spans="1:21" x14ac:dyDescent="0.25">
      <c r="A133" t="s">
        <v>3548</v>
      </c>
      <c r="G133">
        <v>0</v>
      </c>
      <c r="H133">
        <v>7.7</v>
      </c>
      <c r="I133">
        <v>37</v>
      </c>
      <c r="J133">
        <v>142.69999999999999</v>
      </c>
      <c r="K133">
        <v>188.1</v>
      </c>
      <c r="L133">
        <v>196</v>
      </c>
      <c r="M133">
        <v>310.7</v>
      </c>
      <c r="N133">
        <v>195</v>
      </c>
      <c r="O133">
        <v>200.47</v>
      </c>
      <c r="P133">
        <v>198.94</v>
      </c>
      <c r="Q133">
        <v>200.27</v>
      </c>
      <c r="R133">
        <v>202.37</v>
      </c>
      <c r="S133">
        <v>204.68</v>
      </c>
      <c r="T133">
        <v>208.12</v>
      </c>
      <c r="U133">
        <v>204.31</v>
      </c>
    </row>
    <row r="134" spans="1:21" x14ac:dyDescent="0.25">
      <c r="A134" t="s">
        <v>3590</v>
      </c>
      <c r="H134">
        <v>1.3</v>
      </c>
      <c r="I134">
        <v>12.7</v>
      </c>
      <c r="J134">
        <v>24</v>
      </c>
      <c r="K134">
        <v>33.9</v>
      </c>
      <c r="L134">
        <v>35.4</v>
      </c>
      <c r="M134">
        <v>32.799999999999997</v>
      </c>
      <c r="N134">
        <v>38</v>
      </c>
      <c r="O134">
        <v>26.65</v>
      </c>
      <c r="P134">
        <v>28.8</v>
      </c>
      <c r="Q134">
        <v>29.64</v>
      </c>
      <c r="R134">
        <v>30.26</v>
      </c>
      <c r="S134">
        <v>24.77</v>
      </c>
      <c r="T134">
        <v>23.19</v>
      </c>
      <c r="U134">
        <v>22.49</v>
      </c>
    </row>
    <row r="135" spans="1:21" x14ac:dyDescent="0.25">
      <c r="A135" t="s">
        <v>3546</v>
      </c>
      <c r="H135">
        <v>1.3</v>
      </c>
      <c r="I135">
        <v>12.4</v>
      </c>
      <c r="J135">
        <v>23.8</v>
      </c>
      <c r="K135">
        <v>24</v>
      </c>
      <c r="L135">
        <v>28.7</v>
      </c>
      <c r="M135">
        <v>25</v>
      </c>
      <c r="N135">
        <v>29</v>
      </c>
      <c r="O135">
        <v>20.95</v>
      </c>
      <c r="P135">
        <v>22.55</v>
      </c>
      <c r="Q135">
        <v>23.08</v>
      </c>
      <c r="R135">
        <v>23.41</v>
      </c>
      <c r="S135">
        <v>17.010000000000002</v>
      </c>
      <c r="T135">
        <v>14.87</v>
      </c>
      <c r="U135">
        <v>13.7</v>
      </c>
    </row>
    <row r="136" spans="1:21" x14ac:dyDescent="0.25">
      <c r="A136" t="s">
        <v>3548</v>
      </c>
      <c r="H136">
        <v>0</v>
      </c>
      <c r="I136">
        <v>0.4</v>
      </c>
      <c r="J136">
        <v>0.3</v>
      </c>
      <c r="K136">
        <v>9.9</v>
      </c>
      <c r="L136">
        <v>6.9</v>
      </c>
      <c r="M136">
        <v>7.8</v>
      </c>
      <c r="N136">
        <v>9</v>
      </c>
      <c r="O136">
        <v>7.72</v>
      </c>
      <c r="P136">
        <v>8.6</v>
      </c>
      <c r="Q136">
        <v>8.7100000000000009</v>
      </c>
      <c r="R136">
        <v>8.7799999999999994</v>
      </c>
      <c r="S136">
        <v>8.3000000000000007</v>
      </c>
      <c r="T136">
        <v>8.2799999999999994</v>
      </c>
      <c r="U136">
        <v>8.34</v>
      </c>
    </row>
    <row r="137" spans="1:21" x14ac:dyDescent="0.25">
      <c r="A137" t="s">
        <v>3591</v>
      </c>
      <c r="M137">
        <v>9.3000000000000007</v>
      </c>
      <c r="N137">
        <v>249</v>
      </c>
      <c r="O137">
        <v>464.62</v>
      </c>
      <c r="P137">
        <v>745.56</v>
      </c>
      <c r="Q137" s="2">
        <v>1096.75</v>
      </c>
      <c r="R137" s="2">
        <v>1464.98</v>
      </c>
      <c r="S137" s="2">
        <v>1857.68</v>
      </c>
      <c r="T137" s="2">
        <v>2240.37</v>
      </c>
      <c r="U137" s="2">
        <v>2518.1799999999998</v>
      </c>
    </row>
    <row r="138" spans="1:21" x14ac:dyDescent="0.25">
      <c r="A138" t="s">
        <v>3546</v>
      </c>
      <c r="M138">
        <v>8.5</v>
      </c>
      <c r="N138">
        <v>188</v>
      </c>
      <c r="O138">
        <v>637.66</v>
      </c>
      <c r="P138">
        <v>917.77</v>
      </c>
      <c r="Q138" s="2">
        <v>1402.68</v>
      </c>
      <c r="R138" s="2">
        <v>1929</v>
      </c>
      <c r="S138" s="2">
        <v>2703.5</v>
      </c>
      <c r="T138" s="2">
        <v>3544.91</v>
      </c>
      <c r="U138" s="2">
        <v>4278.6000000000004</v>
      </c>
    </row>
    <row r="139" spans="1:21" x14ac:dyDescent="0.25">
      <c r="A139" t="s">
        <v>3548</v>
      </c>
      <c r="M139">
        <v>0.8</v>
      </c>
      <c r="N139">
        <v>61</v>
      </c>
      <c r="O139">
        <v>196.98</v>
      </c>
      <c r="P139">
        <v>295.45</v>
      </c>
      <c r="Q139">
        <v>424.68</v>
      </c>
      <c r="R139">
        <v>580.73</v>
      </c>
      <c r="S139">
        <v>729.92</v>
      </c>
      <c r="T139">
        <v>918.23</v>
      </c>
      <c r="U139" s="2">
        <v>1050.3599999999999</v>
      </c>
    </row>
    <row r="140" spans="1:21" x14ac:dyDescent="0.25">
      <c r="A140" t="s">
        <v>3592</v>
      </c>
      <c r="B140">
        <v>49.8</v>
      </c>
      <c r="C140">
        <v>32.200000000000003</v>
      </c>
      <c r="D140">
        <v>22.6</v>
      </c>
      <c r="E140">
        <v>28.2</v>
      </c>
      <c r="F140">
        <v>46.7</v>
      </c>
      <c r="G140">
        <v>26.5</v>
      </c>
      <c r="H140">
        <v>172.5</v>
      </c>
      <c r="I140">
        <v>153</v>
      </c>
      <c r="J140">
        <v>135</v>
      </c>
      <c r="K140">
        <v>241.2</v>
      </c>
      <c r="L140">
        <v>227.4</v>
      </c>
      <c r="M140">
        <v>245.7</v>
      </c>
      <c r="N140">
        <v>294</v>
      </c>
      <c r="O140">
        <v>291.85000000000002</v>
      </c>
      <c r="P140">
        <v>291.5</v>
      </c>
      <c r="Q140">
        <v>288.57</v>
      </c>
      <c r="R140">
        <v>284.77999999999997</v>
      </c>
      <c r="S140">
        <v>282.22000000000003</v>
      </c>
      <c r="T140">
        <v>279.77</v>
      </c>
      <c r="U140">
        <v>271.08999999999997</v>
      </c>
    </row>
    <row r="141" spans="1:21" x14ac:dyDescent="0.25">
      <c r="A141" t="s">
        <v>3546</v>
      </c>
      <c r="B141">
        <v>5.4</v>
      </c>
      <c r="C141">
        <v>3.1</v>
      </c>
      <c r="D141">
        <v>5</v>
      </c>
      <c r="E141">
        <v>17.100000000000001</v>
      </c>
      <c r="F141">
        <v>35.200000000000003</v>
      </c>
      <c r="G141">
        <v>92.3</v>
      </c>
      <c r="H141">
        <v>78.900000000000006</v>
      </c>
      <c r="I141">
        <v>62.9</v>
      </c>
      <c r="J141">
        <v>60.6</v>
      </c>
      <c r="K141">
        <v>61.4</v>
      </c>
      <c r="L141">
        <v>75.099999999999994</v>
      </c>
      <c r="M141">
        <v>160.1</v>
      </c>
      <c r="N141">
        <v>216</v>
      </c>
      <c r="O141">
        <v>336.73</v>
      </c>
      <c r="P141">
        <v>769.08</v>
      </c>
      <c r="Q141" s="2">
        <v>1163.06</v>
      </c>
      <c r="R141" s="2">
        <v>1539.95</v>
      </c>
      <c r="S141" s="2">
        <v>1872.83</v>
      </c>
      <c r="T141" s="2">
        <v>2297.61</v>
      </c>
      <c r="U141" s="2">
        <v>2600.7199999999998</v>
      </c>
    </row>
    <row r="142" spans="1:21" x14ac:dyDescent="0.25">
      <c r="A142" t="s">
        <v>3548</v>
      </c>
      <c r="B142">
        <v>44.4</v>
      </c>
      <c r="C142">
        <v>29.1</v>
      </c>
      <c r="D142">
        <v>17.600000000000001</v>
      </c>
      <c r="E142">
        <v>11.2</v>
      </c>
      <c r="F142">
        <v>11.6</v>
      </c>
      <c r="G142">
        <v>8</v>
      </c>
      <c r="H142">
        <v>93.6</v>
      </c>
      <c r="I142">
        <v>89.9</v>
      </c>
      <c r="J142">
        <v>74.400000000000006</v>
      </c>
      <c r="K142">
        <v>179.7</v>
      </c>
      <c r="L142">
        <v>152.30000000000001</v>
      </c>
      <c r="M142">
        <v>201.7</v>
      </c>
      <c r="N142">
        <v>77</v>
      </c>
      <c r="O142">
        <v>36.03</v>
      </c>
      <c r="P142">
        <v>34.909999999999997</v>
      </c>
      <c r="Q142">
        <v>33.96</v>
      </c>
      <c r="R142">
        <v>33.1</v>
      </c>
      <c r="S142">
        <v>32.409999999999997</v>
      </c>
      <c r="T142">
        <v>31.73</v>
      </c>
      <c r="U142">
        <v>31.17</v>
      </c>
    </row>
    <row r="143" spans="1:21" x14ac:dyDescent="0.25">
      <c r="A143" t="s">
        <v>3593</v>
      </c>
    </row>
    <row r="144" spans="1:21" x14ac:dyDescent="0.25">
      <c r="A144" t="s">
        <v>3594</v>
      </c>
      <c r="G144" s="2">
        <v>1851.8</v>
      </c>
      <c r="H144">
        <v>890.5</v>
      </c>
      <c r="I144">
        <v>607.1</v>
      </c>
      <c r="J144">
        <v>718.4</v>
      </c>
      <c r="K144">
        <v>587.29999999999995</v>
      </c>
      <c r="L144">
        <v>381.5</v>
      </c>
      <c r="M144">
        <v>394.3</v>
      </c>
      <c r="N144">
        <v>463</v>
      </c>
      <c r="O144">
        <v>338.29</v>
      </c>
      <c r="P144">
        <v>301.89999999999998</v>
      </c>
      <c r="Q144">
        <v>265.99</v>
      </c>
      <c r="R144">
        <v>245.33</v>
      </c>
      <c r="S144">
        <v>227.23</v>
      </c>
      <c r="T144">
        <v>210.75</v>
      </c>
      <c r="U144">
        <v>195.8</v>
      </c>
    </row>
    <row r="145" spans="1:21" x14ac:dyDescent="0.25">
      <c r="A145" t="s">
        <v>3546</v>
      </c>
      <c r="B145">
        <v>942.8</v>
      </c>
      <c r="C145" s="2">
        <v>1039.9000000000001</v>
      </c>
      <c r="D145" s="2">
        <v>1256.8</v>
      </c>
      <c r="E145" s="2">
        <v>1469.5</v>
      </c>
      <c r="F145" s="2">
        <v>1358.6</v>
      </c>
      <c r="G145" s="2">
        <v>1129.2</v>
      </c>
      <c r="H145">
        <v>231.7</v>
      </c>
      <c r="I145">
        <v>61.8</v>
      </c>
      <c r="J145">
        <v>10.6</v>
      </c>
      <c r="K145">
        <v>35.200000000000003</v>
      </c>
      <c r="L145">
        <v>26.1</v>
      </c>
      <c r="M145">
        <v>21.1</v>
      </c>
      <c r="N145">
        <v>25</v>
      </c>
    </row>
    <row r="146" spans="1:21" x14ac:dyDescent="0.25">
      <c r="A146" t="s">
        <v>3548</v>
      </c>
      <c r="B146" s="2">
        <v>1216.5999999999999</v>
      </c>
      <c r="C146" s="2">
        <v>1251.0999999999999</v>
      </c>
      <c r="D146" s="2">
        <v>1053.9000000000001</v>
      </c>
      <c r="E146" s="2">
        <v>1002.1</v>
      </c>
      <c r="F146">
        <v>964.5</v>
      </c>
      <c r="G146">
        <v>722.7</v>
      </c>
      <c r="H146">
        <v>658.8</v>
      </c>
      <c r="I146">
        <v>545.4</v>
      </c>
      <c r="J146">
        <v>707.9</v>
      </c>
      <c r="K146">
        <v>552.1</v>
      </c>
      <c r="L146">
        <v>355.3</v>
      </c>
      <c r="M146">
        <v>373.2</v>
      </c>
      <c r="N146">
        <v>438</v>
      </c>
    </row>
    <row r="147" spans="1:21" x14ac:dyDescent="0.25">
      <c r="A147" t="s">
        <v>3595</v>
      </c>
      <c r="B147" s="2">
        <v>1244.9000000000001</v>
      </c>
      <c r="C147" s="2">
        <v>1322</v>
      </c>
      <c r="D147" s="2">
        <v>1348.3</v>
      </c>
      <c r="E147" s="2">
        <v>1500</v>
      </c>
      <c r="F147" s="2">
        <v>1749</v>
      </c>
      <c r="G147" s="2">
        <v>1575.6</v>
      </c>
      <c r="H147" s="2">
        <v>1404.7</v>
      </c>
      <c r="I147" s="2">
        <v>1046.3</v>
      </c>
      <c r="J147">
        <v>801.9</v>
      </c>
      <c r="K147">
        <v>613.1</v>
      </c>
      <c r="L147">
        <v>533.20000000000005</v>
      </c>
      <c r="M147">
        <v>310.8</v>
      </c>
      <c r="N147">
        <v>290</v>
      </c>
      <c r="O147">
        <v>227.15</v>
      </c>
      <c r="P147">
        <v>189.61</v>
      </c>
      <c r="Q147">
        <v>165.44</v>
      </c>
      <c r="R147">
        <v>141.49</v>
      </c>
      <c r="S147">
        <v>127.95</v>
      </c>
      <c r="T147">
        <v>124.93</v>
      </c>
      <c r="U147">
        <v>116.7</v>
      </c>
    </row>
    <row r="148" spans="1:21" x14ac:dyDescent="0.25">
      <c r="A148" t="s">
        <v>3546</v>
      </c>
      <c r="B148">
        <v>511.4</v>
      </c>
      <c r="C148">
        <v>539</v>
      </c>
      <c r="D148">
        <v>612.4</v>
      </c>
      <c r="E148">
        <v>770.5</v>
      </c>
      <c r="F148">
        <v>965.2</v>
      </c>
      <c r="G148">
        <v>757.9</v>
      </c>
      <c r="H148">
        <v>645.5</v>
      </c>
      <c r="I148">
        <v>510.3</v>
      </c>
      <c r="J148">
        <v>441.6</v>
      </c>
      <c r="K148">
        <v>367.3</v>
      </c>
      <c r="L148">
        <v>335.5</v>
      </c>
      <c r="M148">
        <v>152.1</v>
      </c>
      <c r="N148">
        <v>160</v>
      </c>
    </row>
    <row r="149" spans="1:21" x14ac:dyDescent="0.25">
      <c r="A149" t="s">
        <v>3548</v>
      </c>
      <c r="B149">
        <v>733.5</v>
      </c>
      <c r="C149">
        <v>783</v>
      </c>
      <c r="D149">
        <v>735.9</v>
      </c>
      <c r="E149">
        <v>729.4</v>
      </c>
      <c r="F149">
        <v>783.8</v>
      </c>
      <c r="G149">
        <v>817.7</v>
      </c>
      <c r="H149">
        <v>759.2</v>
      </c>
      <c r="I149">
        <v>536</v>
      </c>
      <c r="J149">
        <v>360.3</v>
      </c>
      <c r="K149">
        <v>245.8</v>
      </c>
      <c r="L149">
        <v>197.7</v>
      </c>
      <c r="M149">
        <v>158.69999999999999</v>
      </c>
      <c r="N149">
        <v>130</v>
      </c>
    </row>
    <row r="150" spans="1:21" x14ac:dyDescent="0.25">
      <c r="A150" t="s">
        <v>78</v>
      </c>
      <c r="B150">
        <v>173.9</v>
      </c>
      <c r="C150">
        <v>188.1</v>
      </c>
      <c r="D150">
        <v>137.5</v>
      </c>
      <c r="E150">
        <v>115.6</v>
      </c>
      <c r="F150">
        <v>151.69999999999999</v>
      </c>
      <c r="G150">
        <v>718.1</v>
      </c>
      <c r="H150">
        <v>484</v>
      </c>
      <c r="I150">
        <v>271.89999999999998</v>
      </c>
      <c r="J150">
        <v>181.3</v>
      </c>
      <c r="K150" s="2">
        <v>2177.8000000000002</v>
      </c>
      <c r="L150">
        <v>107.6</v>
      </c>
      <c r="M150">
        <v>118.6</v>
      </c>
      <c r="N150">
        <v>78</v>
      </c>
      <c r="O150">
        <v>170.57</v>
      </c>
      <c r="P150">
        <v>160.16</v>
      </c>
      <c r="Q150">
        <v>160.99</v>
      </c>
      <c r="R150">
        <v>192.68</v>
      </c>
      <c r="S150">
        <v>241.18</v>
      </c>
      <c r="T150">
        <v>344.45</v>
      </c>
      <c r="U150">
        <v>496.15</v>
      </c>
    </row>
    <row r="151" spans="1:21" x14ac:dyDescent="0.25">
      <c r="A151" t="s">
        <v>3596</v>
      </c>
      <c r="B151">
        <v>90.2</v>
      </c>
      <c r="C151">
        <v>95.1</v>
      </c>
      <c r="D151">
        <v>55.6</v>
      </c>
      <c r="E151">
        <v>42.6</v>
      </c>
      <c r="F151">
        <v>50.9</v>
      </c>
      <c r="G151">
        <v>325.10000000000002</v>
      </c>
      <c r="H151">
        <v>156.19999999999999</v>
      </c>
      <c r="I151">
        <v>88.4</v>
      </c>
      <c r="J151">
        <v>72.3</v>
      </c>
      <c r="K151" s="2">
        <v>2097.6</v>
      </c>
      <c r="L151">
        <v>35.799999999999997</v>
      </c>
      <c r="M151">
        <v>32.200000000000003</v>
      </c>
      <c r="N151">
        <v>30</v>
      </c>
      <c r="O151">
        <v>113.86</v>
      </c>
      <c r="P151">
        <v>101.95</v>
      </c>
      <c r="Q151" s="2">
        <v>1026.5999999999999</v>
      </c>
      <c r="R151" s="2">
        <v>1393.98</v>
      </c>
      <c r="S151" s="2">
        <v>1620.44</v>
      </c>
      <c r="T151" s="2">
        <v>1720.27</v>
      </c>
      <c r="U151" s="2">
        <v>1790.96</v>
      </c>
    </row>
    <row r="152" spans="1:21" x14ac:dyDescent="0.25">
      <c r="A152" t="s">
        <v>3548</v>
      </c>
      <c r="B152">
        <v>83.7</v>
      </c>
      <c r="C152">
        <v>93</v>
      </c>
      <c r="D152">
        <v>82</v>
      </c>
      <c r="E152">
        <v>84.9</v>
      </c>
      <c r="F152">
        <v>100.8</v>
      </c>
      <c r="G152">
        <v>393</v>
      </c>
      <c r="H152">
        <v>327.8</v>
      </c>
      <c r="I152">
        <v>183.4</v>
      </c>
      <c r="J152">
        <v>108.8</v>
      </c>
      <c r="K152">
        <v>80.2</v>
      </c>
      <c r="L152">
        <v>71.8</v>
      </c>
      <c r="M152">
        <v>86.4</v>
      </c>
      <c r="N152">
        <v>48</v>
      </c>
      <c r="O152">
        <v>52.49</v>
      </c>
      <c r="P152">
        <v>51.3</v>
      </c>
      <c r="Q152">
        <v>55.57</v>
      </c>
      <c r="R152">
        <v>74.760000000000005</v>
      </c>
      <c r="S152">
        <v>102.28</v>
      </c>
      <c r="T152">
        <v>152.51</v>
      </c>
      <c r="U152">
        <v>221.45</v>
      </c>
    </row>
    <row r="153" spans="1:21" x14ac:dyDescent="0.25">
      <c r="A153" t="s">
        <v>17</v>
      </c>
    </row>
    <row r="154" spans="1:21" x14ac:dyDescent="0.25">
      <c r="A154" t="s">
        <v>3597</v>
      </c>
    </row>
    <row r="155" spans="1:21" x14ac:dyDescent="0.25">
      <c r="A155" t="s">
        <v>17</v>
      </c>
    </row>
    <row r="156" spans="1:21" x14ac:dyDescent="0.25">
      <c r="A156" t="s">
        <v>3598</v>
      </c>
    </row>
    <row r="157" spans="1:21" x14ac:dyDescent="0.25">
      <c r="A157" t="s">
        <v>3599</v>
      </c>
      <c r="P157">
        <v>490.88</v>
      </c>
      <c r="Q157" s="2">
        <v>1692.74</v>
      </c>
      <c r="R157" s="2">
        <v>3776.24</v>
      </c>
      <c r="S157" s="2">
        <v>6426.92</v>
      </c>
      <c r="T157" s="2">
        <v>9022.4</v>
      </c>
      <c r="U157" s="2">
        <v>11242.75</v>
      </c>
    </row>
    <row r="158" spans="1:21" x14ac:dyDescent="0.25">
      <c r="A158" t="s">
        <v>473</v>
      </c>
    </row>
    <row r="159" spans="1:21" x14ac:dyDescent="0.25">
      <c r="A159" t="s">
        <v>3600</v>
      </c>
    </row>
    <row r="160" spans="1:21" x14ac:dyDescent="0.25">
      <c r="A160" t="s">
        <v>3601</v>
      </c>
      <c r="P160">
        <v>613.61</v>
      </c>
      <c r="Q160" s="2">
        <v>1708.43</v>
      </c>
      <c r="R160" s="2">
        <v>3235.77</v>
      </c>
      <c r="S160" s="2">
        <v>4801.4399999999996</v>
      </c>
      <c r="T160" s="2">
        <v>6491.23</v>
      </c>
      <c r="U160" s="2">
        <v>7805.68</v>
      </c>
    </row>
    <row r="161" spans="1:21" x14ac:dyDescent="0.25">
      <c r="A161" t="s">
        <v>1804</v>
      </c>
    </row>
    <row r="162" spans="1:21" x14ac:dyDescent="0.25">
      <c r="A162" t="s">
        <v>3600</v>
      </c>
      <c r="R162">
        <v>99.52</v>
      </c>
      <c r="S162">
        <v>413.11</v>
      </c>
      <c r="T162">
        <v>712.71</v>
      </c>
      <c r="U162">
        <v>760.74</v>
      </c>
    </row>
    <row r="163" spans="1:21" x14ac:dyDescent="0.25">
      <c r="A163" t="s">
        <v>3601</v>
      </c>
      <c r="Q163">
        <v>172.24</v>
      </c>
      <c r="R163">
        <v>410.28</v>
      </c>
      <c r="S163">
        <v>739.44</v>
      </c>
      <c r="T163" s="2">
        <v>1474.68</v>
      </c>
      <c r="U163" s="2">
        <v>2190.2399999999998</v>
      </c>
    </row>
    <row r="164" spans="1:21" x14ac:dyDescent="0.25">
      <c r="A164" t="s">
        <v>3602</v>
      </c>
      <c r="O164">
        <v>101.54</v>
      </c>
      <c r="P164">
        <v>144.18</v>
      </c>
      <c r="Q164">
        <v>617.58000000000004</v>
      </c>
      <c r="R164">
        <v>909.02</v>
      </c>
      <c r="S164">
        <v>855.2</v>
      </c>
      <c r="T164" s="2">
        <v>1323.31</v>
      </c>
      <c r="U164" s="2">
        <v>1364.25</v>
      </c>
    </row>
    <row r="165" spans="1:21" x14ac:dyDescent="0.25">
      <c r="A165" t="s">
        <v>3603</v>
      </c>
      <c r="O165">
        <v>177.62</v>
      </c>
      <c r="P165">
        <v>221.5</v>
      </c>
      <c r="Q165">
        <v>340.98</v>
      </c>
      <c r="R165">
        <v>497.1</v>
      </c>
      <c r="S165">
        <v>688.33</v>
      </c>
      <c r="T165" s="2">
        <v>1267.6099999999999</v>
      </c>
      <c r="U165" s="2">
        <v>1525.22</v>
      </c>
    </row>
    <row r="166" spans="1:21" x14ac:dyDescent="0.25">
      <c r="A166" t="s">
        <v>3604</v>
      </c>
      <c r="O166">
        <v>135.75</v>
      </c>
      <c r="P166">
        <v>172</v>
      </c>
      <c r="Q166">
        <v>146.88</v>
      </c>
      <c r="R166">
        <v>134.44</v>
      </c>
      <c r="S166">
        <v>200.75</v>
      </c>
      <c r="T166">
        <v>285</v>
      </c>
      <c r="U166">
        <v>393.33</v>
      </c>
    </row>
    <row r="167" spans="1:21" x14ac:dyDescent="0.25">
      <c r="A167" t="s">
        <v>3605</v>
      </c>
      <c r="P167">
        <v>35</v>
      </c>
      <c r="Q167">
        <v>87.5</v>
      </c>
      <c r="R167">
        <v>67.92</v>
      </c>
      <c r="S167">
        <v>116.08</v>
      </c>
      <c r="T167">
        <v>166.77</v>
      </c>
      <c r="U167">
        <v>223.12</v>
      </c>
    </row>
    <row r="168" spans="1:21" x14ac:dyDescent="0.25">
      <c r="A168" t="s">
        <v>3606</v>
      </c>
      <c r="O168">
        <v>10</v>
      </c>
      <c r="P168">
        <v>44.5</v>
      </c>
      <c r="Q168">
        <v>96</v>
      </c>
      <c r="R168">
        <v>176.75</v>
      </c>
      <c r="S168">
        <v>208.75</v>
      </c>
      <c r="T168">
        <v>236.85</v>
      </c>
      <c r="U168">
        <v>264.95</v>
      </c>
    </row>
    <row r="169" spans="1:21" x14ac:dyDescent="0.25">
      <c r="A169" t="s">
        <v>3607</v>
      </c>
      <c r="Q169">
        <v>250</v>
      </c>
      <c r="R169">
        <v>325</v>
      </c>
      <c r="S169">
        <v>380.25</v>
      </c>
      <c r="T169">
        <v>609.74</v>
      </c>
      <c r="U169">
        <v>841.32</v>
      </c>
    </row>
    <row r="170" spans="1:21" x14ac:dyDescent="0.25">
      <c r="A170" t="s">
        <v>3608</v>
      </c>
      <c r="O170">
        <v>25</v>
      </c>
      <c r="P170">
        <v>62.24</v>
      </c>
      <c r="Q170">
        <v>173.18</v>
      </c>
      <c r="R170">
        <v>293.45999999999998</v>
      </c>
      <c r="S170">
        <v>408.85</v>
      </c>
      <c r="T170">
        <v>549.17999999999995</v>
      </c>
      <c r="U170">
        <v>674.34</v>
      </c>
    </row>
    <row r="171" spans="1:21" x14ac:dyDescent="0.25">
      <c r="A171" t="s">
        <v>3609</v>
      </c>
      <c r="Q171">
        <v>468.32</v>
      </c>
      <c r="R171" s="2">
        <v>1151.17</v>
      </c>
      <c r="S171" s="2">
        <v>3063.85</v>
      </c>
      <c r="T171" s="2">
        <v>5274.8</v>
      </c>
      <c r="U171" s="2">
        <v>8620.5400000000009</v>
      </c>
    </row>
    <row r="172" spans="1:21" x14ac:dyDescent="0.25">
      <c r="A172" t="s">
        <v>3610</v>
      </c>
      <c r="R172">
        <v>400</v>
      </c>
      <c r="S172">
        <v>519.74</v>
      </c>
      <c r="T172" s="2">
        <v>1059.55</v>
      </c>
      <c r="U172" s="2">
        <v>1829.32</v>
      </c>
    </row>
    <row r="173" spans="1:21" x14ac:dyDescent="0.25">
      <c r="A173" t="s">
        <v>3611</v>
      </c>
      <c r="O173">
        <v>18.88</v>
      </c>
      <c r="P173">
        <v>82.02</v>
      </c>
      <c r="Q173">
        <v>158.02000000000001</v>
      </c>
      <c r="R173">
        <v>295.29000000000002</v>
      </c>
      <c r="S173">
        <v>431.39</v>
      </c>
      <c r="T173">
        <v>802.23</v>
      </c>
      <c r="U173" s="2">
        <v>1174.1600000000001</v>
      </c>
    </row>
    <row r="174" spans="1:21" x14ac:dyDescent="0.25">
      <c r="A174" t="s">
        <v>3612</v>
      </c>
      <c r="P174">
        <v>81.56</v>
      </c>
      <c r="Q174">
        <v>145.66999999999999</v>
      </c>
      <c r="R174">
        <v>352.51</v>
      </c>
      <c r="S174">
        <v>621.1</v>
      </c>
      <c r="T174">
        <v>618.25</v>
      </c>
      <c r="U174">
        <v>779.72</v>
      </c>
    </row>
    <row r="175" spans="1:21" x14ac:dyDescent="0.25">
      <c r="A175" t="s">
        <v>3613</v>
      </c>
      <c r="Q175">
        <v>60</v>
      </c>
      <c r="R175">
        <v>300.14999999999998</v>
      </c>
      <c r="S175">
        <v>599.98</v>
      </c>
      <c r="T175">
        <v>899.97</v>
      </c>
      <c r="U175" s="2">
        <v>1169.96</v>
      </c>
    </row>
    <row r="176" spans="1:21" x14ac:dyDescent="0.25">
      <c r="A176" t="s">
        <v>3614</v>
      </c>
      <c r="R176">
        <v>500</v>
      </c>
      <c r="S176">
        <v>748.71</v>
      </c>
      <c r="T176">
        <v>973.32</v>
      </c>
      <c r="U176" s="2">
        <v>1167.98</v>
      </c>
    </row>
    <row r="177" spans="1:21" x14ac:dyDescent="0.25">
      <c r="A177" t="s">
        <v>17</v>
      </c>
    </row>
    <row r="178" spans="1:21" x14ac:dyDescent="0.25">
      <c r="A178" t="s">
        <v>51</v>
      </c>
    </row>
    <row r="179" spans="1:21" x14ac:dyDescent="0.25">
      <c r="A179" t="s">
        <v>3615</v>
      </c>
      <c r="I179">
        <v>20</v>
      </c>
      <c r="J179">
        <v>15.2</v>
      </c>
      <c r="K179">
        <v>0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</row>
    <row r="180" spans="1:21" x14ac:dyDescent="0.25">
      <c r="A180" t="s">
        <v>3616</v>
      </c>
      <c r="I180">
        <v>871.2</v>
      </c>
      <c r="J180" s="2">
        <v>2239.1999999999998</v>
      </c>
      <c r="K180" s="2">
        <v>2023.5</v>
      </c>
      <c r="O180">
        <v>531</v>
      </c>
      <c r="P180" s="2">
        <v>3053</v>
      </c>
      <c r="Q180" s="2">
        <v>8165.5</v>
      </c>
      <c r="R180" s="2">
        <v>14691.44</v>
      </c>
      <c r="S180" s="2">
        <v>25381.73</v>
      </c>
      <c r="T180" s="2">
        <v>38790.39</v>
      </c>
      <c r="U180" s="2">
        <v>54031.56</v>
      </c>
    </row>
    <row r="181" spans="1:21" x14ac:dyDescent="0.25">
      <c r="A181" t="s">
        <v>3617</v>
      </c>
      <c r="B181">
        <v>97.8</v>
      </c>
      <c r="C181">
        <v>104.6</v>
      </c>
      <c r="D181">
        <v>120.7</v>
      </c>
      <c r="E181">
        <v>133</v>
      </c>
      <c r="F181">
        <v>142.19999999999999</v>
      </c>
      <c r="G181">
        <v>149.1</v>
      </c>
      <c r="H181">
        <v>132.80000000000001</v>
      </c>
      <c r="I181">
        <v>97.8</v>
      </c>
      <c r="J181">
        <v>50.4</v>
      </c>
      <c r="K181">
        <v>32.5</v>
      </c>
      <c r="O181">
        <v>17.52</v>
      </c>
      <c r="P181">
        <v>10.01</v>
      </c>
      <c r="Q181">
        <v>10</v>
      </c>
      <c r="R181">
        <v>10</v>
      </c>
      <c r="S181">
        <v>10</v>
      </c>
      <c r="T181">
        <v>10</v>
      </c>
      <c r="U181">
        <v>10</v>
      </c>
    </row>
    <row r="182" spans="1:21" x14ac:dyDescent="0.25">
      <c r="A182" t="s">
        <v>3618</v>
      </c>
      <c r="B182">
        <v>709.2</v>
      </c>
      <c r="C182">
        <v>738.5</v>
      </c>
      <c r="D182">
        <v>784</v>
      </c>
      <c r="E182">
        <v>854.7</v>
      </c>
      <c r="F182">
        <v>618.1</v>
      </c>
      <c r="G182">
        <v>450.8</v>
      </c>
      <c r="H182">
        <v>242.5</v>
      </c>
      <c r="I182">
        <v>128.5</v>
      </c>
      <c r="J182">
        <v>150.4</v>
      </c>
      <c r="K182">
        <v>116.2</v>
      </c>
      <c r="O182">
        <v>36.46</v>
      </c>
      <c r="P182">
        <v>29.4</v>
      </c>
      <c r="Q182">
        <v>23.3</v>
      </c>
      <c r="R182">
        <v>214.65</v>
      </c>
      <c r="S182">
        <v>812.2</v>
      </c>
      <c r="T182" s="2">
        <v>1410</v>
      </c>
      <c r="U182" s="2">
        <v>2009.24</v>
      </c>
    </row>
    <row r="183" spans="1:21" x14ac:dyDescent="0.25">
      <c r="A183" t="s">
        <v>3619</v>
      </c>
      <c r="E183">
        <v>11.9</v>
      </c>
      <c r="F183">
        <v>203</v>
      </c>
      <c r="G183">
        <v>304.8</v>
      </c>
      <c r="H183">
        <v>59.7</v>
      </c>
    </row>
    <row r="184" spans="1:21" x14ac:dyDescent="0.25">
      <c r="A184" t="s">
        <v>3620</v>
      </c>
      <c r="B184">
        <v>174.9</v>
      </c>
      <c r="C184">
        <v>170.3</v>
      </c>
      <c r="D184">
        <v>154.6</v>
      </c>
      <c r="E184">
        <v>181.6</v>
      </c>
      <c r="F184">
        <v>167.8</v>
      </c>
      <c r="G184">
        <v>159.30000000000001</v>
      </c>
      <c r="H184">
        <v>150.6</v>
      </c>
    </row>
    <row r="185" spans="1:21" x14ac:dyDescent="0.25">
      <c r="A185" t="s">
        <v>3621</v>
      </c>
    </row>
    <row r="186" spans="1:21" x14ac:dyDescent="0.25">
      <c r="A186" t="s">
        <v>3622</v>
      </c>
      <c r="H186">
        <v>22.4</v>
      </c>
      <c r="I186">
        <v>76.099999999999994</v>
      </c>
      <c r="J186">
        <v>113.2</v>
      </c>
      <c r="K186">
        <v>139.30000000000001</v>
      </c>
      <c r="L186">
        <v>677.6</v>
      </c>
      <c r="M186">
        <v>29.1</v>
      </c>
    </row>
    <row r="187" spans="1:21" x14ac:dyDescent="0.25">
      <c r="A187" t="s">
        <v>3623</v>
      </c>
      <c r="B187" s="2">
        <v>1194.8</v>
      </c>
      <c r="C187" s="2">
        <v>1037.3</v>
      </c>
      <c r="D187">
        <v>940.3</v>
      </c>
      <c r="E187">
        <v>725.3</v>
      </c>
      <c r="F187">
        <v>581.1</v>
      </c>
      <c r="G187">
        <v>471.3</v>
      </c>
      <c r="H187">
        <v>418.7</v>
      </c>
      <c r="I187">
        <v>406.5</v>
      </c>
      <c r="J187">
        <v>430.3</v>
      </c>
      <c r="K187">
        <v>336.9</v>
      </c>
      <c r="L187" s="2">
        <v>1694.8</v>
      </c>
      <c r="M187">
        <v>116.3</v>
      </c>
      <c r="O187">
        <v>28.48</v>
      </c>
      <c r="P187">
        <v>27.05</v>
      </c>
      <c r="Q187">
        <v>25.7</v>
      </c>
      <c r="R187">
        <v>24.42</v>
      </c>
      <c r="S187">
        <v>23.2</v>
      </c>
      <c r="T187">
        <v>22.04</v>
      </c>
      <c r="U187">
        <v>20.93</v>
      </c>
    </row>
    <row r="188" spans="1:21" x14ac:dyDescent="0.25">
      <c r="A188" t="s">
        <v>3624</v>
      </c>
      <c r="H188">
        <v>0</v>
      </c>
      <c r="I188">
        <v>14.6</v>
      </c>
      <c r="J188">
        <v>17.600000000000001</v>
      </c>
      <c r="K188">
        <v>12.1</v>
      </c>
    </row>
    <row r="189" spans="1:21" x14ac:dyDescent="0.25">
      <c r="A189" t="s">
        <v>3625</v>
      </c>
      <c r="B189" s="2">
        <v>5084.3999999999996</v>
      </c>
      <c r="C189" s="2">
        <v>1614.7</v>
      </c>
      <c r="D189" s="2">
        <v>1027.5999999999999</v>
      </c>
      <c r="E189">
        <v>930.5</v>
      </c>
      <c r="F189">
        <v>757.2</v>
      </c>
      <c r="G189">
        <v>708</v>
      </c>
      <c r="H189">
        <v>725.4</v>
      </c>
      <c r="I189">
        <v>767.7</v>
      </c>
      <c r="J189">
        <v>581.5</v>
      </c>
      <c r="K189">
        <v>283.3</v>
      </c>
      <c r="L189">
        <v>242.6</v>
      </c>
      <c r="M189">
        <v>199.1</v>
      </c>
      <c r="N189">
        <v>63</v>
      </c>
      <c r="O189">
        <v>56.14</v>
      </c>
      <c r="P189">
        <v>52.46</v>
      </c>
      <c r="Q189">
        <v>49.52</v>
      </c>
      <c r="R189">
        <v>46.7</v>
      </c>
      <c r="S189">
        <v>43.97</v>
      </c>
      <c r="T189">
        <v>41.69</v>
      </c>
      <c r="U189">
        <v>39.46</v>
      </c>
    </row>
    <row r="190" spans="1:21" x14ac:dyDescent="0.25">
      <c r="A190" t="s">
        <v>473</v>
      </c>
      <c r="B190" s="2">
        <v>3960.8</v>
      </c>
      <c r="C190">
        <v>420.5</v>
      </c>
      <c r="D190">
        <v>144.6</v>
      </c>
      <c r="E190">
        <v>269.3</v>
      </c>
      <c r="F190">
        <v>114.9</v>
      </c>
      <c r="G190">
        <v>54.3</v>
      </c>
      <c r="H190">
        <v>49.6</v>
      </c>
      <c r="I190">
        <v>42.1</v>
      </c>
      <c r="J190">
        <v>38.700000000000003</v>
      </c>
      <c r="K190">
        <v>33.700000000000003</v>
      </c>
      <c r="L190">
        <v>30.6</v>
      </c>
      <c r="M190">
        <v>26.7</v>
      </c>
      <c r="N190">
        <v>11</v>
      </c>
      <c r="O190">
        <v>11.06</v>
      </c>
      <c r="P190">
        <v>9.3800000000000008</v>
      </c>
      <c r="Q190">
        <v>9.07</v>
      </c>
      <c r="R190">
        <v>8.81</v>
      </c>
      <c r="S190">
        <v>8.5500000000000007</v>
      </c>
      <c r="T190">
        <v>8.3699999999999992</v>
      </c>
      <c r="U190">
        <v>8.1999999999999993</v>
      </c>
    </row>
    <row r="191" spans="1:21" x14ac:dyDescent="0.25">
      <c r="A191" t="s">
        <v>1804</v>
      </c>
      <c r="B191" s="2">
        <v>1123.5999999999999</v>
      </c>
      <c r="C191" s="2">
        <v>1194.2</v>
      </c>
      <c r="D191">
        <v>883</v>
      </c>
      <c r="E191">
        <v>661.2</v>
      </c>
      <c r="F191">
        <v>642.20000000000005</v>
      </c>
      <c r="G191">
        <v>653.70000000000005</v>
      </c>
      <c r="H191">
        <v>675.8</v>
      </c>
      <c r="I191">
        <v>725.6</v>
      </c>
      <c r="J191">
        <v>542.79999999999995</v>
      </c>
      <c r="K191">
        <v>249.6</v>
      </c>
      <c r="L191">
        <v>211.9</v>
      </c>
      <c r="M191">
        <v>172.5</v>
      </c>
      <c r="N191">
        <v>52</v>
      </c>
      <c r="O191">
        <v>43.61</v>
      </c>
      <c r="P191">
        <v>41.49</v>
      </c>
      <c r="Q191">
        <v>38.5</v>
      </c>
      <c r="R191">
        <v>35.58</v>
      </c>
      <c r="S191">
        <v>32.71</v>
      </c>
      <c r="T191">
        <v>30.32</v>
      </c>
      <c r="U191">
        <v>27.94</v>
      </c>
    </row>
    <row r="192" spans="1:21" x14ac:dyDescent="0.25">
      <c r="A192" t="s">
        <v>3626</v>
      </c>
      <c r="B192">
        <v>357.6</v>
      </c>
      <c r="C192">
        <v>325.2</v>
      </c>
      <c r="D192">
        <v>312.39999999999998</v>
      </c>
      <c r="E192">
        <v>304.5</v>
      </c>
      <c r="F192">
        <v>329.9</v>
      </c>
      <c r="G192">
        <v>307</v>
      </c>
      <c r="H192">
        <v>277.7</v>
      </c>
      <c r="I192">
        <v>296.3</v>
      </c>
      <c r="J192">
        <v>189</v>
      </c>
      <c r="K192">
        <v>141.5</v>
      </c>
      <c r="L192">
        <v>99.9</v>
      </c>
      <c r="M192">
        <v>79.5</v>
      </c>
      <c r="N192">
        <v>113</v>
      </c>
      <c r="O192">
        <v>66.459999999999994</v>
      </c>
      <c r="P192">
        <v>53.12</v>
      </c>
      <c r="Q192">
        <v>44.23</v>
      </c>
      <c r="R192">
        <v>36.18</v>
      </c>
      <c r="S192">
        <v>24.9</v>
      </c>
      <c r="T192">
        <v>21.04</v>
      </c>
      <c r="U192">
        <v>17.2</v>
      </c>
    </row>
    <row r="193" spans="1:21" x14ac:dyDescent="0.25">
      <c r="A193" t="s">
        <v>473</v>
      </c>
      <c r="B193">
        <v>138.80000000000001</v>
      </c>
      <c r="C193">
        <v>122.7</v>
      </c>
      <c r="D193">
        <v>137.4</v>
      </c>
      <c r="E193">
        <v>132.9</v>
      </c>
      <c r="F193">
        <v>163.19999999999999</v>
      </c>
      <c r="G193">
        <v>146.69999999999999</v>
      </c>
      <c r="H193">
        <v>135.69999999999999</v>
      </c>
      <c r="I193">
        <v>157.9</v>
      </c>
      <c r="J193">
        <v>63.9</v>
      </c>
      <c r="K193">
        <v>55.6</v>
      </c>
      <c r="L193">
        <v>61.9</v>
      </c>
      <c r="M193">
        <v>46</v>
      </c>
      <c r="N193">
        <v>89</v>
      </c>
    </row>
    <row r="194" spans="1:21" x14ac:dyDescent="0.25">
      <c r="A194" t="s">
        <v>1804</v>
      </c>
      <c r="B194">
        <v>218.8</v>
      </c>
      <c r="C194">
        <v>202.5</v>
      </c>
      <c r="D194">
        <v>174.8</v>
      </c>
      <c r="E194">
        <v>171.5</v>
      </c>
      <c r="F194">
        <v>166.7</v>
      </c>
      <c r="G194">
        <v>160.30000000000001</v>
      </c>
      <c r="H194">
        <v>142</v>
      </c>
      <c r="I194">
        <v>138.4</v>
      </c>
      <c r="J194">
        <v>125.1</v>
      </c>
      <c r="K194">
        <v>85.9</v>
      </c>
      <c r="L194">
        <v>38.1</v>
      </c>
      <c r="M194">
        <v>33.5</v>
      </c>
      <c r="N194">
        <v>24</v>
      </c>
    </row>
    <row r="195" spans="1:21" x14ac:dyDescent="0.25">
      <c r="A195" t="s">
        <v>17</v>
      </c>
    </row>
    <row r="196" spans="1:21" x14ac:dyDescent="0.25">
      <c r="A196" t="s">
        <v>3627</v>
      </c>
    </row>
    <row r="197" spans="1:21" x14ac:dyDescent="0.25">
      <c r="A197" t="s">
        <v>17</v>
      </c>
    </row>
    <row r="198" spans="1:21" x14ac:dyDescent="0.25">
      <c r="A198" t="s">
        <v>3628</v>
      </c>
    </row>
    <row r="199" spans="1:21" x14ac:dyDescent="0.25">
      <c r="A199" t="s">
        <v>73</v>
      </c>
    </row>
    <row r="200" spans="1:21" x14ac:dyDescent="0.25">
      <c r="A200" t="s">
        <v>3629</v>
      </c>
    </row>
    <row r="201" spans="1:21" x14ac:dyDescent="0.25">
      <c r="A201" t="s">
        <v>3630</v>
      </c>
    </row>
    <row r="202" spans="1:21" x14ac:dyDescent="0.25">
      <c r="A202" t="s">
        <v>3631</v>
      </c>
    </row>
    <row r="203" spans="1:21" x14ac:dyDescent="0.25">
      <c r="A203" t="s">
        <v>3549</v>
      </c>
    </row>
    <row r="204" spans="1:21" x14ac:dyDescent="0.25">
      <c r="A204" t="s">
        <v>3632</v>
      </c>
    </row>
    <row r="205" spans="1:21" x14ac:dyDescent="0.25">
      <c r="A205" t="s">
        <v>3633</v>
      </c>
    </row>
    <row r="206" spans="1:21" x14ac:dyDescent="0.25">
      <c r="A206" t="s">
        <v>3634</v>
      </c>
    </row>
    <row r="207" spans="1:21" x14ac:dyDescent="0.25">
      <c r="A207" t="s">
        <v>3635</v>
      </c>
    </row>
    <row r="208" spans="1:21" x14ac:dyDescent="0.25">
      <c r="A208" t="s">
        <v>3636</v>
      </c>
      <c r="O208">
        <v>70.41</v>
      </c>
      <c r="P208">
        <v>70.959999999999994</v>
      </c>
      <c r="Q208">
        <v>71.48</v>
      </c>
      <c r="R208">
        <v>71.97</v>
      </c>
      <c r="S208">
        <v>72.44</v>
      </c>
      <c r="T208">
        <v>72.89</v>
      </c>
      <c r="U208">
        <v>73.31</v>
      </c>
    </row>
    <row r="209" spans="1:21" x14ac:dyDescent="0.25">
      <c r="A209" t="s">
        <v>3637</v>
      </c>
    </row>
    <row r="210" spans="1:21" x14ac:dyDescent="0.25">
      <c r="A210" t="s">
        <v>1317</v>
      </c>
      <c r="C210">
        <v>10.199999999999999</v>
      </c>
      <c r="D210">
        <v>207.7</v>
      </c>
      <c r="E210">
        <v>737.6</v>
      </c>
      <c r="F210" s="2">
        <v>1609.8</v>
      </c>
      <c r="G210" s="2">
        <v>2515.8000000000002</v>
      </c>
      <c r="H210" s="2">
        <v>3155.2</v>
      </c>
      <c r="I210" s="2">
        <v>3835.9</v>
      </c>
      <c r="J210" s="2">
        <v>4914.3999999999996</v>
      </c>
      <c r="K210" s="2">
        <v>5688.8</v>
      </c>
      <c r="L210" s="2">
        <v>5433.3</v>
      </c>
      <c r="M210" s="2">
        <v>3693.8</v>
      </c>
      <c r="N210" s="2">
        <v>2914</v>
      </c>
      <c r="O210" s="2">
        <v>2517.64</v>
      </c>
      <c r="P210" s="2">
        <v>1770.24</v>
      </c>
      <c r="Q210" s="2">
        <v>1158.8900000000001</v>
      </c>
      <c r="R210">
        <v>714.79</v>
      </c>
      <c r="S210">
        <v>526.39</v>
      </c>
      <c r="T210">
        <v>399.02</v>
      </c>
      <c r="U210">
        <v>280.69</v>
      </c>
    </row>
    <row r="211" spans="1:21" x14ac:dyDescent="0.25">
      <c r="A211" t="s">
        <v>74</v>
      </c>
    </row>
    <row r="212" spans="1:21" x14ac:dyDescent="0.25">
      <c r="A212" t="s">
        <v>3629</v>
      </c>
      <c r="O212" s="2">
        <v>37451959.109999999</v>
      </c>
      <c r="P212" s="2">
        <v>37639218.909999996</v>
      </c>
      <c r="Q212" s="2">
        <v>37827415</v>
      </c>
      <c r="R212" s="2">
        <v>38016552.079999998</v>
      </c>
      <c r="S212" s="2">
        <v>38206634.840000004</v>
      </c>
      <c r="T212" s="2">
        <v>38397668.009999998</v>
      </c>
      <c r="U212" s="2">
        <v>38589656.350000001</v>
      </c>
    </row>
    <row r="213" spans="1:21" x14ac:dyDescent="0.25">
      <c r="A213" t="s">
        <v>3638</v>
      </c>
      <c r="O213" s="2">
        <v>23586977.75</v>
      </c>
      <c r="P213" s="2">
        <v>23822847.52</v>
      </c>
      <c r="Q213" s="2">
        <v>24061076</v>
      </c>
      <c r="R213" s="2">
        <v>24301686.760000002</v>
      </c>
      <c r="S213" s="2">
        <v>24544703.629999999</v>
      </c>
      <c r="T213" s="2">
        <v>24790150.66</v>
      </c>
      <c r="U213" s="2">
        <v>25038052.170000002</v>
      </c>
    </row>
    <row r="214" spans="1:21" x14ac:dyDescent="0.25">
      <c r="A214" t="s">
        <v>3631</v>
      </c>
    </row>
    <row r="215" spans="1:21" x14ac:dyDescent="0.25">
      <c r="A215" t="s">
        <v>3549</v>
      </c>
    </row>
    <row r="216" spans="1:21" x14ac:dyDescent="0.25">
      <c r="A216" t="s">
        <v>3632</v>
      </c>
    </row>
    <row r="217" spans="1:21" x14ac:dyDescent="0.25">
      <c r="A217" t="s">
        <v>3633</v>
      </c>
    </row>
    <row r="218" spans="1:21" x14ac:dyDescent="0.25">
      <c r="A218" t="s">
        <v>3634</v>
      </c>
    </row>
    <row r="219" spans="1:21" x14ac:dyDescent="0.25">
      <c r="A219" t="s">
        <v>3635</v>
      </c>
    </row>
    <row r="220" spans="1:21" x14ac:dyDescent="0.25">
      <c r="A220" t="s">
        <v>3636</v>
      </c>
    </row>
    <row r="221" spans="1:21" x14ac:dyDescent="0.25">
      <c r="A221" t="s">
        <v>3637</v>
      </c>
    </row>
    <row r="222" spans="1:21" x14ac:dyDescent="0.25">
      <c r="A222" t="s">
        <v>1317</v>
      </c>
      <c r="C222">
        <v>1.1000000000000001</v>
      </c>
      <c r="D222">
        <v>41</v>
      </c>
      <c r="E222">
        <v>187.9</v>
      </c>
      <c r="F222">
        <v>419.9</v>
      </c>
      <c r="G222">
        <v>683.3</v>
      </c>
      <c r="H222">
        <v>972.7</v>
      </c>
      <c r="I222" s="2">
        <v>1232.2</v>
      </c>
      <c r="J222" s="2">
        <v>1557.6</v>
      </c>
      <c r="K222" s="2">
        <v>1750.9</v>
      </c>
      <c r="L222" s="2">
        <v>1699.2</v>
      </c>
      <c r="M222" s="2">
        <v>1559.7</v>
      </c>
      <c r="N222" s="2">
        <v>1362</v>
      </c>
      <c r="O222" s="2">
        <v>1195.8399999999999</v>
      </c>
      <c r="P222">
        <v>954.95</v>
      </c>
      <c r="Q222">
        <v>748.82</v>
      </c>
      <c r="R222">
        <v>569.63</v>
      </c>
      <c r="S222">
        <v>417.12</v>
      </c>
      <c r="T222">
        <v>321.57</v>
      </c>
      <c r="U222">
        <v>254.32</v>
      </c>
    </row>
    <row r="223" spans="1:21" x14ac:dyDescent="0.25">
      <c r="A223" t="s">
        <v>17</v>
      </c>
    </row>
    <row r="224" spans="1:21" x14ac:dyDescent="0.25">
      <c r="A224" t="s">
        <v>3628</v>
      </c>
    </row>
    <row r="225" spans="1:21" x14ac:dyDescent="0.25">
      <c r="A225" t="s">
        <v>73</v>
      </c>
    </row>
    <row r="226" spans="1:21" x14ac:dyDescent="0.25">
      <c r="A226" t="s">
        <v>3639</v>
      </c>
    </row>
    <row r="227" spans="1:21" x14ac:dyDescent="0.25">
      <c r="A227" t="s">
        <v>3630</v>
      </c>
    </row>
    <row r="228" spans="1:21" x14ac:dyDescent="0.25">
      <c r="A228" t="s">
        <v>3640</v>
      </c>
      <c r="O228" s="2">
        <v>13452743.710000001</v>
      </c>
      <c r="P228" s="2">
        <v>13520007.43</v>
      </c>
      <c r="Q228" s="2">
        <v>13587607.470000001</v>
      </c>
      <c r="R228" s="2">
        <v>13655545.51</v>
      </c>
      <c r="S228" s="2">
        <v>13723823.23</v>
      </c>
      <c r="T228" s="2">
        <v>13792442.35</v>
      </c>
      <c r="U228" s="2">
        <v>13861404.560000001</v>
      </c>
    </row>
    <row r="229" spans="1:21" x14ac:dyDescent="0.25">
      <c r="A229" t="s">
        <v>3641</v>
      </c>
    </row>
    <row r="230" spans="1:21" x14ac:dyDescent="0.25">
      <c r="A230" t="s">
        <v>3633</v>
      </c>
    </row>
    <row r="231" spans="1:21" x14ac:dyDescent="0.25">
      <c r="A231" t="s">
        <v>3545</v>
      </c>
    </row>
    <row r="232" spans="1:21" x14ac:dyDescent="0.25">
      <c r="A232" t="s">
        <v>3642</v>
      </c>
    </row>
    <row r="233" spans="1:21" x14ac:dyDescent="0.25">
      <c r="A233" t="s">
        <v>3643</v>
      </c>
    </row>
    <row r="234" spans="1:21" x14ac:dyDescent="0.25">
      <c r="A234" t="s">
        <v>3644</v>
      </c>
    </row>
    <row r="235" spans="1:21" x14ac:dyDescent="0.25">
      <c r="A235" t="s">
        <v>3632</v>
      </c>
    </row>
    <row r="236" spans="1:21" x14ac:dyDescent="0.25">
      <c r="A236" t="s">
        <v>3634</v>
      </c>
    </row>
    <row r="237" spans="1:21" x14ac:dyDescent="0.25">
      <c r="A237" t="s">
        <v>3635</v>
      </c>
      <c r="O237">
        <v>14.38</v>
      </c>
      <c r="P237">
        <v>15.31</v>
      </c>
      <c r="Q237">
        <v>15.56</v>
      </c>
      <c r="R237">
        <v>11.09</v>
      </c>
      <c r="S237">
        <v>11.36</v>
      </c>
      <c r="T237">
        <v>9.2100000000000009</v>
      </c>
      <c r="U237">
        <v>7.93</v>
      </c>
    </row>
    <row r="238" spans="1:21" x14ac:dyDescent="0.25">
      <c r="A238" t="s">
        <v>3636</v>
      </c>
    </row>
    <row r="239" spans="1:21" x14ac:dyDescent="0.25">
      <c r="A239" t="s">
        <v>3637</v>
      </c>
    </row>
    <row r="240" spans="1:21" x14ac:dyDescent="0.25">
      <c r="A240" t="s">
        <v>1317</v>
      </c>
      <c r="K240">
        <v>366.6</v>
      </c>
      <c r="L240" s="2">
        <v>4834.2</v>
      </c>
      <c r="M240" s="2">
        <v>8949.9</v>
      </c>
      <c r="N240" s="2">
        <v>13651</v>
      </c>
      <c r="O240" s="2">
        <v>18691.52</v>
      </c>
      <c r="P240" s="2">
        <v>21214.42</v>
      </c>
      <c r="Q240" s="2">
        <v>22448.62</v>
      </c>
      <c r="R240" s="2">
        <v>23017.61</v>
      </c>
      <c r="S240" s="2">
        <v>22948.29</v>
      </c>
      <c r="T240" s="2">
        <v>22973.64</v>
      </c>
      <c r="U240" s="2">
        <v>22664.9</v>
      </c>
    </row>
    <row r="241" spans="1:21" x14ac:dyDescent="0.25">
      <c r="A241" t="s">
        <v>74</v>
      </c>
    </row>
    <row r="242" spans="1:21" x14ac:dyDescent="0.25">
      <c r="A242" t="s">
        <v>3639</v>
      </c>
    </row>
    <row r="243" spans="1:21" x14ac:dyDescent="0.25">
      <c r="A243" t="s">
        <v>3630</v>
      </c>
    </row>
    <row r="244" spans="1:21" x14ac:dyDescent="0.25">
      <c r="A244" t="s">
        <v>3640</v>
      </c>
      <c r="O244" s="2">
        <v>8161202.2699999996</v>
      </c>
      <c r="P244" s="2">
        <v>8242814.29</v>
      </c>
      <c r="Q244" s="2">
        <v>8325242.4299999997</v>
      </c>
      <c r="R244" s="2">
        <v>8408494.8599999994</v>
      </c>
      <c r="S244" s="2">
        <v>8492579.8100000005</v>
      </c>
      <c r="T244" s="2">
        <v>8577505.5999999996</v>
      </c>
      <c r="U244" s="2">
        <v>8663280.6600000001</v>
      </c>
    </row>
    <row r="245" spans="1:21" x14ac:dyDescent="0.25">
      <c r="A245" t="s">
        <v>3545</v>
      </c>
    </row>
    <row r="246" spans="1:21" x14ac:dyDescent="0.25">
      <c r="A246" t="s">
        <v>3642</v>
      </c>
    </row>
    <row r="247" spans="1:21" x14ac:dyDescent="0.25">
      <c r="A247" t="s">
        <v>3643</v>
      </c>
    </row>
    <row r="248" spans="1:21" x14ac:dyDescent="0.25">
      <c r="A248" t="s">
        <v>3644</v>
      </c>
    </row>
    <row r="249" spans="1:21" x14ac:dyDescent="0.25">
      <c r="A249" t="s">
        <v>3632</v>
      </c>
    </row>
    <row r="250" spans="1:21" x14ac:dyDescent="0.25">
      <c r="A250" t="s">
        <v>3634</v>
      </c>
      <c r="O250" s="2">
        <v>3723.76</v>
      </c>
      <c r="P250" s="2">
        <v>3835.47</v>
      </c>
      <c r="Q250" s="2">
        <v>3950.54</v>
      </c>
      <c r="R250" s="2">
        <v>4069.05</v>
      </c>
      <c r="S250" s="2">
        <v>4191.12</v>
      </c>
      <c r="T250" s="2">
        <v>4316.8599999999997</v>
      </c>
      <c r="U250" s="2">
        <v>4446.3599999999997</v>
      </c>
    </row>
    <row r="251" spans="1:21" x14ac:dyDescent="0.25">
      <c r="A251" t="s">
        <v>3635</v>
      </c>
      <c r="O251">
        <v>33.33</v>
      </c>
      <c r="P251">
        <v>33.33</v>
      </c>
      <c r="Q251">
        <v>33</v>
      </c>
      <c r="R251">
        <v>32.67</v>
      </c>
      <c r="S251">
        <v>32.5</v>
      </c>
      <c r="T251">
        <v>32.33</v>
      </c>
      <c r="U251">
        <v>32.17</v>
      </c>
    </row>
    <row r="252" spans="1:21" x14ac:dyDescent="0.25">
      <c r="A252" t="s">
        <v>3636</v>
      </c>
    </row>
    <row r="253" spans="1:21" x14ac:dyDescent="0.25">
      <c r="A253" t="s">
        <v>3637</v>
      </c>
      <c r="O253" s="2">
        <v>5289.39</v>
      </c>
      <c r="P253" s="2">
        <v>5286.13</v>
      </c>
      <c r="Q253" s="2">
        <v>5281.34</v>
      </c>
      <c r="R253" s="2">
        <v>5274.92</v>
      </c>
      <c r="S253" s="2">
        <v>5266.78</v>
      </c>
      <c r="T253" s="2">
        <v>5256.83</v>
      </c>
      <c r="U253" s="2">
        <v>5244.95</v>
      </c>
    </row>
    <row r="254" spans="1:21" x14ac:dyDescent="0.25">
      <c r="A254" t="s">
        <v>1317</v>
      </c>
      <c r="K254">
        <v>115.9</v>
      </c>
      <c r="L254">
        <v>328.9</v>
      </c>
      <c r="M254" s="2">
        <v>2590.1999999999998</v>
      </c>
      <c r="N254" s="2">
        <v>9315</v>
      </c>
      <c r="O254" s="2">
        <v>20010.759999999998</v>
      </c>
      <c r="P254" s="2">
        <v>24155.8</v>
      </c>
      <c r="Q254" s="2">
        <v>26723.7</v>
      </c>
      <c r="R254" s="2">
        <v>28339.56</v>
      </c>
      <c r="S254" s="2">
        <v>28964.28</v>
      </c>
      <c r="T254" s="2">
        <v>29118.74</v>
      </c>
      <c r="U254" s="2">
        <v>28830.9</v>
      </c>
    </row>
    <row r="255" spans="1:21" x14ac:dyDescent="0.25">
      <c r="A255" t="s">
        <v>17</v>
      </c>
    </row>
    <row r="256" spans="1:21" x14ac:dyDescent="0.25">
      <c r="A256" t="s">
        <v>3645</v>
      </c>
    </row>
    <row r="257" spans="1:21" x14ac:dyDescent="0.25">
      <c r="A257" t="s">
        <v>73</v>
      </c>
    </row>
    <row r="258" spans="1:21" x14ac:dyDescent="0.25">
      <c r="A258" t="s">
        <v>3646</v>
      </c>
      <c r="P258" s="2">
        <v>22602.82</v>
      </c>
      <c r="Q258" s="2">
        <v>68596.94</v>
      </c>
      <c r="R258" s="2">
        <v>115669.36</v>
      </c>
      <c r="S258" s="2">
        <v>163853.51</v>
      </c>
      <c r="T258" s="2">
        <v>189496.88</v>
      </c>
      <c r="U258" s="2">
        <v>239724.21</v>
      </c>
    </row>
    <row r="259" spans="1:21" x14ac:dyDescent="0.25">
      <c r="A259" t="s">
        <v>3647</v>
      </c>
      <c r="O259" s="2">
        <v>3047082.25</v>
      </c>
      <c r="P259" s="2">
        <v>3082203.33</v>
      </c>
      <c r="Q259" s="2">
        <v>3118042.62</v>
      </c>
      <c r="R259" s="2">
        <v>3154618.89</v>
      </c>
      <c r="S259" s="2">
        <v>3191951.53</v>
      </c>
      <c r="T259" s="2">
        <v>3230060.53</v>
      </c>
      <c r="U259" s="2">
        <v>3268966.5</v>
      </c>
    </row>
    <row r="260" spans="1:21" x14ac:dyDescent="0.25">
      <c r="A260" t="s">
        <v>3545</v>
      </c>
    </row>
    <row r="261" spans="1:21" x14ac:dyDescent="0.25">
      <c r="A261" t="s">
        <v>3632</v>
      </c>
      <c r="P261" s="2">
        <v>27534</v>
      </c>
      <c r="Q261" s="2">
        <v>78575</v>
      </c>
      <c r="R261" s="2">
        <v>130812</v>
      </c>
      <c r="S261" s="2">
        <v>184282</v>
      </c>
      <c r="T261" s="2">
        <v>215337</v>
      </c>
      <c r="U261" s="2">
        <v>271106</v>
      </c>
    </row>
    <row r="262" spans="1:21" x14ac:dyDescent="0.25">
      <c r="A262" t="s">
        <v>3634</v>
      </c>
      <c r="O262" s="2">
        <v>14888.72</v>
      </c>
      <c r="P262" s="2">
        <v>15416.32</v>
      </c>
      <c r="Q262" s="2">
        <v>15965.96</v>
      </c>
      <c r="R262" s="2">
        <v>16538.650000000001</v>
      </c>
      <c r="S262" s="2">
        <v>17135.47</v>
      </c>
      <c r="T262" s="2">
        <v>17757.53</v>
      </c>
      <c r="U262" s="2">
        <v>18406</v>
      </c>
    </row>
    <row r="263" spans="1:21" x14ac:dyDescent="0.25">
      <c r="A263" t="s">
        <v>3635</v>
      </c>
      <c r="O263">
        <v>62</v>
      </c>
      <c r="P263">
        <v>65</v>
      </c>
      <c r="Q263">
        <v>68</v>
      </c>
      <c r="R263">
        <v>71</v>
      </c>
      <c r="S263">
        <v>73.5</v>
      </c>
      <c r="T263">
        <v>76</v>
      </c>
      <c r="U263">
        <v>78.5</v>
      </c>
    </row>
    <row r="264" spans="1:21" x14ac:dyDescent="0.25">
      <c r="A264" t="s">
        <v>3637</v>
      </c>
      <c r="O264" s="2">
        <v>5822.15</v>
      </c>
      <c r="P264" s="2">
        <v>5630.63</v>
      </c>
      <c r="Q264" s="2">
        <v>5405.4</v>
      </c>
      <c r="R264" s="2">
        <v>5143.58</v>
      </c>
      <c r="S264" s="2">
        <v>4935.18</v>
      </c>
      <c r="T264" s="2">
        <v>4693.07</v>
      </c>
      <c r="U264" s="2">
        <v>4414.42</v>
      </c>
    </row>
    <row r="265" spans="1:21" x14ac:dyDescent="0.25">
      <c r="A265" t="s">
        <v>1317</v>
      </c>
      <c r="P265">
        <v>155.04</v>
      </c>
      <c r="Q265">
        <v>424.73</v>
      </c>
      <c r="R265">
        <v>672.84</v>
      </c>
      <c r="S265">
        <v>909.46</v>
      </c>
      <c r="T265" s="2">
        <v>1010.59</v>
      </c>
      <c r="U265" s="2">
        <v>1196.78</v>
      </c>
    </row>
    <row r="266" spans="1:21" x14ac:dyDescent="0.25">
      <c r="A266" t="s">
        <v>74</v>
      </c>
    </row>
    <row r="267" spans="1:21" x14ac:dyDescent="0.25">
      <c r="A267" t="s">
        <v>3646</v>
      </c>
      <c r="O267" s="2">
        <v>10536198.939999999</v>
      </c>
      <c r="P267" s="2">
        <v>10602577.02</v>
      </c>
      <c r="Q267" s="2">
        <v>10669906.199999999</v>
      </c>
      <c r="R267" s="2">
        <v>10738204.77</v>
      </c>
      <c r="S267" s="2">
        <v>10807491.449999999</v>
      </c>
      <c r="T267" s="2">
        <v>10877785.390000001</v>
      </c>
      <c r="U267" s="2">
        <v>10949106.189999999</v>
      </c>
    </row>
    <row r="268" spans="1:21" x14ac:dyDescent="0.25">
      <c r="A268" t="s">
        <v>3647</v>
      </c>
      <c r="O268" s="2">
        <v>4789181.34</v>
      </c>
      <c r="P268" s="2">
        <v>4819353.1900000004</v>
      </c>
      <c r="Q268" s="2">
        <v>4849957.3600000003</v>
      </c>
      <c r="R268" s="2">
        <v>4881002.17</v>
      </c>
      <c r="S268" s="2">
        <v>4912496.1100000003</v>
      </c>
      <c r="T268" s="2">
        <v>4944447.9000000004</v>
      </c>
      <c r="U268" s="2">
        <v>4976866.45</v>
      </c>
    </row>
    <row r="269" spans="1:21" x14ac:dyDescent="0.25">
      <c r="A269" t="s">
        <v>3529</v>
      </c>
    </row>
    <row r="270" spans="1:21" x14ac:dyDescent="0.25">
      <c r="A270" t="s">
        <v>3648</v>
      </c>
      <c r="Q270" s="2">
        <v>43326</v>
      </c>
      <c r="R270" s="2">
        <v>123001</v>
      </c>
      <c r="S270" s="2">
        <v>203705</v>
      </c>
      <c r="T270" s="2">
        <v>285459</v>
      </c>
      <c r="U270" s="2">
        <v>331791</v>
      </c>
    </row>
    <row r="271" spans="1:21" x14ac:dyDescent="0.25">
      <c r="A271" t="s">
        <v>3649</v>
      </c>
    </row>
    <row r="272" spans="1:21" x14ac:dyDescent="0.25">
      <c r="A272" t="s">
        <v>3650</v>
      </c>
    </row>
    <row r="273" spans="1:21" x14ac:dyDescent="0.25">
      <c r="A273" t="s">
        <v>3651</v>
      </c>
      <c r="O273" s="2">
        <v>2979.01</v>
      </c>
      <c r="P273" s="2">
        <v>2972.49</v>
      </c>
      <c r="Q273" s="2">
        <v>2962.9</v>
      </c>
      <c r="R273" s="2">
        <v>2950.06</v>
      </c>
      <c r="S273" s="2">
        <v>2933.79</v>
      </c>
      <c r="T273" s="2">
        <v>2913.88</v>
      </c>
      <c r="U273" s="2">
        <v>2890.14</v>
      </c>
    </row>
    <row r="274" spans="1:21" x14ac:dyDescent="0.25">
      <c r="A274" t="s">
        <v>944</v>
      </c>
      <c r="Q274">
        <v>128.37</v>
      </c>
      <c r="R274">
        <v>362.86</v>
      </c>
      <c r="S274">
        <v>597.63</v>
      </c>
      <c r="T274">
        <v>831.79</v>
      </c>
      <c r="U274">
        <v>958.92</v>
      </c>
    </row>
    <row r="275" spans="1:21" x14ac:dyDescent="0.25">
      <c r="A275" t="s">
        <v>17</v>
      </c>
    </row>
    <row r="276" spans="1:21" x14ac:dyDescent="0.25">
      <c r="A276" t="s">
        <v>3652</v>
      </c>
    </row>
    <row r="277" spans="1:21" x14ac:dyDescent="0.25">
      <c r="A277" t="s">
        <v>73</v>
      </c>
    </row>
    <row r="278" spans="1:21" x14ac:dyDescent="0.25">
      <c r="A278" t="s">
        <v>3653</v>
      </c>
    </row>
    <row r="279" spans="1:21" x14ac:dyDescent="0.25">
      <c r="A279" t="s">
        <v>3654</v>
      </c>
    </row>
    <row r="280" spans="1:21" x14ac:dyDescent="0.25">
      <c r="A280" t="s">
        <v>3648</v>
      </c>
    </row>
    <row r="281" spans="1:21" x14ac:dyDescent="0.25">
      <c r="A281" t="s">
        <v>3633</v>
      </c>
    </row>
    <row r="282" spans="1:21" x14ac:dyDescent="0.25">
      <c r="A282" t="s">
        <v>3655</v>
      </c>
      <c r="O282">
        <v>6.37</v>
      </c>
      <c r="P282">
        <v>7.57</v>
      </c>
      <c r="Q282">
        <v>8.67</v>
      </c>
      <c r="R282">
        <v>9.77</v>
      </c>
      <c r="S282">
        <v>10.87</v>
      </c>
      <c r="T282">
        <v>11.87</v>
      </c>
      <c r="U282">
        <v>12.67</v>
      </c>
    </row>
    <row r="283" spans="1:21" x14ac:dyDescent="0.25">
      <c r="A283" t="s">
        <v>3648</v>
      </c>
    </row>
    <row r="284" spans="1:21" x14ac:dyDescent="0.25">
      <c r="A284" t="s">
        <v>3633</v>
      </c>
    </row>
    <row r="285" spans="1:21" x14ac:dyDescent="0.25">
      <c r="A285" t="s">
        <v>3550</v>
      </c>
    </row>
    <row r="286" spans="1:21" x14ac:dyDescent="0.25">
      <c r="A286" t="s">
        <v>3632</v>
      </c>
    </row>
    <row r="287" spans="1:21" x14ac:dyDescent="0.25">
      <c r="A287" t="s">
        <v>3656</v>
      </c>
    </row>
    <row r="288" spans="1:21" x14ac:dyDescent="0.25">
      <c r="A288" t="s">
        <v>3634</v>
      </c>
    </row>
    <row r="289" spans="1:21" x14ac:dyDescent="0.25">
      <c r="A289" t="s">
        <v>3657</v>
      </c>
    </row>
    <row r="290" spans="1:21" x14ac:dyDescent="0.25">
      <c r="A290" t="s">
        <v>3635</v>
      </c>
      <c r="O290">
        <v>56.5</v>
      </c>
      <c r="P290">
        <v>59</v>
      </c>
      <c r="Q290">
        <v>61.5</v>
      </c>
      <c r="R290">
        <v>63.5</v>
      </c>
      <c r="S290">
        <v>65.5</v>
      </c>
      <c r="T290">
        <v>67.5</v>
      </c>
      <c r="U290">
        <v>68.5</v>
      </c>
    </row>
    <row r="291" spans="1:21" x14ac:dyDescent="0.25">
      <c r="A291" t="s">
        <v>3636</v>
      </c>
      <c r="O291">
        <v>90</v>
      </c>
      <c r="P291">
        <v>90</v>
      </c>
      <c r="Q291">
        <v>90</v>
      </c>
      <c r="R291">
        <v>90</v>
      </c>
      <c r="S291">
        <v>90</v>
      </c>
      <c r="T291">
        <v>90</v>
      </c>
      <c r="U291">
        <v>90</v>
      </c>
    </row>
    <row r="292" spans="1:21" x14ac:dyDescent="0.25">
      <c r="A292" t="s">
        <v>3637</v>
      </c>
    </row>
    <row r="293" spans="1:21" x14ac:dyDescent="0.25">
      <c r="A293" t="s">
        <v>3658</v>
      </c>
    </row>
    <row r="294" spans="1:21" x14ac:dyDescent="0.25">
      <c r="A294" t="s">
        <v>1317</v>
      </c>
      <c r="L294">
        <v>175.8</v>
      </c>
      <c r="M294" s="2">
        <v>4925.7</v>
      </c>
      <c r="N294" s="2">
        <v>13484</v>
      </c>
      <c r="O294" s="2">
        <v>19491.84</v>
      </c>
      <c r="P294" s="2">
        <v>23632.35</v>
      </c>
      <c r="Q294" s="2">
        <v>26052.67</v>
      </c>
      <c r="R294" s="2">
        <v>26782.61</v>
      </c>
      <c r="S294" s="2">
        <v>27579.02</v>
      </c>
      <c r="T294" s="2">
        <v>27360.49</v>
      </c>
      <c r="U294" s="2">
        <v>26727.57</v>
      </c>
    </row>
    <row r="295" spans="1:21" x14ac:dyDescent="0.25">
      <c r="A295" t="s">
        <v>74</v>
      </c>
    </row>
    <row r="296" spans="1:21" x14ac:dyDescent="0.25">
      <c r="A296" t="s">
        <v>3653</v>
      </c>
    </row>
    <row r="297" spans="1:21" x14ac:dyDescent="0.25">
      <c r="A297" t="s">
        <v>3655</v>
      </c>
    </row>
    <row r="298" spans="1:21" x14ac:dyDescent="0.25">
      <c r="A298" t="s">
        <v>3633</v>
      </c>
      <c r="O298">
        <v>18</v>
      </c>
      <c r="P298">
        <v>18</v>
      </c>
      <c r="Q298">
        <v>18</v>
      </c>
      <c r="R298">
        <v>18</v>
      </c>
      <c r="S298">
        <v>18</v>
      </c>
      <c r="T298">
        <v>18</v>
      </c>
      <c r="U298">
        <v>18</v>
      </c>
    </row>
    <row r="299" spans="1:21" x14ac:dyDescent="0.25">
      <c r="A299" t="s">
        <v>3648</v>
      </c>
    </row>
    <row r="300" spans="1:21" x14ac:dyDescent="0.25">
      <c r="A300" t="s">
        <v>3654</v>
      </c>
    </row>
    <row r="301" spans="1:21" x14ac:dyDescent="0.25">
      <c r="A301" t="s">
        <v>3648</v>
      </c>
    </row>
    <row r="302" spans="1:21" x14ac:dyDescent="0.25">
      <c r="A302" t="s">
        <v>3633</v>
      </c>
      <c r="O302">
        <v>18</v>
      </c>
      <c r="P302">
        <v>18</v>
      </c>
      <c r="Q302">
        <v>18</v>
      </c>
      <c r="R302">
        <v>18</v>
      </c>
      <c r="S302">
        <v>18</v>
      </c>
      <c r="T302">
        <v>18</v>
      </c>
      <c r="U302">
        <v>18</v>
      </c>
    </row>
    <row r="303" spans="1:21" x14ac:dyDescent="0.25">
      <c r="A303" t="s">
        <v>3550</v>
      </c>
    </row>
    <row r="304" spans="1:21" x14ac:dyDescent="0.25">
      <c r="A304" t="s">
        <v>3632</v>
      </c>
    </row>
    <row r="305" spans="1:21" x14ac:dyDescent="0.25">
      <c r="A305" t="s">
        <v>3656</v>
      </c>
    </row>
    <row r="306" spans="1:21" x14ac:dyDescent="0.25">
      <c r="A306" t="s">
        <v>3634</v>
      </c>
    </row>
    <row r="307" spans="1:21" x14ac:dyDescent="0.25">
      <c r="A307" t="s">
        <v>3657</v>
      </c>
    </row>
    <row r="308" spans="1:21" x14ac:dyDescent="0.25">
      <c r="A308" t="s">
        <v>3635</v>
      </c>
    </row>
    <row r="309" spans="1:21" x14ac:dyDescent="0.25">
      <c r="A309" t="s">
        <v>3636</v>
      </c>
    </row>
    <row r="310" spans="1:21" x14ac:dyDescent="0.25">
      <c r="A310" t="s">
        <v>3637</v>
      </c>
    </row>
    <row r="311" spans="1:21" x14ac:dyDescent="0.25">
      <c r="A311" t="s">
        <v>3658</v>
      </c>
    </row>
    <row r="312" spans="1:21" x14ac:dyDescent="0.25">
      <c r="A312" t="s">
        <v>1317</v>
      </c>
      <c r="L312">
        <v>0</v>
      </c>
      <c r="M312">
        <v>0</v>
      </c>
      <c r="N312">
        <v>58</v>
      </c>
      <c r="O312">
        <v>188.78</v>
      </c>
      <c r="P312">
        <v>261.13</v>
      </c>
      <c r="Q312">
        <v>304.73</v>
      </c>
      <c r="R312">
        <v>347.07</v>
      </c>
      <c r="S312">
        <v>408.81</v>
      </c>
      <c r="T312">
        <v>443.28</v>
      </c>
      <c r="U312">
        <v>467.9</v>
      </c>
    </row>
    <row r="313" spans="1:21" x14ac:dyDescent="0.25">
      <c r="A313" t="s">
        <v>17</v>
      </c>
    </row>
    <row r="314" spans="1:21" x14ac:dyDescent="0.25">
      <c r="A314" t="s">
        <v>3659</v>
      </c>
    </row>
    <row r="315" spans="1:21" x14ac:dyDescent="0.25">
      <c r="A315" t="s">
        <v>73</v>
      </c>
    </row>
    <row r="316" spans="1:21" x14ac:dyDescent="0.25">
      <c r="A316" t="s">
        <v>3660</v>
      </c>
      <c r="O316" s="2">
        <v>2676609.44</v>
      </c>
      <c r="P316" s="2">
        <v>2707460.41</v>
      </c>
      <c r="Q316" s="2">
        <v>2738942.25</v>
      </c>
      <c r="R316" s="2">
        <v>2771071.48</v>
      </c>
      <c r="S316" s="2">
        <v>2803865.11</v>
      </c>
      <c r="T316" s="2">
        <v>2837340.71</v>
      </c>
      <c r="U316" s="2">
        <v>2871516.38</v>
      </c>
    </row>
    <row r="317" spans="1:21" x14ac:dyDescent="0.25">
      <c r="A317" t="s">
        <v>3661</v>
      </c>
      <c r="O317" s="2">
        <v>2141287.5499999998</v>
      </c>
      <c r="P317" s="2">
        <v>2165968.33</v>
      </c>
      <c r="Q317" s="2">
        <v>2191153.7999999998</v>
      </c>
      <c r="R317" s="2">
        <v>2216857.1800000002</v>
      </c>
      <c r="S317" s="2">
        <v>2243092.09</v>
      </c>
      <c r="T317" s="2">
        <v>2269872.5699999998</v>
      </c>
      <c r="U317" s="2">
        <v>2297213.11</v>
      </c>
    </row>
    <row r="318" spans="1:21" x14ac:dyDescent="0.25">
      <c r="A318" t="s">
        <v>3550</v>
      </c>
    </row>
    <row r="319" spans="1:21" x14ac:dyDescent="0.25">
      <c r="A319" t="s">
        <v>3632</v>
      </c>
      <c r="Q319" s="2">
        <v>21912</v>
      </c>
      <c r="R319" s="2">
        <v>66506</v>
      </c>
      <c r="S319" s="2">
        <v>89724</v>
      </c>
      <c r="T319" s="2">
        <v>136192</v>
      </c>
      <c r="U319" s="2">
        <v>183777</v>
      </c>
    </row>
    <row r="320" spans="1:21" x14ac:dyDescent="0.25">
      <c r="A320" t="s">
        <v>3662</v>
      </c>
      <c r="O320" s="2">
        <v>14617.41</v>
      </c>
      <c r="P320" s="2">
        <v>15055.93</v>
      </c>
      <c r="Q320" s="2">
        <v>15507.61</v>
      </c>
      <c r="R320" s="2">
        <v>15972.84</v>
      </c>
      <c r="S320" s="2">
        <v>16452.02</v>
      </c>
      <c r="T320" s="2">
        <v>16122.98</v>
      </c>
      <c r="U320" s="2">
        <v>15316.83</v>
      </c>
    </row>
    <row r="321" spans="1:21" x14ac:dyDescent="0.25">
      <c r="A321" t="s">
        <v>3635</v>
      </c>
      <c r="O321">
        <v>56.5</v>
      </c>
      <c r="P321">
        <v>59</v>
      </c>
      <c r="Q321">
        <v>61.5</v>
      </c>
      <c r="R321">
        <v>63.5</v>
      </c>
      <c r="S321">
        <v>65.5</v>
      </c>
      <c r="T321">
        <v>67.5</v>
      </c>
      <c r="U321">
        <v>68.5</v>
      </c>
    </row>
    <row r="322" spans="1:21" x14ac:dyDescent="0.25">
      <c r="A322" t="s">
        <v>3637</v>
      </c>
      <c r="O322" s="2">
        <v>6358.57</v>
      </c>
      <c r="P322" s="2">
        <v>6172.93</v>
      </c>
      <c r="Q322" s="2">
        <v>5970.43</v>
      </c>
      <c r="R322" s="2">
        <v>5830.09</v>
      </c>
      <c r="S322" s="2">
        <v>5675.95</v>
      </c>
      <c r="T322" s="2">
        <v>5239.97</v>
      </c>
      <c r="U322" s="2">
        <v>4824.8</v>
      </c>
    </row>
    <row r="323" spans="1:21" x14ac:dyDescent="0.25">
      <c r="A323" t="s">
        <v>1317</v>
      </c>
      <c r="Q323">
        <v>130.82</v>
      </c>
      <c r="R323">
        <v>387.73</v>
      </c>
      <c r="S323">
        <v>509.27</v>
      </c>
      <c r="T323">
        <v>713.64</v>
      </c>
      <c r="U323">
        <v>886.69</v>
      </c>
    </row>
    <row r="324" spans="1:21" x14ac:dyDescent="0.25">
      <c r="A324" t="s">
        <v>74</v>
      </c>
    </row>
    <row r="325" spans="1:21" x14ac:dyDescent="0.25">
      <c r="A325" t="s">
        <v>3660</v>
      </c>
      <c r="O325" s="2">
        <v>7306150.0199999996</v>
      </c>
      <c r="P325" s="2">
        <v>7352178.7800000003</v>
      </c>
      <c r="Q325" s="2">
        <v>7398867.0700000003</v>
      </c>
      <c r="R325" s="2">
        <v>7446227.5599999996</v>
      </c>
      <c r="S325" s="2">
        <v>7494273.25</v>
      </c>
      <c r="T325" s="2">
        <v>7543017.4000000004</v>
      </c>
      <c r="U325" s="2">
        <v>7592473.6100000003</v>
      </c>
    </row>
    <row r="326" spans="1:21" x14ac:dyDescent="0.25">
      <c r="A326" t="s">
        <v>3661</v>
      </c>
    </row>
    <row r="327" spans="1:21" x14ac:dyDescent="0.25">
      <c r="A327" t="s">
        <v>3550</v>
      </c>
    </row>
    <row r="328" spans="1:21" x14ac:dyDescent="0.25">
      <c r="A328" t="s">
        <v>3632</v>
      </c>
    </row>
    <row r="329" spans="1:21" x14ac:dyDescent="0.25">
      <c r="A329" t="s">
        <v>3634</v>
      </c>
    </row>
    <row r="330" spans="1:21" x14ac:dyDescent="0.25">
      <c r="A330" t="s">
        <v>3635</v>
      </c>
    </row>
    <row r="331" spans="1:21" x14ac:dyDescent="0.25">
      <c r="A331" t="s">
        <v>3637</v>
      </c>
      <c r="O331" s="2">
        <v>3491.15</v>
      </c>
      <c r="P331" s="2">
        <v>3464.33</v>
      </c>
      <c r="Q331" s="2">
        <v>3432.75</v>
      </c>
      <c r="R331" s="2">
        <v>3396.17</v>
      </c>
      <c r="S331" s="2">
        <v>3354.3</v>
      </c>
      <c r="T331" s="2">
        <v>3306.86</v>
      </c>
      <c r="U331" s="2">
        <v>3192.35</v>
      </c>
    </row>
    <row r="332" spans="1:21" x14ac:dyDescent="0.25">
      <c r="A332" t="s">
        <v>1317</v>
      </c>
      <c r="Q332">
        <v>203.19</v>
      </c>
      <c r="R332">
        <v>404.62</v>
      </c>
      <c r="S332">
        <v>603.30999999999995</v>
      </c>
      <c r="T332">
        <v>798.2</v>
      </c>
      <c r="U332">
        <v>969.51</v>
      </c>
    </row>
    <row r="333" spans="1:21" x14ac:dyDescent="0.25">
      <c r="A333" t="s">
        <v>17</v>
      </c>
    </row>
    <row r="334" spans="1:21" x14ac:dyDescent="0.25">
      <c r="A334" t="s">
        <v>3663</v>
      </c>
    </row>
    <row r="335" spans="1:21" x14ac:dyDescent="0.25">
      <c r="A335" t="s">
        <v>73</v>
      </c>
    </row>
    <row r="336" spans="1:21" x14ac:dyDescent="0.25">
      <c r="A336" t="s">
        <v>3664</v>
      </c>
      <c r="O336" s="2">
        <v>47888821.689999998</v>
      </c>
      <c r="P336" s="2">
        <v>48550823.310000002</v>
      </c>
      <c r="Q336" s="2">
        <v>49223656.920000002</v>
      </c>
      <c r="R336" s="2">
        <v>49907551.469999999</v>
      </c>
      <c r="S336" s="2">
        <v>50602741.740000002</v>
      </c>
      <c r="T336" s="2">
        <v>51309468.539999999</v>
      </c>
      <c r="U336" s="2">
        <v>52027978.869999997</v>
      </c>
    </row>
    <row r="337" spans="1:21" x14ac:dyDescent="0.25">
      <c r="A337" t="s">
        <v>3665</v>
      </c>
      <c r="O337">
        <v>85</v>
      </c>
      <c r="P337">
        <v>85</v>
      </c>
      <c r="Q337">
        <v>85</v>
      </c>
      <c r="R337">
        <v>85</v>
      </c>
      <c r="S337">
        <v>85</v>
      </c>
      <c r="T337">
        <v>85</v>
      </c>
      <c r="U337">
        <v>85</v>
      </c>
    </row>
    <row r="338" spans="1:21" x14ac:dyDescent="0.25">
      <c r="A338" t="s">
        <v>3666</v>
      </c>
    </row>
    <row r="339" spans="1:21" x14ac:dyDescent="0.25">
      <c r="A339" t="s">
        <v>3667</v>
      </c>
    </row>
    <row r="340" spans="1:21" x14ac:dyDescent="0.25">
      <c r="A340" t="s">
        <v>3668</v>
      </c>
      <c r="O340" s="2">
        <v>69741.87</v>
      </c>
      <c r="P340" s="2">
        <v>70439.289999999994</v>
      </c>
      <c r="Q340" s="2">
        <v>71143.69</v>
      </c>
      <c r="R340" s="2">
        <v>71855.12</v>
      </c>
      <c r="S340" s="2">
        <v>72573.67</v>
      </c>
      <c r="T340" s="2">
        <v>73299.41</v>
      </c>
      <c r="U340" s="2">
        <v>74032.399999999994</v>
      </c>
    </row>
    <row r="341" spans="1:21" x14ac:dyDescent="0.25">
      <c r="A341" t="s">
        <v>3669</v>
      </c>
    </row>
    <row r="342" spans="1:21" x14ac:dyDescent="0.25">
      <c r="A342" t="s">
        <v>3632</v>
      </c>
    </row>
    <row r="343" spans="1:21" x14ac:dyDescent="0.25">
      <c r="A343" t="s">
        <v>3633</v>
      </c>
      <c r="O343">
        <v>20.5</v>
      </c>
      <c r="P343">
        <v>17.5</v>
      </c>
      <c r="Q343">
        <v>16.75</v>
      </c>
      <c r="R343">
        <v>16.079999999999998</v>
      </c>
      <c r="S343">
        <v>15.48</v>
      </c>
      <c r="T343">
        <v>12.61</v>
      </c>
      <c r="U343">
        <v>11.24</v>
      </c>
    </row>
    <row r="344" spans="1:21" x14ac:dyDescent="0.25">
      <c r="A344" t="s">
        <v>3634</v>
      </c>
      <c r="O344" s="2">
        <v>199989.44</v>
      </c>
      <c r="P344" s="2">
        <v>209988.91</v>
      </c>
      <c r="Q344" s="2">
        <v>220488.36</v>
      </c>
      <c r="R344" s="2">
        <v>231512.78</v>
      </c>
      <c r="S344" s="2">
        <v>243088.42</v>
      </c>
      <c r="T344" s="2">
        <v>255242.84</v>
      </c>
      <c r="U344" s="2">
        <v>268004.98</v>
      </c>
    </row>
    <row r="345" spans="1:21" x14ac:dyDescent="0.25">
      <c r="A345" t="s">
        <v>3670</v>
      </c>
      <c r="O345" s="2">
        <v>16665.79</v>
      </c>
      <c r="P345" s="2">
        <v>17499.080000000002</v>
      </c>
      <c r="Q345" s="2">
        <v>18374.03</v>
      </c>
      <c r="R345" s="2">
        <v>19292.73</v>
      </c>
      <c r="S345" s="2">
        <v>20257.37</v>
      </c>
      <c r="T345" s="2">
        <v>21270.240000000002</v>
      </c>
      <c r="U345" s="2">
        <v>22333.75</v>
      </c>
    </row>
    <row r="346" spans="1:21" x14ac:dyDescent="0.25">
      <c r="A346" t="s">
        <v>3635</v>
      </c>
      <c r="O346">
        <v>87</v>
      </c>
      <c r="P346">
        <v>87.1</v>
      </c>
      <c r="Q346">
        <v>87.2</v>
      </c>
      <c r="R346">
        <v>90</v>
      </c>
      <c r="S346">
        <v>90</v>
      </c>
    </row>
    <row r="347" spans="1:21" x14ac:dyDescent="0.25">
      <c r="A347" t="s">
        <v>3636</v>
      </c>
      <c r="O347">
        <v>83.14</v>
      </c>
      <c r="P347">
        <v>83.24</v>
      </c>
      <c r="Q347">
        <v>83.33</v>
      </c>
      <c r="R347">
        <v>83.43</v>
      </c>
      <c r="S347">
        <v>83.52</v>
      </c>
      <c r="T347">
        <v>83.62</v>
      </c>
      <c r="U347">
        <v>83.71</v>
      </c>
    </row>
    <row r="348" spans="1:21" x14ac:dyDescent="0.25">
      <c r="A348" t="s">
        <v>3637</v>
      </c>
      <c r="O348" s="2">
        <v>187247.82</v>
      </c>
      <c r="P348" s="2">
        <v>196476.42</v>
      </c>
      <c r="Q348" s="2">
        <v>206158.36</v>
      </c>
      <c r="R348" s="2">
        <v>216315.82</v>
      </c>
      <c r="S348" s="2">
        <v>226972.04</v>
      </c>
      <c r="T348" s="2">
        <v>238151.42</v>
      </c>
      <c r="U348" s="2">
        <v>249879.53</v>
      </c>
    </row>
    <row r="349" spans="1:21" x14ac:dyDescent="0.25">
      <c r="A349" t="s">
        <v>3658</v>
      </c>
    </row>
    <row r="350" spans="1:21" x14ac:dyDescent="0.25">
      <c r="A350" t="s">
        <v>1317</v>
      </c>
      <c r="O350" s="2">
        <v>2742.39</v>
      </c>
      <c r="P350" s="2">
        <v>2075.9499999999998</v>
      </c>
      <c r="Q350" s="2">
        <v>1980.03</v>
      </c>
      <c r="R350" s="2">
        <v>1890.41</v>
      </c>
      <c r="S350" s="2">
        <v>1804.84</v>
      </c>
      <c r="T350">
        <v>910.8</v>
      </c>
      <c r="U350">
        <v>459.62</v>
      </c>
    </row>
    <row r="351" spans="1:21" x14ac:dyDescent="0.25">
      <c r="A351" t="s">
        <v>74</v>
      </c>
    </row>
    <row r="352" spans="1:21" x14ac:dyDescent="0.25">
      <c r="A352" t="s">
        <v>3667</v>
      </c>
    </row>
    <row r="353" spans="1:21" x14ac:dyDescent="0.25">
      <c r="A353" t="s">
        <v>3668</v>
      </c>
      <c r="O353" s="2">
        <v>212304.03</v>
      </c>
      <c r="P353" s="2">
        <v>214427.07</v>
      </c>
      <c r="Q353" s="2">
        <v>216571.34</v>
      </c>
      <c r="R353" s="2">
        <v>218737.05</v>
      </c>
      <c r="S353" s="2">
        <v>220924.43</v>
      </c>
      <c r="T353" s="2">
        <v>223133.67</v>
      </c>
      <c r="U353" s="2">
        <v>225365.01</v>
      </c>
    </row>
    <row r="354" spans="1:21" x14ac:dyDescent="0.25">
      <c r="A354" t="s">
        <v>3564</v>
      </c>
    </row>
    <row r="355" spans="1:21" x14ac:dyDescent="0.25">
      <c r="A355" t="s">
        <v>3632</v>
      </c>
    </row>
    <row r="356" spans="1:21" x14ac:dyDescent="0.25">
      <c r="A356" t="s">
        <v>3656</v>
      </c>
      <c r="O356">
        <v>33</v>
      </c>
      <c r="P356">
        <v>30</v>
      </c>
      <c r="Q356">
        <v>28.7</v>
      </c>
      <c r="R356">
        <v>27.33</v>
      </c>
      <c r="S356">
        <v>26.03</v>
      </c>
      <c r="T356">
        <v>13.02</v>
      </c>
      <c r="U356">
        <v>6.51</v>
      </c>
    </row>
    <row r="357" spans="1:21" x14ac:dyDescent="0.25">
      <c r="A357" t="s">
        <v>3634</v>
      </c>
      <c r="O357" s="2">
        <v>42555.29</v>
      </c>
      <c r="P357" s="2">
        <v>42129.73</v>
      </c>
      <c r="Q357" s="2">
        <v>41708.44</v>
      </c>
      <c r="R357" s="2">
        <v>41291.35</v>
      </c>
      <c r="S357" s="2">
        <v>40878.44</v>
      </c>
      <c r="T357" s="2">
        <v>40469.65</v>
      </c>
      <c r="U357" s="2">
        <v>40064.959999999999</v>
      </c>
    </row>
    <row r="358" spans="1:21" x14ac:dyDescent="0.25">
      <c r="A358" t="s">
        <v>3635</v>
      </c>
      <c r="O358">
        <v>80</v>
      </c>
      <c r="P358">
        <v>80</v>
      </c>
      <c r="Q358">
        <v>80</v>
      </c>
      <c r="R358">
        <v>80</v>
      </c>
      <c r="S358">
        <v>80</v>
      </c>
      <c r="T358">
        <v>80</v>
      </c>
      <c r="U358">
        <v>80</v>
      </c>
    </row>
    <row r="359" spans="1:21" x14ac:dyDescent="0.25">
      <c r="A359" t="s">
        <v>3636</v>
      </c>
    </row>
    <row r="360" spans="1:21" x14ac:dyDescent="0.25">
      <c r="A360" t="s">
        <v>3637</v>
      </c>
    </row>
    <row r="361" spans="1:21" x14ac:dyDescent="0.25">
      <c r="A361" t="s">
        <v>1317</v>
      </c>
      <c r="O361" s="2">
        <v>2166.25</v>
      </c>
      <c r="P361" s="2">
        <v>1961.71</v>
      </c>
      <c r="Q361" s="2">
        <v>1869.36</v>
      </c>
      <c r="R361" s="2">
        <v>1773.28</v>
      </c>
      <c r="S361" s="2">
        <v>1682.04</v>
      </c>
      <c r="T361">
        <v>837.59</v>
      </c>
      <c r="U361">
        <v>417.07</v>
      </c>
    </row>
    <row r="362" spans="1:21" x14ac:dyDescent="0.25">
      <c r="A362" t="s">
        <v>17</v>
      </c>
    </row>
    <row r="363" spans="1:21" x14ac:dyDescent="0.25">
      <c r="A363" t="s">
        <v>3671</v>
      </c>
    </row>
    <row r="364" spans="1:21" x14ac:dyDescent="0.25">
      <c r="A364" t="s">
        <v>73</v>
      </c>
    </row>
    <row r="365" spans="1:21" x14ac:dyDescent="0.25">
      <c r="A365" t="s">
        <v>3672</v>
      </c>
    </row>
    <row r="366" spans="1:21" x14ac:dyDescent="0.25">
      <c r="A366" t="s">
        <v>3673</v>
      </c>
    </row>
    <row r="367" spans="1:21" x14ac:dyDescent="0.25">
      <c r="A367" t="s">
        <v>3666</v>
      </c>
    </row>
    <row r="368" spans="1:21" x14ac:dyDescent="0.25">
      <c r="A368" t="s">
        <v>3674</v>
      </c>
      <c r="O368" s="2">
        <v>206465.67</v>
      </c>
      <c r="P368" s="2">
        <v>208530.33</v>
      </c>
      <c r="Q368" s="2">
        <v>210615.63</v>
      </c>
      <c r="R368" s="2">
        <v>212721.79</v>
      </c>
      <c r="S368" s="2">
        <v>214849</v>
      </c>
      <c r="T368" s="2">
        <v>216997.49</v>
      </c>
      <c r="U368" s="2">
        <v>219167.47</v>
      </c>
    </row>
    <row r="369" spans="1:21" x14ac:dyDescent="0.25">
      <c r="A369" t="s">
        <v>3668</v>
      </c>
      <c r="O369" s="2">
        <v>69741.87</v>
      </c>
      <c r="P369" s="2">
        <v>70439.289999999994</v>
      </c>
      <c r="Q369" s="2">
        <v>71143.69</v>
      </c>
      <c r="R369" s="2">
        <v>71855.12</v>
      </c>
      <c r="S369" s="2">
        <v>72573.67</v>
      </c>
      <c r="T369" s="2">
        <v>73299.41</v>
      </c>
      <c r="U369" s="2">
        <v>74032.399999999994</v>
      </c>
    </row>
    <row r="370" spans="1:21" x14ac:dyDescent="0.25">
      <c r="A370" t="s">
        <v>3564</v>
      </c>
    </row>
    <row r="371" spans="1:21" x14ac:dyDescent="0.25">
      <c r="A371" t="s">
        <v>3632</v>
      </c>
      <c r="O371" s="2">
        <v>10005</v>
      </c>
      <c r="P371" s="2">
        <v>5775</v>
      </c>
      <c r="Q371" s="2">
        <v>5249</v>
      </c>
      <c r="R371" s="2">
        <v>4776</v>
      </c>
      <c r="S371" s="2">
        <v>4346</v>
      </c>
      <c r="T371" s="2">
        <v>2090</v>
      </c>
      <c r="U371" s="2">
        <v>1005</v>
      </c>
    </row>
    <row r="372" spans="1:21" x14ac:dyDescent="0.25">
      <c r="A372" t="s">
        <v>3656</v>
      </c>
      <c r="O372">
        <v>3.5</v>
      </c>
      <c r="P372">
        <v>2</v>
      </c>
      <c r="Q372">
        <v>1.8</v>
      </c>
      <c r="R372">
        <v>1.62</v>
      </c>
      <c r="S372">
        <v>1.46</v>
      </c>
      <c r="T372">
        <v>0.7</v>
      </c>
      <c r="U372">
        <v>0.33</v>
      </c>
    </row>
    <row r="373" spans="1:21" x14ac:dyDescent="0.25">
      <c r="A373" t="s">
        <v>3634</v>
      </c>
      <c r="O373" s="2">
        <v>199989.44</v>
      </c>
      <c r="P373" s="2">
        <v>209988.91</v>
      </c>
      <c r="Q373" s="2">
        <v>220488.36</v>
      </c>
      <c r="R373" s="2">
        <v>231512.78</v>
      </c>
      <c r="S373" s="2">
        <v>243088.42</v>
      </c>
      <c r="T373" s="2">
        <v>255242.84</v>
      </c>
      <c r="U373" s="2">
        <v>268004.98</v>
      </c>
    </row>
    <row r="374" spans="1:21" x14ac:dyDescent="0.25">
      <c r="A374" t="s">
        <v>3635</v>
      </c>
      <c r="O374">
        <v>6.12</v>
      </c>
      <c r="P374">
        <v>6.15</v>
      </c>
      <c r="Q374">
        <v>6.18</v>
      </c>
      <c r="R374">
        <v>6.22</v>
      </c>
      <c r="S374">
        <v>6.25</v>
      </c>
      <c r="T374">
        <v>6.28</v>
      </c>
      <c r="U374">
        <v>6.31</v>
      </c>
    </row>
    <row r="375" spans="1:21" x14ac:dyDescent="0.25">
      <c r="A375" t="s">
        <v>3636</v>
      </c>
    </row>
    <row r="376" spans="1:21" x14ac:dyDescent="0.25">
      <c r="A376" t="s">
        <v>3637</v>
      </c>
      <c r="O376" s="2">
        <v>187502.85</v>
      </c>
      <c r="P376" s="2">
        <v>196746.89</v>
      </c>
      <c r="Q376" s="2">
        <v>206445.19</v>
      </c>
      <c r="R376" s="2">
        <v>216619.99</v>
      </c>
      <c r="S376" s="2">
        <v>227294.62</v>
      </c>
      <c r="T376" s="2">
        <v>238493.52</v>
      </c>
      <c r="U376" s="2">
        <v>250242.32</v>
      </c>
    </row>
    <row r="377" spans="1:21" x14ac:dyDescent="0.25">
      <c r="A377" t="s">
        <v>3658</v>
      </c>
    </row>
    <row r="378" spans="1:21" x14ac:dyDescent="0.25">
      <c r="A378" t="s">
        <v>1317</v>
      </c>
      <c r="O378" s="2">
        <v>1876.03</v>
      </c>
      <c r="P378" s="2">
        <v>1136.1199999999999</v>
      </c>
      <c r="Q378" s="2">
        <v>1083.6400000000001</v>
      </c>
      <c r="R378" s="2">
        <v>1034.6099999999999</v>
      </c>
      <c r="S378">
        <v>987.79</v>
      </c>
      <c r="T378">
        <v>498.49</v>
      </c>
      <c r="U378">
        <v>251.56</v>
      </c>
    </row>
    <row r="379" spans="1:21" x14ac:dyDescent="0.25">
      <c r="A379" t="s">
        <v>74</v>
      </c>
    </row>
    <row r="380" spans="1:21" x14ac:dyDescent="0.25">
      <c r="A380" t="s">
        <v>3672</v>
      </c>
    </row>
    <row r="381" spans="1:21" x14ac:dyDescent="0.25">
      <c r="A381" t="s">
        <v>3673</v>
      </c>
    </row>
    <row r="382" spans="1:21" x14ac:dyDescent="0.25">
      <c r="A382" t="s">
        <v>3633</v>
      </c>
    </row>
    <row r="383" spans="1:21" x14ac:dyDescent="0.25">
      <c r="A383" t="s">
        <v>3675</v>
      </c>
      <c r="O383" s="2">
        <v>442866.21</v>
      </c>
      <c r="P383" s="2">
        <v>447294.87</v>
      </c>
      <c r="Q383" s="2">
        <v>451767.82</v>
      </c>
      <c r="R383" s="2">
        <v>456285.5</v>
      </c>
      <c r="S383" s="2">
        <v>460848.35</v>
      </c>
      <c r="T383" s="2">
        <v>465456.83</v>
      </c>
      <c r="U383" s="2">
        <v>470111.4</v>
      </c>
    </row>
    <row r="384" spans="1:21" x14ac:dyDescent="0.25">
      <c r="A384" t="s">
        <v>3676</v>
      </c>
    </row>
    <row r="385" spans="1:21" x14ac:dyDescent="0.25">
      <c r="A385" t="s">
        <v>3633</v>
      </c>
    </row>
    <row r="386" spans="1:21" x14ac:dyDescent="0.25">
      <c r="A386" t="s">
        <v>3564</v>
      </c>
    </row>
    <row r="387" spans="1:21" x14ac:dyDescent="0.25">
      <c r="A387" t="s">
        <v>3677</v>
      </c>
      <c r="O387" s="2">
        <v>212304.03</v>
      </c>
      <c r="P387" s="2">
        <v>214427.07</v>
      </c>
      <c r="Q387" s="2">
        <v>216571.34</v>
      </c>
      <c r="R387" s="2">
        <v>218737.05</v>
      </c>
      <c r="S387" s="2">
        <v>220924.43</v>
      </c>
      <c r="T387" s="2">
        <v>223133.67</v>
      </c>
      <c r="U387" s="2">
        <v>225365.01</v>
      </c>
    </row>
    <row r="388" spans="1:21" x14ac:dyDescent="0.25">
      <c r="A388" t="s">
        <v>3632</v>
      </c>
      <c r="O388" s="2">
        <v>6600</v>
      </c>
      <c r="P388" s="2">
        <v>17324</v>
      </c>
      <c r="Q388" s="2">
        <v>16622</v>
      </c>
      <c r="R388" s="2">
        <v>15989</v>
      </c>
      <c r="S388" s="2">
        <v>15380</v>
      </c>
      <c r="T388" s="2">
        <v>7767</v>
      </c>
      <c r="U388" s="2">
        <v>3922</v>
      </c>
    </row>
    <row r="389" spans="1:21" x14ac:dyDescent="0.25">
      <c r="A389" t="s">
        <v>3656</v>
      </c>
    </row>
    <row r="390" spans="1:21" x14ac:dyDescent="0.25">
      <c r="A390" t="s">
        <v>3634</v>
      </c>
      <c r="O390" s="2">
        <v>42555.29</v>
      </c>
      <c r="P390" s="2">
        <v>42129.73</v>
      </c>
      <c r="Q390" s="2">
        <v>41708.44</v>
      </c>
      <c r="R390" s="2">
        <v>41291.35</v>
      </c>
      <c r="S390" s="2">
        <v>40878.44</v>
      </c>
      <c r="T390" s="2">
        <v>40469.65</v>
      </c>
      <c r="U390" s="2">
        <v>40064.959999999999</v>
      </c>
    </row>
    <row r="391" spans="1:21" x14ac:dyDescent="0.25">
      <c r="A391" t="s">
        <v>3635</v>
      </c>
    </row>
    <row r="392" spans="1:21" x14ac:dyDescent="0.25">
      <c r="A392" t="s">
        <v>3636</v>
      </c>
    </row>
    <row r="393" spans="1:21" x14ac:dyDescent="0.25">
      <c r="A393" t="s">
        <v>3637</v>
      </c>
      <c r="O393" s="2">
        <v>30919.759999999998</v>
      </c>
      <c r="P393" s="2">
        <v>30495.38</v>
      </c>
      <c r="Q393" s="2">
        <v>30075.24</v>
      </c>
      <c r="R393" s="2">
        <v>29659.32</v>
      </c>
      <c r="S393" s="2">
        <v>29247.57</v>
      </c>
      <c r="T393" s="2">
        <v>28839.95</v>
      </c>
      <c r="U393" s="2">
        <v>28436.42</v>
      </c>
    </row>
    <row r="394" spans="1:21" x14ac:dyDescent="0.25">
      <c r="A394" t="s">
        <v>1317</v>
      </c>
      <c r="O394">
        <v>204.07</v>
      </c>
      <c r="P394">
        <v>528.29</v>
      </c>
      <c r="Q394">
        <v>499.91</v>
      </c>
      <c r="R394">
        <v>474.22</v>
      </c>
      <c r="S394">
        <v>449.82</v>
      </c>
      <c r="T394">
        <v>223.99</v>
      </c>
      <c r="U394">
        <v>111.53</v>
      </c>
    </row>
    <row r="395" spans="1:21" x14ac:dyDescent="0.25">
      <c r="A395" t="s">
        <v>17</v>
      </c>
    </row>
    <row r="396" spans="1:21" x14ac:dyDescent="0.25">
      <c r="A396" t="s">
        <v>3678</v>
      </c>
    </row>
    <row r="397" spans="1:21" x14ac:dyDescent="0.25">
      <c r="A397" t="s">
        <v>73</v>
      </c>
    </row>
    <row r="398" spans="1:21" x14ac:dyDescent="0.25">
      <c r="A398" t="s">
        <v>3679</v>
      </c>
    </row>
    <row r="399" spans="1:21" x14ac:dyDescent="0.25">
      <c r="A399" t="s">
        <v>3680</v>
      </c>
    </row>
    <row r="400" spans="1:21" x14ac:dyDescent="0.25">
      <c r="A400" t="s">
        <v>3573</v>
      </c>
    </row>
    <row r="401" spans="1:21" x14ac:dyDescent="0.25">
      <c r="A401" t="s">
        <v>3632</v>
      </c>
    </row>
    <row r="402" spans="1:21" x14ac:dyDescent="0.25">
      <c r="A402" t="s">
        <v>3633</v>
      </c>
    </row>
    <row r="403" spans="1:21" x14ac:dyDescent="0.25">
      <c r="A403" t="s">
        <v>3634</v>
      </c>
    </row>
    <row r="404" spans="1:21" x14ac:dyDescent="0.25">
      <c r="A404" t="s">
        <v>3681</v>
      </c>
      <c r="O404">
        <v>14.64</v>
      </c>
      <c r="P404">
        <v>33.29</v>
      </c>
      <c r="Q404">
        <v>16.920000000000002</v>
      </c>
      <c r="R404">
        <v>12.41</v>
      </c>
      <c r="S404">
        <v>11.02</v>
      </c>
      <c r="T404">
        <v>11.58</v>
      </c>
      <c r="U404">
        <v>9.84</v>
      </c>
    </row>
    <row r="405" spans="1:21" x14ac:dyDescent="0.25">
      <c r="A405" t="s">
        <v>3636</v>
      </c>
    </row>
    <row r="406" spans="1:21" x14ac:dyDescent="0.25">
      <c r="A406" t="s">
        <v>3637</v>
      </c>
    </row>
    <row r="407" spans="1:21" x14ac:dyDescent="0.25">
      <c r="A407" t="s">
        <v>1317</v>
      </c>
    </row>
    <row r="408" spans="1:21" x14ac:dyDescent="0.25">
      <c r="A408" t="s">
        <v>17</v>
      </c>
    </row>
    <row r="409" spans="1:21" x14ac:dyDescent="0.25">
      <c r="A409" t="s">
        <v>3682</v>
      </c>
    </row>
    <row r="410" spans="1:21" x14ac:dyDescent="0.25">
      <c r="A410" t="s">
        <v>73</v>
      </c>
    </row>
    <row r="411" spans="1:21" x14ac:dyDescent="0.25">
      <c r="A411" t="s">
        <v>3683</v>
      </c>
    </row>
    <row r="412" spans="1:21" x14ac:dyDescent="0.25">
      <c r="A412" t="s">
        <v>3680</v>
      </c>
    </row>
    <row r="413" spans="1:21" x14ac:dyDescent="0.25">
      <c r="A413" t="s">
        <v>3573</v>
      </c>
    </row>
    <row r="414" spans="1:21" x14ac:dyDescent="0.25">
      <c r="A414" t="s">
        <v>3632</v>
      </c>
    </row>
    <row r="415" spans="1:21" x14ac:dyDescent="0.25">
      <c r="A415" t="s">
        <v>3633</v>
      </c>
    </row>
    <row r="416" spans="1:21" x14ac:dyDescent="0.25">
      <c r="A416" t="s">
        <v>3634</v>
      </c>
    </row>
    <row r="417" spans="1:21" x14ac:dyDescent="0.25">
      <c r="A417" t="s">
        <v>3636</v>
      </c>
    </row>
    <row r="418" spans="1:21" x14ac:dyDescent="0.25">
      <c r="A418" t="s">
        <v>3637</v>
      </c>
    </row>
    <row r="419" spans="1:21" x14ac:dyDescent="0.25">
      <c r="A419" t="s">
        <v>1317</v>
      </c>
    </row>
    <row r="420" spans="1:21" x14ac:dyDescent="0.25">
      <c r="A420" t="s">
        <v>17</v>
      </c>
    </row>
    <row r="421" spans="1:21" x14ac:dyDescent="0.25">
      <c r="A421" t="s">
        <v>3684</v>
      </c>
    </row>
    <row r="422" spans="1:21" x14ac:dyDescent="0.25">
      <c r="A422" t="s">
        <v>73</v>
      </c>
    </row>
    <row r="423" spans="1:21" x14ac:dyDescent="0.25">
      <c r="A423" t="s">
        <v>3685</v>
      </c>
    </row>
    <row r="424" spans="1:21" x14ac:dyDescent="0.25">
      <c r="A424" t="s">
        <v>3686</v>
      </c>
    </row>
    <row r="425" spans="1:21" x14ac:dyDescent="0.25">
      <c r="A425" t="s">
        <v>3687</v>
      </c>
    </row>
    <row r="426" spans="1:21" x14ac:dyDescent="0.25">
      <c r="A426" t="s">
        <v>3688</v>
      </c>
      <c r="O426" s="2">
        <v>565823.75</v>
      </c>
      <c r="P426" s="2">
        <v>571481.99</v>
      </c>
      <c r="Q426" s="2">
        <v>577196.81000000006</v>
      </c>
      <c r="R426" s="2">
        <v>582968.78</v>
      </c>
      <c r="S426" s="2">
        <v>588798.47</v>
      </c>
      <c r="T426" s="2">
        <v>594686.44999999995</v>
      </c>
      <c r="U426" s="2">
        <v>600633.31999999995</v>
      </c>
    </row>
    <row r="427" spans="1:21" x14ac:dyDescent="0.25">
      <c r="A427" t="s">
        <v>3632</v>
      </c>
      <c r="O427" s="2">
        <v>1697</v>
      </c>
      <c r="P427" s="2">
        <v>1714</v>
      </c>
      <c r="Q427" s="2">
        <v>1732</v>
      </c>
      <c r="R427" s="2">
        <v>1749</v>
      </c>
      <c r="S427" s="2">
        <v>1766</v>
      </c>
      <c r="T427" s="2">
        <v>1784</v>
      </c>
      <c r="U427" s="2">
        <v>1802</v>
      </c>
    </row>
    <row r="428" spans="1:21" x14ac:dyDescent="0.25">
      <c r="A428" t="s">
        <v>3633</v>
      </c>
      <c r="O428">
        <v>0.3</v>
      </c>
      <c r="P428">
        <v>0.3</v>
      </c>
      <c r="Q428">
        <v>0.3</v>
      </c>
      <c r="R428">
        <v>0.3</v>
      </c>
      <c r="S428">
        <v>0.3</v>
      </c>
      <c r="T428">
        <v>0.3</v>
      </c>
      <c r="U428">
        <v>0.3</v>
      </c>
    </row>
    <row r="429" spans="1:21" x14ac:dyDescent="0.25">
      <c r="A429" t="s">
        <v>3689</v>
      </c>
    </row>
    <row r="430" spans="1:21" x14ac:dyDescent="0.25">
      <c r="A430" t="s">
        <v>3690</v>
      </c>
      <c r="O430" s="2">
        <v>282911.88</v>
      </c>
      <c r="P430" s="2">
        <v>285741</v>
      </c>
      <c r="Q430" s="2">
        <v>288598.40999999997</v>
      </c>
      <c r="R430" s="2">
        <v>291484.39</v>
      </c>
      <c r="S430" s="2">
        <v>294399.23</v>
      </c>
      <c r="T430" s="2">
        <v>297343.23</v>
      </c>
      <c r="U430" s="2">
        <v>300316.65999999997</v>
      </c>
    </row>
    <row r="431" spans="1:21" x14ac:dyDescent="0.25">
      <c r="A431" t="s">
        <v>3632</v>
      </c>
      <c r="O431" s="2">
        <v>1697</v>
      </c>
      <c r="P431" s="2">
        <v>1714</v>
      </c>
      <c r="Q431" s="2">
        <v>1732</v>
      </c>
      <c r="R431" s="2">
        <v>1749</v>
      </c>
      <c r="S431" s="2">
        <v>1766</v>
      </c>
      <c r="T431" s="2">
        <v>1784</v>
      </c>
      <c r="U431" s="2">
        <v>1802</v>
      </c>
    </row>
    <row r="432" spans="1:21" x14ac:dyDescent="0.25">
      <c r="A432" t="s">
        <v>3633</v>
      </c>
    </row>
    <row r="433" spans="1:21" x14ac:dyDescent="0.25">
      <c r="A433" t="s">
        <v>3581</v>
      </c>
    </row>
    <row r="434" spans="1:21" x14ac:dyDescent="0.25">
      <c r="A434" t="s">
        <v>3691</v>
      </c>
    </row>
    <row r="435" spans="1:21" x14ac:dyDescent="0.25">
      <c r="A435" t="s">
        <v>3692</v>
      </c>
      <c r="O435" s="2">
        <v>3395</v>
      </c>
      <c r="P435" s="2">
        <v>3429</v>
      </c>
      <c r="Q435" s="2">
        <v>3463</v>
      </c>
      <c r="R435" s="2">
        <v>3498</v>
      </c>
      <c r="S435" s="2">
        <v>3533</v>
      </c>
      <c r="T435" s="2">
        <v>3568</v>
      </c>
      <c r="U435" s="2">
        <v>3604</v>
      </c>
    </row>
    <row r="436" spans="1:21" x14ac:dyDescent="0.25">
      <c r="A436" t="s">
        <v>3693</v>
      </c>
    </row>
    <row r="437" spans="1:21" x14ac:dyDescent="0.25">
      <c r="A437" t="s">
        <v>3694</v>
      </c>
    </row>
    <row r="438" spans="1:21" x14ac:dyDescent="0.25">
      <c r="A438" t="s">
        <v>3695</v>
      </c>
      <c r="O438" s="2">
        <v>2865.33</v>
      </c>
      <c r="P438" s="2">
        <v>2951.29</v>
      </c>
      <c r="Q438" s="2">
        <v>3039.83</v>
      </c>
      <c r="R438" s="2">
        <v>3131.03</v>
      </c>
      <c r="S438" s="2">
        <v>3131.03</v>
      </c>
      <c r="T438" s="2">
        <v>3131.03</v>
      </c>
      <c r="U438" s="2">
        <v>3131.03</v>
      </c>
    </row>
    <row r="439" spans="1:21" x14ac:dyDescent="0.25">
      <c r="A439" t="s">
        <v>3696</v>
      </c>
    </row>
    <row r="440" spans="1:21" x14ac:dyDescent="0.25">
      <c r="A440" t="s">
        <v>3697</v>
      </c>
      <c r="O440">
        <v>85</v>
      </c>
      <c r="P440">
        <v>85</v>
      </c>
      <c r="Q440">
        <v>85</v>
      </c>
      <c r="R440">
        <v>85</v>
      </c>
      <c r="S440">
        <v>85</v>
      </c>
      <c r="T440">
        <v>85</v>
      </c>
      <c r="U440">
        <v>85</v>
      </c>
    </row>
    <row r="441" spans="1:21" x14ac:dyDescent="0.25">
      <c r="A441" t="s">
        <v>3698</v>
      </c>
    </row>
    <row r="442" spans="1:21" x14ac:dyDescent="0.25">
      <c r="A442" t="s">
        <v>3699</v>
      </c>
      <c r="O442" s="2">
        <v>2507.17</v>
      </c>
      <c r="P442" s="2">
        <v>2567.63</v>
      </c>
      <c r="Q442" s="2">
        <v>2629.45</v>
      </c>
      <c r="R442" s="2">
        <v>2692.68</v>
      </c>
      <c r="S442" s="2">
        <v>2191.7199999999998</v>
      </c>
      <c r="T442" s="2">
        <v>2191.7199999999998</v>
      </c>
      <c r="U442" s="2">
        <v>2191.7199999999998</v>
      </c>
    </row>
    <row r="443" spans="1:21" x14ac:dyDescent="0.25">
      <c r="A443" t="s">
        <v>3700</v>
      </c>
      <c r="O443">
        <v>249.38</v>
      </c>
      <c r="P443">
        <v>253.37</v>
      </c>
      <c r="Q443">
        <v>258.10000000000002</v>
      </c>
      <c r="R443">
        <v>261.99</v>
      </c>
      <c r="S443">
        <v>263.52</v>
      </c>
      <c r="T443">
        <v>243.9</v>
      </c>
      <c r="U443">
        <v>204.24</v>
      </c>
    </row>
    <row r="444" spans="1:21" x14ac:dyDescent="0.25">
      <c r="A444" t="s">
        <v>3701</v>
      </c>
    </row>
    <row r="445" spans="1:21" x14ac:dyDescent="0.25">
      <c r="A445" t="s">
        <v>3692</v>
      </c>
    </row>
    <row r="446" spans="1:21" x14ac:dyDescent="0.25">
      <c r="A446" t="s">
        <v>3643</v>
      </c>
    </row>
    <row r="447" spans="1:21" x14ac:dyDescent="0.25">
      <c r="A447" t="s">
        <v>3694</v>
      </c>
    </row>
    <row r="448" spans="1:21" x14ac:dyDescent="0.25">
      <c r="A448" t="s">
        <v>3696</v>
      </c>
    </row>
    <row r="449" spans="1:21" x14ac:dyDescent="0.25">
      <c r="A449" t="s">
        <v>3697</v>
      </c>
    </row>
    <row r="450" spans="1:21" x14ac:dyDescent="0.25">
      <c r="A450" t="s">
        <v>3698</v>
      </c>
    </row>
    <row r="451" spans="1:21" x14ac:dyDescent="0.25">
      <c r="A451" t="s">
        <v>3700</v>
      </c>
    </row>
    <row r="452" spans="1:21" x14ac:dyDescent="0.25">
      <c r="A452" t="s">
        <v>3702</v>
      </c>
    </row>
    <row r="453" spans="1:21" x14ac:dyDescent="0.25">
      <c r="A453" t="s">
        <v>3692</v>
      </c>
      <c r="O453" s="2">
        <v>2372</v>
      </c>
      <c r="P453" s="2">
        <v>2396</v>
      </c>
      <c r="Q453" s="2">
        <v>2420</v>
      </c>
      <c r="R453" s="2">
        <v>2444</v>
      </c>
      <c r="S453" s="2">
        <v>2469</v>
      </c>
      <c r="T453" s="2">
        <v>2493</v>
      </c>
      <c r="U453" s="2">
        <v>2518</v>
      </c>
    </row>
    <row r="454" spans="1:21" x14ac:dyDescent="0.25">
      <c r="A454" t="s">
        <v>3643</v>
      </c>
      <c r="O454">
        <v>13</v>
      </c>
      <c r="P454">
        <v>14</v>
      </c>
      <c r="Q454">
        <v>15</v>
      </c>
      <c r="R454">
        <v>16</v>
      </c>
      <c r="S454">
        <v>17</v>
      </c>
      <c r="T454">
        <v>18</v>
      </c>
      <c r="U454">
        <v>19</v>
      </c>
    </row>
    <row r="455" spans="1:21" x14ac:dyDescent="0.25">
      <c r="A455" t="s">
        <v>3694</v>
      </c>
    </row>
    <row r="456" spans="1:21" x14ac:dyDescent="0.25">
      <c r="A456" t="s">
        <v>3695</v>
      </c>
      <c r="O456" s="2">
        <v>5730.39</v>
      </c>
      <c r="P456" s="2">
        <v>5902.3</v>
      </c>
      <c r="Q456" s="2">
        <v>6079.37</v>
      </c>
      <c r="R456" s="2">
        <v>6261.75</v>
      </c>
      <c r="S456" s="2">
        <v>6261.75</v>
      </c>
      <c r="T456" s="2">
        <v>6261.75</v>
      </c>
      <c r="U456" s="2">
        <v>6261.75</v>
      </c>
    </row>
    <row r="457" spans="1:21" x14ac:dyDescent="0.25">
      <c r="A457" t="s">
        <v>3696</v>
      </c>
    </row>
    <row r="458" spans="1:21" x14ac:dyDescent="0.25">
      <c r="A458" t="s">
        <v>3697</v>
      </c>
      <c r="O458">
        <v>85</v>
      </c>
      <c r="P458">
        <v>85</v>
      </c>
      <c r="Q458">
        <v>85</v>
      </c>
      <c r="R458">
        <v>85</v>
      </c>
      <c r="S458">
        <v>85</v>
      </c>
      <c r="T458">
        <v>85</v>
      </c>
      <c r="U458">
        <v>85</v>
      </c>
    </row>
    <row r="459" spans="1:21" x14ac:dyDescent="0.25">
      <c r="A459" t="s">
        <v>3698</v>
      </c>
    </row>
    <row r="460" spans="1:21" x14ac:dyDescent="0.25">
      <c r="A460" t="s">
        <v>3699</v>
      </c>
      <c r="O460" s="2">
        <v>4870.83</v>
      </c>
      <c r="P460" s="2">
        <v>5016.96</v>
      </c>
      <c r="Q460" s="2">
        <v>5167.47</v>
      </c>
      <c r="R460" s="2">
        <v>5322.49</v>
      </c>
      <c r="S460" s="2">
        <v>5322.49</v>
      </c>
      <c r="T460" s="2">
        <v>5322.49</v>
      </c>
      <c r="U460" s="2">
        <v>5322.49</v>
      </c>
    </row>
    <row r="461" spans="1:21" x14ac:dyDescent="0.25">
      <c r="A461" t="s">
        <v>3700</v>
      </c>
      <c r="O461">
        <v>98.22</v>
      </c>
      <c r="P461">
        <v>107.28</v>
      </c>
      <c r="Q461">
        <v>116.92</v>
      </c>
      <c r="R461">
        <v>121.63</v>
      </c>
      <c r="S461">
        <v>122.85</v>
      </c>
      <c r="T461">
        <v>124.08</v>
      </c>
      <c r="U461">
        <v>125.32</v>
      </c>
    </row>
    <row r="462" spans="1:21" x14ac:dyDescent="0.25">
      <c r="A462" t="s">
        <v>17</v>
      </c>
    </row>
    <row r="463" spans="1:21" x14ac:dyDescent="0.25">
      <c r="A463" t="s">
        <v>3703</v>
      </c>
    </row>
    <row r="464" spans="1:21" x14ac:dyDescent="0.25">
      <c r="A464" t="s">
        <v>73</v>
      </c>
    </row>
    <row r="465" spans="1:21" x14ac:dyDescent="0.25">
      <c r="A465" t="s">
        <v>3704</v>
      </c>
    </row>
    <row r="466" spans="1:21" x14ac:dyDescent="0.25">
      <c r="A466" t="s">
        <v>3705</v>
      </c>
      <c r="O466" s="2">
        <v>571826.29</v>
      </c>
      <c r="P466" s="2">
        <v>573541.77</v>
      </c>
      <c r="Q466" s="2">
        <v>575262.39</v>
      </c>
      <c r="R466" s="2">
        <v>576988.18000000005</v>
      </c>
      <c r="S466" s="2">
        <v>578719.14</v>
      </c>
      <c r="T466" s="2">
        <v>580455.30000000005</v>
      </c>
      <c r="U466" s="2">
        <v>582196.67000000004</v>
      </c>
    </row>
    <row r="467" spans="1:21" x14ac:dyDescent="0.25">
      <c r="A467" t="s">
        <v>3706</v>
      </c>
    </row>
    <row r="468" spans="1:21" x14ac:dyDescent="0.25">
      <c r="A468" t="s">
        <v>3584</v>
      </c>
    </row>
    <row r="469" spans="1:21" x14ac:dyDescent="0.25">
      <c r="A469" t="s">
        <v>3632</v>
      </c>
    </row>
    <row r="470" spans="1:21" x14ac:dyDescent="0.25">
      <c r="A470" t="s">
        <v>3633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3</v>
      </c>
      <c r="U470">
        <v>3</v>
      </c>
    </row>
    <row r="471" spans="1:21" x14ac:dyDescent="0.25">
      <c r="A471" t="s">
        <v>3634</v>
      </c>
    </row>
    <row r="472" spans="1:21" x14ac:dyDescent="0.25">
      <c r="A472" t="s">
        <v>3657</v>
      </c>
    </row>
    <row r="473" spans="1:21" x14ac:dyDescent="0.25">
      <c r="A473" t="s">
        <v>3635</v>
      </c>
      <c r="O473">
        <v>68</v>
      </c>
      <c r="P473">
        <v>70</v>
      </c>
      <c r="Q473">
        <v>72</v>
      </c>
      <c r="R473">
        <v>74</v>
      </c>
      <c r="S473">
        <v>75</v>
      </c>
      <c r="T473">
        <v>76</v>
      </c>
      <c r="U473">
        <v>77</v>
      </c>
    </row>
    <row r="474" spans="1:21" x14ac:dyDescent="0.25">
      <c r="A474" t="s">
        <v>3636</v>
      </c>
    </row>
    <row r="475" spans="1:21" x14ac:dyDescent="0.25">
      <c r="A475" t="s">
        <v>3637</v>
      </c>
    </row>
    <row r="476" spans="1:21" x14ac:dyDescent="0.25">
      <c r="A476" t="s">
        <v>3658</v>
      </c>
    </row>
    <row r="477" spans="1:21" x14ac:dyDescent="0.25">
      <c r="A477" t="s">
        <v>1317</v>
      </c>
    </row>
    <row r="478" spans="1:21" x14ac:dyDescent="0.25">
      <c r="A478" t="s">
        <v>74</v>
      </c>
    </row>
    <row r="479" spans="1:21" x14ac:dyDescent="0.25">
      <c r="A479" t="s">
        <v>3584</v>
      </c>
    </row>
    <row r="480" spans="1:21" x14ac:dyDescent="0.25">
      <c r="A480" t="s">
        <v>1317</v>
      </c>
    </row>
    <row r="481" spans="1:21" x14ac:dyDescent="0.25">
      <c r="A481" t="s">
        <v>17</v>
      </c>
    </row>
    <row r="482" spans="1:21" x14ac:dyDescent="0.25">
      <c r="A482" t="s">
        <v>3707</v>
      </c>
    </row>
    <row r="483" spans="1:21" x14ac:dyDescent="0.25">
      <c r="A483" t="s">
        <v>73</v>
      </c>
    </row>
    <row r="484" spans="1:21" x14ac:dyDescent="0.25">
      <c r="A484" t="s">
        <v>3708</v>
      </c>
    </row>
    <row r="485" spans="1:21" x14ac:dyDescent="0.25">
      <c r="A485" t="s">
        <v>3709</v>
      </c>
    </row>
    <row r="486" spans="1:21" x14ac:dyDescent="0.25">
      <c r="A486" t="s">
        <v>3710</v>
      </c>
    </row>
    <row r="487" spans="1:21" x14ac:dyDescent="0.25">
      <c r="A487" t="s">
        <v>3584</v>
      </c>
    </row>
    <row r="488" spans="1:21" x14ac:dyDescent="0.25">
      <c r="A488" t="s">
        <v>3632</v>
      </c>
    </row>
    <row r="489" spans="1:21" x14ac:dyDescent="0.25">
      <c r="A489" t="s">
        <v>3633</v>
      </c>
    </row>
    <row r="490" spans="1:21" x14ac:dyDescent="0.25">
      <c r="A490" t="s">
        <v>3634</v>
      </c>
    </row>
    <row r="491" spans="1:21" x14ac:dyDescent="0.25">
      <c r="A491" t="s">
        <v>3635</v>
      </c>
      <c r="O491">
        <v>47.5</v>
      </c>
      <c r="P491">
        <v>48.75</v>
      </c>
      <c r="Q491">
        <v>50</v>
      </c>
      <c r="R491">
        <v>51.25</v>
      </c>
      <c r="S491">
        <v>52.5</v>
      </c>
      <c r="T491">
        <v>53.75</v>
      </c>
      <c r="U491">
        <v>55</v>
      </c>
    </row>
    <row r="492" spans="1:21" x14ac:dyDescent="0.25">
      <c r="A492" t="s">
        <v>3636</v>
      </c>
    </row>
    <row r="493" spans="1:21" x14ac:dyDescent="0.25">
      <c r="A493" t="s">
        <v>3637</v>
      </c>
    </row>
    <row r="494" spans="1:21" x14ac:dyDescent="0.25">
      <c r="A494" t="s">
        <v>3658</v>
      </c>
    </row>
    <row r="495" spans="1:21" x14ac:dyDescent="0.25">
      <c r="A495" t="s">
        <v>1317</v>
      </c>
    </row>
    <row r="496" spans="1:21" x14ac:dyDescent="0.25">
      <c r="A496" t="s">
        <v>74</v>
      </c>
    </row>
    <row r="497" spans="1:21" x14ac:dyDescent="0.25">
      <c r="A497" t="s">
        <v>3708</v>
      </c>
    </row>
    <row r="498" spans="1:21" x14ac:dyDescent="0.25">
      <c r="A498" t="s">
        <v>3709</v>
      </c>
      <c r="O498" s="2">
        <v>345165.99</v>
      </c>
      <c r="P498" s="2">
        <v>348722.24</v>
      </c>
      <c r="Q498" s="2">
        <v>352351.06</v>
      </c>
      <c r="R498" s="2">
        <v>356054.31</v>
      </c>
      <c r="S498" s="2">
        <v>359833.89</v>
      </c>
      <c r="T498" s="2">
        <v>363691.8</v>
      </c>
      <c r="U498" s="2">
        <v>367630.06</v>
      </c>
    </row>
    <row r="499" spans="1:21" x14ac:dyDescent="0.25">
      <c r="A499" t="s">
        <v>3710</v>
      </c>
    </row>
    <row r="500" spans="1:21" x14ac:dyDescent="0.25">
      <c r="A500" t="s">
        <v>3584</v>
      </c>
    </row>
    <row r="501" spans="1:21" x14ac:dyDescent="0.25">
      <c r="A501" t="s">
        <v>3632</v>
      </c>
    </row>
    <row r="502" spans="1:21" x14ac:dyDescent="0.25">
      <c r="A502" t="s">
        <v>3633</v>
      </c>
    </row>
    <row r="503" spans="1:21" x14ac:dyDescent="0.25">
      <c r="A503" t="s">
        <v>3634</v>
      </c>
    </row>
    <row r="504" spans="1:21" x14ac:dyDescent="0.25">
      <c r="A504" t="s">
        <v>3635</v>
      </c>
    </row>
    <row r="505" spans="1:21" x14ac:dyDescent="0.25">
      <c r="A505" t="s">
        <v>3636</v>
      </c>
    </row>
    <row r="506" spans="1:21" x14ac:dyDescent="0.25">
      <c r="A506" t="s">
        <v>3637</v>
      </c>
    </row>
    <row r="507" spans="1:21" x14ac:dyDescent="0.25">
      <c r="A507" t="s">
        <v>3658</v>
      </c>
    </row>
    <row r="508" spans="1:21" x14ac:dyDescent="0.25">
      <c r="A508" t="s">
        <v>1317</v>
      </c>
    </row>
    <row r="509" spans="1:21" x14ac:dyDescent="0.25">
      <c r="A509" t="s">
        <v>17</v>
      </c>
    </row>
    <row r="510" spans="1:21" x14ac:dyDescent="0.25">
      <c r="A510" t="s">
        <v>3711</v>
      </c>
    </row>
    <row r="511" spans="1:21" x14ac:dyDescent="0.25">
      <c r="A511" t="s">
        <v>73</v>
      </c>
    </row>
    <row r="512" spans="1:21" x14ac:dyDescent="0.25">
      <c r="A512" t="s">
        <v>3712</v>
      </c>
      <c r="O512" s="2">
        <v>2789088.29</v>
      </c>
      <c r="P512" s="2">
        <v>2816979.17</v>
      </c>
      <c r="Q512" s="2">
        <v>2845148.96</v>
      </c>
      <c r="R512" s="2">
        <v>2873600.45</v>
      </c>
      <c r="S512" s="2">
        <v>2902336.46</v>
      </c>
      <c r="T512" s="2">
        <v>2931359.82</v>
      </c>
      <c r="U512" s="2">
        <v>2960673.42</v>
      </c>
    </row>
    <row r="513" spans="1:21" x14ac:dyDescent="0.25">
      <c r="A513" t="s">
        <v>3713</v>
      </c>
      <c r="O513" s="2">
        <v>1812907.39</v>
      </c>
      <c r="P513" s="2">
        <v>1831036.46</v>
      </c>
      <c r="Q513" s="2">
        <v>1849346.83</v>
      </c>
      <c r="R513" s="2">
        <v>1867840.29</v>
      </c>
      <c r="S513" s="2">
        <v>1886518.7</v>
      </c>
      <c r="T513" s="2">
        <v>1905383.88</v>
      </c>
      <c r="U513" s="2">
        <v>1924437.72</v>
      </c>
    </row>
    <row r="514" spans="1:21" x14ac:dyDescent="0.25">
      <c r="A514" t="s">
        <v>3714</v>
      </c>
    </row>
    <row r="515" spans="1:21" x14ac:dyDescent="0.25">
      <c r="A515" t="s">
        <v>3633</v>
      </c>
    </row>
    <row r="516" spans="1:21" x14ac:dyDescent="0.25">
      <c r="A516" t="s">
        <v>3715</v>
      </c>
    </row>
    <row r="517" spans="1:21" x14ac:dyDescent="0.25">
      <c r="A517" t="s">
        <v>3587</v>
      </c>
    </row>
    <row r="518" spans="1:21" x14ac:dyDescent="0.25">
      <c r="A518" t="s">
        <v>3716</v>
      </c>
    </row>
    <row r="519" spans="1:21" x14ac:dyDescent="0.25">
      <c r="A519" t="s">
        <v>3643</v>
      </c>
    </row>
    <row r="520" spans="1:21" x14ac:dyDescent="0.25">
      <c r="A520" t="s">
        <v>3717</v>
      </c>
    </row>
    <row r="521" spans="1:21" x14ac:dyDescent="0.25">
      <c r="A521" t="s">
        <v>3718</v>
      </c>
    </row>
    <row r="522" spans="1:21" x14ac:dyDescent="0.25">
      <c r="A522" t="s">
        <v>3643</v>
      </c>
    </row>
    <row r="523" spans="1:21" x14ac:dyDescent="0.25">
      <c r="A523" t="s">
        <v>3632</v>
      </c>
    </row>
    <row r="524" spans="1:21" x14ac:dyDescent="0.25">
      <c r="A524" t="s">
        <v>3719</v>
      </c>
      <c r="O524" s="2">
        <v>14503</v>
      </c>
      <c r="P524" s="2">
        <v>21972</v>
      </c>
      <c r="Q524" s="2">
        <v>25891</v>
      </c>
      <c r="R524" s="2">
        <v>29885</v>
      </c>
      <c r="S524" s="2">
        <v>32071</v>
      </c>
      <c r="T524" s="2">
        <v>34297</v>
      </c>
      <c r="U524" s="2">
        <v>36564</v>
      </c>
    </row>
    <row r="525" spans="1:21" x14ac:dyDescent="0.25">
      <c r="A525" t="s">
        <v>3633</v>
      </c>
      <c r="O525">
        <v>1.4</v>
      </c>
      <c r="P525">
        <v>1.91</v>
      </c>
      <c r="Q525">
        <v>2.4</v>
      </c>
      <c r="R525">
        <v>2.8</v>
      </c>
      <c r="S525">
        <v>3.05</v>
      </c>
      <c r="T525">
        <v>3.25</v>
      </c>
      <c r="U525">
        <v>3.45</v>
      </c>
    </row>
    <row r="526" spans="1:21" x14ac:dyDescent="0.25">
      <c r="A526" t="s">
        <v>3634</v>
      </c>
      <c r="O526" s="2">
        <v>53045</v>
      </c>
      <c r="P526" s="2">
        <v>54636.35</v>
      </c>
      <c r="Q526" s="2">
        <v>56275.44</v>
      </c>
      <c r="R526" s="2">
        <v>57963.7</v>
      </c>
      <c r="S526" s="2">
        <v>59702.61</v>
      </c>
      <c r="T526" s="2">
        <v>61493.69</v>
      </c>
      <c r="U526" s="2">
        <v>63338.5</v>
      </c>
    </row>
    <row r="527" spans="1:21" x14ac:dyDescent="0.25">
      <c r="A527" t="s">
        <v>3657</v>
      </c>
    </row>
    <row r="528" spans="1:21" x14ac:dyDescent="0.25">
      <c r="A528" t="s">
        <v>3635</v>
      </c>
      <c r="O528">
        <v>59.5</v>
      </c>
      <c r="P528">
        <v>60.5</v>
      </c>
      <c r="Q528">
        <v>61.5</v>
      </c>
      <c r="R528">
        <v>62.5</v>
      </c>
      <c r="S528">
        <v>63.5</v>
      </c>
      <c r="T528">
        <v>64.5</v>
      </c>
      <c r="U528">
        <v>65.5</v>
      </c>
    </row>
    <row r="529" spans="1:21" x14ac:dyDescent="0.25">
      <c r="A529" t="s">
        <v>3636</v>
      </c>
      <c r="O529">
        <v>65</v>
      </c>
      <c r="P529">
        <v>65</v>
      </c>
      <c r="Q529">
        <v>65</v>
      </c>
      <c r="R529">
        <v>65</v>
      </c>
      <c r="S529">
        <v>65</v>
      </c>
      <c r="T529">
        <v>65</v>
      </c>
      <c r="U529">
        <v>65</v>
      </c>
    </row>
    <row r="530" spans="1:21" x14ac:dyDescent="0.25">
      <c r="A530" t="s">
        <v>1317</v>
      </c>
      <c r="L530">
        <v>0</v>
      </c>
      <c r="M530">
        <v>9.3000000000000007</v>
      </c>
      <c r="N530">
        <v>274</v>
      </c>
      <c r="O530">
        <v>574.16999999999996</v>
      </c>
      <c r="P530">
        <v>836.73</v>
      </c>
      <c r="Q530" s="2">
        <v>1106.03</v>
      </c>
      <c r="R530" s="2">
        <v>1340.61</v>
      </c>
      <c r="S530" s="2">
        <v>1533.39</v>
      </c>
      <c r="T530" s="2">
        <v>1691.52</v>
      </c>
      <c r="U530" s="2">
        <v>1836.29</v>
      </c>
    </row>
    <row r="531" spans="1:21" x14ac:dyDescent="0.25">
      <c r="A531" t="s">
        <v>17</v>
      </c>
    </row>
    <row r="532" spans="1:21" x14ac:dyDescent="0.25">
      <c r="A532" t="s">
        <v>3720</v>
      </c>
    </row>
    <row r="533" spans="1:21" x14ac:dyDescent="0.25">
      <c r="A533" t="s">
        <v>73</v>
      </c>
    </row>
    <row r="534" spans="1:21" x14ac:dyDescent="0.25">
      <c r="A534" t="s">
        <v>3721</v>
      </c>
      <c r="O534" s="2">
        <v>5381097.4900000002</v>
      </c>
      <c r="P534" s="2">
        <v>5408002.9699999997</v>
      </c>
      <c r="Q534" s="2">
        <v>5435042.9900000002</v>
      </c>
      <c r="R534" s="2">
        <v>5462218.2000000002</v>
      </c>
      <c r="S534" s="2">
        <v>5489529.29</v>
      </c>
      <c r="T534" s="2">
        <v>5516976.9400000004</v>
      </c>
      <c r="U534" s="2">
        <v>5544561.8200000003</v>
      </c>
    </row>
    <row r="535" spans="1:21" x14ac:dyDescent="0.25">
      <c r="A535" t="s">
        <v>3722</v>
      </c>
      <c r="O535" s="2">
        <v>602682.92000000004</v>
      </c>
      <c r="P535" s="2">
        <v>659776.36</v>
      </c>
      <c r="Q535" s="2">
        <v>717425.67</v>
      </c>
      <c r="R535" s="2">
        <v>775634.98</v>
      </c>
      <c r="S535" s="2">
        <v>834408.45</v>
      </c>
      <c r="T535" s="2">
        <v>893750.26</v>
      </c>
      <c r="U535" s="2">
        <v>953664.63</v>
      </c>
    </row>
    <row r="536" spans="1:21" x14ac:dyDescent="0.25">
      <c r="A536" t="s">
        <v>3633</v>
      </c>
      <c r="O536">
        <v>11.2</v>
      </c>
      <c r="P536">
        <v>12.2</v>
      </c>
      <c r="Q536">
        <v>13.2</v>
      </c>
      <c r="R536">
        <v>14.2</v>
      </c>
      <c r="S536">
        <v>15.2</v>
      </c>
      <c r="T536">
        <v>16.2</v>
      </c>
      <c r="U536">
        <v>17.2</v>
      </c>
    </row>
    <row r="537" spans="1:21" x14ac:dyDescent="0.25">
      <c r="A537" t="s">
        <v>3589</v>
      </c>
    </row>
    <row r="538" spans="1:21" x14ac:dyDescent="0.25">
      <c r="A538" t="s">
        <v>3723</v>
      </c>
      <c r="O538" s="2">
        <v>144643.9</v>
      </c>
      <c r="P538" s="2">
        <v>145150.79999999999</v>
      </c>
      <c r="Q538" s="2">
        <v>150659.39000000001</v>
      </c>
      <c r="R538" s="2">
        <v>155127</v>
      </c>
      <c r="S538" s="2">
        <v>166881.69</v>
      </c>
      <c r="T538" s="2">
        <v>178750.05</v>
      </c>
      <c r="U538" s="2">
        <v>190732.93</v>
      </c>
    </row>
    <row r="539" spans="1:21" x14ac:dyDescent="0.25">
      <c r="A539" t="s">
        <v>3632</v>
      </c>
    </row>
    <row r="540" spans="1:21" x14ac:dyDescent="0.25">
      <c r="A540" t="s">
        <v>3633</v>
      </c>
    </row>
    <row r="541" spans="1:21" x14ac:dyDescent="0.25">
      <c r="A541" t="s">
        <v>3634</v>
      </c>
      <c r="O541" s="2">
        <v>8730.7199999999993</v>
      </c>
      <c r="P541" s="2">
        <v>8992.65</v>
      </c>
      <c r="Q541" s="2">
        <v>9262.43</v>
      </c>
      <c r="R541" s="2">
        <v>9540.2999999999993</v>
      </c>
      <c r="S541" s="2">
        <v>9826.51</v>
      </c>
      <c r="T541" s="2">
        <v>10121.299999999999</v>
      </c>
      <c r="U541" s="2">
        <v>10424.94</v>
      </c>
    </row>
    <row r="542" spans="1:21" x14ac:dyDescent="0.25">
      <c r="A542" t="s">
        <v>3657</v>
      </c>
    </row>
    <row r="543" spans="1:21" x14ac:dyDescent="0.25">
      <c r="A543" t="s">
        <v>3635</v>
      </c>
      <c r="O543">
        <v>27.5</v>
      </c>
      <c r="P543">
        <v>28</v>
      </c>
      <c r="Q543">
        <v>28.5</v>
      </c>
      <c r="R543">
        <v>29</v>
      </c>
      <c r="S543">
        <v>29.5</v>
      </c>
      <c r="T543">
        <v>30</v>
      </c>
      <c r="U543">
        <v>30.5</v>
      </c>
    </row>
    <row r="544" spans="1:21" x14ac:dyDescent="0.25">
      <c r="A544" t="s">
        <v>3636</v>
      </c>
      <c r="O544">
        <v>70</v>
      </c>
      <c r="P544">
        <v>70</v>
      </c>
      <c r="Q544">
        <v>70</v>
      </c>
      <c r="R544">
        <v>70</v>
      </c>
      <c r="S544">
        <v>70</v>
      </c>
      <c r="T544">
        <v>70</v>
      </c>
      <c r="U544">
        <v>70</v>
      </c>
    </row>
    <row r="545" spans="1:21" x14ac:dyDescent="0.25">
      <c r="A545" t="s">
        <v>3637</v>
      </c>
      <c r="O545" s="2">
        <v>6329.78</v>
      </c>
      <c r="P545" s="2">
        <v>6474.71</v>
      </c>
      <c r="Q545" s="2">
        <v>6622.63</v>
      </c>
      <c r="R545" s="2">
        <v>6773.61</v>
      </c>
      <c r="S545" s="2">
        <v>6927.69</v>
      </c>
      <c r="T545" s="2">
        <v>7084.91</v>
      </c>
      <c r="U545" s="2">
        <v>7245.33</v>
      </c>
    </row>
    <row r="546" spans="1:21" x14ac:dyDescent="0.25">
      <c r="A546" t="s">
        <v>1317</v>
      </c>
      <c r="G546">
        <v>4.9000000000000004</v>
      </c>
      <c r="H546">
        <v>154.9</v>
      </c>
      <c r="I546">
        <v>325.89999999999998</v>
      </c>
      <c r="J546">
        <v>434.5</v>
      </c>
      <c r="K546">
        <v>462.8</v>
      </c>
      <c r="L546">
        <v>482.2</v>
      </c>
      <c r="M546">
        <v>559.70000000000005</v>
      </c>
      <c r="N546">
        <v>553</v>
      </c>
      <c r="O546">
        <v>573.92999999999995</v>
      </c>
      <c r="P546">
        <v>603.6</v>
      </c>
      <c r="Q546">
        <v>619.15</v>
      </c>
      <c r="R546">
        <v>624.49</v>
      </c>
      <c r="S546">
        <v>639.70000000000005</v>
      </c>
      <c r="T546">
        <v>649.63</v>
      </c>
      <c r="U546">
        <v>657.11</v>
      </c>
    </row>
    <row r="547" spans="1:21" x14ac:dyDescent="0.25">
      <c r="A547" t="s">
        <v>74</v>
      </c>
    </row>
    <row r="548" spans="1:21" x14ac:dyDescent="0.25">
      <c r="A548" t="s">
        <v>3721</v>
      </c>
      <c r="O548" s="2">
        <v>5363200.82</v>
      </c>
      <c r="P548" s="2">
        <v>5395380.0199999996</v>
      </c>
      <c r="Q548" s="2">
        <v>5427752.2999999998</v>
      </c>
      <c r="R548" s="2">
        <v>5460318.8200000003</v>
      </c>
      <c r="S548" s="2">
        <v>5493080.7300000004</v>
      </c>
      <c r="T548" s="2">
        <v>5526039.21</v>
      </c>
      <c r="U548" s="2">
        <v>5559195.4500000002</v>
      </c>
    </row>
    <row r="549" spans="1:21" x14ac:dyDescent="0.25">
      <c r="A549" t="s">
        <v>3722</v>
      </c>
      <c r="O549" s="2">
        <v>670400.1</v>
      </c>
      <c r="P549" s="2">
        <v>728376.3</v>
      </c>
      <c r="Q549" s="2">
        <v>787024.08</v>
      </c>
      <c r="R549" s="2">
        <v>846349.42</v>
      </c>
      <c r="S549" s="2">
        <v>906358.32</v>
      </c>
      <c r="T549" s="2">
        <v>967056.86</v>
      </c>
      <c r="U549" s="2">
        <v>972859.2</v>
      </c>
    </row>
    <row r="550" spans="1:21" x14ac:dyDescent="0.25">
      <c r="A550" t="s">
        <v>3633</v>
      </c>
      <c r="O550">
        <v>12.5</v>
      </c>
      <c r="P550">
        <v>13.5</v>
      </c>
      <c r="Q550">
        <v>14.5</v>
      </c>
      <c r="R550">
        <v>15.5</v>
      </c>
      <c r="S550">
        <v>16.5</v>
      </c>
      <c r="T550">
        <v>17.5</v>
      </c>
      <c r="U550">
        <v>17.5</v>
      </c>
    </row>
    <row r="551" spans="1:21" x14ac:dyDescent="0.25">
      <c r="A551" t="s">
        <v>3589</v>
      </c>
    </row>
    <row r="552" spans="1:21" x14ac:dyDescent="0.25">
      <c r="A552" t="s">
        <v>3723</v>
      </c>
      <c r="O552" s="2">
        <v>67040.009999999995</v>
      </c>
      <c r="P552" s="2">
        <v>58270.1</v>
      </c>
      <c r="Q552" s="2">
        <v>62961.93</v>
      </c>
      <c r="R552" s="2">
        <v>76171.45</v>
      </c>
      <c r="S552" s="2">
        <v>81572.25</v>
      </c>
      <c r="T552" s="2">
        <v>87035.12</v>
      </c>
      <c r="U552" s="2">
        <v>87557.33</v>
      </c>
    </row>
    <row r="553" spans="1:21" x14ac:dyDescent="0.25">
      <c r="A553" t="s">
        <v>3632</v>
      </c>
    </row>
    <row r="554" spans="1:21" x14ac:dyDescent="0.25">
      <c r="A554" t="s">
        <v>3633</v>
      </c>
    </row>
    <row r="555" spans="1:21" x14ac:dyDescent="0.25">
      <c r="A555" t="s">
        <v>3634</v>
      </c>
      <c r="O555" s="2">
        <v>6111.51</v>
      </c>
      <c r="P555" s="2">
        <v>6294.85</v>
      </c>
      <c r="Q555" s="2">
        <v>6483.7</v>
      </c>
      <c r="R555" s="2">
        <v>6678.21</v>
      </c>
      <c r="S555" s="2">
        <v>6878.56</v>
      </c>
      <c r="T555" s="2">
        <v>7084.91</v>
      </c>
      <c r="U555" s="2">
        <v>7297.46</v>
      </c>
    </row>
    <row r="556" spans="1:21" x14ac:dyDescent="0.25">
      <c r="A556" t="s">
        <v>3657</v>
      </c>
    </row>
    <row r="557" spans="1:21" x14ac:dyDescent="0.25">
      <c r="A557" t="s">
        <v>3636</v>
      </c>
      <c r="O557">
        <v>70</v>
      </c>
      <c r="P557">
        <v>70</v>
      </c>
      <c r="Q557">
        <v>70</v>
      </c>
      <c r="R557">
        <v>70</v>
      </c>
      <c r="S557">
        <v>70</v>
      </c>
      <c r="T557">
        <v>70</v>
      </c>
      <c r="U557">
        <v>70</v>
      </c>
    </row>
    <row r="558" spans="1:21" x14ac:dyDescent="0.25">
      <c r="A558" t="s">
        <v>3637</v>
      </c>
      <c r="O558" s="2">
        <v>4583.63</v>
      </c>
      <c r="P558" s="2">
        <v>4721.1400000000003</v>
      </c>
      <c r="Q558" s="2">
        <v>4862.7700000000004</v>
      </c>
      <c r="R558" s="2">
        <v>5008.66</v>
      </c>
      <c r="S558" s="2">
        <v>5158.92</v>
      </c>
      <c r="T558" s="2">
        <v>5313.68</v>
      </c>
      <c r="U558" s="2">
        <v>5473.09</v>
      </c>
    </row>
    <row r="559" spans="1:21" x14ac:dyDescent="0.25">
      <c r="A559" t="s">
        <v>1317</v>
      </c>
      <c r="G559">
        <v>0</v>
      </c>
      <c r="H559">
        <v>7.7</v>
      </c>
      <c r="I559">
        <v>37</v>
      </c>
      <c r="J559">
        <v>142.69999999999999</v>
      </c>
      <c r="K559">
        <v>188.1</v>
      </c>
      <c r="L559">
        <v>196</v>
      </c>
      <c r="M559">
        <v>310.7</v>
      </c>
      <c r="N559">
        <v>195</v>
      </c>
      <c r="O559">
        <v>200.47</v>
      </c>
      <c r="P559">
        <v>198.94</v>
      </c>
      <c r="Q559">
        <v>200.27</v>
      </c>
      <c r="R559">
        <v>202.37</v>
      </c>
      <c r="S559">
        <v>204.68</v>
      </c>
      <c r="T559">
        <v>208.12</v>
      </c>
      <c r="U559">
        <v>204.31</v>
      </c>
    </row>
    <row r="560" spans="1:21" x14ac:dyDescent="0.25">
      <c r="A560" t="s">
        <v>17</v>
      </c>
    </row>
    <row r="561" spans="1:21" x14ac:dyDescent="0.25">
      <c r="A561" t="s">
        <v>3724</v>
      </c>
    </row>
    <row r="562" spans="1:21" x14ac:dyDescent="0.25">
      <c r="A562" t="s">
        <v>73</v>
      </c>
    </row>
    <row r="563" spans="1:21" x14ac:dyDescent="0.25">
      <c r="A563" t="s">
        <v>3725</v>
      </c>
      <c r="O563" s="2">
        <v>1956275</v>
      </c>
      <c r="P563" s="2">
        <v>2014963.25</v>
      </c>
      <c r="Q563" s="2">
        <v>2075412.15</v>
      </c>
      <c r="R563" s="2">
        <v>2137674.5099999998</v>
      </c>
      <c r="S563" s="2">
        <v>2201804.75</v>
      </c>
      <c r="T563" s="2">
        <v>2267858.89</v>
      </c>
      <c r="U563" s="2">
        <v>2335894.66</v>
      </c>
    </row>
    <row r="564" spans="1:21" x14ac:dyDescent="0.25">
      <c r="A564" t="s">
        <v>3726</v>
      </c>
      <c r="O564" s="2">
        <v>19562.75</v>
      </c>
      <c r="P564" s="2">
        <v>40299.269999999997</v>
      </c>
      <c r="Q564" s="2">
        <v>83016.490000000005</v>
      </c>
      <c r="R564" s="2">
        <v>128260.47</v>
      </c>
      <c r="S564" s="2">
        <v>176144.38</v>
      </c>
      <c r="T564" s="2">
        <v>226785.89</v>
      </c>
      <c r="U564" s="2">
        <v>280307.36</v>
      </c>
    </row>
    <row r="565" spans="1:21" x14ac:dyDescent="0.25">
      <c r="A565" t="s">
        <v>3633</v>
      </c>
      <c r="O565">
        <v>0.8</v>
      </c>
      <c r="P565">
        <v>1.3</v>
      </c>
      <c r="Q565">
        <v>2.2999999999999998</v>
      </c>
      <c r="R565">
        <v>3.3</v>
      </c>
      <c r="S565">
        <v>4.3</v>
      </c>
      <c r="T565">
        <v>5.3</v>
      </c>
      <c r="U565">
        <v>6.3</v>
      </c>
    </row>
    <row r="566" spans="1:21" x14ac:dyDescent="0.25">
      <c r="A566" t="s">
        <v>3727</v>
      </c>
      <c r="O566" s="2">
        <v>5032.7700000000004</v>
      </c>
      <c r="P566" s="2">
        <v>23176.720000000001</v>
      </c>
      <c r="Q566" s="2">
        <v>34934.82</v>
      </c>
      <c r="R566" s="2">
        <v>54847.51</v>
      </c>
      <c r="S566" s="2">
        <v>68453.56</v>
      </c>
      <c r="T566" s="2">
        <v>90296.57</v>
      </c>
      <c r="U566" s="2">
        <v>105918.59</v>
      </c>
    </row>
    <row r="567" spans="1:21" x14ac:dyDescent="0.25">
      <c r="A567" t="s">
        <v>3728</v>
      </c>
      <c r="O567" s="2">
        <v>5841139.8700000001</v>
      </c>
      <c r="P567" s="2">
        <v>5984046.3300000001</v>
      </c>
      <c r="Q567" s="2">
        <v>6130593.4400000004</v>
      </c>
      <c r="R567" s="2">
        <v>6280877.4699999997</v>
      </c>
      <c r="S567" s="2">
        <v>6434997.3399999999</v>
      </c>
      <c r="T567" s="2">
        <v>6593054.6900000004</v>
      </c>
      <c r="U567" s="2">
        <v>6755153.9000000004</v>
      </c>
    </row>
    <row r="568" spans="1:21" x14ac:dyDescent="0.25">
      <c r="A568" t="s">
        <v>3633</v>
      </c>
    </row>
    <row r="569" spans="1:21" x14ac:dyDescent="0.25">
      <c r="A569" t="s">
        <v>3729</v>
      </c>
      <c r="O569" s="2">
        <v>122198.83</v>
      </c>
      <c r="P569" s="2">
        <v>186964.21</v>
      </c>
      <c r="Q569" s="2">
        <v>254271.32</v>
      </c>
      <c r="R569" s="2">
        <v>324195.93</v>
      </c>
      <c r="S569" s="2">
        <v>396815.82</v>
      </c>
      <c r="T569" s="2">
        <v>404752.14</v>
      </c>
      <c r="U569" s="2">
        <v>412847.18</v>
      </c>
    </row>
    <row r="570" spans="1:21" x14ac:dyDescent="0.25">
      <c r="A570" t="s">
        <v>3633</v>
      </c>
      <c r="O570">
        <v>6</v>
      </c>
      <c r="P570">
        <v>7.5</v>
      </c>
      <c r="Q570">
        <v>10</v>
      </c>
      <c r="R570">
        <v>12.5</v>
      </c>
      <c r="S570">
        <v>15</v>
      </c>
      <c r="T570">
        <v>15</v>
      </c>
      <c r="U570">
        <v>-20</v>
      </c>
    </row>
    <row r="571" spans="1:21" x14ac:dyDescent="0.25">
      <c r="A571" t="s">
        <v>3591</v>
      </c>
    </row>
    <row r="572" spans="1:21" x14ac:dyDescent="0.25">
      <c r="A572" t="s">
        <v>3632</v>
      </c>
    </row>
    <row r="573" spans="1:21" x14ac:dyDescent="0.25">
      <c r="A573" t="s">
        <v>3633</v>
      </c>
    </row>
    <row r="574" spans="1:21" x14ac:dyDescent="0.25">
      <c r="A574" t="s">
        <v>3634</v>
      </c>
    </row>
    <row r="575" spans="1:21" x14ac:dyDescent="0.25">
      <c r="A575" t="s">
        <v>3657</v>
      </c>
    </row>
    <row r="576" spans="1:21" x14ac:dyDescent="0.25">
      <c r="A576" t="s">
        <v>3635</v>
      </c>
      <c r="O576">
        <v>39.67</v>
      </c>
      <c r="P576">
        <v>39</v>
      </c>
      <c r="Q576">
        <v>38.5</v>
      </c>
      <c r="R576">
        <v>38</v>
      </c>
      <c r="S576">
        <v>37.5</v>
      </c>
      <c r="T576">
        <v>37.5</v>
      </c>
      <c r="U576">
        <v>37.5</v>
      </c>
    </row>
    <row r="577" spans="1:21" x14ac:dyDescent="0.25">
      <c r="A577" t="s">
        <v>3636</v>
      </c>
      <c r="O577">
        <v>78.33</v>
      </c>
      <c r="P577">
        <v>78.33</v>
      </c>
      <c r="Q577">
        <v>78.33</v>
      </c>
      <c r="R577">
        <v>78.33</v>
      </c>
      <c r="S577">
        <v>78.33</v>
      </c>
      <c r="T577">
        <v>78.33</v>
      </c>
      <c r="U577">
        <v>78.33</v>
      </c>
    </row>
    <row r="578" spans="1:21" x14ac:dyDescent="0.25">
      <c r="A578" t="s">
        <v>3637</v>
      </c>
    </row>
    <row r="579" spans="1:21" x14ac:dyDescent="0.25">
      <c r="A579" t="s">
        <v>3658</v>
      </c>
    </row>
    <row r="580" spans="1:21" x14ac:dyDescent="0.25">
      <c r="A580" t="s">
        <v>1317</v>
      </c>
      <c r="M580">
        <v>8.5</v>
      </c>
      <c r="N580">
        <v>188</v>
      </c>
      <c r="O580">
        <v>637.66</v>
      </c>
      <c r="P580">
        <v>917.77</v>
      </c>
      <c r="Q580" s="2">
        <v>1402.68</v>
      </c>
      <c r="R580" s="2">
        <v>1929</v>
      </c>
      <c r="S580" s="2">
        <v>2703.5</v>
      </c>
      <c r="T580" s="2">
        <v>3544.91</v>
      </c>
      <c r="U580" s="2">
        <v>4278.6000000000004</v>
      </c>
    </row>
    <row r="581" spans="1:21" x14ac:dyDescent="0.25">
      <c r="A581" t="s">
        <v>17</v>
      </c>
    </row>
    <row r="582" spans="1:21" x14ac:dyDescent="0.25">
      <c r="A582" t="s">
        <v>3628</v>
      </c>
    </row>
    <row r="583" spans="1:21" x14ac:dyDescent="0.25">
      <c r="A583" t="s">
        <v>73</v>
      </c>
    </row>
    <row r="584" spans="1:21" x14ac:dyDescent="0.25">
      <c r="A584" t="s">
        <v>3730</v>
      </c>
    </row>
    <row r="585" spans="1:21" x14ac:dyDescent="0.25">
      <c r="A585" t="s">
        <v>3633</v>
      </c>
    </row>
    <row r="586" spans="1:21" x14ac:dyDescent="0.25">
      <c r="A586" t="s">
        <v>3731</v>
      </c>
    </row>
    <row r="587" spans="1:21" x14ac:dyDescent="0.25">
      <c r="A587" t="s">
        <v>3632</v>
      </c>
    </row>
    <row r="588" spans="1:21" x14ac:dyDescent="0.25">
      <c r="A588" t="s">
        <v>3656</v>
      </c>
    </row>
    <row r="589" spans="1:21" x14ac:dyDescent="0.25">
      <c r="A589" t="s">
        <v>3634</v>
      </c>
    </row>
    <row r="590" spans="1:21" x14ac:dyDescent="0.25">
      <c r="A590" t="s">
        <v>3657</v>
      </c>
    </row>
    <row r="591" spans="1:21" x14ac:dyDescent="0.25">
      <c r="A591" t="s">
        <v>3635</v>
      </c>
    </row>
    <row r="592" spans="1:21" x14ac:dyDescent="0.25">
      <c r="A592" t="s">
        <v>3636</v>
      </c>
    </row>
    <row r="593" spans="1:21" x14ac:dyDescent="0.25">
      <c r="A593" t="s">
        <v>3637</v>
      </c>
    </row>
    <row r="594" spans="1:21" x14ac:dyDescent="0.25">
      <c r="A594" t="s">
        <v>3658</v>
      </c>
    </row>
    <row r="595" spans="1:21" x14ac:dyDescent="0.25">
      <c r="A595" t="s">
        <v>1317</v>
      </c>
    </row>
    <row r="596" spans="1:21" x14ac:dyDescent="0.25">
      <c r="A596" t="s">
        <v>74</v>
      </c>
    </row>
    <row r="597" spans="1:21" x14ac:dyDescent="0.25">
      <c r="A597" t="s">
        <v>3730</v>
      </c>
    </row>
    <row r="598" spans="1:21" x14ac:dyDescent="0.25">
      <c r="A598" t="s">
        <v>3633</v>
      </c>
    </row>
    <row r="599" spans="1:21" x14ac:dyDescent="0.25">
      <c r="A599" t="s">
        <v>3731</v>
      </c>
    </row>
    <row r="600" spans="1:21" x14ac:dyDescent="0.25">
      <c r="A600" t="s">
        <v>3632</v>
      </c>
    </row>
    <row r="601" spans="1:21" x14ac:dyDescent="0.25">
      <c r="A601" t="s">
        <v>3656</v>
      </c>
    </row>
    <row r="602" spans="1:21" x14ac:dyDescent="0.25">
      <c r="A602" t="s">
        <v>3634</v>
      </c>
    </row>
    <row r="603" spans="1:21" x14ac:dyDescent="0.25">
      <c r="A603" t="s">
        <v>3657</v>
      </c>
    </row>
    <row r="604" spans="1:21" x14ac:dyDescent="0.25">
      <c r="A604" t="s">
        <v>3635</v>
      </c>
    </row>
    <row r="605" spans="1:21" x14ac:dyDescent="0.25">
      <c r="A605" t="s">
        <v>3636</v>
      </c>
    </row>
    <row r="606" spans="1:21" x14ac:dyDescent="0.25">
      <c r="A606" t="s">
        <v>3637</v>
      </c>
    </row>
    <row r="607" spans="1:21" x14ac:dyDescent="0.25">
      <c r="A607" t="s">
        <v>3658</v>
      </c>
    </row>
    <row r="608" spans="1:21" x14ac:dyDescent="0.25">
      <c r="A608" t="s">
        <v>1317</v>
      </c>
      <c r="R608">
        <v>99.52</v>
      </c>
      <c r="S608">
        <v>413.11</v>
      </c>
      <c r="T608">
        <v>712.71</v>
      </c>
      <c r="U608">
        <v>760.74</v>
      </c>
    </row>
    <row r="609" spans="1:21" x14ac:dyDescent="0.25">
      <c r="A609" t="s">
        <v>17</v>
      </c>
    </row>
    <row r="610" spans="1:21" x14ac:dyDescent="0.25">
      <c r="A610" t="s">
        <v>3652</v>
      </c>
    </row>
    <row r="611" spans="1:21" x14ac:dyDescent="0.25">
      <c r="A611" t="s">
        <v>73</v>
      </c>
    </row>
    <row r="612" spans="1:21" x14ac:dyDescent="0.25">
      <c r="A612" t="s">
        <v>3654</v>
      </c>
    </row>
    <row r="613" spans="1:21" x14ac:dyDescent="0.25">
      <c r="A613" t="s">
        <v>3731</v>
      </c>
    </row>
    <row r="614" spans="1:21" x14ac:dyDescent="0.25">
      <c r="A614" t="s">
        <v>3632</v>
      </c>
    </row>
    <row r="615" spans="1:21" x14ac:dyDescent="0.25">
      <c r="A615" t="s">
        <v>3633</v>
      </c>
    </row>
    <row r="616" spans="1:21" x14ac:dyDescent="0.25">
      <c r="A616" t="s">
        <v>3634</v>
      </c>
    </row>
    <row r="617" spans="1:21" x14ac:dyDescent="0.25">
      <c r="A617" t="s">
        <v>3657</v>
      </c>
    </row>
    <row r="618" spans="1:21" x14ac:dyDescent="0.25">
      <c r="A618" t="s">
        <v>3635</v>
      </c>
    </row>
    <row r="619" spans="1:21" x14ac:dyDescent="0.25">
      <c r="A619" t="s">
        <v>3636</v>
      </c>
    </row>
    <row r="620" spans="1:21" x14ac:dyDescent="0.25">
      <c r="A620" t="s">
        <v>3637</v>
      </c>
    </row>
    <row r="621" spans="1:21" x14ac:dyDescent="0.25">
      <c r="A621" t="s">
        <v>3658</v>
      </c>
    </row>
    <row r="622" spans="1:21" x14ac:dyDescent="0.25">
      <c r="A622" t="s">
        <v>1317</v>
      </c>
      <c r="P622">
        <v>613.61</v>
      </c>
      <c r="Q622" s="2">
        <v>1708.43</v>
      </c>
      <c r="R622" s="2">
        <v>3235.77</v>
      </c>
      <c r="S622" s="2">
        <v>4801.4399999999996</v>
      </c>
      <c r="T622" s="2">
        <v>6491.23</v>
      </c>
      <c r="U622" s="2">
        <v>7805.68</v>
      </c>
    </row>
    <row r="623" spans="1:21" x14ac:dyDescent="0.25">
      <c r="A623" t="s">
        <v>74</v>
      </c>
    </row>
    <row r="624" spans="1:21" x14ac:dyDescent="0.25">
      <c r="A624" t="s">
        <v>3654</v>
      </c>
    </row>
    <row r="625" spans="1:21" x14ac:dyDescent="0.25">
      <c r="A625" t="s">
        <v>3731</v>
      </c>
    </row>
    <row r="626" spans="1:21" x14ac:dyDescent="0.25">
      <c r="A626" t="s">
        <v>3632</v>
      </c>
    </row>
    <row r="627" spans="1:21" x14ac:dyDescent="0.25">
      <c r="A627" t="s">
        <v>3633</v>
      </c>
    </row>
    <row r="628" spans="1:21" x14ac:dyDescent="0.25">
      <c r="A628" t="s">
        <v>3634</v>
      </c>
    </row>
    <row r="629" spans="1:21" x14ac:dyDescent="0.25">
      <c r="A629" t="s">
        <v>3657</v>
      </c>
    </row>
    <row r="630" spans="1:21" x14ac:dyDescent="0.25">
      <c r="A630" t="s">
        <v>3635</v>
      </c>
    </row>
    <row r="631" spans="1:21" x14ac:dyDescent="0.25">
      <c r="A631" t="s">
        <v>3636</v>
      </c>
    </row>
    <row r="632" spans="1:21" x14ac:dyDescent="0.25">
      <c r="A632" t="s">
        <v>3637</v>
      </c>
    </row>
    <row r="633" spans="1:21" x14ac:dyDescent="0.25">
      <c r="A633" t="s">
        <v>3658</v>
      </c>
    </row>
    <row r="634" spans="1:21" x14ac:dyDescent="0.25">
      <c r="A634" t="s">
        <v>1317</v>
      </c>
      <c r="Q634">
        <v>172.24</v>
      </c>
      <c r="R634">
        <v>410.28</v>
      </c>
      <c r="S634">
        <v>739.44</v>
      </c>
      <c r="T634" s="2">
        <v>1474.68</v>
      </c>
      <c r="U634" s="2">
        <v>2190.2399999999998</v>
      </c>
    </row>
    <row r="635" spans="1:21" x14ac:dyDescent="0.25">
      <c r="A635" t="s">
        <v>17</v>
      </c>
    </row>
    <row r="636" spans="1:21" x14ac:dyDescent="0.25">
      <c r="A636" t="s">
        <v>3724</v>
      </c>
    </row>
    <row r="637" spans="1:21" x14ac:dyDescent="0.25">
      <c r="A637" t="s">
        <v>73</v>
      </c>
    </row>
    <row r="638" spans="1:21" x14ac:dyDescent="0.25">
      <c r="A638" t="s">
        <v>3732</v>
      </c>
      <c r="O638" s="2">
        <v>1956275</v>
      </c>
      <c r="P638" s="2">
        <v>2014963.25</v>
      </c>
      <c r="Q638" s="2">
        <v>2075412.15</v>
      </c>
      <c r="R638" s="2">
        <v>2137674.5099999998</v>
      </c>
      <c r="S638" s="2">
        <v>2201804.75</v>
      </c>
      <c r="T638" s="2">
        <v>2267858.89</v>
      </c>
      <c r="U638" s="2">
        <v>2335894.66</v>
      </c>
    </row>
    <row r="639" spans="1:21" x14ac:dyDescent="0.25">
      <c r="A639" t="s">
        <v>3733</v>
      </c>
      <c r="O639" s="2">
        <v>9781.3799999999992</v>
      </c>
      <c r="P639" s="2">
        <v>20149.63</v>
      </c>
      <c r="Q639" s="2">
        <v>62262.36</v>
      </c>
      <c r="R639" s="2">
        <v>138948.84</v>
      </c>
      <c r="S639" s="2">
        <v>220180.47</v>
      </c>
      <c r="T639" s="2">
        <v>340178.83</v>
      </c>
      <c r="U639" s="2">
        <v>350384.2</v>
      </c>
    </row>
    <row r="640" spans="1:21" x14ac:dyDescent="0.25">
      <c r="A640" t="s">
        <v>3633</v>
      </c>
      <c r="O640">
        <v>0.5</v>
      </c>
      <c r="P640">
        <v>1</v>
      </c>
      <c r="Q640">
        <v>3</v>
      </c>
      <c r="R640">
        <v>6.5</v>
      </c>
      <c r="S640">
        <v>10</v>
      </c>
      <c r="T640">
        <v>15</v>
      </c>
      <c r="U640">
        <v>15</v>
      </c>
    </row>
    <row r="641" spans="1:21" x14ac:dyDescent="0.25">
      <c r="A641" t="s">
        <v>3727</v>
      </c>
      <c r="O641" s="2">
        <v>6846.96</v>
      </c>
      <c r="P641" s="2">
        <v>7257.78</v>
      </c>
      <c r="Q641" s="2">
        <v>36325.870000000003</v>
      </c>
      <c r="R641" s="2">
        <v>60938.32</v>
      </c>
      <c r="S641" s="2">
        <v>93188.02</v>
      </c>
      <c r="T641" s="2">
        <v>144937.17000000001</v>
      </c>
      <c r="U641" s="2">
        <v>100331.77</v>
      </c>
    </row>
    <row r="642" spans="1:21" x14ac:dyDescent="0.25">
      <c r="A642" t="s">
        <v>3734</v>
      </c>
    </row>
    <row r="643" spans="1:21" x14ac:dyDescent="0.25">
      <c r="A643" t="s">
        <v>3632</v>
      </c>
    </row>
    <row r="644" spans="1:21" x14ac:dyDescent="0.25">
      <c r="A644" t="s">
        <v>3633</v>
      </c>
    </row>
    <row r="645" spans="1:21" x14ac:dyDescent="0.25">
      <c r="A645" t="s">
        <v>3634</v>
      </c>
    </row>
    <row r="646" spans="1:21" x14ac:dyDescent="0.25">
      <c r="A646" t="s">
        <v>3635</v>
      </c>
    </row>
    <row r="647" spans="1:21" x14ac:dyDescent="0.25">
      <c r="A647" t="s">
        <v>3636</v>
      </c>
    </row>
    <row r="648" spans="1:21" x14ac:dyDescent="0.25">
      <c r="A648" t="s">
        <v>3637</v>
      </c>
    </row>
    <row r="649" spans="1:21" x14ac:dyDescent="0.25">
      <c r="A649" t="s">
        <v>3658</v>
      </c>
    </row>
    <row r="650" spans="1:21" x14ac:dyDescent="0.25">
      <c r="A650" t="s">
        <v>1317</v>
      </c>
    </row>
    <row r="651" spans="1:21" x14ac:dyDescent="0.25">
      <c r="A651" t="s">
        <v>17</v>
      </c>
    </row>
    <row r="652" spans="1:21" x14ac:dyDescent="0.25">
      <c r="A652" t="s">
        <v>3628</v>
      </c>
    </row>
    <row r="653" spans="1:21" x14ac:dyDescent="0.25">
      <c r="A653" t="s">
        <v>73</v>
      </c>
    </row>
    <row r="654" spans="1:21" x14ac:dyDescent="0.25">
      <c r="A654" t="s">
        <v>3735</v>
      </c>
    </row>
    <row r="655" spans="1:21" x14ac:dyDescent="0.25">
      <c r="A655" t="s">
        <v>3736</v>
      </c>
    </row>
    <row r="656" spans="1:21" x14ac:dyDescent="0.25">
      <c r="A656" t="s">
        <v>3737</v>
      </c>
    </row>
    <row r="657" spans="1:21" x14ac:dyDescent="0.25">
      <c r="A657" t="s">
        <v>3553</v>
      </c>
    </row>
    <row r="658" spans="1:21" x14ac:dyDescent="0.25">
      <c r="A658" t="s">
        <v>3632</v>
      </c>
    </row>
    <row r="659" spans="1:21" x14ac:dyDescent="0.25">
      <c r="A659" t="s">
        <v>3633</v>
      </c>
    </row>
    <row r="660" spans="1:21" x14ac:dyDescent="0.25">
      <c r="A660" t="s">
        <v>3634</v>
      </c>
    </row>
    <row r="661" spans="1:21" x14ac:dyDescent="0.25">
      <c r="A661" t="s">
        <v>3635</v>
      </c>
    </row>
    <row r="662" spans="1:21" x14ac:dyDescent="0.25">
      <c r="A662" t="s">
        <v>3738</v>
      </c>
    </row>
    <row r="663" spans="1:21" x14ac:dyDescent="0.25">
      <c r="A663" t="s">
        <v>3637</v>
      </c>
    </row>
    <row r="664" spans="1:21" x14ac:dyDescent="0.25">
      <c r="A664" t="s">
        <v>3658</v>
      </c>
    </row>
    <row r="665" spans="1:21" x14ac:dyDescent="0.25">
      <c r="A665" t="s">
        <v>1317</v>
      </c>
      <c r="O665">
        <v>696.59</v>
      </c>
      <c r="P665" s="2">
        <v>1472.38</v>
      </c>
      <c r="Q665" s="2">
        <v>3322.73</v>
      </c>
      <c r="R665" s="2">
        <v>4781.42</v>
      </c>
      <c r="S665" s="2">
        <v>6505.2</v>
      </c>
      <c r="T665" s="2">
        <v>5902.71</v>
      </c>
      <c r="U665" s="2">
        <v>6034.16</v>
      </c>
    </row>
    <row r="666" spans="1:21" x14ac:dyDescent="0.25">
      <c r="A666" t="s">
        <v>17</v>
      </c>
    </row>
    <row r="667" spans="1:21" x14ac:dyDescent="0.25">
      <c r="A667" t="s">
        <v>3652</v>
      </c>
    </row>
    <row r="668" spans="1:21" x14ac:dyDescent="0.25">
      <c r="A668" t="s">
        <v>73</v>
      </c>
    </row>
    <row r="669" spans="1:21" x14ac:dyDescent="0.25">
      <c r="A669" t="s">
        <v>3739</v>
      </c>
      <c r="O669" s="2">
        <v>120828891.88</v>
      </c>
      <c r="P669" s="2">
        <v>122882483.5</v>
      </c>
      <c r="Q669" s="2">
        <v>124726883.78</v>
      </c>
      <c r="R669" s="2">
        <v>126608553.23</v>
      </c>
      <c r="S669" s="2">
        <v>128528503.38</v>
      </c>
      <c r="T669" s="2">
        <v>130487780.02</v>
      </c>
      <c r="U669" s="2">
        <v>132487464.5</v>
      </c>
    </row>
    <row r="670" spans="1:21" x14ac:dyDescent="0.25">
      <c r="A670" t="s">
        <v>3740</v>
      </c>
    </row>
    <row r="671" spans="1:21" x14ac:dyDescent="0.25">
      <c r="A671" t="s">
        <v>3741</v>
      </c>
    </row>
    <row r="672" spans="1:21" x14ac:dyDescent="0.25">
      <c r="A672" t="s">
        <v>3654</v>
      </c>
    </row>
    <row r="673" spans="1:21" x14ac:dyDescent="0.25">
      <c r="A673" t="s">
        <v>3553</v>
      </c>
    </row>
    <row r="674" spans="1:21" x14ac:dyDescent="0.25">
      <c r="A674" t="s">
        <v>3632</v>
      </c>
    </row>
    <row r="675" spans="1:21" x14ac:dyDescent="0.25">
      <c r="A675" t="s">
        <v>3633</v>
      </c>
    </row>
    <row r="676" spans="1:21" x14ac:dyDescent="0.25">
      <c r="A676" t="s">
        <v>3634</v>
      </c>
    </row>
    <row r="677" spans="1:21" x14ac:dyDescent="0.25">
      <c r="A677" t="s">
        <v>3635</v>
      </c>
    </row>
    <row r="678" spans="1:21" x14ac:dyDescent="0.25">
      <c r="A678" t="s">
        <v>3636</v>
      </c>
    </row>
    <row r="679" spans="1:21" x14ac:dyDescent="0.25">
      <c r="A679" t="s">
        <v>3637</v>
      </c>
    </row>
    <row r="680" spans="1:21" x14ac:dyDescent="0.25">
      <c r="A680" t="s">
        <v>3658</v>
      </c>
    </row>
    <row r="681" spans="1:21" x14ac:dyDescent="0.25">
      <c r="A681" t="s">
        <v>1317</v>
      </c>
      <c r="O681">
        <v>623.73</v>
      </c>
      <c r="P681" s="2">
        <v>2496.6</v>
      </c>
      <c r="Q681" s="2">
        <v>4578.22</v>
      </c>
      <c r="R681" s="2">
        <v>6517.09</v>
      </c>
      <c r="S681" s="2">
        <v>7786.47</v>
      </c>
      <c r="T681" s="2">
        <v>7733.99</v>
      </c>
      <c r="U681" s="2">
        <v>7934.13</v>
      </c>
    </row>
    <row r="682" spans="1:21" x14ac:dyDescent="0.25">
      <c r="A682" t="s">
        <v>17</v>
      </c>
    </row>
    <row r="683" spans="1:21" x14ac:dyDescent="0.25">
      <c r="A683" t="s">
        <v>72</v>
      </c>
    </row>
    <row r="684" spans="1:21" x14ac:dyDescent="0.25">
      <c r="A684" t="s">
        <v>16</v>
      </c>
      <c r="B684" s="2">
        <v>23113.1</v>
      </c>
      <c r="C684" s="2">
        <v>19615.599999999999</v>
      </c>
      <c r="D684" s="2">
        <v>19958.7</v>
      </c>
      <c r="E684" s="2">
        <v>21222.1</v>
      </c>
      <c r="F684" s="2">
        <v>22871.3</v>
      </c>
      <c r="G684" s="2">
        <v>24555.7</v>
      </c>
      <c r="H684" s="2">
        <v>22319.5</v>
      </c>
      <c r="I684" s="2">
        <v>24539.8</v>
      </c>
      <c r="J684" s="2">
        <v>28318.400000000001</v>
      </c>
      <c r="K684" s="2">
        <v>28541.4</v>
      </c>
      <c r="L684" s="2">
        <v>34124.1</v>
      </c>
      <c r="M684" s="2">
        <v>45042.7</v>
      </c>
      <c r="N684" s="2">
        <v>65179</v>
      </c>
      <c r="O684" s="2">
        <v>88390.26</v>
      </c>
      <c r="P684" s="2">
        <v>101836.9</v>
      </c>
      <c r="Q684" s="2">
        <v>114280.48</v>
      </c>
      <c r="R684" s="2">
        <v>124033.19</v>
      </c>
      <c r="S684" s="2">
        <v>132538.67000000001</v>
      </c>
      <c r="T684" s="2">
        <v>141207.56</v>
      </c>
      <c r="U684" s="2">
        <v>147227.60999999999</v>
      </c>
    </row>
    <row r="685" spans="1:21" x14ac:dyDescent="0.25">
      <c r="A685" t="s">
        <v>3546</v>
      </c>
      <c r="B685" s="2">
        <v>11663.2</v>
      </c>
      <c r="C685" s="2">
        <v>7859.7</v>
      </c>
      <c r="D685" s="2">
        <v>8556.2000000000007</v>
      </c>
      <c r="E685" s="2">
        <v>9941.7000000000007</v>
      </c>
      <c r="F685" s="2">
        <v>11274</v>
      </c>
      <c r="G685" s="2">
        <v>12352.1</v>
      </c>
      <c r="H685" s="2">
        <v>12722.6</v>
      </c>
      <c r="I685" s="2">
        <v>14229.3</v>
      </c>
      <c r="J685" s="2">
        <v>16811.099999999999</v>
      </c>
      <c r="M685" s="2">
        <v>30375.200000000001</v>
      </c>
      <c r="N685" s="2">
        <v>43481</v>
      </c>
      <c r="O685" s="2">
        <v>55385.88</v>
      </c>
      <c r="P685" s="2">
        <v>65342.96</v>
      </c>
      <c r="Q685" s="2">
        <v>72933.55</v>
      </c>
      <c r="R685" s="2">
        <v>78168.259999999995</v>
      </c>
      <c r="S685" s="2">
        <v>83218.86</v>
      </c>
      <c r="T685" s="2">
        <v>87017.52</v>
      </c>
      <c r="U685" s="2">
        <v>88642.74</v>
      </c>
    </row>
    <row r="686" spans="1:21" x14ac:dyDescent="0.25">
      <c r="A686" t="s">
        <v>3742</v>
      </c>
    </row>
    <row r="687" spans="1:21" x14ac:dyDescent="0.25">
      <c r="A687" t="s">
        <v>3743</v>
      </c>
      <c r="B687" s="2">
        <v>4034.7</v>
      </c>
      <c r="C687" s="2">
        <v>3612.1</v>
      </c>
      <c r="D687" s="2">
        <v>4009.4</v>
      </c>
      <c r="E687" s="2">
        <v>4832</v>
      </c>
      <c r="F687" s="2">
        <v>6373</v>
      </c>
      <c r="G687" s="2">
        <v>6607</v>
      </c>
      <c r="H687" s="2">
        <v>7529.5</v>
      </c>
      <c r="I687" s="2">
        <v>7909.2</v>
      </c>
      <c r="J687" s="2">
        <v>8719.2999999999993</v>
      </c>
      <c r="K687" s="2">
        <v>9911.2000000000007</v>
      </c>
      <c r="L687" s="2">
        <v>14780.8</v>
      </c>
      <c r="M687" s="2">
        <v>21850.400000000001</v>
      </c>
      <c r="N687" s="2">
        <v>33864</v>
      </c>
      <c r="O687" s="2">
        <v>44944.12</v>
      </c>
      <c r="P687" s="2">
        <v>52526.2</v>
      </c>
      <c r="Q687" s="2">
        <v>58226.43</v>
      </c>
      <c r="R687" s="2">
        <v>61312.47</v>
      </c>
      <c r="S687" s="2">
        <v>63624.68</v>
      </c>
      <c r="T687" s="2">
        <v>65078.7</v>
      </c>
      <c r="U687" s="2">
        <v>65035.78</v>
      </c>
    </row>
    <row r="688" spans="1:21" x14ac:dyDescent="0.25">
      <c r="A688" t="s">
        <v>3744</v>
      </c>
      <c r="E688">
        <v>110.8</v>
      </c>
      <c r="F688">
        <v>486</v>
      </c>
      <c r="G688">
        <v>745.4</v>
      </c>
      <c r="H688" s="2">
        <v>1059</v>
      </c>
      <c r="I688" s="2">
        <v>1372.3</v>
      </c>
      <c r="J688" s="2">
        <v>1881.8</v>
      </c>
      <c r="K688" s="2">
        <v>1892.8</v>
      </c>
      <c r="L688" s="2">
        <v>2057.9</v>
      </c>
      <c r="M688" s="2">
        <v>2457.6</v>
      </c>
      <c r="N688" s="2">
        <v>2964</v>
      </c>
      <c r="O688" s="2">
        <v>3190.06</v>
      </c>
      <c r="P688" s="2">
        <v>3475.26</v>
      </c>
      <c r="Q688" s="2">
        <v>3764.62</v>
      </c>
      <c r="R688" s="2">
        <v>3949.71</v>
      </c>
      <c r="S688" s="2">
        <v>3801.26</v>
      </c>
      <c r="T688" s="2">
        <v>3470.84</v>
      </c>
      <c r="U688" s="2">
        <v>3253.13</v>
      </c>
    </row>
    <row r="689" spans="1:21" x14ac:dyDescent="0.25">
      <c r="A689" t="s">
        <v>3745</v>
      </c>
      <c r="B689" s="2">
        <v>4614.5</v>
      </c>
      <c r="C689" s="2">
        <v>1070.2</v>
      </c>
      <c r="D689">
        <v>882.6</v>
      </c>
      <c r="E689">
        <v>989.9</v>
      </c>
      <c r="F689">
        <v>591</v>
      </c>
      <c r="G689">
        <v>277.39999999999998</v>
      </c>
      <c r="H689">
        <v>356.5</v>
      </c>
      <c r="I689">
        <v>487.3</v>
      </c>
      <c r="J689">
        <v>614.70000000000005</v>
      </c>
      <c r="K689">
        <v>612.29999999999995</v>
      </c>
      <c r="L689">
        <v>696</v>
      </c>
      <c r="M689">
        <v>780</v>
      </c>
      <c r="N689">
        <v>997</v>
      </c>
      <c r="O689" s="2">
        <v>1288.0899999999999</v>
      </c>
      <c r="P689" s="2">
        <v>1516.25</v>
      </c>
      <c r="Q689" s="2">
        <v>1872.34</v>
      </c>
      <c r="R689" s="2">
        <v>2260.41</v>
      </c>
      <c r="S689" s="2">
        <v>2693.53</v>
      </c>
      <c r="T689" s="2">
        <v>3118.39</v>
      </c>
      <c r="U689" s="2">
        <v>3416.52</v>
      </c>
    </row>
    <row r="690" spans="1:21" x14ac:dyDescent="0.25">
      <c r="A690" t="s">
        <v>3746</v>
      </c>
      <c r="B690" s="2">
        <v>1488.9</v>
      </c>
      <c r="C690" s="2">
        <v>1570.4</v>
      </c>
      <c r="D690" s="2">
        <v>1853.7</v>
      </c>
      <c r="E690" s="2">
        <v>1975.1</v>
      </c>
      <c r="F690" s="2">
        <v>2050.4</v>
      </c>
      <c r="G690" s="2">
        <v>2403.1999999999998</v>
      </c>
      <c r="H690" s="2">
        <v>2608.5</v>
      </c>
      <c r="I690" s="2">
        <v>2792.1</v>
      </c>
      <c r="J690" s="2">
        <v>3028.8</v>
      </c>
      <c r="K690" s="2">
        <v>3218.1</v>
      </c>
      <c r="L690" s="2">
        <v>3797</v>
      </c>
      <c r="M690" s="2">
        <v>5035.8</v>
      </c>
      <c r="N690" s="2">
        <v>5352</v>
      </c>
      <c r="O690" s="2">
        <v>5717.85</v>
      </c>
      <c r="P690" s="2">
        <v>6004.32</v>
      </c>
      <c r="Q690" s="2">
        <v>6208.17</v>
      </c>
      <c r="R690" s="2">
        <v>6459.93</v>
      </c>
      <c r="S690" s="2">
        <v>6707.22</v>
      </c>
      <c r="T690" s="2">
        <v>6392.75</v>
      </c>
      <c r="U690" s="2">
        <v>5787.88</v>
      </c>
    </row>
    <row r="691" spans="1:21" x14ac:dyDescent="0.25">
      <c r="A691" t="s">
        <v>3747</v>
      </c>
      <c r="B691">
        <v>90.2</v>
      </c>
      <c r="C691">
        <v>95.1</v>
      </c>
      <c r="D691">
        <v>55.6</v>
      </c>
      <c r="E691">
        <v>42.6</v>
      </c>
      <c r="F691">
        <v>50.9</v>
      </c>
      <c r="G691" s="2">
        <v>2358.9</v>
      </c>
      <c r="H691" s="2">
        <v>1169.0999999999999</v>
      </c>
      <c r="I691" s="2">
        <v>1668.4</v>
      </c>
      <c r="J691" s="2">
        <v>2566.4</v>
      </c>
      <c r="K691" s="2">
        <v>2555.6999999999998</v>
      </c>
      <c r="L691">
        <v>459.3</v>
      </c>
      <c r="M691">
        <v>251.4</v>
      </c>
      <c r="N691">
        <v>304</v>
      </c>
      <c r="O691">
        <v>261.86</v>
      </c>
      <c r="P691">
        <v>228.79</v>
      </c>
      <c r="Q691">
        <v>216.31</v>
      </c>
      <c r="R691">
        <v>215.16</v>
      </c>
      <c r="S691">
        <v>227.47</v>
      </c>
      <c r="T691">
        <v>257.68</v>
      </c>
      <c r="U691">
        <v>301.5</v>
      </c>
    </row>
    <row r="692" spans="1:21" x14ac:dyDescent="0.25">
      <c r="A692" t="s">
        <v>3548</v>
      </c>
      <c r="B692" s="2">
        <v>9298.4</v>
      </c>
      <c r="C692" s="2">
        <v>9409.2999999999993</v>
      </c>
      <c r="D692" s="2">
        <v>8221.5</v>
      </c>
      <c r="E692" s="2">
        <v>8122.2</v>
      </c>
      <c r="F692" s="2">
        <v>8511.7000000000007</v>
      </c>
      <c r="G692" s="2">
        <v>9061</v>
      </c>
      <c r="H692" s="2">
        <v>9596.7999999999993</v>
      </c>
      <c r="I692" s="2">
        <v>10310.5</v>
      </c>
      <c r="J692" s="2">
        <v>11507.5</v>
      </c>
      <c r="M692" s="2">
        <v>14667.5</v>
      </c>
      <c r="N692" s="2">
        <v>21698</v>
      </c>
      <c r="O692" s="2">
        <v>33469.18</v>
      </c>
      <c r="P692" s="2">
        <v>39372.04</v>
      </c>
      <c r="Q692" s="2">
        <v>45232.35</v>
      </c>
      <c r="R692" s="2">
        <v>49892.91</v>
      </c>
      <c r="S692" s="2">
        <v>53356.58</v>
      </c>
      <c r="T692" s="2">
        <v>56530.36</v>
      </c>
      <c r="U692" s="2">
        <v>58783.59</v>
      </c>
    </row>
    <row r="693" spans="1:21" x14ac:dyDescent="0.25">
      <c r="A693" t="s">
        <v>3742</v>
      </c>
    </row>
    <row r="694" spans="1:21" x14ac:dyDescent="0.25">
      <c r="A694" t="s">
        <v>3743</v>
      </c>
      <c r="B694" s="2">
        <v>3269.8</v>
      </c>
      <c r="C694" s="2">
        <v>3326.9</v>
      </c>
      <c r="D694" s="2">
        <v>3027.4</v>
      </c>
      <c r="E694" s="2">
        <v>3250.9</v>
      </c>
      <c r="F694" s="2">
        <v>3712.2</v>
      </c>
      <c r="G694" s="2">
        <v>3212.6</v>
      </c>
      <c r="H694" s="2">
        <v>3602.5</v>
      </c>
      <c r="I694" s="2">
        <v>3925.3</v>
      </c>
      <c r="J694" s="2">
        <v>4468.8</v>
      </c>
      <c r="K694" s="2">
        <v>4553.7</v>
      </c>
      <c r="L694" s="2">
        <v>4886.8</v>
      </c>
      <c r="M694" s="2">
        <v>7670.6</v>
      </c>
      <c r="N694" s="2">
        <v>14357</v>
      </c>
      <c r="O694" s="2">
        <v>25390.29</v>
      </c>
      <c r="P694" s="2">
        <v>30606.06</v>
      </c>
      <c r="Q694" s="2">
        <v>35656.36</v>
      </c>
      <c r="R694" s="2">
        <v>39212.92</v>
      </c>
      <c r="S694" s="2">
        <v>41444.160000000003</v>
      </c>
      <c r="T694" s="2">
        <v>43372.71</v>
      </c>
      <c r="U694" s="2">
        <v>44425.37</v>
      </c>
    </row>
    <row r="695" spans="1:21" x14ac:dyDescent="0.25">
      <c r="A695" t="s">
        <v>3744</v>
      </c>
      <c r="E695">
        <v>2.2999999999999998</v>
      </c>
      <c r="F695">
        <v>119</v>
      </c>
      <c r="G695">
        <v>394.6</v>
      </c>
      <c r="H695">
        <v>734.3</v>
      </c>
      <c r="I695" s="2">
        <v>1089.5999999999999</v>
      </c>
      <c r="J695" s="2">
        <v>1479</v>
      </c>
      <c r="K695" s="2">
        <v>1451.8</v>
      </c>
      <c r="L695" s="2">
        <v>1739.6</v>
      </c>
      <c r="M695" s="2">
        <v>1935.2</v>
      </c>
      <c r="N695" s="2">
        <v>2283</v>
      </c>
      <c r="O695" s="2">
        <v>2568.85</v>
      </c>
      <c r="P695" s="2">
        <v>2708.67</v>
      </c>
      <c r="Q695" s="2">
        <v>2939</v>
      </c>
      <c r="R695" s="2">
        <v>3118.81</v>
      </c>
      <c r="S695" s="2">
        <v>3150.79</v>
      </c>
      <c r="T695" s="2">
        <v>3034.95</v>
      </c>
      <c r="U695" s="2">
        <v>2714.97</v>
      </c>
    </row>
    <row r="696" spans="1:21" x14ac:dyDescent="0.25">
      <c r="A696" t="s">
        <v>3745</v>
      </c>
      <c r="B696" s="2">
        <v>2601.6999999999998</v>
      </c>
      <c r="C696" s="2">
        <v>2526.3000000000002</v>
      </c>
      <c r="D696" s="2">
        <v>2052.8000000000002</v>
      </c>
      <c r="E696" s="2">
        <v>1730.4</v>
      </c>
      <c r="F696" s="2">
        <v>1580</v>
      </c>
      <c r="G696" s="2">
        <v>1543.3</v>
      </c>
      <c r="H696" s="2">
        <v>1366.4</v>
      </c>
      <c r="I696" s="2">
        <v>1344</v>
      </c>
      <c r="J696" s="2">
        <v>1283.7</v>
      </c>
      <c r="K696">
        <v>933.8</v>
      </c>
      <c r="L696" s="2">
        <v>2182.5</v>
      </c>
      <c r="M696">
        <v>693.5</v>
      </c>
      <c r="N696">
        <v>394</v>
      </c>
      <c r="O696">
        <v>444.28</v>
      </c>
      <c r="P696">
        <v>518.85</v>
      </c>
      <c r="Q696">
        <v>656.16</v>
      </c>
      <c r="R696">
        <v>818.55</v>
      </c>
      <c r="S696">
        <v>976.95</v>
      </c>
      <c r="T696" s="2">
        <v>1176.72</v>
      </c>
      <c r="U696" s="2">
        <v>1332.88</v>
      </c>
    </row>
    <row r="697" spans="1:21" x14ac:dyDescent="0.25">
      <c r="A697" t="s">
        <v>3746</v>
      </c>
      <c r="B697" s="2">
        <v>1779.6</v>
      </c>
      <c r="C697" s="2">
        <v>1822.6</v>
      </c>
      <c r="D697" s="2">
        <v>1656.1</v>
      </c>
      <c r="E697" s="2">
        <v>1746.9</v>
      </c>
      <c r="F697" s="2">
        <v>1761.6</v>
      </c>
      <c r="G697" s="2">
        <v>1857.3</v>
      </c>
      <c r="H697" s="2">
        <v>2005.9</v>
      </c>
      <c r="I697" s="2">
        <v>2527.1999999999998</v>
      </c>
      <c r="J697" s="2">
        <v>2712.5</v>
      </c>
      <c r="K697" s="2">
        <v>2448</v>
      </c>
      <c r="L697" s="2">
        <v>2861.3</v>
      </c>
      <c r="M697" s="2">
        <v>3716.7</v>
      </c>
      <c r="N697" s="2">
        <v>4024</v>
      </c>
      <c r="O697" s="2">
        <v>4374.2299999999996</v>
      </c>
      <c r="P697" s="2">
        <v>4546.16</v>
      </c>
      <c r="Q697" s="2">
        <v>4718.95</v>
      </c>
      <c r="R697" s="2">
        <v>4781.2299999999996</v>
      </c>
      <c r="S697" s="2">
        <v>4909.01</v>
      </c>
      <c r="T697" s="2">
        <v>4812.93</v>
      </c>
      <c r="U697" s="2">
        <v>4691.6000000000004</v>
      </c>
    </row>
    <row r="698" spans="1:21" x14ac:dyDescent="0.25">
      <c r="A698" t="s">
        <v>3747</v>
      </c>
      <c r="B698">
        <v>159</v>
      </c>
      <c r="C698">
        <v>191.9</v>
      </c>
      <c r="D698">
        <v>172.1</v>
      </c>
      <c r="E698">
        <v>157.9</v>
      </c>
      <c r="F698">
        <v>190.4</v>
      </c>
      <c r="G698" s="2">
        <v>2093.6999999999998</v>
      </c>
      <c r="H698" s="2">
        <v>1887.8</v>
      </c>
      <c r="I698" s="2">
        <v>1424.4</v>
      </c>
      <c r="J698" s="2">
        <v>1563.4</v>
      </c>
      <c r="K698">
        <v>964</v>
      </c>
      <c r="L698">
        <v>662.9</v>
      </c>
      <c r="M698">
        <v>651.79999999999995</v>
      </c>
      <c r="N698">
        <v>640</v>
      </c>
      <c r="O698">
        <v>484.89</v>
      </c>
      <c r="P698">
        <v>439.62</v>
      </c>
      <c r="Q698">
        <v>371.53</v>
      </c>
      <c r="R698">
        <v>361.29</v>
      </c>
      <c r="S698">
        <v>361.67</v>
      </c>
      <c r="T698">
        <v>379.1</v>
      </c>
      <c r="U698">
        <v>410.56</v>
      </c>
    </row>
    <row r="699" spans="1:21" x14ac:dyDescent="0.25">
      <c r="A699" t="s">
        <v>17</v>
      </c>
    </row>
    <row r="700" spans="1:21" x14ac:dyDescent="0.25">
      <c r="A700" t="s">
        <v>51</v>
      </c>
    </row>
    <row r="701" spans="1:21" x14ac:dyDescent="0.25">
      <c r="A701" t="s">
        <v>3748</v>
      </c>
      <c r="J701" s="2">
        <v>1978</v>
      </c>
      <c r="K701" s="2">
        <v>2008.9</v>
      </c>
    </row>
    <row r="702" spans="1:21" x14ac:dyDescent="0.25">
      <c r="A702" t="s">
        <v>3749</v>
      </c>
      <c r="J702">
        <v>261.3</v>
      </c>
      <c r="K702">
        <v>14.7</v>
      </c>
    </row>
    <row r="703" spans="1:21" x14ac:dyDescent="0.25">
      <c r="A703" t="s">
        <v>3750</v>
      </c>
      <c r="B703">
        <v>89.4</v>
      </c>
      <c r="C703">
        <v>98.2</v>
      </c>
      <c r="D703">
        <v>114.4</v>
      </c>
      <c r="E703">
        <v>127.7</v>
      </c>
      <c r="F703">
        <v>135.5</v>
      </c>
      <c r="G703">
        <v>143.30000000000001</v>
      </c>
      <c r="H703">
        <v>125.9</v>
      </c>
      <c r="I703">
        <v>92.7</v>
      </c>
      <c r="J703">
        <v>43.7</v>
      </c>
      <c r="K703">
        <v>28.7</v>
      </c>
      <c r="O703">
        <v>15</v>
      </c>
      <c r="P703">
        <v>10</v>
      </c>
      <c r="Q703">
        <v>5</v>
      </c>
      <c r="R703">
        <v>5</v>
      </c>
      <c r="S703">
        <v>5</v>
      </c>
      <c r="T703">
        <v>5</v>
      </c>
      <c r="U703">
        <v>5</v>
      </c>
    </row>
    <row r="704" spans="1:21" x14ac:dyDescent="0.25">
      <c r="A704" t="s">
        <v>3751</v>
      </c>
      <c r="B704">
        <v>8.4</v>
      </c>
      <c r="C704">
        <v>6.4</v>
      </c>
      <c r="D704">
        <v>6.3</v>
      </c>
      <c r="E704">
        <v>5.3</v>
      </c>
      <c r="F704">
        <v>6.7</v>
      </c>
      <c r="G704">
        <v>5.8</v>
      </c>
      <c r="H704">
        <v>7</v>
      </c>
      <c r="I704">
        <v>5.0999999999999996</v>
      </c>
      <c r="J704">
        <v>6.7</v>
      </c>
      <c r="K704">
        <v>3.8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</row>
    <row r="705" spans="1:21" x14ac:dyDescent="0.25">
      <c r="A705" t="s">
        <v>3752</v>
      </c>
      <c r="H705">
        <v>22.2</v>
      </c>
      <c r="I705">
        <v>63.7</v>
      </c>
      <c r="J705">
        <v>96.4</v>
      </c>
      <c r="K705">
        <v>110.4</v>
      </c>
      <c r="L705">
        <v>645.70000000000005</v>
      </c>
    </row>
    <row r="706" spans="1:21" x14ac:dyDescent="0.25">
      <c r="A706" t="s">
        <v>3753</v>
      </c>
      <c r="H706">
        <v>0.2</v>
      </c>
      <c r="I706">
        <v>12.4</v>
      </c>
      <c r="J706">
        <v>16.8</v>
      </c>
      <c r="K706">
        <v>28.9</v>
      </c>
      <c r="L706">
        <v>31.9</v>
      </c>
    </row>
    <row r="707" spans="1:21" x14ac:dyDescent="0.25">
      <c r="A707" t="s">
        <v>3754</v>
      </c>
      <c r="I707">
        <v>20</v>
      </c>
      <c r="J707">
        <v>15.2</v>
      </c>
      <c r="O707">
        <v>785.53</v>
      </c>
      <c r="P707" s="2">
        <v>1152</v>
      </c>
      <c r="Q707" s="2">
        <v>1491.01</v>
      </c>
      <c r="R707" s="2">
        <v>1789.29</v>
      </c>
      <c r="S707" s="2">
        <v>2022.4</v>
      </c>
      <c r="T707" s="2">
        <v>2198.21</v>
      </c>
      <c r="U707" s="2">
        <v>2318.9299999999998</v>
      </c>
    </row>
    <row r="708" spans="1:21" x14ac:dyDescent="0.25">
      <c r="A708" t="s">
        <v>3755</v>
      </c>
      <c r="I708">
        <v>0</v>
      </c>
      <c r="J708">
        <v>0</v>
      </c>
    </row>
    <row r="709" spans="1:21" x14ac:dyDescent="0.25">
      <c r="A709" t="s">
        <v>3756</v>
      </c>
      <c r="B709">
        <v>75.599999999999994</v>
      </c>
      <c r="C709">
        <v>71.3</v>
      </c>
      <c r="D709">
        <v>68.900000000000006</v>
      </c>
      <c r="E709">
        <v>98.9</v>
      </c>
      <c r="F709">
        <v>80.5</v>
      </c>
      <c r="G709">
        <v>73.8</v>
      </c>
      <c r="H709">
        <v>65.099999999999994</v>
      </c>
      <c r="O709">
        <v>37.630000000000003</v>
      </c>
      <c r="P709">
        <v>23.51</v>
      </c>
      <c r="Q709">
        <v>16.22</v>
      </c>
      <c r="R709">
        <v>10.54</v>
      </c>
      <c r="S709">
        <v>6.7</v>
      </c>
      <c r="T709">
        <v>4.3600000000000003</v>
      </c>
      <c r="U709">
        <v>2.8</v>
      </c>
    </row>
    <row r="710" spans="1:21" x14ac:dyDescent="0.25">
      <c r="A710" t="s">
        <v>3757</v>
      </c>
      <c r="B710">
        <v>99.3</v>
      </c>
      <c r="C710">
        <v>99</v>
      </c>
      <c r="D710">
        <v>85.7</v>
      </c>
      <c r="E710">
        <v>82.7</v>
      </c>
      <c r="F710">
        <v>87.2</v>
      </c>
      <c r="G710">
        <v>85.5</v>
      </c>
      <c r="H710">
        <v>85.5</v>
      </c>
    </row>
    <row r="711" spans="1:21" x14ac:dyDescent="0.25">
      <c r="A711" t="s">
        <v>3758</v>
      </c>
      <c r="B711">
        <v>123.6</v>
      </c>
      <c r="C711">
        <v>119.8</v>
      </c>
      <c r="D711">
        <v>156.69999999999999</v>
      </c>
      <c r="E711">
        <v>69.8</v>
      </c>
      <c r="F711">
        <v>75.5</v>
      </c>
      <c r="G711">
        <v>36.200000000000003</v>
      </c>
      <c r="H711">
        <v>41</v>
      </c>
      <c r="I711">
        <v>46.1</v>
      </c>
      <c r="J711">
        <v>39.6</v>
      </c>
      <c r="K711">
        <v>30.4</v>
      </c>
      <c r="L711">
        <v>79.400000000000006</v>
      </c>
      <c r="O711">
        <v>6.31</v>
      </c>
      <c r="P711">
        <v>5.99</v>
      </c>
      <c r="Q711">
        <v>5.69</v>
      </c>
      <c r="R711">
        <v>5.41</v>
      </c>
      <c r="S711">
        <v>5.14</v>
      </c>
      <c r="T711">
        <v>4.88</v>
      </c>
      <c r="U711">
        <v>4.6399999999999997</v>
      </c>
    </row>
    <row r="712" spans="1:21" x14ac:dyDescent="0.25">
      <c r="A712" t="s">
        <v>3759</v>
      </c>
      <c r="B712" s="2">
        <v>1071.2</v>
      </c>
      <c r="C712">
        <v>917.5</v>
      </c>
      <c r="D712">
        <v>783.6</v>
      </c>
      <c r="E712">
        <v>655.5</v>
      </c>
      <c r="F712">
        <v>505.7</v>
      </c>
      <c r="G712">
        <v>435.1</v>
      </c>
      <c r="H712">
        <v>377.6</v>
      </c>
      <c r="I712">
        <v>360.5</v>
      </c>
      <c r="J712">
        <v>390.7</v>
      </c>
      <c r="K712">
        <v>306.5</v>
      </c>
      <c r="L712" s="2">
        <v>1615.4</v>
      </c>
    </row>
    <row r="713" spans="1:21" x14ac:dyDescent="0.25">
      <c r="A713" t="s">
        <v>3760</v>
      </c>
      <c r="E713">
        <v>11.4</v>
      </c>
      <c r="F713">
        <v>161.69999999999999</v>
      </c>
      <c r="G713">
        <v>191.4</v>
      </c>
      <c r="H713">
        <v>44.2</v>
      </c>
      <c r="I713">
        <v>36.5</v>
      </c>
    </row>
    <row r="714" spans="1:21" x14ac:dyDescent="0.25">
      <c r="A714" t="s">
        <v>3761</v>
      </c>
      <c r="B714">
        <v>446.3</v>
      </c>
      <c r="C714">
        <v>452.5</v>
      </c>
      <c r="D714">
        <v>502.1</v>
      </c>
      <c r="E714">
        <v>534.9</v>
      </c>
      <c r="F714">
        <v>284.89999999999998</v>
      </c>
      <c r="G714">
        <v>89.7</v>
      </c>
      <c r="H714">
        <v>30.8</v>
      </c>
      <c r="I714">
        <v>-2.1</v>
      </c>
      <c r="J714">
        <v>17.5</v>
      </c>
      <c r="K714">
        <v>0.9</v>
      </c>
      <c r="O714">
        <v>0.03</v>
      </c>
      <c r="P714">
        <v>0.02</v>
      </c>
      <c r="Q714">
        <v>0.02</v>
      </c>
      <c r="R714">
        <v>0.01</v>
      </c>
      <c r="S714">
        <v>0.01</v>
      </c>
      <c r="T714">
        <v>0.01</v>
      </c>
      <c r="U714">
        <v>0</v>
      </c>
    </row>
    <row r="715" spans="1:21" x14ac:dyDescent="0.25">
      <c r="A715" t="s">
        <v>3762</v>
      </c>
      <c r="B715">
        <v>262.89999999999998</v>
      </c>
      <c r="C715">
        <v>286</v>
      </c>
      <c r="D715">
        <v>281.89999999999998</v>
      </c>
      <c r="E715">
        <v>319.8</v>
      </c>
      <c r="F715">
        <v>333.3</v>
      </c>
      <c r="G715">
        <v>361.1</v>
      </c>
      <c r="H715">
        <v>211.7</v>
      </c>
      <c r="I715">
        <v>130.6</v>
      </c>
      <c r="J715">
        <v>132.80000000000001</v>
      </c>
      <c r="K715">
        <v>115.3</v>
      </c>
      <c r="O715">
        <v>40</v>
      </c>
      <c r="P715">
        <v>30</v>
      </c>
      <c r="Q715">
        <v>20</v>
      </c>
      <c r="R715">
        <v>15</v>
      </c>
      <c r="S715">
        <v>10</v>
      </c>
      <c r="T715">
        <v>5</v>
      </c>
      <c r="U715">
        <v>5</v>
      </c>
    </row>
    <row r="716" spans="1:21" x14ac:dyDescent="0.25">
      <c r="A716" t="s">
        <v>3763</v>
      </c>
      <c r="H716">
        <v>0</v>
      </c>
      <c r="I716">
        <v>14.5</v>
      </c>
      <c r="J716">
        <v>17.600000000000001</v>
      </c>
      <c r="K716">
        <v>32.1</v>
      </c>
    </row>
    <row r="717" spans="1:21" x14ac:dyDescent="0.25">
      <c r="A717" t="s">
        <v>3763</v>
      </c>
      <c r="H717">
        <v>0</v>
      </c>
      <c r="I717">
        <v>14.6</v>
      </c>
      <c r="J717">
        <v>17.600000000000001</v>
      </c>
      <c r="K717">
        <v>12.1</v>
      </c>
    </row>
    <row r="718" spans="1:21" x14ac:dyDescent="0.25">
      <c r="A718" t="s">
        <v>58</v>
      </c>
    </row>
    <row r="719" spans="1:21" x14ac:dyDescent="0.25">
      <c r="A719" t="s">
        <v>16</v>
      </c>
    </row>
    <row r="720" spans="1:21" x14ac:dyDescent="0.25">
      <c r="A720" t="s">
        <v>3764</v>
      </c>
    </row>
    <row r="721" spans="1:21" x14ac:dyDescent="0.25">
      <c r="A721" t="s">
        <v>3765</v>
      </c>
      <c r="B721" s="2">
        <v>4034.7</v>
      </c>
      <c r="C721" s="2">
        <v>3612.1</v>
      </c>
      <c r="D721" s="2">
        <v>4009.4</v>
      </c>
      <c r="E721" s="2">
        <v>4832</v>
      </c>
      <c r="F721" s="2">
        <v>6373</v>
      </c>
      <c r="G721" s="2">
        <v>6607</v>
      </c>
      <c r="H721" s="2">
        <v>7529.5</v>
      </c>
      <c r="I721" s="2">
        <v>7909.2</v>
      </c>
      <c r="J721" s="2">
        <v>8719.2999999999993</v>
      </c>
      <c r="K721" s="2">
        <v>9911.2000000000007</v>
      </c>
      <c r="L721" s="2">
        <v>14780.8</v>
      </c>
      <c r="M721" s="2">
        <v>21850.400000000001</v>
      </c>
      <c r="N721" s="2">
        <v>33864</v>
      </c>
      <c r="O721" s="2">
        <v>44944.12</v>
      </c>
      <c r="P721" s="2">
        <v>52526.2</v>
      </c>
      <c r="Q721" s="2">
        <v>58226.43</v>
      </c>
      <c r="R721" s="2">
        <v>61312.47</v>
      </c>
      <c r="S721" s="2">
        <v>63624.68</v>
      </c>
      <c r="T721" s="2">
        <v>65078.7</v>
      </c>
      <c r="U721" s="2">
        <v>65035.78</v>
      </c>
    </row>
    <row r="722" spans="1:21" x14ac:dyDescent="0.25">
      <c r="A722" t="s">
        <v>3766</v>
      </c>
      <c r="B722" s="2">
        <v>3269.8</v>
      </c>
      <c r="C722" s="2">
        <v>3326.9</v>
      </c>
      <c r="D722" s="2">
        <v>3027.4</v>
      </c>
      <c r="E722" s="2">
        <v>3250.9</v>
      </c>
      <c r="F722" s="2">
        <v>3712.2</v>
      </c>
      <c r="G722" s="2">
        <v>3212.6</v>
      </c>
      <c r="H722" s="2">
        <v>3602.5</v>
      </c>
      <c r="I722" s="2">
        <v>3925.3</v>
      </c>
      <c r="J722" s="2">
        <v>4468.8</v>
      </c>
      <c r="K722" s="2">
        <v>4553.7</v>
      </c>
      <c r="L722" s="2">
        <v>4886.8</v>
      </c>
      <c r="M722" s="2">
        <v>7670.6</v>
      </c>
      <c r="N722" s="2">
        <v>14357</v>
      </c>
      <c r="O722" s="2">
        <v>25390.29</v>
      </c>
      <c r="P722" s="2">
        <v>30606.06</v>
      </c>
      <c r="Q722" s="2">
        <v>35656.36</v>
      </c>
      <c r="R722" s="2">
        <v>39212.92</v>
      </c>
      <c r="S722" s="2">
        <v>41444.160000000003</v>
      </c>
      <c r="T722" s="2">
        <v>43372.71</v>
      </c>
      <c r="U722" s="2">
        <v>44425.37</v>
      </c>
    </row>
    <row r="723" spans="1:21" x14ac:dyDescent="0.25">
      <c r="A723" t="s">
        <v>3588</v>
      </c>
    </row>
    <row r="724" spans="1:21" x14ac:dyDescent="0.25">
      <c r="A724" t="s">
        <v>3767</v>
      </c>
      <c r="B724" s="2">
        <v>4614.5</v>
      </c>
      <c r="C724" s="2">
        <v>1070.2</v>
      </c>
      <c r="D724">
        <v>882.6</v>
      </c>
      <c r="E724">
        <v>989.9</v>
      </c>
      <c r="F724">
        <v>591</v>
      </c>
      <c r="G724">
        <v>277.39999999999998</v>
      </c>
      <c r="H724">
        <v>356.5</v>
      </c>
      <c r="I724">
        <v>487.3</v>
      </c>
      <c r="J724">
        <v>614.70000000000005</v>
      </c>
      <c r="K724">
        <v>612.29999999999995</v>
      </c>
      <c r="L724">
        <v>696</v>
      </c>
      <c r="M724">
        <v>780</v>
      </c>
      <c r="N724">
        <v>997</v>
      </c>
      <c r="O724" s="2">
        <v>1288.0899999999999</v>
      </c>
      <c r="P724" s="2">
        <v>1516.25</v>
      </c>
      <c r="Q724" s="2">
        <v>1872.34</v>
      </c>
      <c r="R724" s="2">
        <v>2260.41</v>
      </c>
      <c r="S724" s="2">
        <v>2693.53</v>
      </c>
      <c r="T724" s="2">
        <v>3118.39</v>
      </c>
      <c r="U724" s="2">
        <v>3416.52</v>
      </c>
    </row>
    <row r="725" spans="1:21" x14ac:dyDescent="0.25">
      <c r="A725" t="s">
        <v>3768</v>
      </c>
      <c r="B725" s="2">
        <v>2601.6999999999998</v>
      </c>
      <c r="C725" s="2">
        <v>2526.3000000000002</v>
      </c>
      <c r="D725" s="2">
        <v>2052.8000000000002</v>
      </c>
      <c r="E725" s="2">
        <v>1730.4</v>
      </c>
      <c r="F725" s="2">
        <v>1580</v>
      </c>
      <c r="G725" s="2">
        <v>1543.3</v>
      </c>
      <c r="H725" s="2">
        <v>1366.4</v>
      </c>
      <c r="I725" s="2">
        <v>1344</v>
      </c>
      <c r="J725" s="2">
        <v>1283.7</v>
      </c>
      <c r="K725">
        <v>933.8</v>
      </c>
      <c r="L725" s="2">
        <v>2182.5</v>
      </c>
      <c r="M725">
        <v>693.5</v>
      </c>
      <c r="N725">
        <v>394</v>
      </c>
      <c r="O725">
        <v>444.28</v>
      </c>
      <c r="P725">
        <v>518.85</v>
      </c>
      <c r="Q725">
        <v>656.16</v>
      </c>
      <c r="R725">
        <v>818.55</v>
      </c>
      <c r="S725">
        <v>976.95</v>
      </c>
      <c r="T725" s="2">
        <v>1176.72</v>
      </c>
      <c r="U725" s="2">
        <v>1332.88</v>
      </c>
    </row>
    <row r="726" spans="1:21" x14ac:dyDescent="0.25">
      <c r="A726" t="s">
        <v>3563</v>
      </c>
    </row>
    <row r="727" spans="1:21" x14ac:dyDescent="0.25">
      <c r="A727" t="s">
        <v>3769</v>
      </c>
      <c r="B727" s="2">
        <v>1488.9</v>
      </c>
      <c r="C727" s="2">
        <v>1570.4</v>
      </c>
      <c r="D727" s="2">
        <v>1853.7</v>
      </c>
      <c r="E727" s="2">
        <v>1975.1</v>
      </c>
      <c r="F727" s="2">
        <v>2050.4</v>
      </c>
      <c r="G727" s="2">
        <v>2403.1999999999998</v>
      </c>
      <c r="H727" s="2">
        <v>2608.5</v>
      </c>
      <c r="I727" s="2">
        <v>2792.1</v>
      </c>
      <c r="J727" s="2">
        <v>3028.8</v>
      </c>
      <c r="K727" s="2">
        <v>3218.1</v>
      </c>
      <c r="L727" s="2">
        <v>3797</v>
      </c>
      <c r="M727" s="2">
        <v>5035.8</v>
      </c>
      <c r="N727" s="2">
        <v>5352</v>
      </c>
      <c r="O727" s="2">
        <v>5717.85</v>
      </c>
      <c r="P727" s="2">
        <v>6004.32</v>
      </c>
      <c r="Q727" s="2">
        <v>6208.17</v>
      </c>
      <c r="R727" s="2">
        <v>6459.93</v>
      </c>
      <c r="S727" s="2">
        <v>6707.22</v>
      </c>
      <c r="T727" s="2">
        <v>6392.75</v>
      </c>
      <c r="U727" s="2">
        <v>5787.88</v>
      </c>
    </row>
    <row r="728" spans="1:21" x14ac:dyDescent="0.25">
      <c r="A728" t="s">
        <v>3770</v>
      </c>
      <c r="B728" s="2">
        <v>1779.6</v>
      </c>
      <c r="C728" s="2">
        <v>1822.6</v>
      </c>
      <c r="D728" s="2">
        <v>1656.1</v>
      </c>
      <c r="E728" s="2">
        <v>1746.9</v>
      </c>
      <c r="F728" s="2">
        <v>1761.6</v>
      </c>
      <c r="G728" s="2">
        <v>1857.3</v>
      </c>
      <c r="H728" s="2">
        <v>2005.9</v>
      </c>
      <c r="I728" s="2">
        <v>2527.1999999999998</v>
      </c>
      <c r="J728" s="2">
        <v>2712.5</v>
      </c>
      <c r="K728" s="2">
        <v>2448</v>
      </c>
      <c r="L728" s="2">
        <v>2861.3</v>
      </c>
      <c r="M728" s="2">
        <v>3716.7</v>
      </c>
      <c r="N728" s="2">
        <v>4024</v>
      </c>
      <c r="O728" s="2">
        <v>4374.2299999999996</v>
      </c>
      <c r="P728" s="2">
        <v>4546.16</v>
      </c>
      <c r="Q728" s="2">
        <v>4718.95</v>
      </c>
      <c r="R728" s="2">
        <v>4781.2299999999996</v>
      </c>
      <c r="S728" s="2">
        <v>4909.01</v>
      </c>
      <c r="T728" s="2">
        <v>4812.93</v>
      </c>
      <c r="U728" s="2">
        <v>4691.6000000000004</v>
      </c>
    </row>
    <row r="729" spans="1:21" x14ac:dyDescent="0.25">
      <c r="A729" t="s">
        <v>3579</v>
      </c>
    </row>
    <row r="730" spans="1:21" x14ac:dyDescent="0.25">
      <c r="A730" t="s">
        <v>3771</v>
      </c>
      <c r="E730">
        <v>110.8</v>
      </c>
      <c r="F730">
        <v>486</v>
      </c>
      <c r="G730">
        <v>745.4</v>
      </c>
      <c r="H730" s="2">
        <v>1059</v>
      </c>
      <c r="I730" s="2">
        <v>1372.3</v>
      </c>
      <c r="J730" s="2">
        <v>1881.8</v>
      </c>
      <c r="K730" s="2">
        <v>1892.8</v>
      </c>
      <c r="L730" s="2">
        <v>2057.9</v>
      </c>
      <c r="M730" s="2">
        <v>2457.6</v>
      </c>
      <c r="N730" s="2">
        <v>2964</v>
      </c>
      <c r="O730" s="2">
        <v>3190.06</v>
      </c>
      <c r="P730" s="2">
        <v>3475.26</v>
      </c>
      <c r="Q730" s="2">
        <v>3764.62</v>
      </c>
      <c r="R730" s="2">
        <v>3949.71</v>
      </c>
      <c r="S730" s="2">
        <v>3801.26</v>
      </c>
      <c r="T730" s="2">
        <v>3470.84</v>
      </c>
      <c r="U730" s="2">
        <v>3253.13</v>
      </c>
    </row>
    <row r="731" spans="1:21" x14ac:dyDescent="0.25">
      <c r="A731" t="s">
        <v>3772</v>
      </c>
      <c r="E731">
        <v>2.2999999999999998</v>
      </c>
      <c r="F731">
        <v>119</v>
      </c>
      <c r="G731">
        <v>394.6</v>
      </c>
      <c r="H731">
        <v>734.3</v>
      </c>
      <c r="I731" s="2">
        <v>1089.5999999999999</v>
      </c>
      <c r="J731" s="2">
        <v>1479</v>
      </c>
      <c r="K731" s="2">
        <v>1451.8</v>
      </c>
      <c r="L731" s="2">
        <v>1739.6</v>
      </c>
      <c r="M731" s="2">
        <v>1935.2</v>
      </c>
      <c r="N731" s="2">
        <v>2283</v>
      </c>
      <c r="O731" s="2">
        <v>2568.85</v>
      </c>
      <c r="P731" s="2">
        <v>2708.67</v>
      </c>
      <c r="Q731" s="2">
        <v>2939</v>
      </c>
      <c r="R731" s="2">
        <v>3118.81</v>
      </c>
      <c r="S731" s="2">
        <v>3150.79</v>
      </c>
      <c r="T731" s="2">
        <v>3034.95</v>
      </c>
      <c r="U731" s="2">
        <v>2714.97</v>
      </c>
    </row>
    <row r="732" spans="1:21" x14ac:dyDescent="0.25">
      <c r="A732" t="s">
        <v>3593</v>
      </c>
      <c r="B732">
        <v>249.3</v>
      </c>
      <c r="C732">
        <v>287</v>
      </c>
      <c r="D732">
        <v>227.7</v>
      </c>
      <c r="E732">
        <v>200.5</v>
      </c>
      <c r="F732">
        <v>241.3</v>
      </c>
      <c r="G732" s="2">
        <v>4452.5</v>
      </c>
      <c r="H732" s="2">
        <v>3056.9</v>
      </c>
      <c r="I732" s="2">
        <v>3092.8</v>
      </c>
      <c r="J732" s="2">
        <v>4129.8</v>
      </c>
      <c r="K732" s="2">
        <v>3519.7</v>
      </c>
      <c r="L732" s="2">
        <v>1122.2</v>
      </c>
      <c r="M732">
        <v>903.2</v>
      </c>
      <c r="N732">
        <v>944</v>
      </c>
      <c r="O732">
        <v>735.16</v>
      </c>
      <c r="P732">
        <v>655.98</v>
      </c>
      <c r="Q732">
        <v>583.14</v>
      </c>
      <c r="R732">
        <v>566.28</v>
      </c>
      <c r="S732">
        <v>571.75</v>
      </c>
      <c r="T732">
        <v>605.51</v>
      </c>
      <c r="U732">
        <v>664.35</v>
      </c>
    </row>
    <row r="733" spans="1:21" x14ac:dyDescent="0.25">
      <c r="A733" t="s">
        <v>274</v>
      </c>
    </row>
    <row r="734" spans="1:21" x14ac:dyDescent="0.25">
      <c r="A734" t="s">
        <v>80</v>
      </c>
      <c r="B734" s="2">
        <v>23113.1</v>
      </c>
      <c r="C734" s="2">
        <v>19615.599999999999</v>
      </c>
      <c r="D734" s="2">
        <v>19958.7</v>
      </c>
      <c r="E734" s="2">
        <v>21222.1</v>
      </c>
      <c r="F734" s="2">
        <v>22871.3</v>
      </c>
      <c r="G734" s="2">
        <v>24555.7</v>
      </c>
      <c r="H734" s="2">
        <v>22319.5</v>
      </c>
      <c r="I734" s="2">
        <v>24539.8</v>
      </c>
      <c r="J734" s="2">
        <v>28318.400000000001</v>
      </c>
      <c r="K734" s="2">
        <v>28541.4</v>
      </c>
      <c r="L734" s="2">
        <v>34124.1</v>
      </c>
      <c r="M734" s="2">
        <v>45042.7</v>
      </c>
      <c r="N734" s="2">
        <v>65179</v>
      </c>
      <c r="O734" s="2">
        <v>88390.26</v>
      </c>
      <c r="P734" s="2">
        <v>101836.9</v>
      </c>
      <c r="Q734" s="2">
        <v>114280.48</v>
      </c>
      <c r="R734" s="2">
        <v>124033.19</v>
      </c>
      <c r="S734" s="2">
        <v>132538.67000000001</v>
      </c>
      <c r="T734" s="2">
        <v>141207.56</v>
      </c>
      <c r="U734" s="2">
        <v>147227.60999999999</v>
      </c>
    </row>
    <row r="735" spans="1:21" x14ac:dyDescent="0.25">
      <c r="A735" t="s">
        <v>17</v>
      </c>
    </row>
    <row r="736" spans="1:21" x14ac:dyDescent="0.25">
      <c r="A736" t="s">
        <v>82</v>
      </c>
      <c r="B736" s="2">
        <v>4908.1000000000004</v>
      </c>
      <c r="C736" s="2">
        <v>5051.8</v>
      </c>
      <c r="D736" s="2">
        <v>4367.5</v>
      </c>
      <c r="E736" s="2">
        <v>4979.2</v>
      </c>
      <c r="F736" s="2">
        <v>5439.6</v>
      </c>
      <c r="G736" s="2">
        <v>4333.1000000000004</v>
      </c>
      <c r="H736" s="2">
        <v>4431.6000000000004</v>
      </c>
      <c r="I736" s="2">
        <v>5068.1000000000004</v>
      </c>
      <c r="J736" s="2">
        <v>6404</v>
      </c>
      <c r="K736" s="2">
        <v>6055.7</v>
      </c>
      <c r="L736" s="2">
        <v>6576</v>
      </c>
      <c r="M736" s="2">
        <v>7865</v>
      </c>
      <c r="N736" s="2">
        <v>10564</v>
      </c>
      <c r="O736" s="2">
        <v>14169.75</v>
      </c>
      <c r="P736" s="2">
        <v>16387.8</v>
      </c>
      <c r="Q736" s="2">
        <v>18116.84</v>
      </c>
      <c r="R736" s="2">
        <v>19539.84</v>
      </c>
      <c r="S736" s="2">
        <v>20770.23</v>
      </c>
      <c r="T736" s="2">
        <v>22137.77</v>
      </c>
      <c r="U736" s="2">
        <v>23006.57</v>
      </c>
    </row>
    <row r="737" spans="1:21" x14ac:dyDescent="0.25">
      <c r="A737" t="s">
        <v>84</v>
      </c>
      <c r="B737" s="2">
        <v>18205</v>
      </c>
      <c r="C737" s="2">
        <v>15644.9</v>
      </c>
      <c r="D737" s="2">
        <v>15591.2</v>
      </c>
      <c r="E737" s="2">
        <v>16242.9</v>
      </c>
      <c r="F737" s="2">
        <v>17431.7</v>
      </c>
      <c r="G737" s="2">
        <v>17160.2</v>
      </c>
      <c r="H737" s="2">
        <v>17887.900000000001</v>
      </c>
      <c r="I737" s="2">
        <v>19471.7</v>
      </c>
      <c r="J737" s="2">
        <v>21914.400000000001</v>
      </c>
      <c r="K737" s="2">
        <v>22485.7</v>
      </c>
      <c r="L737" s="2">
        <v>27548.1</v>
      </c>
      <c r="M737" s="2">
        <v>37178</v>
      </c>
      <c r="N737" s="2">
        <v>54615</v>
      </c>
      <c r="O737" s="2">
        <v>74307.92</v>
      </c>
      <c r="P737" s="2">
        <v>85332.22</v>
      </c>
      <c r="Q737" s="2">
        <v>95350.53</v>
      </c>
      <c r="R737" s="2">
        <v>103467.87</v>
      </c>
      <c r="S737" s="2">
        <v>110637</v>
      </c>
      <c r="T737" s="2">
        <v>117237.33</v>
      </c>
      <c r="U737" s="2">
        <v>121975.61</v>
      </c>
    </row>
    <row r="738" spans="1:21" x14ac:dyDescent="0.25">
      <c r="A738" t="s">
        <v>85</v>
      </c>
      <c r="B738">
        <v>78.760000000000005</v>
      </c>
      <c r="C738">
        <v>74.900000000000006</v>
      </c>
      <c r="D738">
        <v>78.12</v>
      </c>
      <c r="E738">
        <v>76.540000000000006</v>
      </c>
      <c r="F738">
        <v>76.569999999999993</v>
      </c>
      <c r="G738">
        <v>73.81</v>
      </c>
      <c r="H738">
        <v>78.849999999999994</v>
      </c>
      <c r="I738">
        <v>77.66</v>
      </c>
      <c r="J738">
        <v>77.38</v>
      </c>
      <c r="K738">
        <v>78.8</v>
      </c>
      <c r="L738">
        <v>80.7</v>
      </c>
      <c r="M738">
        <v>82.5</v>
      </c>
      <c r="N738">
        <v>83.8</v>
      </c>
      <c r="O738">
        <v>84.06</v>
      </c>
      <c r="P738">
        <v>84.01</v>
      </c>
      <c r="Q738">
        <v>84.22</v>
      </c>
      <c r="R738">
        <v>84.29</v>
      </c>
      <c r="S738">
        <v>84.38</v>
      </c>
      <c r="T738">
        <v>84.31</v>
      </c>
      <c r="U738">
        <v>84.35</v>
      </c>
    </row>
    <row r="739" spans="1:21" x14ac:dyDescent="0.25">
      <c r="A739" t="s">
        <v>17</v>
      </c>
    </row>
    <row r="740" spans="1:21" x14ac:dyDescent="0.25">
      <c r="A740" t="s">
        <v>275</v>
      </c>
      <c r="B740" s="2">
        <v>12834.6</v>
      </c>
      <c r="C740" s="2">
        <v>12023.3</v>
      </c>
      <c r="D740" s="2">
        <v>12232.1</v>
      </c>
      <c r="E740" s="2">
        <v>12108.4</v>
      </c>
      <c r="F740" s="2">
        <v>14823.6</v>
      </c>
      <c r="G740" s="2">
        <v>13277.1</v>
      </c>
      <c r="H740" s="2">
        <v>12624</v>
      </c>
      <c r="I740" s="2">
        <v>12998.5</v>
      </c>
      <c r="J740" s="2">
        <v>14648.5</v>
      </c>
      <c r="K740" s="2">
        <v>14784.3</v>
      </c>
      <c r="L740" s="2">
        <v>20584</v>
      </c>
      <c r="M740" s="2">
        <v>23726</v>
      </c>
      <c r="N740" s="2">
        <v>27825</v>
      </c>
      <c r="O740" s="2">
        <v>32403.919999999998</v>
      </c>
      <c r="P740" s="2">
        <v>32666.94</v>
      </c>
      <c r="Q740" s="2">
        <v>35180.26</v>
      </c>
      <c r="R740" s="2">
        <v>36810.47</v>
      </c>
      <c r="S740" s="2">
        <v>38280.93</v>
      </c>
      <c r="T740" s="2">
        <v>39195.61</v>
      </c>
      <c r="U740" s="2">
        <v>39738.82</v>
      </c>
    </row>
    <row r="741" spans="1:21" x14ac:dyDescent="0.25">
      <c r="A741" t="s">
        <v>276</v>
      </c>
      <c r="B741" s="2">
        <v>7125.6</v>
      </c>
      <c r="C741" s="2">
        <v>6804.9</v>
      </c>
      <c r="D741" s="2">
        <v>6424.3</v>
      </c>
      <c r="E741" s="2">
        <v>6445.1</v>
      </c>
      <c r="F741" s="2">
        <v>6674.5</v>
      </c>
      <c r="G741" s="2">
        <v>5975.1</v>
      </c>
      <c r="H741" s="2">
        <v>6213.8</v>
      </c>
      <c r="I741" s="2">
        <v>6121.2</v>
      </c>
      <c r="J741" s="2">
        <v>6431.6</v>
      </c>
      <c r="K741" s="2">
        <v>6440.4</v>
      </c>
      <c r="L741" s="2">
        <v>7403.1</v>
      </c>
      <c r="M741" s="2">
        <v>8594</v>
      </c>
      <c r="N741" s="2">
        <v>11094</v>
      </c>
      <c r="O741" s="2">
        <v>13678.71</v>
      </c>
      <c r="P741" s="2">
        <v>15154.15</v>
      </c>
      <c r="Q741" s="2">
        <v>16527.46</v>
      </c>
      <c r="R741" s="2">
        <v>17522.669999999998</v>
      </c>
      <c r="S741" s="2">
        <v>18380.759999999998</v>
      </c>
      <c r="T741" s="2">
        <v>18768.82</v>
      </c>
      <c r="U741" s="2">
        <v>19197.740000000002</v>
      </c>
    </row>
    <row r="742" spans="1:21" x14ac:dyDescent="0.25">
      <c r="A742" t="s">
        <v>3773</v>
      </c>
      <c r="B742">
        <v>30.83</v>
      </c>
      <c r="C742">
        <v>33.75</v>
      </c>
      <c r="D742">
        <v>32.729999999999997</v>
      </c>
      <c r="E742">
        <v>30.4</v>
      </c>
      <c r="F742">
        <v>29.21</v>
      </c>
      <c r="G742">
        <v>27.8</v>
      </c>
      <c r="H742">
        <v>27.84</v>
      </c>
      <c r="I742">
        <v>24.94</v>
      </c>
      <c r="J742">
        <v>22.71</v>
      </c>
      <c r="K742">
        <v>22.57</v>
      </c>
      <c r="L742">
        <v>21.69</v>
      </c>
      <c r="M742">
        <v>19.079999999999998</v>
      </c>
      <c r="N742">
        <v>17.02</v>
      </c>
      <c r="O742">
        <v>15.45</v>
      </c>
      <c r="P742">
        <v>14.85</v>
      </c>
      <c r="Q742">
        <v>14.4</v>
      </c>
      <c r="R742">
        <v>13.97</v>
      </c>
      <c r="S742">
        <v>13.72</v>
      </c>
      <c r="T742">
        <v>13.33</v>
      </c>
      <c r="U742">
        <v>13.15</v>
      </c>
    </row>
    <row r="743" spans="1:21" x14ac:dyDescent="0.25">
      <c r="A743" t="s">
        <v>89</v>
      </c>
      <c r="B743" s="2">
        <v>5531.3</v>
      </c>
      <c r="C743" s="2">
        <v>4733.6000000000004</v>
      </c>
      <c r="D743" s="2">
        <v>4796.3999999999996</v>
      </c>
      <c r="E743" s="2">
        <v>5243.9</v>
      </c>
      <c r="F743" s="2">
        <v>5357.3</v>
      </c>
      <c r="G743" s="2">
        <v>5051.2</v>
      </c>
      <c r="H743" s="2">
        <v>5595</v>
      </c>
      <c r="I743" s="2">
        <v>5976.3</v>
      </c>
      <c r="J743" s="2">
        <v>6930.7</v>
      </c>
      <c r="K743" s="2">
        <v>7190.8</v>
      </c>
      <c r="L743" s="2">
        <v>9313.4</v>
      </c>
      <c r="M743" s="2">
        <v>10991</v>
      </c>
      <c r="N743" s="2">
        <v>13337</v>
      </c>
      <c r="O743" s="2">
        <v>15950.06</v>
      </c>
      <c r="P743" s="2">
        <v>17938.43</v>
      </c>
      <c r="Q743" s="2">
        <v>19693.93</v>
      </c>
      <c r="R743" s="2">
        <v>20939</v>
      </c>
      <c r="S743" s="2">
        <v>22033.26</v>
      </c>
      <c r="T743" s="2">
        <v>22652.55</v>
      </c>
      <c r="U743" s="2">
        <v>23280.49</v>
      </c>
    </row>
    <row r="744" spans="1:21" x14ac:dyDescent="0.25">
      <c r="A744" t="s">
        <v>61</v>
      </c>
      <c r="B744">
        <v>23.93</v>
      </c>
      <c r="C744">
        <v>24.13</v>
      </c>
      <c r="D744">
        <v>24.03</v>
      </c>
      <c r="E744">
        <v>24.71</v>
      </c>
      <c r="F744">
        <v>22.93</v>
      </c>
      <c r="G744">
        <v>23.5</v>
      </c>
      <c r="H744">
        <v>25.07</v>
      </c>
      <c r="I744">
        <v>24.35</v>
      </c>
      <c r="J744">
        <v>24.47</v>
      </c>
      <c r="K744">
        <v>25.19</v>
      </c>
      <c r="L744">
        <v>27.29</v>
      </c>
      <c r="M744">
        <v>24.4</v>
      </c>
      <c r="N744">
        <v>20.46</v>
      </c>
      <c r="O744">
        <v>18.04</v>
      </c>
      <c r="P744">
        <v>17.55</v>
      </c>
      <c r="Q744">
        <v>17.239999999999998</v>
      </c>
      <c r="R744">
        <v>16.899999999999999</v>
      </c>
      <c r="S744">
        <v>16.62</v>
      </c>
      <c r="T744">
        <v>16.25</v>
      </c>
      <c r="U744">
        <v>16</v>
      </c>
    </row>
    <row r="745" spans="1:21" x14ac:dyDescent="0.25">
      <c r="A745" t="s">
        <v>3774</v>
      </c>
      <c r="B745">
        <v>57.1</v>
      </c>
      <c r="C745">
        <v>200.2</v>
      </c>
      <c r="D745">
        <v>535</v>
      </c>
      <c r="E745">
        <v>30</v>
      </c>
      <c r="F745" s="2">
        <v>1112.5999999999999</v>
      </c>
      <c r="G745" s="2">
        <v>1983.9</v>
      </c>
      <c r="H745">
        <v>239.6</v>
      </c>
      <c r="I745">
        <v>660.4</v>
      </c>
      <c r="J745">
        <v>874.9</v>
      </c>
      <c r="K745">
        <v>908.5</v>
      </c>
      <c r="L745" s="2">
        <v>3799.8</v>
      </c>
      <c r="M745" s="2">
        <v>3280</v>
      </c>
      <c r="N745" s="2">
        <v>2910</v>
      </c>
      <c r="O745" s="2">
        <v>3568.24</v>
      </c>
      <c r="P745" s="2">
        <v>1657.33</v>
      </c>
      <c r="Q745" s="2">
        <v>1204.33</v>
      </c>
      <c r="R745">
        <v>390.88</v>
      </c>
      <c r="S745">
        <v>397.85</v>
      </c>
      <c r="T745">
        <v>403.57</v>
      </c>
      <c r="U745">
        <v>416.69</v>
      </c>
    </row>
    <row r="746" spans="1:21" x14ac:dyDescent="0.25">
      <c r="A746" t="s">
        <v>3775</v>
      </c>
      <c r="B746">
        <v>120.6</v>
      </c>
      <c r="C746">
        <v>468.7</v>
      </c>
      <c r="D746">
        <v>367.7</v>
      </c>
      <c r="E746">
        <v>382.5</v>
      </c>
      <c r="F746" s="2">
        <v>1673.6</v>
      </c>
      <c r="G746">
        <v>266.89999999999998</v>
      </c>
      <c r="H746">
        <v>575.6</v>
      </c>
      <c r="I746">
        <v>131.19999999999999</v>
      </c>
      <c r="J746">
        <v>316.10000000000002</v>
      </c>
      <c r="K746">
        <v>244.6</v>
      </c>
      <c r="L746">
        <v>67.7</v>
      </c>
      <c r="M746">
        <v>861</v>
      </c>
      <c r="N746">
        <v>484</v>
      </c>
      <c r="O746">
        <v>976.34</v>
      </c>
      <c r="P746">
        <v>960.59</v>
      </c>
      <c r="Q746">
        <v>953.41</v>
      </c>
      <c r="R746">
        <v>946.29</v>
      </c>
      <c r="S746">
        <v>939.25</v>
      </c>
      <c r="T746">
        <v>932.28</v>
      </c>
      <c r="U746">
        <v>925.37</v>
      </c>
    </row>
    <row r="747" spans="1:21" x14ac:dyDescent="0.25">
      <c r="A747" t="s">
        <v>17</v>
      </c>
    </row>
    <row r="748" spans="1:21" x14ac:dyDescent="0.25">
      <c r="A748" t="s">
        <v>91</v>
      </c>
      <c r="B748" s="2">
        <v>5491</v>
      </c>
      <c r="C748" s="2">
        <v>3447.8</v>
      </c>
      <c r="D748" s="2">
        <v>4371.3</v>
      </c>
      <c r="E748" s="2">
        <v>4554.6000000000004</v>
      </c>
      <c r="F748" s="2">
        <v>5648.7</v>
      </c>
      <c r="G748" s="2">
        <v>6765.6</v>
      </c>
      <c r="H748" s="2">
        <v>6136.4</v>
      </c>
      <c r="I748" s="2">
        <v>7264.8</v>
      </c>
      <c r="J748" s="2">
        <v>8457.1</v>
      </c>
      <c r="K748" s="2">
        <v>7946</v>
      </c>
      <c r="L748" s="2">
        <v>7032</v>
      </c>
      <c r="M748" s="2">
        <v>14313</v>
      </c>
      <c r="N748" s="2">
        <v>27273</v>
      </c>
      <c r="O748" s="2">
        <v>40959.81</v>
      </c>
      <c r="P748" s="2">
        <v>51473.440000000002</v>
      </c>
      <c r="Q748" s="2">
        <v>58769.23</v>
      </c>
      <c r="R748" s="2">
        <v>64961.48</v>
      </c>
      <c r="S748" s="2">
        <v>70248.62</v>
      </c>
      <c r="T748" s="2">
        <v>78330.350000000006</v>
      </c>
      <c r="U748" s="2">
        <v>82605.649999999994</v>
      </c>
    </row>
    <row r="749" spans="1:21" x14ac:dyDescent="0.25">
      <c r="A749" t="s">
        <v>92</v>
      </c>
      <c r="B749">
        <v>24</v>
      </c>
      <c r="C749">
        <v>20.29</v>
      </c>
      <c r="D749">
        <v>21.9</v>
      </c>
      <c r="E749">
        <v>15.8</v>
      </c>
      <c r="F749">
        <v>23.61</v>
      </c>
      <c r="G749">
        <v>28.54</v>
      </c>
      <c r="H749">
        <v>27.24</v>
      </c>
      <c r="I749">
        <v>29.6</v>
      </c>
      <c r="J749">
        <v>26.77</v>
      </c>
      <c r="K749">
        <v>27.84</v>
      </c>
      <c r="L749">
        <v>20.61</v>
      </c>
      <c r="M749">
        <v>31.78</v>
      </c>
      <c r="N749">
        <v>41.84</v>
      </c>
      <c r="O749">
        <v>47.21</v>
      </c>
      <c r="P749">
        <v>51.58</v>
      </c>
      <c r="Q749">
        <v>52.59</v>
      </c>
      <c r="R749">
        <v>53.37</v>
      </c>
      <c r="S749">
        <v>53.96</v>
      </c>
      <c r="T749">
        <v>54.81</v>
      </c>
      <c r="U749">
        <v>55.28</v>
      </c>
    </row>
    <row r="750" spans="1:21" x14ac:dyDescent="0.25">
      <c r="A750" t="s">
        <v>17</v>
      </c>
    </row>
    <row r="751" spans="1:21" x14ac:dyDescent="0.25">
      <c r="A751" t="s">
        <v>93</v>
      </c>
      <c r="B751" s="2">
        <v>1445.6</v>
      </c>
      <c r="C751" s="2">
        <v>1379</v>
      </c>
      <c r="D751" s="2">
        <v>1427.7</v>
      </c>
      <c r="E751" s="2">
        <v>1496.6</v>
      </c>
      <c r="F751" s="2">
        <v>1567.3</v>
      </c>
      <c r="G751" s="2">
        <v>1609</v>
      </c>
      <c r="H751" s="2">
        <v>1232.5999999999999</v>
      </c>
      <c r="I751" s="2">
        <v>1323.9</v>
      </c>
      <c r="J751" s="2">
        <v>1547.6</v>
      </c>
      <c r="K751" s="2">
        <v>1522.5</v>
      </c>
      <c r="L751" s="2">
        <v>1527.3</v>
      </c>
      <c r="M751" s="2">
        <v>1767</v>
      </c>
      <c r="N751" s="2">
        <v>1997</v>
      </c>
      <c r="O751" s="2">
        <v>2483</v>
      </c>
      <c r="P751" s="2">
        <v>2950</v>
      </c>
      <c r="Q751" s="2">
        <v>3437.67</v>
      </c>
      <c r="R751" s="2">
        <v>3811.27</v>
      </c>
      <c r="S751" s="2">
        <v>4148.72</v>
      </c>
      <c r="T751" s="2">
        <v>3750.56</v>
      </c>
      <c r="U751" s="2">
        <v>3944</v>
      </c>
    </row>
    <row r="752" spans="1:21" x14ac:dyDescent="0.25">
      <c r="A752" t="s">
        <v>127</v>
      </c>
      <c r="B752">
        <v>555</v>
      </c>
      <c r="C752">
        <v>535.9</v>
      </c>
      <c r="D752">
        <v>631.79999999999995</v>
      </c>
      <c r="E752">
        <v>687.9</v>
      </c>
      <c r="F752">
        <v>683.4</v>
      </c>
      <c r="G752">
        <v>361.3</v>
      </c>
      <c r="H752">
        <v>205</v>
      </c>
      <c r="I752">
        <v>411</v>
      </c>
      <c r="J752">
        <v>614.9</v>
      </c>
      <c r="K752">
        <v>574.1</v>
      </c>
      <c r="L752">
        <v>506.2</v>
      </c>
      <c r="M752">
        <v>553</v>
      </c>
      <c r="N752">
        <v>488</v>
      </c>
      <c r="O752">
        <v>565.66999999999996</v>
      </c>
      <c r="P752">
        <v>700.99</v>
      </c>
      <c r="Q752">
        <v>680.44</v>
      </c>
      <c r="R752">
        <v>658.47</v>
      </c>
      <c r="S752">
        <v>634.05999999999995</v>
      </c>
      <c r="T752">
        <v>653.82000000000005</v>
      </c>
      <c r="U752">
        <v>641.27</v>
      </c>
    </row>
    <row r="753" spans="1:21" x14ac:dyDescent="0.25">
      <c r="A753" t="s">
        <v>277</v>
      </c>
      <c r="D753" s="2">
        <v>5274</v>
      </c>
      <c r="F753" s="2">
        <v>6097.1</v>
      </c>
      <c r="G753" s="2">
        <v>8374.6</v>
      </c>
      <c r="H753" s="2">
        <v>7311.7</v>
      </c>
      <c r="I753" s="2">
        <v>8588.7000000000007</v>
      </c>
      <c r="J753" s="2">
        <v>10004.700000000001</v>
      </c>
      <c r="K753" s="2">
        <v>9468.5</v>
      </c>
      <c r="L753" s="2">
        <v>7538.2</v>
      </c>
      <c r="M753" s="2">
        <v>14866.2</v>
      </c>
      <c r="N753" s="2">
        <v>29270</v>
      </c>
      <c r="O753" s="2">
        <v>43616.67</v>
      </c>
      <c r="P753" s="2">
        <v>54768.88</v>
      </c>
      <c r="Q753" s="2">
        <v>63265.73</v>
      </c>
      <c r="R753" s="2">
        <v>69650.2</v>
      </c>
      <c r="S753" s="2">
        <v>75151.399999999994</v>
      </c>
      <c r="T753" s="2">
        <v>81439</v>
      </c>
      <c r="U753" s="2">
        <v>85809.25</v>
      </c>
    </row>
    <row r="754" spans="1:21" x14ac:dyDescent="0.25">
      <c r="A754" t="s">
        <v>17</v>
      </c>
    </row>
    <row r="755" spans="1:21" x14ac:dyDescent="0.25">
      <c r="A755" t="s">
        <v>392</v>
      </c>
      <c r="B755">
        <v>40.4</v>
      </c>
      <c r="C755">
        <v>27.8</v>
      </c>
      <c r="D755">
        <v>74.2</v>
      </c>
      <c r="E755">
        <v>76.5</v>
      </c>
      <c r="F755">
        <v>57.7</v>
      </c>
      <c r="G755">
        <v>83.2</v>
      </c>
      <c r="H755">
        <v>320.2</v>
      </c>
      <c r="I755">
        <v>326.60000000000002</v>
      </c>
      <c r="J755">
        <v>314.39999999999998</v>
      </c>
      <c r="K755">
        <v>268.8</v>
      </c>
      <c r="L755">
        <v>312.3</v>
      </c>
      <c r="M755">
        <v>606</v>
      </c>
      <c r="N755">
        <v>642</v>
      </c>
      <c r="O755">
        <v>995.28</v>
      </c>
      <c r="P755">
        <v>694.12</v>
      </c>
      <c r="Q755">
        <v>359.69</v>
      </c>
      <c r="R755">
        <v>57.72</v>
      </c>
      <c r="S755">
        <v>-317.64</v>
      </c>
      <c r="T755">
        <v>-741.9</v>
      </c>
      <c r="U755" s="2">
        <v>-1264.92</v>
      </c>
    </row>
    <row r="756" spans="1:21" x14ac:dyDescent="0.25">
      <c r="A756" t="s">
        <v>398</v>
      </c>
      <c r="B756">
        <v>119.7</v>
      </c>
      <c r="C756">
        <v>121</v>
      </c>
      <c r="D756">
        <v>87</v>
      </c>
      <c r="E756">
        <v>108.7</v>
      </c>
      <c r="F756">
        <v>167.3</v>
      </c>
      <c r="G756">
        <v>159.30000000000001</v>
      </c>
      <c r="H756">
        <v>80.400000000000006</v>
      </c>
      <c r="I756">
        <v>33</v>
      </c>
      <c r="J756">
        <v>25.4</v>
      </c>
      <c r="K756">
        <v>62.8</v>
      </c>
      <c r="L756">
        <v>173.6</v>
      </c>
      <c r="M756">
        <v>175</v>
      </c>
      <c r="N756">
        <v>253</v>
      </c>
      <c r="O756">
        <v>335.85</v>
      </c>
      <c r="P756">
        <v>557.61</v>
      </c>
      <c r="Q756">
        <v>926.32</v>
      </c>
      <c r="R756" s="2">
        <v>1308.96</v>
      </c>
      <c r="S756" s="2">
        <v>1679.68</v>
      </c>
      <c r="T756" s="2">
        <v>2177.65</v>
      </c>
      <c r="U756" s="2">
        <v>2792.73</v>
      </c>
    </row>
    <row r="757" spans="1:21" x14ac:dyDescent="0.25">
      <c r="A757" t="s">
        <v>484</v>
      </c>
      <c r="B757">
        <v>160.1</v>
      </c>
      <c r="C757">
        <v>148.80000000000001</v>
      </c>
      <c r="D757">
        <v>161.19999999999999</v>
      </c>
      <c r="E757">
        <v>185.2</v>
      </c>
      <c r="F757">
        <v>225</v>
      </c>
      <c r="G757">
        <v>242.5</v>
      </c>
      <c r="H757">
        <v>400.6</v>
      </c>
      <c r="I757">
        <v>359.6</v>
      </c>
      <c r="J757">
        <v>339.8</v>
      </c>
      <c r="K757">
        <v>331.6</v>
      </c>
      <c r="L757">
        <v>485.9</v>
      </c>
      <c r="M757">
        <v>781</v>
      </c>
      <c r="N757">
        <v>895</v>
      </c>
      <c r="O757" s="2">
        <v>1167.23</v>
      </c>
      <c r="P757" s="2">
        <v>1151.25</v>
      </c>
      <c r="Q757" s="2">
        <v>1145.22</v>
      </c>
      <c r="R757" s="2">
        <v>1156.0899999999999</v>
      </c>
      <c r="S757" s="2">
        <v>1158.93</v>
      </c>
      <c r="T757" s="2">
        <v>1208.17</v>
      </c>
      <c r="U757" s="2">
        <v>1211.3499999999999</v>
      </c>
    </row>
    <row r="758" spans="1:21" x14ac:dyDescent="0.25">
      <c r="A758" t="s">
        <v>399</v>
      </c>
      <c r="B758">
        <v>-23.5</v>
      </c>
      <c r="C758">
        <v>-125.3</v>
      </c>
      <c r="D758">
        <v>-253.3</v>
      </c>
      <c r="E758">
        <v>119.1</v>
      </c>
      <c r="F758">
        <v>358.2</v>
      </c>
      <c r="G758">
        <v>-119.8</v>
      </c>
      <c r="H758">
        <v>554.5</v>
      </c>
      <c r="I758">
        <v>175.8</v>
      </c>
      <c r="J758">
        <v>340</v>
      </c>
      <c r="K758">
        <v>333.8</v>
      </c>
      <c r="L758">
        <v>433.8</v>
      </c>
      <c r="M758">
        <v>426</v>
      </c>
      <c r="N758">
        <v>38</v>
      </c>
      <c r="O758">
        <v>322.88</v>
      </c>
      <c r="P758">
        <v>331.95</v>
      </c>
      <c r="Q758">
        <v>390.29</v>
      </c>
      <c r="R758">
        <v>536.47</v>
      </c>
      <c r="S758">
        <v>729.07</v>
      </c>
      <c r="T758">
        <v>867.66</v>
      </c>
      <c r="U758">
        <v>952.41</v>
      </c>
    </row>
    <row r="759" spans="1:21" x14ac:dyDescent="0.25">
      <c r="A759" t="s">
        <v>100</v>
      </c>
      <c r="B759" s="2">
        <v>6009.9</v>
      </c>
      <c r="C759" s="2">
        <v>3696.3</v>
      </c>
      <c r="D759" s="2">
        <v>4624.6000000000004</v>
      </c>
      <c r="E759" s="2">
        <v>4673.7</v>
      </c>
      <c r="F759" s="2">
        <v>5701.1</v>
      </c>
      <c r="G759" s="2">
        <v>6855.7</v>
      </c>
      <c r="H759" s="2">
        <v>6428</v>
      </c>
      <c r="I759" s="2">
        <v>8436.7000000000007</v>
      </c>
      <c r="J759" s="2">
        <v>8482.4</v>
      </c>
      <c r="K759" s="2">
        <v>8011</v>
      </c>
      <c r="L759" s="2">
        <v>7153.3</v>
      </c>
      <c r="M759" s="2">
        <v>14132.8</v>
      </c>
      <c r="N759" s="2">
        <v>26670</v>
      </c>
      <c r="O759" s="2">
        <v>40689.4</v>
      </c>
      <c r="P759" s="2">
        <v>51875.6</v>
      </c>
      <c r="Q759" s="2">
        <v>59820.55</v>
      </c>
      <c r="R759" s="2">
        <v>66097.440000000002</v>
      </c>
      <c r="S759" s="2">
        <v>71909.89</v>
      </c>
      <c r="T759" s="2">
        <v>78711.88</v>
      </c>
      <c r="U759" s="2">
        <v>83272.63</v>
      </c>
    </row>
    <row r="760" spans="1:21" x14ac:dyDescent="0.25">
      <c r="A760" t="s">
        <v>83</v>
      </c>
      <c r="B760">
        <v>25.48</v>
      </c>
      <c r="C760">
        <v>20.93</v>
      </c>
      <c r="D760">
        <v>23.17</v>
      </c>
      <c r="E760">
        <v>22.02</v>
      </c>
      <c r="F760">
        <v>24.93</v>
      </c>
      <c r="G760">
        <v>29.1</v>
      </c>
      <c r="H760">
        <v>28.29</v>
      </c>
      <c r="I760">
        <v>28.99</v>
      </c>
      <c r="J760">
        <v>26.86</v>
      </c>
      <c r="K760">
        <v>28.07</v>
      </c>
      <c r="L760">
        <v>20.96</v>
      </c>
      <c r="M760">
        <v>31.38</v>
      </c>
      <c r="N760">
        <v>40.92</v>
      </c>
      <c r="O760">
        <v>46.28</v>
      </c>
      <c r="P760">
        <v>52</v>
      </c>
      <c r="Q760">
        <v>53.34</v>
      </c>
      <c r="R760">
        <v>54.26</v>
      </c>
      <c r="S760">
        <v>54.98</v>
      </c>
      <c r="T760">
        <v>56.08</v>
      </c>
      <c r="U760">
        <v>56.93</v>
      </c>
    </row>
    <row r="761" spans="1:21" x14ac:dyDescent="0.25">
      <c r="A761" t="s">
        <v>17</v>
      </c>
    </row>
    <row r="762" spans="1:21" x14ac:dyDescent="0.25">
      <c r="A762" t="s">
        <v>101</v>
      </c>
      <c r="B762" s="2">
        <v>1069</v>
      </c>
      <c r="C762">
        <v>847.4</v>
      </c>
      <c r="D762">
        <v>968.3</v>
      </c>
      <c r="E762">
        <v>938.1</v>
      </c>
      <c r="F762" s="2">
        <v>1170.7</v>
      </c>
      <c r="G762">
        <v>981.6</v>
      </c>
      <c r="H762">
        <v>745.2</v>
      </c>
      <c r="I762">
        <v>923</v>
      </c>
      <c r="J762">
        <v>873.9</v>
      </c>
      <c r="K762">
        <v>824.6</v>
      </c>
      <c r="L762" s="2">
        <v>1440.8</v>
      </c>
      <c r="M762" s="2">
        <v>2386</v>
      </c>
      <c r="N762" s="2">
        <v>4902</v>
      </c>
      <c r="O762" s="2">
        <v>7585.47</v>
      </c>
      <c r="P762" s="2">
        <v>9360.24</v>
      </c>
      <c r="Q762" s="2">
        <v>10680.6</v>
      </c>
      <c r="R762" s="2">
        <v>11737.21</v>
      </c>
      <c r="S762" s="2">
        <v>12664.65</v>
      </c>
      <c r="T762" s="2">
        <v>13826.64</v>
      </c>
      <c r="U762" s="2">
        <v>14607.55</v>
      </c>
    </row>
    <row r="763" spans="1:21" x14ac:dyDescent="0.25">
      <c r="A763" t="s">
        <v>102</v>
      </c>
      <c r="B763">
        <v>20.5</v>
      </c>
      <c r="C763">
        <v>20.3</v>
      </c>
      <c r="D763">
        <v>13.7</v>
      </c>
      <c r="E763">
        <v>20.100000000000001</v>
      </c>
      <c r="F763">
        <v>20.5</v>
      </c>
      <c r="G763">
        <v>14.4</v>
      </c>
      <c r="H763">
        <v>11.8</v>
      </c>
      <c r="I763">
        <v>13</v>
      </c>
      <c r="J763">
        <v>11.5</v>
      </c>
      <c r="K763">
        <v>10.3</v>
      </c>
      <c r="L763">
        <v>20.100000000000001</v>
      </c>
      <c r="M763">
        <v>16.899999999999999</v>
      </c>
      <c r="N763">
        <v>18.399999999999999</v>
      </c>
      <c r="O763">
        <v>18.649999999999999</v>
      </c>
      <c r="P763">
        <v>17.7</v>
      </c>
      <c r="Q763">
        <v>17.63</v>
      </c>
      <c r="R763">
        <v>17.54</v>
      </c>
      <c r="S763">
        <v>17.41</v>
      </c>
      <c r="T763">
        <v>17.510000000000002</v>
      </c>
      <c r="U763">
        <v>17.510000000000002</v>
      </c>
    </row>
    <row r="764" spans="1:21" x14ac:dyDescent="0.25">
      <c r="A764" t="s">
        <v>17</v>
      </c>
    </row>
    <row r="765" spans="1:21" x14ac:dyDescent="0.25">
      <c r="A765" t="s">
        <v>106</v>
      </c>
      <c r="B765" s="2">
        <v>4502.6000000000004</v>
      </c>
      <c r="C765" s="2">
        <v>2987.6</v>
      </c>
      <c r="D765" s="2">
        <v>3656.3</v>
      </c>
      <c r="E765" s="2">
        <v>3735.6</v>
      </c>
      <c r="F765" s="2">
        <v>4530.3999999999996</v>
      </c>
      <c r="G765" s="2">
        <v>5734.6</v>
      </c>
      <c r="H765" s="2">
        <v>5568.2</v>
      </c>
      <c r="I765" s="2">
        <v>7235.9</v>
      </c>
      <c r="J765" s="2">
        <v>7436.7</v>
      </c>
      <c r="K765" s="2">
        <v>7186.4</v>
      </c>
      <c r="L765" s="2">
        <v>5712.5</v>
      </c>
      <c r="M765" s="2">
        <v>11746.5</v>
      </c>
      <c r="N765" s="2">
        <v>21768</v>
      </c>
      <c r="O765" s="2">
        <v>32736.52</v>
      </c>
      <c r="P765" s="2">
        <v>42080.82</v>
      </c>
      <c r="Q765" s="2">
        <v>48510.559999999998</v>
      </c>
      <c r="R765" s="2">
        <v>54221.42</v>
      </c>
      <c r="S765" s="2">
        <v>59087.58</v>
      </c>
      <c r="T765" s="2">
        <v>64833.88</v>
      </c>
      <c r="U765" s="2">
        <v>68577.56</v>
      </c>
    </row>
    <row r="766" spans="1:21" x14ac:dyDescent="0.25">
      <c r="A766" t="s">
        <v>280</v>
      </c>
      <c r="B766">
        <v>19.48</v>
      </c>
      <c r="C766">
        <v>16.61</v>
      </c>
      <c r="D766">
        <v>18.32</v>
      </c>
      <c r="E766">
        <v>17.600000000000001</v>
      </c>
      <c r="F766">
        <v>19.809999999999999</v>
      </c>
      <c r="G766">
        <v>24.53</v>
      </c>
      <c r="H766">
        <v>24.95</v>
      </c>
      <c r="I766">
        <v>25.23</v>
      </c>
      <c r="J766">
        <v>23.78</v>
      </c>
      <c r="K766">
        <v>25.18</v>
      </c>
      <c r="L766">
        <v>16.739999999999998</v>
      </c>
      <c r="M766">
        <v>26.08</v>
      </c>
      <c r="N766">
        <v>33.4</v>
      </c>
      <c r="O766">
        <v>37.33</v>
      </c>
      <c r="P766">
        <v>41.79</v>
      </c>
      <c r="Q766">
        <v>42.81</v>
      </c>
      <c r="R766">
        <v>43.64</v>
      </c>
      <c r="S766">
        <v>44.37</v>
      </c>
      <c r="T766">
        <v>45.64</v>
      </c>
      <c r="U766">
        <v>46.29</v>
      </c>
    </row>
    <row r="767" spans="1:21" x14ac:dyDescent="0.25">
      <c r="A767" t="s">
        <v>17</v>
      </c>
    </row>
    <row r="768" spans="1:21" x14ac:dyDescent="0.25">
      <c r="A768" t="s">
        <v>109</v>
      </c>
      <c r="B768" s="2">
        <v>1084.77</v>
      </c>
      <c r="C768" s="2">
        <v>1074.29</v>
      </c>
      <c r="D768" s="2">
        <v>1065.72</v>
      </c>
      <c r="E768" s="2">
        <v>1061.83</v>
      </c>
      <c r="F768" s="2">
        <v>1052.02</v>
      </c>
      <c r="G768" s="2">
        <v>1033.67</v>
      </c>
      <c r="H768">
        <v>935.68</v>
      </c>
      <c r="I768">
        <v>912.51</v>
      </c>
      <c r="J768">
        <v>911.68</v>
      </c>
      <c r="K768">
        <v>904.62</v>
      </c>
      <c r="L768">
        <v>903.28</v>
      </c>
      <c r="M768">
        <v>904.1</v>
      </c>
      <c r="N768">
        <v>899.3</v>
      </c>
      <c r="O768">
        <v>894.2</v>
      </c>
      <c r="P768">
        <v>890.76</v>
      </c>
      <c r="Q768">
        <v>888.61</v>
      </c>
      <c r="R768">
        <v>886.34</v>
      </c>
      <c r="S768">
        <v>884.27</v>
      </c>
      <c r="T768">
        <v>883.97</v>
      </c>
      <c r="U768">
        <v>882.44</v>
      </c>
    </row>
    <row r="769" spans="1:21" x14ac:dyDescent="0.25">
      <c r="A769" t="s">
        <v>110</v>
      </c>
      <c r="B769">
        <v>4.1500000000000004</v>
      </c>
      <c r="C769">
        <v>2.78</v>
      </c>
      <c r="D769">
        <v>3.43</v>
      </c>
      <c r="E769">
        <v>3.52</v>
      </c>
      <c r="F769">
        <v>4.28</v>
      </c>
      <c r="G769">
        <v>5.55</v>
      </c>
      <c r="H769">
        <v>6.04</v>
      </c>
      <c r="I769">
        <v>7.93</v>
      </c>
      <c r="J769">
        <v>8.16</v>
      </c>
      <c r="K769">
        <v>7.94</v>
      </c>
      <c r="L769">
        <v>6.32</v>
      </c>
      <c r="M769">
        <v>12.99</v>
      </c>
      <c r="N769">
        <v>24.21</v>
      </c>
      <c r="O769">
        <v>36.590000000000003</v>
      </c>
      <c r="P769">
        <v>47.1</v>
      </c>
      <c r="Q769">
        <v>54.47</v>
      </c>
      <c r="R769">
        <v>61.19</v>
      </c>
      <c r="S769">
        <v>66.84</v>
      </c>
      <c r="T769">
        <v>73.41</v>
      </c>
      <c r="U769">
        <v>77.790000000000006</v>
      </c>
    </row>
    <row r="770" spans="1:21" x14ac:dyDescent="0.25">
      <c r="A770" t="s">
        <v>17</v>
      </c>
    </row>
    <row r="771" spans="1:21" x14ac:dyDescent="0.25">
      <c r="A771" t="s">
        <v>487</v>
      </c>
      <c r="B771">
        <v>1.96</v>
      </c>
      <c r="C771">
        <v>1.97</v>
      </c>
      <c r="D771">
        <v>2.0099999999999998</v>
      </c>
      <c r="E771">
        <v>2.0499999999999998</v>
      </c>
      <c r="F771">
        <v>2.12</v>
      </c>
      <c r="G771">
        <v>2.33</v>
      </c>
      <c r="H771">
        <v>2.68</v>
      </c>
      <c r="I771">
        <v>3.07</v>
      </c>
      <c r="J771">
        <v>3.4</v>
      </c>
      <c r="K771">
        <v>3.92</v>
      </c>
      <c r="L771">
        <v>4.5199999999999996</v>
      </c>
      <c r="M771">
        <v>5.2</v>
      </c>
      <c r="N771">
        <v>6</v>
      </c>
      <c r="O771">
        <v>7.01</v>
      </c>
      <c r="P771">
        <v>8.1</v>
      </c>
      <c r="Q771">
        <v>9.2200000000000006</v>
      </c>
      <c r="R771">
        <v>10.029999999999999</v>
      </c>
      <c r="S771">
        <v>11.22</v>
      </c>
      <c r="T771">
        <v>12.41</v>
      </c>
      <c r="U771">
        <v>13.87</v>
      </c>
    </row>
    <row r="772" spans="1:21" x14ac:dyDescent="0.25">
      <c r="A772" t="s">
        <v>3776</v>
      </c>
      <c r="B772">
        <v>44.89</v>
      </c>
      <c r="C772">
        <v>88.19</v>
      </c>
      <c r="D772">
        <v>88.69</v>
      </c>
      <c r="E772">
        <v>79.180000000000007</v>
      </c>
      <c r="G772">
        <v>75.290000000000006</v>
      </c>
      <c r="H772">
        <v>52.41</v>
      </c>
      <c r="I772">
        <v>44.98</v>
      </c>
      <c r="J772">
        <v>57.36</v>
      </c>
      <c r="K772">
        <v>58.73</v>
      </c>
      <c r="L772">
        <v>80.55</v>
      </c>
      <c r="M772">
        <v>44.22</v>
      </c>
      <c r="N772">
        <v>26.08</v>
      </c>
      <c r="O772">
        <v>18.760000000000002</v>
      </c>
      <c r="P772">
        <v>16.57</v>
      </c>
      <c r="Q772">
        <v>16.3</v>
      </c>
      <c r="R772">
        <v>16.2</v>
      </c>
      <c r="S772">
        <v>16.63</v>
      </c>
      <c r="T772">
        <v>16.559999999999999</v>
      </c>
      <c r="U772">
        <v>17.34</v>
      </c>
    </row>
    <row r="773" spans="1:21" x14ac:dyDescent="0.25">
      <c r="A773" t="s">
        <v>17</v>
      </c>
    </row>
    <row r="774" spans="1:21" x14ac:dyDescent="0.25">
      <c r="A774" t="s">
        <v>282</v>
      </c>
    </row>
    <row r="775" spans="1:21" x14ac:dyDescent="0.25">
      <c r="A775" t="s">
        <v>3777</v>
      </c>
      <c r="B775" s="2">
        <v>4908.1000000000004</v>
      </c>
      <c r="C775" s="2">
        <v>4932.5</v>
      </c>
      <c r="D775" s="2">
        <v>5037.2</v>
      </c>
      <c r="E775" s="2">
        <v>5654.9</v>
      </c>
      <c r="F775" s="2">
        <v>6150.8</v>
      </c>
      <c r="G775" s="2">
        <v>4681.7</v>
      </c>
      <c r="H775" s="2">
        <v>4721.2</v>
      </c>
      <c r="I775" s="2">
        <v>5483.3</v>
      </c>
      <c r="J775" s="2">
        <v>7312.8</v>
      </c>
      <c r="K775" s="2">
        <v>6629.8</v>
      </c>
      <c r="L775" s="2">
        <v>7082.2</v>
      </c>
      <c r="M775" s="2">
        <v>8418</v>
      </c>
      <c r="N775" s="2">
        <v>11052</v>
      </c>
      <c r="O775" s="2">
        <v>14407.84</v>
      </c>
      <c r="P775" s="2">
        <v>16973.41</v>
      </c>
      <c r="Q775" s="2">
        <v>18806.650000000001</v>
      </c>
      <c r="R775" s="2">
        <v>21103.46</v>
      </c>
      <c r="S775" s="2">
        <v>22583.48</v>
      </c>
      <c r="T775" s="2">
        <v>22539.72</v>
      </c>
      <c r="U775" s="2">
        <v>22563.759999999998</v>
      </c>
    </row>
    <row r="776" spans="1:21" x14ac:dyDescent="0.25">
      <c r="A776" t="s">
        <v>116</v>
      </c>
      <c r="B776" s="2">
        <v>5370.4</v>
      </c>
      <c r="C776" s="2">
        <v>2659.8</v>
      </c>
      <c r="D776" s="2">
        <v>2689.4</v>
      </c>
      <c r="E776" s="2">
        <v>3458.8</v>
      </c>
      <c r="F776" s="2">
        <v>1896.9</v>
      </c>
      <c r="G776" s="2">
        <v>3534.5</v>
      </c>
      <c r="H776" s="2">
        <v>4974.3</v>
      </c>
      <c r="I776" s="2">
        <v>6058</v>
      </c>
      <c r="J776" s="2">
        <v>6357.1</v>
      </c>
      <c r="K776" s="2">
        <v>7127.3</v>
      </c>
      <c r="L776" s="2">
        <v>6457.9</v>
      </c>
      <c r="M776" s="2">
        <v>12899</v>
      </c>
      <c r="N776" s="2">
        <v>26302</v>
      </c>
      <c r="O776" s="2">
        <v>39174.080000000002</v>
      </c>
      <c r="P776" s="2">
        <v>48393.81</v>
      </c>
      <c r="Q776" s="2">
        <v>56351.81</v>
      </c>
      <c r="R776" s="2">
        <v>63173.63</v>
      </c>
      <c r="S776" s="2">
        <v>67469.240000000005</v>
      </c>
      <c r="T776" s="2">
        <v>70079.69</v>
      </c>
      <c r="U776" s="2">
        <v>70067.429999999993</v>
      </c>
    </row>
    <row r="777" spans="1:21" x14ac:dyDescent="0.25">
      <c r="A777" t="s">
        <v>269</v>
      </c>
      <c r="B777">
        <v>23.24</v>
      </c>
      <c r="C777">
        <v>13.56</v>
      </c>
      <c r="D777">
        <v>13.47</v>
      </c>
      <c r="E777">
        <v>16.3</v>
      </c>
      <c r="F777">
        <v>8.2899999999999991</v>
      </c>
      <c r="G777">
        <v>16.440000000000001</v>
      </c>
      <c r="H777">
        <v>22.29</v>
      </c>
      <c r="I777">
        <v>24.69</v>
      </c>
      <c r="J777">
        <v>22.45</v>
      </c>
      <c r="K777">
        <v>24.97</v>
      </c>
      <c r="L777">
        <v>18.920000000000002</v>
      </c>
      <c r="M777">
        <v>28.64</v>
      </c>
      <c r="N777">
        <v>40.35</v>
      </c>
      <c r="O777">
        <v>38.869999999999997</v>
      </c>
      <c r="P777">
        <v>28.67</v>
      </c>
      <c r="Q777">
        <v>29.11</v>
      </c>
      <c r="R777">
        <v>7.23</v>
      </c>
      <c r="S777">
        <v>5.85</v>
      </c>
      <c r="T777">
        <v>5.52</v>
      </c>
    </row>
    <row r="778" spans="1:21" x14ac:dyDescent="0.25">
      <c r="A778" t="s">
        <v>120</v>
      </c>
      <c r="B778" s="2">
        <v>1204.5</v>
      </c>
      <c r="C778">
        <v>609.79999999999995</v>
      </c>
      <c r="D778">
        <v>381.6</v>
      </c>
      <c r="E778">
        <v>636.4</v>
      </c>
      <c r="F778" s="2">
        <v>2401.5</v>
      </c>
      <c r="G778">
        <v>529.5</v>
      </c>
      <c r="H778">
        <v>628</v>
      </c>
      <c r="I778" s="2">
        <v>1036.2</v>
      </c>
      <c r="J778">
        <v>573.79999999999995</v>
      </c>
      <c r="K778">
        <v>561.6</v>
      </c>
      <c r="L778" s="2">
        <v>1314.2</v>
      </c>
      <c r="M778" s="2">
        <v>2090</v>
      </c>
      <c r="N778" s="2">
        <v>5091</v>
      </c>
      <c r="O778" s="2">
        <v>7380.41</v>
      </c>
      <c r="P778" s="2">
        <v>8583.7000000000007</v>
      </c>
      <c r="Q778" s="2">
        <v>10019.43</v>
      </c>
      <c r="R778" s="2">
        <v>11064.89</v>
      </c>
      <c r="S778" s="2">
        <v>11999.16</v>
      </c>
      <c r="T778" s="2">
        <v>12388.38</v>
      </c>
      <c r="U778" s="2">
        <v>12509.21</v>
      </c>
    </row>
    <row r="779" spans="1:21" x14ac:dyDescent="0.25">
      <c r="A779" t="s">
        <v>489</v>
      </c>
      <c r="B779">
        <v>20.45</v>
      </c>
      <c r="C779">
        <v>20.32</v>
      </c>
      <c r="D779">
        <v>13.68</v>
      </c>
      <c r="E779">
        <v>18.86</v>
      </c>
      <c r="F779">
        <v>109.29</v>
      </c>
      <c r="G779">
        <v>14.39</v>
      </c>
      <c r="H779">
        <v>11.93</v>
      </c>
      <c r="I779">
        <v>14.33</v>
      </c>
      <c r="J779">
        <v>9.32</v>
      </c>
      <c r="K779">
        <v>8.25</v>
      </c>
      <c r="L779">
        <v>20.05</v>
      </c>
      <c r="M779">
        <v>16.48</v>
      </c>
      <c r="N779">
        <v>19.79</v>
      </c>
      <c r="O779">
        <v>18.829999999999998</v>
      </c>
      <c r="P779">
        <v>17.38</v>
      </c>
      <c r="Q779">
        <v>17.36</v>
      </c>
      <c r="R779">
        <v>17.53</v>
      </c>
      <c r="S779">
        <v>17.02</v>
      </c>
      <c r="T779">
        <v>17.010000000000002</v>
      </c>
      <c r="U779">
        <v>17</v>
      </c>
    </row>
    <row r="780" spans="1:21" x14ac:dyDescent="0.25">
      <c r="A780" t="s">
        <v>121</v>
      </c>
      <c r="B780" s="2">
        <v>4684.8</v>
      </c>
      <c r="C780" s="2">
        <v>2390.5</v>
      </c>
      <c r="D780" s="2">
        <v>2408.4</v>
      </c>
      <c r="E780" s="2">
        <v>2737.6</v>
      </c>
      <c r="F780">
        <v>-204.1</v>
      </c>
      <c r="G780" s="2">
        <v>3232</v>
      </c>
      <c r="H780" s="2">
        <v>8318.4</v>
      </c>
      <c r="I780" s="2">
        <v>6193.7</v>
      </c>
      <c r="J780" s="2">
        <v>5581.7</v>
      </c>
      <c r="K780" s="2">
        <v>6244.8</v>
      </c>
      <c r="L780" s="2">
        <v>5240.3999999999996</v>
      </c>
      <c r="M780" s="2">
        <v>10590</v>
      </c>
      <c r="N780" s="2">
        <v>20640</v>
      </c>
      <c r="O780" s="2">
        <v>32079.7</v>
      </c>
      <c r="P780" s="2">
        <v>41670.449999999997</v>
      </c>
      <c r="Q780" s="2">
        <v>47996.39</v>
      </c>
      <c r="R780" s="2">
        <v>53899.6</v>
      </c>
      <c r="S780" s="2">
        <v>58501.67</v>
      </c>
      <c r="T780" s="2">
        <v>63700.31</v>
      </c>
      <c r="U780" s="2">
        <v>66925.149999999994</v>
      </c>
    </row>
    <row r="781" spans="1:21" x14ac:dyDescent="0.25">
      <c r="A781" t="s">
        <v>124</v>
      </c>
      <c r="B781">
        <v>4.32</v>
      </c>
      <c r="C781">
        <v>2.23</v>
      </c>
      <c r="D781">
        <v>2.2599999999999998</v>
      </c>
      <c r="E781">
        <v>2.58</v>
      </c>
      <c r="F781">
        <v>-0.19</v>
      </c>
      <c r="G781">
        <v>3.13</v>
      </c>
      <c r="H781">
        <v>8.89</v>
      </c>
      <c r="I781">
        <v>6.79</v>
      </c>
      <c r="J781">
        <v>6.12</v>
      </c>
      <c r="K781">
        <v>6.9</v>
      </c>
      <c r="L781">
        <v>5.8</v>
      </c>
      <c r="M781">
        <v>11.71</v>
      </c>
      <c r="N781">
        <v>22.95</v>
      </c>
      <c r="O781">
        <v>36.020000000000003</v>
      </c>
      <c r="P781">
        <v>46.3</v>
      </c>
      <c r="Q781">
        <v>53.13</v>
      </c>
      <c r="R781">
        <v>60.08</v>
      </c>
      <c r="S781">
        <v>66.73</v>
      </c>
      <c r="T781">
        <v>73.41</v>
      </c>
      <c r="U781">
        <v>77.989999999999995</v>
      </c>
    </row>
    <row r="782" spans="1:21" x14ac:dyDescent="0.25">
      <c r="A782" t="s">
        <v>17</v>
      </c>
    </row>
    <row r="783" spans="1:21" x14ac:dyDescent="0.25">
      <c r="A783" t="s">
        <v>651</v>
      </c>
    </row>
    <row r="784" spans="1:21" x14ac:dyDescent="0.25">
      <c r="A784" t="s">
        <v>67</v>
      </c>
      <c r="B784">
        <v>144.9</v>
      </c>
      <c r="C784">
        <v>156</v>
      </c>
      <c r="D784">
        <v>217.8</v>
      </c>
      <c r="E784">
        <v>255.3</v>
      </c>
      <c r="F784">
        <v>281.3</v>
      </c>
      <c r="G784">
        <v>279.5</v>
      </c>
      <c r="H784">
        <v>312.39999999999998</v>
      </c>
      <c r="I784">
        <v>308.10000000000002</v>
      </c>
      <c r="J784">
        <v>342.8</v>
      </c>
      <c r="K784">
        <v>371.1</v>
      </c>
      <c r="L784">
        <v>628.5</v>
      </c>
      <c r="M784">
        <v>646</v>
      </c>
      <c r="N784">
        <v>626</v>
      </c>
      <c r="O784">
        <v>700.64</v>
      </c>
      <c r="P784">
        <v>748.95</v>
      </c>
      <c r="Q784">
        <v>801.47</v>
      </c>
      <c r="R784">
        <v>844.95</v>
      </c>
      <c r="S784">
        <v>875.29</v>
      </c>
      <c r="T784">
        <v>886.95</v>
      </c>
      <c r="U784">
        <v>892.36</v>
      </c>
    </row>
    <row r="785" spans="1:21" x14ac:dyDescent="0.25">
      <c r="A785" t="s">
        <v>1600</v>
      </c>
      <c r="B785">
        <v>135.4</v>
      </c>
      <c r="J785">
        <v>-472</v>
      </c>
      <c r="K785">
        <v>-263</v>
      </c>
      <c r="L785">
        <v>-126.6</v>
      </c>
      <c r="M785">
        <v>-296</v>
      </c>
      <c r="N785">
        <v>-161</v>
      </c>
      <c r="O785">
        <v>-20</v>
      </c>
      <c r="P785">
        <v>-11.28</v>
      </c>
      <c r="Q785">
        <v>-10.78</v>
      </c>
      <c r="R785">
        <v>-9.86</v>
      </c>
      <c r="S785">
        <v>-6.8</v>
      </c>
      <c r="T785">
        <v>-7.8</v>
      </c>
      <c r="U785">
        <v>-12.96</v>
      </c>
    </row>
    <row r="786" spans="1:21" x14ac:dyDescent="0.25">
      <c r="A786" t="s">
        <v>17</v>
      </c>
    </row>
    <row r="787" spans="1:21" x14ac:dyDescent="0.25">
      <c r="A787" t="s">
        <v>134</v>
      </c>
    </row>
    <row r="788" spans="1:21" x14ac:dyDescent="0.25">
      <c r="A788" t="s">
        <v>135</v>
      </c>
    </row>
    <row r="789" spans="1:21" x14ac:dyDescent="0.25">
      <c r="A789" t="s">
        <v>136</v>
      </c>
      <c r="B789" s="2">
        <v>12820.4</v>
      </c>
      <c r="C789" s="2">
        <v>11928.3</v>
      </c>
      <c r="D789" s="2">
        <v>12573.6</v>
      </c>
      <c r="E789" s="2">
        <v>15101.4</v>
      </c>
      <c r="F789" s="2">
        <v>19202.099999999999</v>
      </c>
      <c r="G789" s="2">
        <v>20549.599999999999</v>
      </c>
      <c r="H789" s="2">
        <v>13709.6</v>
      </c>
      <c r="I789" s="2">
        <v>17462.099999999999</v>
      </c>
      <c r="J789" s="2">
        <v>18452.400000000001</v>
      </c>
      <c r="K789" s="2">
        <v>18034.5</v>
      </c>
      <c r="L789" s="2">
        <v>25727</v>
      </c>
      <c r="M789" s="2">
        <v>32740</v>
      </c>
      <c r="N789" s="2">
        <v>55629</v>
      </c>
      <c r="O789" s="2">
        <v>79105.31</v>
      </c>
      <c r="P789" s="2">
        <v>116477.73</v>
      </c>
      <c r="Q789" s="2">
        <v>165581.85999999999</v>
      </c>
      <c r="R789" s="2">
        <v>221436.59</v>
      </c>
      <c r="S789" s="2">
        <v>278061.03999999998</v>
      </c>
      <c r="T789" s="2">
        <v>344079.5</v>
      </c>
      <c r="U789" s="2">
        <v>407819</v>
      </c>
    </row>
    <row r="790" spans="1:21" x14ac:dyDescent="0.25">
      <c r="A790" t="s">
        <v>137</v>
      </c>
      <c r="B790" s="2">
        <v>5397.3</v>
      </c>
      <c r="C790" s="2">
        <v>4827</v>
      </c>
      <c r="D790" s="2">
        <v>8098.4</v>
      </c>
      <c r="E790" s="2">
        <v>11246.1</v>
      </c>
      <c r="F790" s="2">
        <v>13712.9</v>
      </c>
      <c r="G790" s="2">
        <v>7408.9</v>
      </c>
      <c r="H790" s="2">
        <v>2438.5</v>
      </c>
      <c r="I790" s="2">
        <v>3681.3</v>
      </c>
      <c r="J790" s="2">
        <v>3908.6</v>
      </c>
      <c r="K790" s="2">
        <v>2211.8000000000002</v>
      </c>
      <c r="L790" s="2">
        <v>2927.7</v>
      </c>
      <c r="M790" s="2">
        <v>3268</v>
      </c>
      <c r="N790" s="2">
        <v>7268</v>
      </c>
      <c r="O790" s="2">
        <v>11955.17</v>
      </c>
      <c r="P790" s="2">
        <v>30346.080000000002</v>
      </c>
      <c r="Q790" s="2">
        <v>52906.48</v>
      </c>
      <c r="R790" s="2">
        <v>78975.289999999994</v>
      </c>
      <c r="S790" s="2">
        <v>109491.7</v>
      </c>
      <c r="T790" s="2">
        <v>143118.71</v>
      </c>
      <c r="U790" s="2">
        <v>179969.08</v>
      </c>
    </row>
    <row r="791" spans="1:21" x14ac:dyDescent="0.25">
      <c r="A791" t="s">
        <v>536</v>
      </c>
      <c r="B791" s="2">
        <v>3830.2</v>
      </c>
      <c r="C791" s="2">
        <v>3871.6</v>
      </c>
      <c r="D791" s="2">
        <v>3666.4</v>
      </c>
      <c r="E791" s="2">
        <v>4582.1000000000004</v>
      </c>
      <c r="F791" s="2">
        <v>6536.2</v>
      </c>
      <c r="G791" s="2">
        <v>7320.7</v>
      </c>
      <c r="H791" s="2">
        <v>2337.5</v>
      </c>
      <c r="I791" s="2">
        <v>3657.1</v>
      </c>
      <c r="J791" s="2">
        <v>3818.5</v>
      </c>
      <c r="K791" s="2">
        <v>2067</v>
      </c>
      <c r="L791" s="2">
        <v>2818.6</v>
      </c>
      <c r="M791" s="2">
        <v>3268</v>
      </c>
      <c r="N791" s="2">
        <v>7268</v>
      </c>
      <c r="O791" s="2">
        <v>18076.509999999998</v>
      </c>
      <c r="P791" s="2">
        <v>48115.67</v>
      </c>
      <c r="Q791" s="2">
        <v>88007.78</v>
      </c>
      <c r="R791" s="2">
        <v>139450.18</v>
      </c>
      <c r="S791" s="2">
        <v>190111.69</v>
      </c>
      <c r="T791" s="2">
        <v>257732.36</v>
      </c>
      <c r="U791" s="2">
        <v>319149.56</v>
      </c>
    </row>
    <row r="792" spans="1:21" x14ac:dyDescent="0.25">
      <c r="A792" t="s">
        <v>1130</v>
      </c>
      <c r="B792" s="2">
        <v>1567.1</v>
      </c>
      <c r="C792">
        <v>955.4</v>
      </c>
      <c r="D792">
        <v>785.4</v>
      </c>
      <c r="E792" s="2">
        <v>1456.5</v>
      </c>
      <c r="F792" s="2">
        <v>1497.9</v>
      </c>
      <c r="G792">
        <v>88.2</v>
      </c>
      <c r="H792">
        <v>101</v>
      </c>
      <c r="I792">
        <v>24.2</v>
      </c>
      <c r="J792">
        <v>90.1</v>
      </c>
      <c r="K792">
        <v>144.80000000000001</v>
      </c>
      <c r="L792">
        <v>109.1</v>
      </c>
      <c r="M792">
        <v>0</v>
      </c>
      <c r="N792">
        <v>0</v>
      </c>
      <c r="O792">
        <v>133</v>
      </c>
      <c r="P792">
        <v>133</v>
      </c>
      <c r="Q792">
        <v>133</v>
      </c>
      <c r="R792">
        <v>133</v>
      </c>
      <c r="S792">
        <v>133</v>
      </c>
      <c r="T792">
        <v>133</v>
      </c>
      <c r="U792">
        <v>133</v>
      </c>
    </row>
    <row r="793" spans="1:21" x14ac:dyDescent="0.25">
      <c r="A793" t="s">
        <v>141</v>
      </c>
      <c r="B793" s="2">
        <v>3434.4</v>
      </c>
      <c r="C793" s="2">
        <v>3234.6</v>
      </c>
      <c r="D793" s="2">
        <v>3513</v>
      </c>
      <c r="E793" s="2">
        <v>4029.4</v>
      </c>
      <c r="F793" s="2">
        <v>4546.3</v>
      </c>
      <c r="G793" s="2">
        <v>4593.8999999999996</v>
      </c>
      <c r="H793" s="2">
        <v>4547.3</v>
      </c>
      <c r="I793" s="2">
        <v>5875.3</v>
      </c>
      <c r="J793" s="2">
        <v>6672.8</v>
      </c>
      <c r="K793" s="2">
        <v>6896</v>
      </c>
      <c r="L793" s="2">
        <v>9090.5</v>
      </c>
      <c r="M793" s="2">
        <v>11006</v>
      </c>
      <c r="N793" s="2">
        <v>17760</v>
      </c>
      <c r="O793" s="2">
        <v>21239.84</v>
      </c>
      <c r="P793" s="2">
        <v>23624.720000000001</v>
      </c>
      <c r="Q793" s="2">
        <v>26357.19</v>
      </c>
      <c r="R793" s="2">
        <v>28030.400000000001</v>
      </c>
      <c r="S793" s="2">
        <v>29829.06</v>
      </c>
      <c r="T793" s="2">
        <v>31748.81</v>
      </c>
      <c r="U793" s="2">
        <v>32615.040000000001</v>
      </c>
    </row>
    <row r="794" spans="1:21" x14ac:dyDescent="0.25">
      <c r="A794" t="s">
        <v>340</v>
      </c>
      <c r="B794" s="2">
        <v>2928.8</v>
      </c>
      <c r="C794" s="2">
        <v>2740</v>
      </c>
      <c r="D794" s="2">
        <v>3445.8</v>
      </c>
      <c r="E794" s="2">
        <v>3561.9</v>
      </c>
      <c r="F794" s="2">
        <v>4458.3</v>
      </c>
      <c r="G794" s="2">
        <v>3098.1</v>
      </c>
      <c r="H794" s="2">
        <v>3190.7</v>
      </c>
      <c r="I794" s="2">
        <v>3980.3</v>
      </c>
      <c r="J794" s="2">
        <v>3886</v>
      </c>
      <c r="K794" s="2">
        <v>4309.7</v>
      </c>
      <c r="L794" s="2">
        <v>5772.8</v>
      </c>
      <c r="M794" s="2">
        <v>7589</v>
      </c>
      <c r="N794" s="2">
        <v>13744</v>
      </c>
      <c r="O794" s="2">
        <v>14754.08</v>
      </c>
      <c r="P794" s="2">
        <v>16001.7</v>
      </c>
      <c r="Q794" s="2">
        <v>17787.66</v>
      </c>
      <c r="R794" s="2">
        <v>18380.740000000002</v>
      </c>
      <c r="S794" s="2">
        <v>19395.18</v>
      </c>
      <c r="T794" s="2">
        <v>21281.439999999999</v>
      </c>
      <c r="U794" s="2">
        <v>21749.81</v>
      </c>
    </row>
    <row r="795" spans="1:21" x14ac:dyDescent="0.25">
      <c r="A795" t="s">
        <v>428</v>
      </c>
      <c r="B795">
        <v>755.8</v>
      </c>
      <c r="C795">
        <v>560</v>
      </c>
      <c r="D795">
        <v>604.4</v>
      </c>
      <c r="E795">
        <v>734.6</v>
      </c>
      <c r="F795" s="2">
        <v>1447.5</v>
      </c>
      <c r="G795" s="2">
        <v>2036.7</v>
      </c>
      <c r="H795" s="2">
        <v>2538.9</v>
      </c>
      <c r="I795" s="2">
        <v>2871.5</v>
      </c>
      <c r="J795" s="2">
        <v>2530.6</v>
      </c>
      <c r="K795" s="2">
        <v>2954.1</v>
      </c>
      <c r="L795" s="2">
        <v>5540.8</v>
      </c>
      <c r="M795">
        <v>0</v>
      </c>
      <c r="N795">
        <v>0</v>
      </c>
      <c r="O795" s="2">
        <v>15036.41</v>
      </c>
      <c r="P795" s="2">
        <v>16165.13</v>
      </c>
      <c r="Q795" s="2">
        <v>16997.490000000002</v>
      </c>
      <c r="R795" s="2">
        <v>16751.84</v>
      </c>
      <c r="S795" s="2">
        <v>17077.189999999999</v>
      </c>
      <c r="T795" s="2">
        <v>17500.439999999999</v>
      </c>
      <c r="U795" s="2">
        <v>17534.88</v>
      </c>
    </row>
    <row r="796" spans="1:21" x14ac:dyDescent="0.25">
      <c r="A796" t="s">
        <v>689</v>
      </c>
      <c r="B796">
        <v>588.4</v>
      </c>
      <c r="C796">
        <v>566.70000000000005</v>
      </c>
      <c r="D796">
        <v>558.6</v>
      </c>
      <c r="E796">
        <v>736.9</v>
      </c>
      <c r="F796">
        <v>715.9</v>
      </c>
      <c r="G796" s="2">
        <v>1182.9000000000001</v>
      </c>
      <c r="H796">
        <v>994.2</v>
      </c>
      <c r="I796" s="2">
        <v>1053.7</v>
      </c>
      <c r="J796" s="2">
        <v>1454.4</v>
      </c>
      <c r="K796" s="2">
        <v>1662.9</v>
      </c>
      <c r="L796" s="2">
        <v>2245.6999999999998</v>
      </c>
      <c r="M796" s="2">
        <v>2270</v>
      </c>
      <c r="N796" s="2">
        <v>2395</v>
      </c>
      <c r="O796" s="2">
        <v>3174.84</v>
      </c>
      <c r="P796" s="2">
        <v>3314.98</v>
      </c>
      <c r="Q796" s="2">
        <v>3473.66</v>
      </c>
      <c r="R796" s="2">
        <v>3591.3</v>
      </c>
      <c r="S796" s="2">
        <v>3685.86</v>
      </c>
      <c r="T796" s="2">
        <v>3754.26</v>
      </c>
      <c r="U796" s="2">
        <v>3765.84</v>
      </c>
    </row>
    <row r="797" spans="1:21" x14ac:dyDescent="0.25">
      <c r="A797" t="s">
        <v>145</v>
      </c>
      <c r="B797" s="2">
        <v>1344.2</v>
      </c>
      <c r="C797" s="2">
        <v>1126.7</v>
      </c>
      <c r="D797" s="2">
        <v>1163</v>
      </c>
      <c r="E797" s="2">
        <v>1471.5</v>
      </c>
      <c r="F797" s="2">
        <v>2163.4</v>
      </c>
      <c r="G797" s="2">
        <v>3219.6</v>
      </c>
      <c r="H797" s="2">
        <v>3533.1</v>
      </c>
      <c r="I797" s="2">
        <v>3925.2</v>
      </c>
      <c r="J797" s="2">
        <v>3985</v>
      </c>
      <c r="K797" s="2">
        <v>4617</v>
      </c>
      <c r="L797" s="2">
        <v>7936</v>
      </c>
      <c r="M797" s="2">
        <v>2536</v>
      </c>
      <c r="N797" s="2">
        <v>2542</v>
      </c>
      <c r="O797" s="2">
        <v>41313.01</v>
      </c>
      <c r="P797" s="2">
        <v>46424.800000000003</v>
      </c>
      <c r="Q797" s="2">
        <v>50558.3</v>
      </c>
      <c r="R797" s="2">
        <v>54695.91</v>
      </c>
      <c r="S797" s="2">
        <v>58131.75</v>
      </c>
      <c r="T797" s="2">
        <v>76069.649999999994</v>
      </c>
      <c r="U797" s="2">
        <v>79920.649999999994</v>
      </c>
    </row>
    <row r="798" spans="1:21" x14ac:dyDescent="0.25">
      <c r="A798" t="s">
        <v>146</v>
      </c>
      <c r="B798" s="2">
        <v>22144</v>
      </c>
      <c r="C798" s="2">
        <v>24379.3</v>
      </c>
      <c r="D798" s="2">
        <v>22995.3</v>
      </c>
      <c r="E798" s="2">
        <v>23704.5</v>
      </c>
      <c r="F798" s="2">
        <v>25778.9</v>
      </c>
      <c r="G798" s="2">
        <v>23358.799999999999</v>
      </c>
      <c r="H798" s="2">
        <v>25576.5</v>
      </c>
      <c r="I798" s="2">
        <v>29171</v>
      </c>
      <c r="J798" s="2">
        <v>30353.599999999999</v>
      </c>
      <c r="K798" s="2">
        <v>31455.3</v>
      </c>
      <c r="L798" s="2">
        <v>38279.300000000003</v>
      </c>
      <c r="M798" s="2">
        <v>45975</v>
      </c>
      <c r="N798" s="2">
        <v>56847</v>
      </c>
      <c r="O798" s="2">
        <v>53068.34</v>
      </c>
      <c r="P798" s="2">
        <v>41693.519999999997</v>
      </c>
      <c r="Q798" s="2">
        <v>18989.439999999999</v>
      </c>
      <c r="R798" s="2">
        <v>-2122.64</v>
      </c>
      <c r="S798" s="2">
        <v>-25246.58</v>
      </c>
      <c r="T798" s="2">
        <v>-66589.3</v>
      </c>
      <c r="U798" s="2">
        <v>-96538.84</v>
      </c>
    </row>
    <row r="799" spans="1:21" x14ac:dyDescent="0.25">
      <c r="A799" t="s">
        <v>2728</v>
      </c>
      <c r="B799" s="2">
        <v>7624.9</v>
      </c>
      <c r="C799" s="2">
        <v>4568.8999999999996</v>
      </c>
      <c r="D799" s="2">
        <v>3646.6</v>
      </c>
      <c r="E799" s="2">
        <v>5207.5</v>
      </c>
      <c r="F799" s="2">
        <v>5678.8</v>
      </c>
      <c r="G799" s="2">
        <v>2005.4</v>
      </c>
      <c r="H799" s="2">
        <v>1962.4</v>
      </c>
      <c r="I799" s="2">
        <v>2495</v>
      </c>
      <c r="J799" s="2">
        <v>2441.1</v>
      </c>
      <c r="K799" s="2">
        <v>2120.6999999999998</v>
      </c>
      <c r="L799" s="2">
        <v>2089.9</v>
      </c>
      <c r="M799" s="2">
        <v>3216</v>
      </c>
      <c r="N799" s="2">
        <v>2802</v>
      </c>
      <c r="O799" s="2">
        <v>3225.28</v>
      </c>
      <c r="P799" s="2">
        <v>3217.64</v>
      </c>
      <c r="Q799" s="2">
        <v>3260.37</v>
      </c>
      <c r="R799" s="2">
        <v>3254.49</v>
      </c>
      <c r="S799" s="2">
        <v>3299.06</v>
      </c>
      <c r="T799" s="2">
        <v>3339.94</v>
      </c>
      <c r="U799" s="2">
        <v>3390.78</v>
      </c>
    </row>
    <row r="800" spans="1:21" x14ac:dyDescent="0.25">
      <c r="A800" t="s">
        <v>409</v>
      </c>
      <c r="B800" s="2">
        <v>7975.5</v>
      </c>
      <c r="C800" s="2">
        <v>7963.9</v>
      </c>
      <c r="D800" s="2">
        <v>8053.5</v>
      </c>
      <c r="E800" s="2">
        <v>8252.6</v>
      </c>
      <c r="F800" s="2">
        <v>8826.5</v>
      </c>
      <c r="G800" s="2">
        <v>7996.1</v>
      </c>
      <c r="H800" s="2">
        <v>7872.9</v>
      </c>
      <c r="I800" s="2">
        <v>8681.9</v>
      </c>
      <c r="J800" s="2">
        <v>8985.1</v>
      </c>
      <c r="K800" s="2">
        <v>10144</v>
      </c>
      <c r="L800" s="2">
        <v>12913.6</v>
      </c>
      <c r="M800" s="2">
        <v>17102</v>
      </c>
      <c r="N800" s="2">
        <v>24675</v>
      </c>
      <c r="O800" s="2">
        <v>23079.9</v>
      </c>
      <c r="P800" s="2">
        <v>20021.060000000001</v>
      </c>
      <c r="Q800" s="2">
        <v>12668.44</v>
      </c>
      <c r="R800">
        <v>-28.6</v>
      </c>
      <c r="S800" s="2">
        <v>-9935.4500000000007</v>
      </c>
      <c r="T800" s="2">
        <v>-30155.06</v>
      </c>
      <c r="U800" s="2">
        <v>-43724.02</v>
      </c>
    </row>
    <row r="801" spans="1:21" x14ac:dyDescent="0.25">
      <c r="A801" t="s">
        <v>894</v>
      </c>
      <c r="B801" s="2">
        <v>15646.7</v>
      </c>
      <c r="C801" s="2">
        <v>16029.3</v>
      </c>
      <c r="D801" s="2">
        <v>16660.900000000001</v>
      </c>
      <c r="E801" s="2">
        <v>16777.599999999999</v>
      </c>
      <c r="F801" s="2">
        <v>18091.099999999999</v>
      </c>
      <c r="G801" s="2">
        <v>16663</v>
      </c>
      <c r="H801" s="2">
        <v>17034.5</v>
      </c>
      <c r="I801" s="2">
        <v>18252.599999999999</v>
      </c>
      <c r="J801" s="2">
        <v>18961.8</v>
      </c>
      <c r="K801" s="2">
        <v>20377.400000000001</v>
      </c>
      <c r="L801" s="2">
        <v>24012.9</v>
      </c>
      <c r="M801" s="2">
        <v>28891</v>
      </c>
      <c r="N801" s="2">
        <v>37235</v>
      </c>
      <c r="O801" s="2">
        <v>46079.88</v>
      </c>
      <c r="P801" s="2">
        <v>55113.36</v>
      </c>
      <c r="Q801" s="2">
        <v>64186.77</v>
      </c>
      <c r="R801" s="2">
        <v>72887.899999999994</v>
      </c>
      <c r="S801" s="2">
        <v>81757.5</v>
      </c>
      <c r="T801" s="2">
        <v>90563.22</v>
      </c>
      <c r="U801" s="2">
        <v>99534.28</v>
      </c>
    </row>
    <row r="802" spans="1:21" x14ac:dyDescent="0.25">
      <c r="A802" t="s">
        <v>900</v>
      </c>
      <c r="B802" s="2">
        <v>7671.2</v>
      </c>
      <c r="C802" s="2">
        <v>8065.4</v>
      </c>
      <c r="D802" s="2">
        <v>8607.4</v>
      </c>
      <c r="E802" s="2">
        <v>8525</v>
      </c>
      <c r="F802" s="2">
        <v>9264.6</v>
      </c>
      <c r="G802" s="2">
        <v>8666.9</v>
      </c>
      <c r="H802" s="2">
        <v>9161.6</v>
      </c>
      <c r="I802" s="2">
        <v>9570.7000000000007</v>
      </c>
      <c r="J802" s="2">
        <v>9976.7000000000007</v>
      </c>
      <c r="K802" s="2">
        <v>10233.4</v>
      </c>
      <c r="L802" s="2">
        <v>11099.3</v>
      </c>
      <c r="M802" s="2">
        <v>11789</v>
      </c>
      <c r="N802" s="2">
        <v>12560</v>
      </c>
      <c r="O802" s="2">
        <v>14640.53</v>
      </c>
      <c r="P802" s="2">
        <v>17283.55</v>
      </c>
      <c r="Q802" s="2">
        <v>20455.79</v>
      </c>
      <c r="R802" s="2">
        <v>24183.9</v>
      </c>
      <c r="S802" s="2">
        <v>28419.54</v>
      </c>
      <c r="T802" s="2">
        <v>33172.5</v>
      </c>
      <c r="U802" s="2">
        <v>38438.65</v>
      </c>
    </row>
    <row r="803" spans="1:21" x14ac:dyDescent="0.25">
      <c r="A803" t="s">
        <v>413</v>
      </c>
      <c r="B803" s="2">
        <v>4331.1000000000004</v>
      </c>
      <c r="C803" s="2">
        <v>4642.3</v>
      </c>
      <c r="D803" s="2">
        <v>9074.7000000000007</v>
      </c>
      <c r="E803" s="2">
        <v>8330.6</v>
      </c>
      <c r="F803" s="2">
        <v>8399.2999999999993</v>
      </c>
      <c r="G803" s="2">
        <v>2434.6</v>
      </c>
      <c r="H803" s="2">
        <v>10297.4</v>
      </c>
      <c r="I803" s="2">
        <v>11216.5</v>
      </c>
      <c r="J803" s="2">
        <v>11583.9</v>
      </c>
      <c r="K803" s="2">
        <v>11279.6</v>
      </c>
      <c r="L803" s="2">
        <v>11846.3</v>
      </c>
      <c r="M803" s="2">
        <v>11937</v>
      </c>
      <c r="N803" s="2">
        <v>12419</v>
      </c>
      <c r="O803" s="2">
        <v>12076.53</v>
      </c>
      <c r="P803" s="2">
        <v>11303.22</v>
      </c>
      <c r="Q803" s="2">
        <v>11255.57</v>
      </c>
      <c r="R803" s="2">
        <v>11181.81</v>
      </c>
      <c r="S803" s="2">
        <v>11354.26</v>
      </c>
      <c r="T803" s="2">
        <v>11947.06</v>
      </c>
      <c r="U803" s="2">
        <v>12324.92</v>
      </c>
    </row>
    <row r="804" spans="1:21" x14ac:dyDescent="0.25">
      <c r="A804" t="s">
        <v>152</v>
      </c>
      <c r="B804" s="2">
        <v>1516.8</v>
      </c>
      <c r="C804" s="2">
        <v>1758.1</v>
      </c>
      <c r="D804" s="2">
        <v>4039.9</v>
      </c>
      <c r="E804" s="2">
        <v>3972.7</v>
      </c>
      <c r="F804" s="2">
        <v>4370.1000000000004</v>
      </c>
      <c r="G804" s="2">
        <v>1366.6</v>
      </c>
      <c r="H804" s="2">
        <v>3679.4</v>
      </c>
      <c r="I804" s="2">
        <v>3766.5</v>
      </c>
      <c r="J804" s="2">
        <v>3892</v>
      </c>
      <c r="K804" s="2">
        <v>4073</v>
      </c>
      <c r="L804" s="2">
        <v>4939.7</v>
      </c>
      <c r="M804" s="2">
        <v>5770</v>
      </c>
      <c r="N804" s="2">
        <v>5898</v>
      </c>
      <c r="O804" s="2">
        <v>8041.64</v>
      </c>
      <c r="P804" s="2">
        <v>8041.64</v>
      </c>
      <c r="Q804" s="2">
        <v>8041.64</v>
      </c>
      <c r="R804" s="2">
        <v>8041.64</v>
      </c>
      <c r="S804" s="2">
        <v>8041.64</v>
      </c>
      <c r="T804" s="2">
        <v>7756</v>
      </c>
      <c r="U804" s="2">
        <v>7756</v>
      </c>
    </row>
    <row r="805" spans="1:21" x14ac:dyDescent="0.25">
      <c r="A805" t="s">
        <v>1609</v>
      </c>
      <c r="B805" s="2">
        <v>2814.3</v>
      </c>
      <c r="C805" s="2">
        <v>2884.2</v>
      </c>
      <c r="D805" s="2">
        <v>5034.8</v>
      </c>
      <c r="E805" s="2">
        <v>4357.8999999999996</v>
      </c>
      <c r="F805" s="2">
        <v>4029.2</v>
      </c>
      <c r="G805" s="2">
        <v>1068</v>
      </c>
      <c r="H805" s="2">
        <v>6618</v>
      </c>
      <c r="I805" s="2">
        <v>7450</v>
      </c>
      <c r="J805" s="2">
        <v>7691.9</v>
      </c>
      <c r="K805" s="2">
        <v>7206.6</v>
      </c>
      <c r="L805" s="2">
        <v>6906.6</v>
      </c>
      <c r="M805" s="2">
        <v>6167</v>
      </c>
      <c r="N805" s="2">
        <v>6521</v>
      </c>
      <c r="O805" s="2">
        <v>9589.23</v>
      </c>
      <c r="P805" s="2">
        <v>9154.6</v>
      </c>
      <c r="Q805" s="2">
        <v>9321.83</v>
      </c>
      <c r="R805" s="2">
        <v>8992.89</v>
      </c>
      <c r="S805" s="2">
        <v>8664.9500000000007</v>
      </c>
      <c r="T805" s="2">
        <v>8355.14</v>
      </c>
      <c r="U805" s="2">
        <v>8044.94</v>
      </c>
    </row>
    <row r="806" spans="1:21" x14ac:dyDescent="0.25">
      <c r="A806" t="s">
        <v>311</v>
      </c>
      <c r="F806" s="2">
        <v>1166.4000000000001</v>
      </c>
      <c r="G806" s="2">
        <v>2613.6999999999998</v>
      </c>
      <c r="H806" s="2">
        <v>2572.6</v>
      </c>
      <c r="I806" s="2">
        <v>2830.4</v>
      </c>
      <c r="J806" s="2">
        <v>2489.3000000000002</v>
      </c>
      <c r="K806" s="2">
        <v>2792.9</v>
      </c>
      <c r="L806" s="2">
        <v>5477.3</v>
      </c>
      <c r="M806" s="2">
        <v>8001</v>
      </c>
      <c r="N806" s="2">
        <v>9959</v>
      </c>
      <c r="O806" s="2">
        <v>13118.17</v>
      </c>
      <c r="P806" s="2">
        <v>13269.68</v>
      </c>
      <c r="Q806" s="2">
        <v>13489.75</v>
      </c>
      <c r="R806" s="2">
        <v>13669.29</v>
      </c>
      <c r="S806" s="2">
        <v>13831.04</v>
      </c>
      <c r="T806" s="2">
        <v>13995.51</v>
      </c>
      <c r="U806" s="2">
        <v>14102.13</v>
      </c>
    </row>
    <row r="807" spans="1:21" x14ac:dyDescent="0.25">
      <c r="A807" t="s">
        <v>154</v>
      </c>
      <c r="B807" s="2">
        <v>2212.5</v>
      </c>
      <c r="C807" s="2">
        <v>1798.6</v>
      </c>
      <c r="D807" s="2">
        <v>2220.5</v>
      </c>
      <c r="E807" s="2">
        <v>1913.8</v>
      </c>
      <c r="F807" s="2">
        <v>1707.9</v>
      </c>
      <c r="G807" s="2">
        <v>1824.9</v>
      </c>
      <c r="H807" s="2">
        <v>2871.2</v>
      </c>
      <c r="I807" s="2">
        <v>3475.4</v>
      </c>
      <c r="J807" s="2">
        <v>4082.7</v>
      </c>
      <c r="K807" s="2">
        <v>4337</v>
      </c>
      <c r="L807" s="2">
        <v>4989.8999999999996</v>
      </c>
      <c r="M807" s="2">
        <v>5718</v>
      </c>
      <c r="N807" s="2">
        <v>6993</v>
      </c>
      <c r="O807" s="2">
        <v>8434.59</v>
      </c>
      <c r="P807" s="2">
        <v>8960.92</v>
      </c>
      <c r="Q807" s="2">
        <v>9508.75</v>
      </c>
      <c r="R807" s="2">
        <v>9946.1200000000008</v>
      </c>
      <c r="S807" s="2">
        <v>10186.33</v>
      </c>
      <c r="T807" s="2">
        <v>10232.459999999999</v>
      </c>
      <c r="U807" s="2">
        <v>10022.94</v>
      </c>
    </row>
    <row r="808" spans="1:21" x14ac:dyDescent="0.25">
      <c r="A808" t="s">
        <v>155</v>
      </c>
      <c r="B808" s="2">
        <v>20795.900000000001</v>
      </c>
      <c r="C808" s="2">
        <v>19892.2</v>
      </c>
      <c r="D808" s="2">
        <v>35568.9</v>
      </c>
      <c r="E808" s="2">
        <v>38805.9</v>
      </c>
      <c r="F808" s="2">
        <v>44981</v>
      </c>
      <c r="G808" s="2">
        <v>43908.4</v>
      </c>
      <c r="H808" s="2">
        <v>39286.1</v>
      </c>
      <c r="I808" s="2">
        <v>46633.1</v>
      </c>
      <c r="J808" s="2">
        <v>48806</v>
      </c>
      <c r="K808" s="2">
        <v>49489.8</v>
      </c>
      <c r="L808" s="2">
        <v>64006.3</v>
      </c>
      <c r="M808" s="2">
        <v>78715</v>
      </c>
      <c r="N808" s="2">
        <v>112476</v>
      </c>
      <c r="O808" s="2">
        <v>140189.82</v>
      </c>
      <c r="P808" s="2">
        <v>173637.51</v>
      </c>
      <c r="Q808" s="2">
        <v>213719.79</v>
      </c>
      <c r="R808" s="2">
        <v>255750.08</v>
      </c>
      <c r="S808" s="2">
        <v>300822.90999999997</v>
      </c>
      <c r="T808" s="2">
        <v>355287.16</v>
      </c>
      <c r="U808" s="2">
        <v>405430.65</v>
      </c>
    </row>
    <row r="809" spans="1:21" x14ac:dyDescent="0.25">
      <c r="A809" t="s">
        <v>17</v>
      </c>
    </row>
    <row r="810" spans="1:21" x14ac:dyDescent="0.25">
      <c r="A810" t="s">
        <v>156</v>
      </c>
    </row>
    <row r="811" spans="1:21" x14ac:dyDescent="0.25">
      <c r="A811" t="s">
        <v>157</v>
      </c>
      <c r="B811" s="2">
        <v>8123.8</v>
      </c>
      <c r="C811" s="2">
        <v>9741</v>
      </c>
      <c r="D811" s="2">
        <v>8229.6</v>
      </c>
      <c r="E811" s="2">
        <v>10986.6</v>
      </c>
      <c r="F811" s="2">
        <v>14535.9</v>
      </c>
      <c r="G811" s="2">
        <v>11888.1</v>
      </c>
      <c r="H811" s="2">
        <v>11775.2</v>
      </c>
      <c r="I811" s="2">
        <v>12481.6</v>
      </c>
      <c r="J811" s="2">
        <v>15052.7</v>
      </c>
      <c r="K811" s="2">
        <v>17138.2</v>
      </c>
      <c r="L811" s="2">
        <v>27293.200000000001</v>
      </c>
      <c r="M811" s="2">
        <v>28376</v>
      </c>
      <c r="N811" s="2">
        <v>35228</v>
      </c>
      <c r="O811" s="2">
        <v>45750.879999999997</v>
      </c>
      <c r="P811" s="2">
        <v>49028.49</v>
      </c>
      <c r="Q811" s="2">
        <v>51726.82</v>
      </c>
      <c r="R811" s="2">
        <v>54724.69</v>
      </c>
      <c r="S811" s="2">
        <v>56317.9</v>
      </c>
      <c r="T811" s="2">
        <v>61543.64</v>
      </c>
      <c r="U811" s="2">
        <v>63109.54</v>
      </c>
    </row>
    <row r="812" spans="1:21" x14ac:dyDescent="0.25">
      <c r="A812" t="s">
        <v>158</v>
      </c>
      <c r="B812" s="2">
        <v>1119.3</v>
      </c>
      <c r="C812" s="2">
        <v>1128.0999999999999</v>
      </c>
      <c r="D812" s="2">
        <v>1338.2</v>
      </c>
      <c r="E812" s="2">
        <v>1349.3</v>
      </c>
      <c r="F812" s="2">
        <v>1410.7</v>
      </c>
      <c r="G812" s="2">
        <v>1207.0999999999999</v>
      </c>
      <c r="H812" s="2">
        <v>1405.3</v>
      </c>
      <c r="I812" s="2">
        <v>1606.7</v>
      </c>
      <c r="J812" s="2">
        <v>1670.6</v>
      </c>
      <c r="K812" s="2">
        <v>1930.6</v>
      </c>
      <c r="L812" s="2">
        <v>2598.8000000000002</v>
      </c>
      <c r="M812" s="2">
        <v>3229</v>
      </c>
      <c r="N812" s="2">
        <v>5379</v>
      </c>
      <c r="O812" s="2">
        <v>6013.96</v>
      </c>
      <c r="P812" s="2">
        <v>6861.98</v>
      </c>
      <c r="Q812" s="2">
        <v>7610.27</v>
      </c>
      <c r="R812" s="2">
        <v>8081.64</v>
      </c>
      <c r="S812" s="2">
        <v>8540.1200000000008</v>
      </c>
      <c r="T812" s="2">
        <v>8807.77</v>
      </c>
      <c r="U812" s="2">
        <v>9006.7800000000007</v>
      </c>
    </row>
    <row r="813" spans="1:21" x14ac:dyDescent="0.25">
      <c r="A813" t="s">
        <v>313</v>
      </c>
      <c r="B813" s="2">
        <v>1012.6</v>
      </c>
      <c r="C813" s="2">
        <v>2688.7</v>
      </c>
      <c r="D813">
        <v>6.1</v>
      </c>
      <c r="E813" s="2">
        <v>1937.4</v>
      </c>
      <c r="F813" s="2">
        <v>3706.6</v>
      </c>
      <c r="G813" s="2">
        <v>1102.2</v>
      </c>
      <c r="H813" s="2">
        <v>1499.3</v>
      </c>
      <c r="I813">
        <v>8.6999999999999993</v>
      </c>
      <c r="J813" s="2">
        <v>1538.3</v>
      </c>
      <c r="K813" s="2">
        <v>1501.1</v>
      </c>
      <c r="L813" s="2">
        <v>6904.5</v>
      </c>
      <c r="M813" s="2">
        <v>5117</v>
      </c>
      <c r="N813" s="2">
        <v>1635</v>
      </c>
      <c r="O813" s="2">
        <v>2705.22</v>
      </c>
      <c r="P813" s="2">
        <v>2826.07</v>
      </c>
      <c r="Q813" s="2">
        <v>3078.91</v>
      </c>
      <c r="R813" s="2">
        <v>3112.13</v>
      </c>
      <c r="S813" s="2">
        <v>3011.55</v>
      </c>
      <c r="T813" s="2">
        <v>3440</v>
      </c>
      <c r="U813" s="2">
        <v>3300.25</v>
      </c>
    </row>
    <row r="814" spans="1:21" x14ac:dyDescent="0.25">
      <c r="A814" t="s">
        <v>3778</v>
      </c>
      <c r="B814">
        <v>943.9</v>
      </c>
      <c r="C814">
        <v>759</v>
      </c>
      <c r="D814">
        <v>967</v>
      </c>
      <c r="E814">
        <v>896.9</v>
      </c>
      <c r="F814">
        <v>997.9</v>
      </c>
      <c r="G814">
        <v>955.6</v>
      </c>
      <c r="H814">
        <v>915.5</v>
      </c>
      <c r="I814">
        <v>997.2</v>
      </c>
      <c r="J814">
        <v>958.1</v>
      </c>
      <c r="K814" s="2">
        <v>1059.8</v>
      </c>
      <c r="L814" s="2">
        <v>1650.4</v>
      </c>
      <c r="M814" s="2">
        <v>2094</v>
      </c>
      <c r="N814" s="2">
        <v>2375</v>
      </c>
      <c r="O814" s="2">
        <v>2572.14</v>
      </c>
      <c r="P814" s="2">
        <v>2833.41</v>
      </c>
      <c r="Q814" s="2">
        <v>2960.1</v>
      </c>
      <c r="R814" s="2">
        <v>3093.85</v>
      </c>
      <c r="S814" s="2">
        <v>3199.66</v>
      </c>
      <c r="T814" s="2">
        <v>3261.22</v>
      </c>
      <c r="U814" s="2">
        <v>3281.62</v>
      </c>
    </row>
    <row r="815" spans="1:21" x14ac:dyDescent="0.25">
      <c r="A815" t="s">
        <v>3779</v>
      </c>
      <c r="B815">
        <v>523.5</v>
      </c>
      <c r="C815">
        <v>530.29999999999995</v>
      </c>
      <c r="D815">
        <v>539</v>
      </c>
      <c r="E815">
        <v>548.1</v>
      </c>
      <c r="F815">
        <v>590.6</v>
      </c>
      <c r="G815">
        <v>650.79999999999995</v>
      </c>
      <c r="H815">
        <v>671.5</v>
      </c>
      <c r="I815">
        <v>770.6</v>
      </c>
      <c r="J815">
        <v>885.5</v>
      </c>
      <c r="K815" s="2">
        <v>1017.2</v>
      </c>
      <c r="L815" s="2">
        <v>1169.2</v>
      </c>
      <c r="M815">
        <v>0</v>
      </c>
      <c r="N815">
        <v>0</v>
      </c>
      <c r="O815" s="2">
        <v>1346.3</v>
      </c>
      <c r="P815" s="2">
        <v>1346.3</v>
      </c>
      <c r="Q815" s="2">
        <v>1346.3</v>
      </c>
      <c r="R815" s="2">
        <v>1346.3</v>
      </c>
      <c r="S815" s="2">
        <v>1346.3</v>
      </c>
      <c r="T815" s="2">
        <v>1346.3</v>
      </c>
      <c r="U815" s="2">
        <v>1346.3</v>
      </c>
    </row>
    <row r="816" spans="1:21" x14ac:dyDescent="0.25">
      <c r="A816" t="s">
        <v>499</v>
      </c>
      <c r="B816" s="2">
        <v>1047.2</v>
      </c>
      <c r="C816">
        <v>93.5</v>
      </c>
      <c r="D816">
        <v>358.9</v>
      </c>
      <c r="E816">
        <v>119.1</v>
      </c>
      <c r="F816">
        <v>532.9</v>
      </c>
      <c r="G816">
        <v>393.4</v>
      </c>
      <c r="H816">
        <v>160.6</v>
      </c>
      <c r="I816">
        <v>495.1</v>
      </c>
      <c r="J816">
        <v>126.9</v>
      </c>
      <c r="K816">
        <v>475.1</v>
      </c>
      <c r="O816">
        <v>475.1</v>
      </c>
      <c r="P816">
        <v>475.1</v>
      </c>
      <c r="Q816">
        <v>475.1</v>
      </c>
      <c r="R816">
        <v>475.1</v>
      </c>
      <c r="S816">
        <v>475.1</v>
      </c>
      <c r="T816">
        <v>475.1</v>
      </c>
      <c r="U816">
        <v>475.1</v>
      </c>
    </row>
    <row r="817" spans="1:21" x14ac:dyDescent="0.25">
      <c r="A817" t="s">
        <v>78</v>
      </c>
      <c r="B817" s="2">
        <v>6784.7</v>
      </c>
      <c r="C817" s="2">
        <v>5924.2</v>
      </c>
      <c r="D817" s="2">
        <v>6885.3</v>
      </c>
      <c r="E817" s="2">
        <v>7699.9</v>
      </c>
      <c r="F817" s="2">
        <v>9418.6</v>
      </c>
      <c r="G817" s="2">
        <v>9578.7999999999993</v>
      </c>
      <c r="H817" s="2">
        <v>8870.6</v>
      </c>
      <c r="I817" s="2">
        <v>10866.2</v>
      </c>
      <c r="J817" s="2">
        <v>11843.8</v>
      </c>
      <c r="K817" s="2">
        <v>13706.5</v>
      </c>
      <c r="L817" s="2">
        <v>17789.900000000001</v>
      </c>
      <c r="M817" s="2">
        <v>19854</v>
      </c>
      <c r="N817" s="2">
        <v>27992</v>
      </c>
      <c r="O817" s="2">
        <v>29174.25</v>
      </c>
      <c r="P817" s="2">
        <v>30747.75</v>
      </c>
      <c r="Q817" s="2">
        <v>30226.86</v>
      </c>
      <c r="R817" s="2">
        <v>26280</v>
      </c>
      <c r="S817" s="2">
        <v>25556.67</v>
      </c>
      <c r="T817" s="2">
        <v>29653</v>
      </c>
      <c r="U817" s="2">
        <v>29653</v>
      </c>
    </row>
    <row r="818" spans="1:21" x14ac:dyDescent="0.25">
      <c r="A818" t="s">
        <v>164</v>
      </c>
      <c r="B818" s="2">
        <v>8691.4</v>
      </c>
      <c r="C818" s="2">
        <v>11178.5</v>
      </c>
      <c r="D818" s="2">
        <v>12749</v>
      </c>
      <c r="E818" s="2">
        <v>13738.8</v>
      </c>
      <c r="F818" s="2">
        <v>18777.2</v>
      </c>
      <c r="G818" s="2">
        <v>21111.200000000001</v>
      </c>
      <c r="H818" s="2">
        <v>24811.8</v>
      </c>
      <c r="I818" s="2">
        <v>28326.3</v>
      </c>
      <c r="J818" s="2">
        <v>24598.5</v>
      </c>
      <c r="K818" s="2">
        <v>21576.2</v>
      </c>
      <c r="L818" s="2">
        <v>25849.4</v>
      </c>
      <c r="M818" s="2">
        <v>36067</v>
      </c>
      <c r="N818" s="2">
        <v>50713</v>
      </c>
      <c r="O818" s="2">
        <v>53071.7</v>
      </c>
      <c r="P818" s="2">
        <v>52509.22</v>
      </c>
      <c r="Q818" s="2">
        <v>53557.599999999999</v>
      </c>
      <c r="R818" s="2">
        <v>53261.01</v>
      </c>
      <c r="S818" s="2">
        <v>52964.43</v>
      </c>
      <c r="T818" s="2">
        <v>55279.45</v>
      </c>
      <c r="U818" s="2">
        <v>55446.12</v>
      </c>
    </row>
    <row r="819" spans="1:21" x14ac:dyDescent="0.25">
      <c r="A819" t="s">
        <v>315</v>
      </c>
      <c r="B819" s="2">
        <v>4200.3</v>
      </c>
      <c r="C819" s="2">
        <v>5332.8</v>
      </c>
      <c r="D819" s="2">
        <v>7972.4</v>
      </c>
      <c r="E819" s="2">
        <v>8367.7999999999993</v>
      </c>
      <c r="F819" s="2">
        <v>9940.5</v>
      </c>
      <c r="G819" s="2">
        <v>9196.4</v>
      </c>
      <c r="H819" s="2">
        <v>13817.9</v>
      </c>
      <c r="I819" s="2">
        <v>16586.599999999999</v>
      </c>
      <c r="J819" s="2">
        <v>15346.4</v>
      </c>
      <c r="K819" s="2">
        <v>14737.5</v>
      </c>
      <c r="L819" s="2">
        <v>18320.8</v>
      </c>
      <c r="M819" s="2">
        <v>29498</v>
      </c>
      <c r="N819" s="2">
        <v>42008</v>
      </c>
      <c r="O819" s="2">
        <v>41572.370000000003</v>
      </c>
      <c r="P819" s="2">
        <v>41407.82</v>
      </c>
      <c r="Q819" s="2">
        <v>41475.26</v>
      </c>
      <c r="R819" s="2">
        <v>40996.82</v>
      </c>
      <c r="S819" s="2">
        <v>40731.599999999999</v>
      </c>
      <c r="T819" s="2">
        <v>41750.28</v>
      </c>
      <c r="U819" s="2">
        <v>41702.339999999997</v>
      </c>
    </row>
    <row r="820" spans="1:21" x14ac:dyDescent="0.25">
      <c r="A820" t="s">
        <v>78</v>
      </c>
      <c r="B820" s="2">
        <v>4491.1000000000004</v>
      </c>
      <c r="C820" s="2">
        <v>5845.7</v>
      </c>
      <c r="D820" s="2">
        <v>4776.6000000000004</v>
      </c>
      <c r="E820" s="2">
        <v>5371</v>
      </c>
      <c r="F820" s="2">
        <v>8836.7000000000007</v>
      </c>
      <c r="G820" s="2">
        <v>11914.8</v>
      </c>
      <c r="H820" s="2">
        <v>10993.9</v>
      </c>
      <c r="I820" s="2">
        <v>11739.7</v>
      </c>
      <c r="J820" s="2">
        <v>9252.1</v>
      </c>
      <c r="K820" s="2">
        <v>6838.7</v>
      </c>
      <c r="L820" s="2">
        <v>7528.6</v>
      </c>
      <c r="M820" s="2">
        <v>6569</v>
      </c>
      <c r="N820" s="2">
        <v>8705</v>
      </c>
      <c r="O820" s="2">
        <v>9845.6299999999992</v>
      </c>
      <c r="P820" s="2">
        <v>9845.6299999999992</v>
      </c>
      <c r="Q820" s="2">
        <v>9845.6299999999992</v>
      </c>
      <c r="R820" s="2">
        <v>9845.83</v>
      </c>
      <c r="S820" s="2">
        <v>9845.83</v>
      </c>
      <c r="T820" s="2">
        <v>9846.25</v>
      </c>
      <c r="U820" s="2">
        <v>9846.25</v>
      </c>
    </row>
    <row r="821" spans="1:21" x14ac:dyDescent="0.25">
      <c r="A821" t="s">
        <v>3780</v>
      </c>
      <c r="B821" s="2">
        <v>1549.4</v>
      </c>
      <c r="C821" s="2">
        <v>2562.9</v>
      </c>
      <c r="D821" s="2">
        <v>2160.3000000000002</v>
      </c>
      <c r="E821" s="2">
        <v>2453.9</v>
      </c>
      <c r="F821" s="2">
        <v>3513.9</v>
      </c>
      <c r="G821" s="2">
        <v>2802.2</v>
      </c>
      <c r="H821" s="2">
        <v>3698.2</v>
      </c>
      <c r="I821" s="2">
        <v>4094.5</v>
      </c>
      <c r="J821" s="2">
        <v>1954.1</v>
      </c>
      <c r="K821" s="2">
        <v>1305.0999999999999</v>
      </c>
      <c r="L821" s="2">
        <v>1438.8</v>
      </c>
      <c r="M821">
        <v>0</v>
      </c>
      <c r="N821">
        <v>0</v>
      </c>
      <c r="O821" s="2">
        <v>2635.5</v>
      </c>
      <c r="P821" s="2">
        <v>2635.5</v>
      </c>
      <c r="Q821" s="2">
        <v>2635.5</v>
      </c>
      <c r="R821" s="2">
        <v>2635.5</v>
      </c>
      <c r="S821" s="2">
        <v>2635.5</v>
      </c>
      <c r="T821" s="2">
        <v>2635.5</v>
      </c>
      <c r="U821" s="2">
        <v>2635.5</v>
      </c>
    </row>
    <row r="822" spans="1:21" x14ac:dyDescent="0.25">
      <c r="A822" t="s">
        <v>3781</v>
      </c>
      <c r="D822">
        <v>868.9</v>
      </c>
      <c r="E822">
        <v>688.9</v>
      </c>
      <c r="F822" s="2">
        <v>3776.5</v>
      </c>
      <c r="G822" s="2">
        <v>3700</v>
      </c>
      <c r="H822" s="2">
        <v>3607.2</v>
      </c>
      <c r="I822" s="2">
        <v>3837.8</v>
      </c>
      <c r="J822" s="2">
        <v>3920</v>
      </c>
      <c r="K822" s="2">
        <v>3709.6</v>
      </c>
      <c r="L822" s="2">
        <v>3849.2</v>
      </c>
      <c r="M822" s="2">
        <v>4061</v>
      </c>
      <c r="N822" s="2">
        <v>5875</v>
      </c>
      <c r="O822" s="2">
        <v>6374.1</v>
      </c>
      <c r="P822" s="2">
        <v>6811.96</v>
      </c>
      <c r="Q822" s="2">
        <v>7113.17</v>
      </c>
      <c r="R822" s="2">
        <v>7405.9</v>
      </c>
      <c r="S822" s="2">
        <v>7646.91</v>
      </c>
      <c r="T822" s="2">
        <v>7820.82</v>
      </c>
      <c r="U822" s="2">
        <v>7903.4</v>
      </c>
    </row>
    <row r="823" spans="1:21" x14ac:dyDescent="0.25">
      <c r="A823" t="s">
        <v>1138</v>
      </c>
      <c r="B823" s="2">
        <v>1078.7</v>
      </c>
      <c r="C823">
        <v>998.5</v>
      </c>
      <c r="D823">
        <v>868.9</v>
      </c>
      <c r="E823">
        <v>0</v>
      </c>
      <c r="F823">
        <v>0</v>
      </c>
      <c r="G823" s="2">
        <v>1312.7</v>
      </c>
      <c r="H823" s="2">
        <v>2187.5</v>
      </c>
      <c r="I823" s="2">
        <v>2099.9</v>
      </c>
      <c r="J823" s="2">
        <v>1733.7</v>
      </c>
      <c r="K823">
        <v>87.3</v>
      </c>
      <c r="L823">
        <v>0</v>
      </c>
      <c r="M823">
        <v>0</v>
      </c>
      <c r="N823">
        <v>0</v>
      </c>
      <c r="O823">
        <v>87.3</v>
      </c>
      <c r="P823">
        <v>87.3</v>
      </c>
      <c r="Q823">
        <v>87.3</v>
      </c>
      <c r="R823">
        <v>87.3</v>
      </c>
      <c r="S823">
        <v>87.3</v>
      </c>
      <c r="T823">
        <v>87.3</v>
      </c>
      <c r="U823">
        <v>87.3</v>
      </c>
    </row>
    <row r="824" spans="1:21" x14ac:dyDescent="0.25">
      <c r="A824" t="s">
        <v>3782</v>
      </c>
      <c r="B824" s="2">
        <v>1863</v>
      </c>
      <c r="C824" s="2">
        <v>2284.3000000000002</v>
      </c>
      <c r="D824" s="2">
        <v>1747.4</v>
      </c>
      <c r="E824" s="2">
        <v>2228.1999999999998</v>
      </c>
      <c r="F824" s="2">
        <v>1546.3</v>
      </c>
      <c r="G824" s="2">
        <v>1357.6</v>
      </c>
      <c r="H824" s="2">
        <v>1501</v>
      </c>
      <c r="I824" s="2">
        <v>1707.5</v>
      </c>
      <c r="J824" s="2">
        <v>1644.3</v>
      </c>
      <c r="K824" s="2">
        <v>1736.7</v>
      </c>
      <c r="L824" s="2">
        <v>2240.6</v>
      </c>
      <c r="M824" s="2">
        <v>3479</v>
      </c>
      <c r="N824" s="2">
        <v>3970</v>
      </c>
      <c r="O824" s="2">
        <v>4978.68</v>
      </c>
      <c r="P824" s="2">
        <v>5036.92</v>
      </c>
      <c r="Q824" s="2">
        <v>5178.84</v>
      </c>
      <c r="R824" s="2">
        <v>5294.62</v>
      </c>
      <c r="S824" s="2">
        <v>5398.93</v>
      </c>
      <c r="T824" s="2">
        <v>5504.99</v>
      </c>
      <c r="U824" s="2">
        <v>5573.75</v>
      </c>
    </row>
    <row r="825" spans="1:21" x14ac:dyDescent="0.25">
      <c r="A825" t="s">
        <v>167</v>
      </c>
      <c r="B825" s="2">
        <v>17608</v>
      </c>
      <c r="C825" s="2">
        <v>20919.5</v>
      </c>
      <c r="D825" s="2">
        <v>20978.6</v>
      </c>
      <c r="E825" s="2">
        <v>24725.4</v>
      </c>
      <c r="F825" s="2">
        <v>33313.1</v>
      </c>
      <c r="G825" s="2">
        <v>32999.300000000003</v>
      </c>
      <c r="H825" s="2">
        <v>36587</v>
      </c>
      <c r="I825" s="2">
        <v>40807.9</v>
      </c>
      <c r="J825" s="2">
        <v>39651.199999999997</v>
      </c>
      <c r="K825" s="2">
        <v>38714.400000000001</v>
      </c>
      <c r="L825" s="2">
        <v>53142.6</v>
      </c>
      <c r="M825" s="2">
        <v>64443</v>
      </c>
      <c r="N825" s="2">
        <v>85941</v>
      </c>
      <c r="O825" s="2">
        <v>98995.56</v>
      </c>
      <c r="P825" s="2">
        <v>101775.54</v>
      </c>
      <c r="Q825" s="2">
        <v>104772.01</v>
      </c>
      <c r="R825" s="2">
        <v>106932.67</v>
      </c>
      <c r="S825" s="2">
        <v>107962.94</v>
      </c>
      <c r="T825" s="2">
        <v>117151.26</v>
      </c>
      <c r="U825" s="2">
        <v>118259.62</v>
      </c>
    </row>
    <row r="826" spans="1:21" x14ac:dyDescent="0.25">
      <c r="A826" t="s">
        <v>170</v>
      </c>
      <c r="B826" s="2">
        <v>17640.7</v>
      </c>
      <c r="C826" s="2">
        <v>15388.1</v>
      </c>
      <c r="D826" s="2">
        <v>14590.3</v>
      </c>
      <c r="E826" s="2">
        <v>14080.5</v>
      </c>
      <c r="F826" s="2">
        <v>11667.9</v>
      </c>
      <c r="G826" s="2">
        <v>10909.1</v>
      </c>
      <c r="H826" s="2">
        <v>2699.1</v>
      </c>
      <c r="I826" s="2">
        <v>5825.2</v>
      </c>
      <c r="J826" s="2">
        <v>9154.7999999999993</v>
      </c>
      <c r="K826" s="2">
        <v>10775.4</v>
      </c>
      <c r="L826" s="2">
        <v>10863.7</v>
      </c>
      <c r="M826" s="2">
        <v>14272</v>
      </c>
      <c r="N826" s="2">
        <v>26535</v>
      </c>
      <c r="O826" s="2">
        <v>48575.06</v>
      </c>
      <c r="P826" s="2">
        <v>79549.320000000007</v>
      </c>
      <c r="Q826" s="2">
        <v>115977.97</v>
      </c>
      <c r="R826" s="2">
        <v>150013.97</v>
      </c>
      <c r="S826" s="2">
        <v>193875.33</v>
      </c>
      <c r="T826" s="2">
        <v>241998.75</v>
      </c>
      <c r="U826" s="2">
        <v>292042.03000000003</v>
      </c>
    </row>
    <row r="827" spans="1:21" x14ac:dyDescent="0.25">
      <c r="A827" t="s">
        <v>3783</v>
      </c>
      <c r="B827" s="2">
        <v>17631.400000000001</v>
      </c>
      <c r="C827" s="2">
        <v>15373.2</v>
      </c>
      <c r="D827" s="2">
        <v>14571.3</v>
      </c>
      <c r="E827" s="2">
        <v>14007.7</v>
      </c>
      <c r="F827" s="2">
        <v>11592.2</v>
      </c>
      <c r="G827" s="2">
        <v>9828.7000000000007</v>
      </c>
      <c r="H827" s="2">
        <v>2606.9</v>
      </c>
      <c r="I827" s="2">
        <v>5641.6</v>
      </c>
      <c r="J827" s="2">
        <v>8979.2000000000007</v>
      </c>
      <c r="K827" s="2">
        <v>10649.8</v>
      </c>
      <c r="L827" s="2">
        <v>10771.9</v>
      </c>
      <c r="M827" s="2">
        <v>14272</v>
      </c>
      <c r="N827" s="2">
        <v>26535</v>
      </c>
      <c r="O827" s="2">
        <v>47048.97</v>
      </c>
      <c r="P827" s="2">
        <v>76915.350000000006</v>
      </c>
      <c r="Q827" s="2">
        <v>111736.3</v>
      </c>
      <c r="R827" s="2">
        <v>149836.15</v>
      </c>
      <c r="S827" s="2">
        <v>190996.73</v>
      </c>
      <c r="T827" s="2">
        <v>239832.11</v>
      </c>
      <c r="U827" s="2">
        <v>285171.44</v>
      </c>
    </row>
    <row r="828" spans="1:21" x14ac:dyDescent="0.25">
      <c r="A828" t="s">
        <v>2121</v>
      </c>
      <c r="B828">
        <v>698.5</v>
      </c>
      <c r="C828">
        <v>694.6</v>
      </c>
      <c r="D828">
        <v>691.3</v>
      </c>
      <c r="E828">
        <v>688.5</v>
      </c>
      <c r="F828">
        <v>687.9</v>
      </c>
      <c r="G828">
        <v>661</v>
      </c>
      <c r="H828">
        <v>598.79999999999995</v>
      </c>
      <c r="I828">
        <v>598.20000000000005</v>
      </c>
      <c r="J828">
        <v>596.29999999999995</v>
      </c>
      <c r="K828">
        <v>594.1</v>
      </c>
      <c r="L828">
        <v>593.6</v>
      </c>
      <c r="M828">
        <v>592</v>
      </c>
      <c r="N828">
        <v>590</v>
      </c>
      <c r="O828">
        <v>589.57000000000005</v>
      </c>
      <c r="P828">
        <v>589.57000000000005</v>
      </c>
      <c r="Q828">
        <v>589.57000000000005</v>
      </c>
      <c r="R828">
        <v>589.53</v>
      </c>
      <c r="S828">
        <v>589.53</v>
      </c>
      <c r="T828">
        <v>589.53</v>
      </c>
      <c r="U828">
        <v>589.53</v>
      </c>
    </row>
    <row r="829" spans="1:21" x14ac:dyDescent="0.25">
      <c r="A829" t="s">
        <v>2411</v>
      </c>
      <c r="B829" s="2">
        <v>5050</v>
      </c>
      <c r="C829" s="2">
        <v>5292.3</v>
      </c>
      <c r="D829" s="2">
        <v>5552.1</v>
      </c>
      <c r="E829" s="2">
        <v>5640.6</v>
      </c>
      <c r="F829" s="2">
        <v>5817.8</v>
      </c>
      <c r="G829" s="2">
        <v>6583.6</v>
      </c>
      <c r="H829" s="2">
        <v>6685.3</v>
      </c>
      <c r="I829" s="2">
        <v>6778.5</v>
      </c>
      <c r="J829" s="2">
        <v>6833.4</v>
      </c>
      <c r="K829" s="2">
        <v>6921.4</v>
      </c>
      <c r="L829" s="2">
        <v>7250.4</v>
      </c>
      <c r="M829" s="2">
        <v>7439</v>
      </c>
      <c r="N829" s="2">
        <v>7346</v>
      </c>
      <c r="O829" s="2">
        <v>5393.74</v>
      </c>
      <c r="P829" s="2">
        <v>3844.65</v>
      </c>
      <c r="Q829" s="2">
        <v>2234.16</v>
      </c>
      <c r="R829">
        <v>93.43</v>
      </c>
      <c r="S829" s="2">
        <v>-2437</v>
      </c>
      <c r="T829" s="2">
        <v>-5284.84</v>
      </c>
      <c r="U829" s="2">
        <v>-9503.65</v>
      </c>
    </row>
    <row r="830" spans="1:21" x14ac:dyDescent="0.25">
      <c r="A830" t="s">
        <v>2123</v>
      </c>
      <c r="B830" s="2">
        <v>16992.400000000001</v>
      </c>
      <c r="C830" s="2">
        <v>16482.7</v>
      </c>
      <c r="D830" s="2">
        <v>16011.8</v>
      </c>
      <c r="E830" s="2">
        <v>16046.3</v>
      </c>
      <c r="F830" s="2">
        <v>13894.1</v>
      </c>
      <c r="G830" s="2">
        <v>11395.9</v>
      </c>
      <c r="H830" s="2">
        <v>4920.3999999999996</v>
      </c>
      <c r="I830" s="2">
        <v>7830.2</v>
      </c>
      <c r="J830" s="2">
        <v>8958.5</v>
      </c>
      <c r="K830" s="2">
        <v>10042.6</v>
      </c>
      <c r="L830" s="2">
        <v>10312.299999999999</v>
      </c>
      <c r="M830" s="2">
        <v>13545</v>
      </c>
      <c r="N830" s="2">
        <v>24470</v>
      </c>
      <c r="O830" s="2">
        <v>48973.13</v>
      </c>
      <c r="P830" s="2">
        <v>83713.460000000006</v>
      </c>
      <c r="Q830" s="2">
        <v>123975.83</v>
      </c>
      <c r="R830" s="2">
        <v>169234.28</v>
      </c>
      <c r="S830" s="2">
        <v>218358.24</v>
      </c>
      <c r="T830" s="2">
        <v>270611.40000000002</v>
      </c>
      <c r="U830" s="2">
        <v>324143.23</v>
      </c>
    </row>
    <row r="831" spans="1:21" x14ac:dyDescent="0.25">
      <c r="A831" t="s">
        <v>3784</v>
      </c>
      <c r="B831" s="2">
        <v>-3013.2</v>
      </c>
      <c r="C831" s="2">
        <v>-3013.2</v>
      </c>
      <c r="D831" s="2">
        <v>-3013.2</v>
      </c>
      <c r="E831" s="2">
        <v>-3013.2</v>
      </c>
      <c r="F831" s="2">
        <v>-3013.2</v>
      </c>
      <c r="G831" s="2">
        <v>-3013.2</v>
      </c>
      <c r="H831" s="2">
        <v>-3013.2</v>
      </c>
      <c r="I831" s="2">
        <v>-3013.2</v>
      </c>
      <c r="J831" s="2">
        <v>-3013.2</v>
      </c>
      <c r="K831" s="2">
        <v>-3013.2</v>
      </c>
      <c r="L831" s="2">
        <v>-3013.2</v>
      </c>
      <c r="M831" s="2">
        <v>-2982</v>
      </c>
      <c r="N831" s="2">
        <v>-2991</v>
      </c>
      <c r="O831" s="2">
        <v>-3013.03</v>
      </c>
      <c r="P831" s="2">
        <v>-3013.03</v>
      </c>
      <c r="Q831" s="2">
        <v>-3013.03</v>
      </c>
      <c r="R831" s="2">
        <v>-3013.03</v>
      </c>
      <c r="S831" s="2">
        <v>-3013.03</v>
      </c>
      <c r="T831" s="2">
        <v>-3013.03</v>
      </c>
      <c r="U831" s="2">
        <v>-3013.03</v>
      </c>
    </row>
    <row r="832" spans="1:21" x14ac:dyDescent="0.25">
      <c r="A832" t="s">
        <v>3785</v>
      </c>
      <c r="B832">
        <v>93.6</v>
      </c>
      <c r="C832">
        <v>91.4</v>
      </c>
      <c r="D832">
        <v>90</v>
      </c>
      <c r="E832">
        <v>80.5</v>
      </c>
      <c r="F832">
        <v>75.8</v>
      </c>
      <c r="G832">
        <v>69.400000000000006</v>
      </c>
      <c r="H832">
        <v>60.8</v>
      </c>
      <c r="I832">
        <v>55.7</v>
      </c>
      <c r="J832">
        <v>52.7</v>
      </c>
      <c r="K832">
        <v>50.5</v>
      </c>
      <c r="L832">
        <v>44.2</v>
      </c>
      <c r="M832">
        <v>0</v>
      </c>
      <c r="N832">
        <v>0</v>
      </c>
      <c r="O832" s="2">
        <v>1519.25</v>
      </c>
      <c r="P832" s="2">
        <v>3394.25</v>
      </c>
      <c r="Q832" s="2">
        <v>5394.25</v>
      </c>
      <c r="R832" s="2">
        <v>7519.25</v>
      </c>
      <c r="S832" s="2">
        <v>9769.25</v>
      </c>
      <c r="T832" s="2">
        <v>12144.25</v>
      </c>
      <c r="U832" s="2">
        <v>14644.25</v>
      </c>
    </row>
    <row r="833" spans="1:21" x14ac:dyDescent="0.25">
      <c r="A833" t="s">
        <v>2526</v>
      </c>
      <c r="B833" s="2">
        <v>-2002.7</v>
      </c>
      <c r="C833" s="2">
        <v>-3991.8</v>
      </c>
      <c r="D833" s="2">
        <v>-4580.7</v>
      </c>
      <c r="E833" s="2">
        <v>-5274</v>
      </c>
      <c r="F833" s="2">
        <v>-5718.6</v>
      </c>
      <c r="G833" s="2">
        <v>-5729.2</v>
      </c>
      <c r="H833" s="2">
        <v>-6523.6</v>
      </c>
      <c r="I833" s="2">
        <v>-6496.4</v>
      </c>
      <c r="J833" s="2">
        <v>-4343.1000000000004</v>
      </c>
      <c r="K833" s="2">
        <v>-3844.6</v>
      </c>
      <c r="L833" s="2">
        <v>-4327</v>
      </c>
      <c r="M833" s="2">
        <v>-4322</v>
      </c>
      <c r="N833" s="2">
        <v>-2880</v>
      </c>
      <c r="O833" s="2">
        <v>-2842.86</v>
      </c>
      <c r="P833" s="2">
        <v>-2842.86</v>
      </c>
      <c r="Q833" s="2">
        <v>-2842.86</v>
      </c>
      <c r="R833" s="2">
        <v>-2842.86</v>
      </c>
      <c r="S833" s="2">
        <v>-2842.86</v>
      </c>
      <c r="T833" s="2">
        <v>-2842.86</v>
      </c>
      <c r="U833" s="2">
        <v>-2842.86</v>
      </c>
    </row>
    <row r="834" spans="1:21" x14ac:dyDescent="0.25">
      <c r="A834" t="s">
        <v>1235</v>
      </c>
      <c r="B834">
        <v>9.3000000000000007</v>
      </c>
      <c r="C834">
        <v>14.9</v>
      </c>
      <c r="D834">
        <v>19</v>
      </c>
      <c r="E834">
        <v>72.8</v>
      </c>
      <c r="F834">
        <v>75.7</v>
      </c>
      <c r="G834" s="2">
        <v>1080.4000000000001</v>
      </c>
      <c r="H834">
        <v>92.2</v>
      </c>
      <c r="I834">
        <v>183.6</v>
      </c>
      <c r="J834">
        <v>175.6</v>
      </c>
      <c r="K834">
        <v>125.6</v>
      </c>
      <c r="L834">
        <v>91.8</v>
      </c>
      <c r="M834">
        <v>0</v>
      </c>
      <c r="N834">
        <v>0</v>
      </c>
      <c r="O834">
        <v>41.14</v>
      </c>
      <c r="P834">
        <v>41.14</v>
      </c>
      <c r="Q834">
        <v>51.43</v>
      </c>
      <c r="R834">
        <v>51.43</v>
      </c>
      <c r="S834">
        <v>51.43</v>
      </c>
      <c r="T834">
        <v>68.569999999999993</v>
      </c>
      <c r="U834">
        <v>68.569999999999993</v>
      </c>
    </row>
    <row r="835" spans="1:21" x14ac:dyDescent="0.25">
      <c r="A835" t="s">
        <v>326</v>
      </c>
      <c r="B835" s="2">
        <v>20795.900000000001</v>
      </c>
      <c r="C835" s="2">
        <v>19892.2</v>
      </c>
      <c r="D835" s="2">
        <v>35568.9</v>
      </c>
      <c r="E835" s="2">
        <v>38805.9</v>
      </c>
      <c r="F835" s="2">
        <v>44981</v>
      </c>
      <c r="G835" s="2">
        <v>43908.4</v>
      </c>
      <c r="H835" s="2">
        <v>39286.1</v>
      </c>
      <c r="I835" s="2">
        <v>46633.1</v>
      </c>
      <c r="J835" s="2">
        <v>48806</v>
      </c>
      <c r="K835" s="2">
        <v>49489.8</v>
      </c>
      <c r="L835" s="2">
        <v>64006.3</v>
      </c>
      <c r="M835" s="2">
        <v>78715</v>
      </c>
      <c r="N835" s="2">
        <v>112476</v>
      </c>
      <c r="O835" s="2">
        <v>140189.82</v>
      </c>
      <c r="P835" s="2">
        <v>173637.51</v>
      </c>
      <c r="Q835" s="2">
        <v>213719.79</v>
      </c>
      <c r="R835" s="2">
        <v>255750.08</v>
      </c>
      <c r="S835" s="2">
        <v>300822.90999999997</v>
      </c>
      <c r="T835" s="2">
        <v>355287.16</v>
      </c>
      <c r="U835" s="2">
        <v>405430.65</v>
      </c>
    </row>
    <row r="836" spans="1:21" x14ac:dyDescent="0.25">
      <c r="A836" t="s">
        <v>17</v>
      </c>
    </row>
    <row r="837" spans="1:21" x14ac:dyDescent="0.25">
      <c r="A837" t="s">
        <v>176</v>
      </c>
    </row>
    <row r="838" spans="1:21" x14ac:dyDescent="0.25">
      <c r="A838" t="s">
        <v>425</v>
      </c>
      <c r="B838" s="2">
        <v>13022.2</v>
      </c>
      <c r="C838" s="2">
        <v>9395.9</v>
      </c>
      <c r="D838" s="2">
        <v>8098.4</v>
      </c>
      <c r="E838" s="2">
        <v>11246.1</v>
      </c>
      <c r="F838" s="2">
        <v>13712.9</v>
      </c>
      <c r="G838" s="2">
        <v>9414.2999999999993</v>
      </c>
      <c r="H838" s="2">
        <v>4400.8999999999996</v>
      </c>
      <c r="I838" s="2">
        <v>6176.3</v>
      </c>
      <c r="J838" s="2">
        <v>6349.7</v>
      </c>
      <c r="K838" s="2">
        <v>4332.5</v>
      </c>
      <c r="L838" s="2">
        <v>5017.6000000000004</v>
      </c>
      <c r="M838" s="2">
        <v>6484</v>
      </c>
      <c r="N838" s="2">
        <v>10070</v>
      </c>
      <c r="O838" s="2">
        <v>24440.25</v>
      </c>
      <c r="P838" s="2">
        <v>49551.14</v>
      </c>
      <c r="Q838" s="2">
        <v>77793.009999999995</v>
      </c>
      <c r="R838" s="2">
        <v>111725.26</v>
      </c>
      <c r="S838" s="2">
        <v>148865.65</v>
      </c>
      <c r="T838" s="2">
        <v>190478.41</v>
      </c>
      <c r="U838" s="2">
        <v>230412.75</v>
      </c>
    </row>
    <row r="839" spans="1:21" x14ac:dyDescent="0.25">
      <c r="A839" t="s">
        <v>505</v>
      </c>
      <c r="B839">
        <v>-184.4</v>
      </c>
      <c r="C839" s="2">
        <v>3194.5</v>
      </c>
      <c r="D839" s="2">
        <v>3526.7</v>
      </c>
      <c r="E839" s="2">
        <v>4266.6000000000004</v>
      </c>
      <c r="F839" s="2">
        <v>5613</v>
      </c>
      <c r="G839" s="2">
        <v>2889.7</v>
      </c>
      <c r="H839" s="2">
        <v>12878.7</v>
      </c>
      <c r="I839" s="2">
        <v>12914</v>
      </c>
      <c r="J839" s="2">
        <v>12976.1</v>
      </c>
      <c r="K839" s="2">
        <v>14026.8</v>
      </c>
      <c r="L839" s="2">
        <v>22297.599999999999</v>
      </c>
      <c r="M839" s="2">
        <v>31523</v>
      </c>
      <c r="N839" s="2">
        <v>36597</v>
      </c>
      <c r="O839" s="2">
        <v>28148.63</v>
      </c>
      <c r="P839" s="2">
        <v>4397.78</v>
      </c>
      <c r="Q839" s="2">
        <v>-25448.22</v>
      </c>
      <c r="R839" s="2">
        <v>-56989.11</v>
      </c>
      <c r="S839" s="2">
        <v>-95119.61</v>
      </c>
      <c r="T839" s="2">
        <v>-128685.23</v>
      </c>
      <c r="U839" s="2">
        <v>-173509.8</v>
      </c>
    </row>
    <row r="840" spans="1:21" x14ac:dyDescent="0.25">
      <c r="A840" t="s">
        <v>609</v>
      </c>
      <c r="B840" s="2">
        <v>5212.8999999999996</v>
      </c>
      <c r="C840" s="2">
        <v>8021.5</v>
      </c>
      <c r="D840" s="2">
        <v>7978.5</v>
      </c>
      <c r="E840" s="2">
        <v>10305.200000000001</v>
      </c>
      <c r="F840" s="2">
        <v>13647.1</v>
      </c>
      <c r="G840" s="2">
        <v>10298.6</v>
      </c>
      <c r="H840" s="2">
        <v>15317.2</v>
      </c>
      <c r="I840" s="2">
        <v>16595.3</v>
      </c>
      <c r="J840" s="2">
        <v>16884.7</v>
      </c>
      <c r="K840" s="2">
        <v>16238.6</v>
      </c>
      <c r="L840" s="2">
        <v>25225.3</v>
      </c>
      <c r="M840" s="2">
        <v>34791</v>
      </c>
      <c r="N840" s="2">
        <v>43865</v>
      </c>
      <c r="O840" s="2">
        <v>45975.5</v>
      </c>
      <c r="P840" s="2">
        <v>46850.57</v>
      </c>
      <c r="Q840" s="2">
        <v>46725.3</v>
      </c>
      <c r="R840" s="2">
        <v>46388.44</v>
      </c>
      <c r="S840" s="2">
        <v>46172.38</v>
      </c>
      <c r="T840" s="2">
        <v>47224.19</v>
      </c>
      <c r="U840" s="2">
        <v>47324.19</v>
      </c>
    </row>
    <row r="841" spans="1:21" x14ac:dyDescent="0.25">
      <c r="A841" t="s">
        <v>178</v>
      </c>
    </row>
    <row r="842" spans="1:21" x14ac:dyDescent="0.25">
      <c r="A842" t="s">
        <v>179</v>
      </c>
      <c r="B842">
        <v>22.66</v>
      </c>
      <c r="C842">
        <v>11.75</v>
      </c>
      <c r="D842">
        <v>8.69</v>
      </c>
      <c r="E842">
        <v>7.36</v>
      </c>
      <c r="F842">
        <v>-0.49</v>
      </c>
      <c r="G842">
        <v>7.27</v>
      </c>
      <c r="H842">
        <v>20</v>
      </c>
      <c r="I842">
        <v>14.42</v>
      </c>
      <c r="J842">
        <v>11.7</v>
      </c>
      <c r="K842">
        <v>12.71</v>
      </c>
      <c r="L842">
        <v>9.23</v>
      </c>
      <c r="M842">
        <v>14.84</v>
      </c>
      <c r="N842">
        <v>21.59</v>
      </c>
      <c r="O842">
        <v>25.88</v>
      </c>
      <c r="P842">
        <v>27.24</v>
      </c>
      <c r="Q842">
        <v>25.23</v>
      </c>
      <c r="R842">
        <v>23.92</v>
      </c>
      <c r="S842">
        <v>22</v>
      </c>
      <c r="T842">
        <v>22.05</v>
      </c>
      <c r="U842">
        <v>20.7</v>
      </c>
    </row>
    <row r="843" spans="1:21" x14ac:dyDescent="0.25">
      <c r="A843" t="s">
        <v>180</v>
      </c>
      <c r="B843">
        <v>28.92</v>
      </c>
      <c r="C843">
        <v>14.49</v>
      </c>
      <c r="D843">
        <v>16.09</v>
      </c>
      <c r="E843">
        <v>19.16</v>
      </c>
      <c r="F843">
        <v>-1.59</v>
      </c>
      <c r="G843">
        <v>30.18</v>
      </c>
      <c r="H843">
        <v>133.78</v>
      </c>
      <c r="I843">
        <v>150.18</v>
      </c>
      <c r="J843">
        <v>76.349999999999994</v>
      </c>
      <c r="K843">
        <v>63.63</v>
      </c>
      <c r="L843">
        <v>48.93</v>
      </c>
      <c r="M843">
        <v>84.57</v>
      </c>
      <c r="N843">
        <v>101.16</v>
      </c>
      <c r="O843">
        <v>82.71</v>
      </c>
      <c r="P843">
        <v>63.91</v>
      </c>
      <c r="Q843">
        <v>49.1</v>
      </c>
      <c r="R843">
        <v>42.36</v>
      </c>
      <c r="S843">
        <v>36.47</v>
      </c>
      <c r="T843">
        <v>36.19</v>
      </c>
      <c r="U843">
        <v>33.049999999999997</v>
      </c>
    </row>
    <row r="844" spans="1:21" x14ac:dyDescent="0.25">
      <c r="A844" t="s">
        <v>186</v>
      </c>
      <c r="B844">
        <v>1.58</v>
      </c>
      <c r="C844">
        <v>1.22</v>
      </c>
      <c r="D844">
        <v>1.53</v>
      </c>
      <c r="E844">
        <v>1.37</v>
      </c>
      <c r="F844">
        <v>1.32</v>
      </c>
      <c r="G844">
        <v>1.73</v>
      </c>
      <c r="H844">
        <v>1.1599999999999999</v>
      </c>
      <c r="I844">
        <v>1.4</v>
      </c>
      <c r="J844">
        <v>1.23</v>
      </c>
      <c r="K844">
        <v>1.05</v>
      </c>
      <c r="L844">
        <v>0.94</v>
      </c>
      <c r="M844">
        <v>1.1499999999999999</v>
      </c>
      <c r="N844">
        <v>1.58</v>
      </c>
      <c r="O844">
        <v>1.96</v>
      </c>
      <c r="P844">
        <v>2.5499999999999998</v>
      </c>
      <c r="Q844">
        <v>4.24</v>
      </c>
      <c r="R844">
        <v>9.6999999999999993</v>
      </c>
      <c r="S844">
        <v>15.34</v>
      </c>
      <c r="T844">
        <v>5.59</v>
      </c>
      <c r="U844">
        <v>6.46</v>
      </c>
    </row>
    <row r="845" spans="1:21" x14ac:dyDescent="0.25">
      <c r="A845" t="s">
        <v>424</v>
      </c>
      <c r="B845">
        <v>16.25</v>
      </c>
      <c r="C845">
        <v>14.31</v>
      </c>
      <c r="D845">
        <v>13.67</v>
      </c>
      <c r="E845">
        <v>13.19</v>
      </c>
      <c r="F845">
        <v>11.02</v>
      </c>
      <c r="G845">
        <v>9.51</v>
      </c>
      <c r="H845">
        <v>2.79</v>
      </c>
      <c r="I845">
        <v>6.18</v>
      </c>
      <c r="J845">
        <v>9.85</v>
      </c>
      <c r="K845">
        <v>11.77</v>
      </c>
      <c r="L845">
        <v>11.93</v>
      </c>
      <c r="M845">
        <v>15.79</v>
      </c>
      <c r="N845">
        <v>29.51</v>
      </c>
      <c r="O845">
        <v>54.51</v>
      </c>
      <c r="P845">
        <v>86.59</v>
      </c>
      <c r="Q845">
        <v>124.99</v>
      </c>
      <c r="R845">
        <v>151.68</v>
      </c>
      <c r="S845">
        <v>184.61</v>
      </c>
      <c r="T845">
        <v>170.35</v>
      </c>
      <c r="U845">
        <v>187.18</v>
      </c>
    </row>
    <row r="846" spans="1:21" x14ac:dyDescent="0.25">
      <c r="A846" t="s">
        <v>17</v>
      </c>
    </row>
    <row r="847" spans="1:21" x14ac:dyDescent="0.25">
      <c r="A847" t="s">
        <v>188</v>
      </c>
    </row>
    <row r="848" spans="1:21" x14ac:dyDescent="0.25">
      <c r="A848" t="s">
        <v>189</v>
      </c>
    </row>
    <row r="849" spans="1:21" x14ac:dyDescent="0.25">
      <c r="A849" t="s">
        <v>121</v>
      </c>
      <c r="B849" s="2">
        <v>4684.8</v>
      </c>
      <c r="C849" s="2">
        <v>2390.5</v>
      </c>
      <c r="D849" s="2">
        <v>2408.4</v>
      </c>
      <c r="E849" s="2">
        <v>2737.6</v>
      </c>
      <c r="F849">
        <v>-204.1</v>
      </c>
      <c r="G849" s="2">
        <v>3232</v>
      </c>
      <c r="H849" s="2">
        <v>8318.4</v>
      </c>
      <c r="I849" s="2">
        <v>6193.7</v>
      </c>
      <c r="J849" s="2">
        <v>5581.7</v>
      </c>
      <c r="K849" s="2">
        <v>6244.8</v>
      </c>
      <c r="L849" s="2">
        <v>5240.3999999999996</v>
      </c>
      <c r="M849" s="2">
        <v>10590</v>
      </c>
      <c r="N849" s="2">
        <v>20640</v>
      </c>
      <c r="O849" s="2">
        <v>32079.7</v>
      </c>
      <c r="P849" s="2">
        <v>41670.449999999997</v>
      </c>
      <c r="Q849" s="2">
        <v>47996.39</v>
      </c>
      <c r="R849" s="2">
        <v>53899.6</v>
      </c>
      <c r="S849" s="2">
        <v>58501.67</v>
      </c>
      <c r="T849" s="2">
        <v>63700.31</v>
      </c>
      <c r="U849" s="2">
        <v>66925.149999999994</v>
      </c>
    </row>
    <row r="850" spans="1:21" x14ac:dyDescent="0.25">
      <c r="A850" t="s">
        <v>190</v>
      </c>
      <c r="B850" s="2">
        <v>1445.6</v>
      </c>
      <c r="C850" s="2">
        <v>1379</v>
      </c>
      <c r="D850" s="2">
        <v>1427.7</v>
      </c>
      <c r="E850" s="2">
        <v>1496.6</v>
      </c>
      <c r="F850" s="2">
        <v>1567.3</v>
      </c>
      <c r="G850" s="2">
        <v>1609</v>
      </c>
      <c r="H850" s="2">
        <v>1232.5999999999999</v>
      </c>
      <c r="I850" s="2">
        <v>1323.9</v>
      </c>
      <c r="J850" s="2">
        <v>1547.6</v>
      </c>
      <c r="K850" s="2">
        <v>1522.5</v>
      </c>
      <c r="L850" s="2">
        <v>1527.3</v>
      </c>
      <c r="M850" s="2">
        <v>1767</v>
      </c>
      <c r="N850" s="2">
        <v>1997</v>
      </c>
      <c r="O850" s="2">
        <v>2483</v>
      </c>
      <c r="P850" s="2">
        <v>2950</v>
      </c>
      <c r="Q850" s="2">
        <v>3437.67</v>
      </c>
      <c r="R850" s="2">
        <v>3811.27</v>
      </c>
      <c r="S850" s="2">
        <v>4148.72</v>
      </c>
      <c r="T850" s="2">
        <v>3750.56</v>
      </c>
      <c r="U850" s="2">
        <v>3944</v>
      </c>
    </row>
    <row r="851" spans="1:21" x14ac:dyDescent="0.25">
      <c r="A851" t="s">
        <v>192</v>
      </c>
      <c r="B851">
        <v>555</v>
      </c>
      <c r="C851">
        <v>535.9</v>
      </c>
      <c r="D851">
        <v>631.79999999999995</v>
      </c>
      <c r="E851">
        <v>687.9</v>
      </c>
      <c r="F851">
        <v>683.4</v>
      </c>
      <c r="G851">
        <v>361.3</v>
      </c>
      <c r="H851">
        <v>205</v>
      </c>
      <c r="I851">
        <v>411</v>
      </c>
      <c r="J851">
        <v>614.9</v>
      </c>
      <c r="K851">
        <v>574.1</v>
      </c>
      <c r="L851">
        <v>506.2</v>
      </c>
      <c r="M851">
        <v>553</v>
      </c>
      <c r="N851">
        <v>488</v>
      </c>
      <c r="O851">
        <v>565.66999999999996</v>
      </c>
      <c r="P851">
        <v>700.99</v>
      </c>
      <c r="Q851">
        <v>680.44</v>
      </c>
      <c r="R851">
        <v>658.47</v>
      </c>
      <c r="S851">
        <v>634.05999999999995</v>
      </c>
      <c r="T851">
        <v>653.82000000000005</v>
      </c>
      <c r="U851">
        <v>641.27</v>
      </c>
    </row>
    <row r="852" spans="1:21" x14ac:dyDescent="0.25">
      <c r="A852" t="s">
        <v>67</v>
      </c>
      <c r="B852">
        <v>144.9</v>
      </c>
      <c r="C852">
        <v>156</v>
      </c>
      <c r="D852">
        <v>217.8</v>
      </c>
      <c r="E852">
        <v>255.3</v>
      </c>
      <c r="F852">
        <v>281.3</v>
      </c>
      <c r="G852">
        <v>279.5</v>
      </c>
      <c r="H852">
        <v>312.39999999999998</v>
      </c>
      <c r="I852">
        <v>308.10000000000002</v>
      </c>
      <c r="J852">
        <v>342.8</v>
      </c>
      <c r="K852">
        <v>371.1</v>
      </c>
      <c r="L852">
        <v>628.5</v>
      </c>
      <c r="M852">
        <v>646</v>
      </c>
      <c r="N852">
        <v>626</v>
      </c>
      <c r="O852">
        <v>700.64</v>
      </c>
      <c r="P852">
        <v>748.95</v>
      </c>
      <c r="Q852">
        <v>801.47</v>
      </c>
      <c r="R852">
        <v>844.95</v>
      </c>
      <c r="S852">
        <v>875.29</v>
      </c>
      <c r="T852">
        <v>886.95</v>
      </c>
      <c r="U852">
        <v>892.36</v>
      </c>
    </row>
    <row r="853" spans="1:21" x14ac:dyDescent="0.25">
      <c r="A853" t="s">
        <v>3786</v>
      </c>
      <c r="L853">
        <v>23.5</v>
      </c>
      <c r="M853">
        <v>49.8</v>
      </c>
      <c r="N853">
        <v>0</v>
      </c>
    </row>
    <row r="854" spans="1:21" x14ac:dyDescent="0.25">
      <c r="A854" t="s">
        <v>3787</v>
      </c>
      <c r="B854">
        <v>57.1</v>
      </c>
      <c r="C854">
        <v>200.2</v>
      </c>
      <c r="D854">
        <v>535</v>
      </c>
      <c r="E854">
        <v>30</v>
      </c>
      <c r="F854" s="2">
        <v>1112.5999999999999</v>
      </c>
      <c r="G854" s="2">
        <v>1983.9</v>
      </c>
      <c r="H854">
        <v>239.6</v>
      </c>
      <c r="I854">
        <v>660.4</v>
      </c>
      <c r="J854">
        <v>874.9</v>
      </c>
      <c r="K854">
        <v>908.5</v>
      </c>
      <c r="L854" s="2">
        <v>3799.8</v>
      </c>
      <c r="M854" s="2">
        <v>3280</v>
      </c>
      <c r="N854" s="2">
        <v>2910</v>
      </c>
      <c r="O854" s="2">
        <v>3568.24</v>
      </c>
      <c r="P854" s="2">
        <v>1657.33</v>
      </c>
      <c r="Q854" s="2">
        <v>1204.33</v>
      </c>
      <c r="R854">
        <v>390.88</v>
      </c>
      <c r="S854">
        <v>397.85</v>
      </c>
      <c r="T854">
        <v>403.57</v>
      </c>
      <c r="U854">
        <v>416.69</v>
      </c>
    </row>
    <row r="855" spans="1:21" x14ac:dyDescent="0.25">
      <c r="A855" t="s">
        <v>120</v>
      </c>
      <c r="D855">
        <v>-17.8</v>
      </c>
      <c r="E855">
        <v>-304.8</v>
      </c>
      <c r="F855" s="2">
        <v>3489.6</v>
      </c>
      <c r="G855">
        <v>-125.3</v>
      </c>
      <c r="H855">
        <v>-221.3</v>
      </c>
      <c r="I855">
        <v>322</v>
      </c>
      <c r="J855">
        <v>-359.7</v>
      </c>
      <c r="O855">
        <v>348.49</v>
      </c>
      <c r="P855">
        <v>349.89</v>
      </c>
      <c r="Q855">
        <v>351.3</v>
      </c>
      <c r="R855">
        <v>352.72</v>
      </c>
      <c r="S855">
        <v>354.16</v>
      </c>
      <c r="T855">
        <v>355.6</v>
      </c>
      <c r="U855">
        <v>357.06</v>
      </c>
    </row>
    <row r="856" spans="1:21" x14ac:dyDescent="0.25">
      <c r="A856" t="s">
        <v>338</v>
      </c>
    </row>
    <row r="857" spans="1:21" x14ac:dyDescent="0.25">
      <c r="A857" t="s">
        <v>141</v>
      </c>
      <c r="B857">
        <v>-152.69999999999999</v>
      </c>
      <c r="C857">
        <v>117.4</v>
      </c>
      <c r="D857">
        <v>-304.5</v>
      </c>
      <c r="E857">
        <v>-709.4</v>
      </c>
      <c r="F857">
        <v>-357</v>
      </c>
      <c r="G857">
        <v>-996.7</v>
      </c>
      <c r="H857">
        <v>-127.2</v>
      </c>
      <c r="I857" s="2">
        <v>-1350.2</v>
      </c>
      <c r="J857" s="2">
        <v>-1278.3</v>
      </c>
      <c r="K857">
        <v>-299.60000000000002</v>
      </c>
      <c r="L857" s="2">
        <v>-2451</v>
      </c>
      <c r="M857" s="2">
        <v>-2155</v>
      </c>
      <c r="N857" s="2">
        <v>-7000</v>
      </c>
      <c r="O857" s="2">
        <v>-2450.23</v>
      </c>
      <c r="P857" s="2">
        <v>-2171.77</v>
      </c>
      <c r="Q857" s="2">
        <v>-2499.92</v>
      </c>
      <c r="R857" s="2">
        <v>-2161.66</v>
      </c>
      <c r="S857" s="2">
        <v>-1619.97</v>
      </c>
      <c r="T857" s="2">
        <v>-1217.79</v>
      </c>
      <c r="U857">
        <v>-360.57</v>
      </c>
    </row>
    <row r="858" spans="1:21" x14ac:dyDescent="0.25">
      <c r="A858" t="s">
        <v>302</v>
      </c>
      <c r="B858">
        <v>-286.5</v>
      </c>
      <c r="C858">
        <v>-307.10000000000002</v>
      </c>
      <c r="D858">
        <v>-736.3</v>
      </c>
      <c r="E858">
        <v>-328.2</v>
      </c>
      <c r="F858">
        <v>-253.9</v>
      </c>
      <c r="G858">
        <v>7.8</v>
      </c>
      <c r="H858">
        <v>-258.7</v>
      </c>
      <c r="I858">
        <v>-533.4</v>
      </c>
      <c r="J858">
        <v>-235.9</v>
      </c>
      <c r="K858">
        <v>-599.70000000000005</v>
      </c>
      <c r="L858" s="2">
        <v>-1425</v>
      </c>
      <c r="M858" s="2">
        <v>-2507</v>
      </c>
      <c r="N858" s="2">
        <v>-4671</v>
      </c>
      <c r="O858">
        <v>936.47</v>
      </c>
      <c r="P858">
        <v>26.67</v>
      </c>
      <c r="Q858">
        <v>-663.42</v>
      </c>
      <c r="R858">
        <v>-826.41</v>
      </c>
      <c r="S858">
        <v>-437.46</v>
      </c>
      <c r="T858">
        <v>-8.1199999999999992</v>
      </c>
      <c r="U858">
        <v>22.16</v>
      </c>
    </row>
    <row r="859" spans="1:21" x14ac:dyDescent="0.25">
      <c r="A859" t="s">
        <v>2154</v>
      </c>
      <c r="B859">
        <v>265.89999999999998</v>
      </c>
      <c r="C859">
        <v>36.799999999999997</v>
      </c>
      <c r="D859">
        <v>-748.4</v>
      </c>
      <c r="E859">
        <v>439.5</v>
      </c>
      <c r="F859">
        <v>-787.9</v>
      </c>
      <c r="G859">
        <v>326.8</v>
      </c>
      <c r="H859">
        <v>62.4</v>
      </c>
      <c r="I859">
        <v>-134.5</v>
      </c>
      <c r="J859">
        <v>-802.3</v>
      </c>
      <c r="K859" s="2">
        <v>-2185.1999999999998</v>
      </c>
      <c r="L859" s="2">
        <v>-2341</v>
      </c>
      <c r="M859" s="2">
        <v>-2683</v>
      </c>
      <c r="N859" s="2">
        <v>-1707</v>
      </c>
      <c r="O859">
        <v>-141.22</v>
      </c>
      <c r="P859">
        <v>-60.85</v>
      </c>
      <c r="Q859">
        <v>-615.70000000000005</v>
      </c>
      <c r="R859">
        <v>-586.54999999999995</v>
      </c>
      <c r="S859">
        <v>-701.78</v>
      </c>
      <c r="T859">
        <v>-884.19</v>
      </c>
      <c r="U859" s="2">
        <v>-1053.8900000000001</v>
      </c>
    </row>
    <row r="860" spans="1:21" x14ac:dyDescent="0.25">
      <c r="A860" t="s">
        <v>3788</v>
      </c>
      <c r="B860">
        <v>-70.3</v>
      </c>
      <c r="C860">
        <v>-809</v>
      </c>
      <c r="D860">
        <v>207.9</v>
      </c>
      <c r="E860" s="2">
        <v>1123.8</v>
      </c>
      <c r="F860">
        <v>916.3</v>
      </c>
      <c r="G860">
        <v>-284.5</v>
      </c>
      <c r="H860">
        <v>-477.7</v>
      </c>
      <c r="I860" s="2">
        <v>1271.3</v>
      </c>
      <c r="J860">
        <v>-664.1</v>
      </c>
      <c r="K860" s="2">
        <v>1692</v>
      </c>
      <c r="L860" s="2">
        <v>4274.3999999999996</v>
      </c>
      <c r="M860" s="2">
        <v>2609</v>
      </c>
      <c r="N860" s="2">
        <v>10187</v>
      </c>
      <c r="O860" s="2">
        <v>2166.21</v>
      </c>
      <c r="P860" s="2">
        <v>2353.11</v>
      </c>
      <c r="Q860" s="2">
        <v>2682.93</v>
      </c>
      <c r="R860" s="2">
        <v>2220.65</v>
      </c>
      <c r="S860" s="2">
        <v>1171.73</v>
      </c>
      <c r="T860">
        <v>-174.89</v>
      </c>
      <c r="U860">
        <v>-879.56</v>
      </c>
    </row>
    <row r="861" spans="1:21" x14ac:dyDescent="0.25">
      <c r="A861" t="s">
        <v>514</v>
      </c>
      <c r="B861">
        <v>116.5</v>
      </c>
      <c r="C861">
        <v>673.2</v>
      </c>
      <c r="D861">
        <v>-288.5</v>
      </c>
      <c r="E861">
        <v>-265.5</v>
      </c>
      <c r="F861">
        <v>-590.1</v>
      </c>
      <c r="G861">
        <v>-980</v>
      </c>
      <c r="H861">
        <v>-602.29999999999995</v>
      </c>
      <c r="I861">
        <v>-457.1</v>
      </c>
      <c r="J861" s="2">
        <v>1515.4</v>
      </c>
      <c r="K861">
        <v>-793.5</v>
      </c>
      <c r="L861" s="2">
        <v>-3453.4</v>
      </c>
      <c r="M861" s="2">
        <v>-3331</v>
      </c>
      <c r="N861" s="2">
        <v>-6609</v>
      </c>
      <c r="O861" s="2">
        <v>-27694.36</v>
      </c>
      <c r="P861" s="2">
        <v>-9391.74</v>
      </c>
      <c r="Q861" s="2">
        <v>-8285.01</v>
      </c>
      <c r="R861" s="2">
        <v>-7701.23</v>
      </c>
      <c r="S861" s="2">
        <v>-6000.54</v>
      </c>
      <c r="T861" s="2">
        <v>-4940.66</v>
      </c>
      <c r="U861" s="2">
        <v>-3478.7</v>
      </c>
    </row>
    <row r="862" spans="1:21" x14ac:dyDescent="0.25">
      <c r="A862" t="s">
        <v>204</v>
      </c>
      <c r="B862" s="2">
        <v>5735</v>
      </c>
      <c r="C862" s="2">
        <v>4458.3999999999996</v>
      </c>
      <c r="D862" s="2">
        <v>2964.6</v>
      </c>
      <c r="E862" s="2">
        <v>4851</v>
      </c>
      <c r="F862" s="2">
        <v>5615.6</v>
      </c>
      <c r="G862" s="2">
        <v>5524.5</v>
      </c>
      <c r="H862" s="2">
        <v>4836.6000000000004</v>
      </c>
      <c r="I862" s="2">
        <v>6499.6</v>
      </c>
      <c r="J862" s="2">
        <v>7260.7</v>
      </c>
      <c r="K862" s="2">
        <v>7585.7</v>
      </c>
      <c r="L862" s="2">
        <v>4240.1000000000004</v>
      </c>
      <c r="M862" s="2">
        <v>8818</v>
      </c>
      <c r="N862" s="2">
        <v>16813</v>
      </c>
      <c r="O862" s="2">
        <v>31514.92</v>
      </c>
      <c r="P862" s="2">
        <v>40341.01</v>
      </c>
      <c r="Q862" s="2">
        <v>46369.34</v>
      </c>
      <c r="R862" s="2">
        <v>52634.38</v>
      </c>
      <c r="S862" s="2">
        <v>57736.2</v>
      </c>
      <c r="T862" s="2">
        <v>63276.35</v>
      </c>
      <c r="U862" s="2">
        <v>67633.53</v>
      </c>
    </row>
    <row r="863" spans="1:21" x14ac:dyDescent="0.25">
      <c r="A863" t="s">
        <v>17</v>
      </c>
    </row>
    <row r="864" spans="1:21" x14ac:dyDescent="0.25">
      <c r="A864" t="s">
        <v>205</v>
      </c>
    </row>
    <row r="865" spans="1:21" x14ac:dyDescent="0.25">
      <c r="A865" t="s">
        <v>206</v>
      </c>
      <c r="B865" s="2">
        <v>-1012.1</v>
      </c>
      <c r="C865" s="2">
        <v>-1162.5999999999999</v>
      </c>
      <c r="D865" s="2">
        <v>-1066.2</v>
      </c>
      <c r="E865" s="2">
        <v>-1037</v>
      </c>
      <c r="F865" s="2">
        <v>-1076.8</v>
      </c>
      <c r="G865" s="2">
        <v>-1210.5999999999999</v>
      </c>
      <c r="H865" s="2">
        <v>-1033.9000000000001</v>
      </c>
      <c r="I865" s="2">
        <v>-1387.9</v>
      </c>
      <c r="J865" s="2">
        <v>-1309.8</v>
      </c>
      <c r="K865" s="2">
        <v>-1854.3</v>
      </c>
      <c r="L865" s="2">
        <v>-3447.6</v>
      </c>
      <c r="M865" s="2">
        <v>-5058</v>
      </c>
      <c r="N865" s="2">
        <v>-7841</v>
      </c>
      <c r="O865" s="2">
        <v>-8271.68</v>
      </c>
      <c r="P865" s="2">
        <v>-7728.26</v>
      </c>
      <c r="Q865" s="2">
        <v>-7383.84</v>
      </c>
      <c r="R865" s="2">
        <v>-7434.35</v>
      </c>
      <c r="S865" s="2">
        <v>-7420.06</v>
      </c>
      <c r="T865" s="2">
        <v>-6904.6</v>
      </c>
      <c r="U865" s="2">
        <v>-6975.47</v>
      </c>
    </row>
    <row r="866" spans="1:21" x14ac:dyDescent="0.25">
      <c r="A866" t="s">
        <v>3789</v>
      </c>
      <c r="B866" s="2">
        <v>3320.1</v>
      </c>
      <c r="C866" s="2">
        <v>4054.1</v>
      </c>
      <c r="D866" s="2">
        <v>2161.8000000000002</v>
      </c>
      <c r="E866" s="2">
        <v>1642</v>
      </c>
      <c r="F866" s="2">
        <v>4852.5</v>
      </c>
      <c r="G866" s="2">
        <v>2552.5</v>
      </c>
      <c r="H866">
        <v>136.6</v>
      </c>
      <c r="I866">
        <v>129.69999999999999</v>
      </c>
      <c r="J866">
        <v>47.4</v>
      </c>
      <c r="K866">
        <v>121.4</v>
      </c>
      <c r="L866">
        <v>192.2</v>
      </c>
      <c r="M866">
        <v>0</v>
      </c>
      <c r="N866">
        <v>0</v>
      </c>
      <c r="O866" s="2">
        <v>-1529.1</v>
      </c>
      <c r="P866" s="2">
        <v>-2515.8000000000002</v>
      </c>
      <c r="Q866">
        <v>-441.6</v>
      </c>
      <c r="R866" s="2">
        <v>-3076.1</v>
      </c>
      <c r="S866" s="2">
        <v>-3076.1</v>
      </c>
    </row>
    <row r="867" spans="1:21" x14ac:dyDescent="0.25">
      <c r="A867" t="s">
        <v>672</v>
      </c>
      <c r="B867" s="2">
        <v>-1531</v>
      </c>
      <c r="C867" s="2">
        <v>-1637.8</v>
      </c>
      <c r="D867">
        <v>-842.2</v>
      </c>
      <c r="E867" s="2">
        <v>-1327.4</v>
      </c>
      <c r="F867" s="2">
        <v>-3389.7</v>
      </c>
      <c r="G867">
        <v>-112.2</v>
      </c>
      <c r="H867">
        <v>-42.7</v>
      </c>
      <c r="I867">
        <v>-11.4</v>
      </c>
      <c r="J867">
        <v>-83.5</v>
      </c>
      <c r="K867">
        <v>-107.4</v>
      </c>
      <c r="L867">
        <v>-98.2</v>
      </c>
      <c r="M867">
        <v>0</v>
      </c>
      <c r="N867">
        <v>0</v>
      </c>
    </row>
    <row r="868" spans="1:21" x14ac:dyDescent="0.25">
      <c r="A868" t="s">
        <v>516</v>
      </c>
      <c r="B868">
        <v>-100.8</v>
      </c>
      <c r="C868">
        <v>-646.4</v>
      </c>
      <c r="D868" s="2">
        <v>-5843.1</v>
      </c>
      <c r="E868">
        <v>-100</v>
      </c>
      <c r="F868" s="2">
        <v>-1968.9</v>
      </c>
      <c r="G868" s="2">
        <v>-1807.6</v>
      </c>
      <c r="H868" s="2">
        <v>-7237.3</v>
      </c>
      <c r="I868" s="2">
        <v>-1490.5</v>
      </c>
      <c r="J868" s="2">
        <v>-1310.8</v>
      </c>
      <c r="K868" s="2">
        <v>-1458.2</v>
      </c>
      <c r="L868" s="2">
        <v>-4988.8</v>
      </c>
      <c r="M868" s="2">
        <v>-4294</v>
      </c>
      <c r="N868" s="2">
        <v>-3669</v>
      </c>
      <c r="O868" s="2">
        <v>-7143.63</v>
      </c>
      <c r="P868">
        <v>-442.69</v>
      </c>
      <c r="Q868">
        <v>-514.29</v>
      </c>
      <c r="R868">
        <v>-573.04999999999995</v>
      </c>
      <c r="S868">
        <v>-614.74</v>
      </c>
      <c r="T868">
        <v>-664.55</v>
      </c>
      <c r="U868">
        <v>-701.67</v>
      </c>
    </row>
    <row r="869" spans="1:21" x14ac:dyDescent="0.25">
      <c r="A869" t="s">
        <v>432</v>
      </c>
      <c r="B869" s="2">
        <v>-14041.9</v>
      </c>
      <c r="C869" s="2">
        <v>-9802.7000000000007</v>
      </c>
      <c r="D869" s="2">
        <v>-3226.5</v>
      </c>
      <c r="E869" s="2">
        <v>-4346</v>
      </c>
      <c r="F869" s="2">
        <v>-4611.6000000000004</v>
      </c>
      <c r="G869">
        <v>-837.9</v>
      </c>
      <c r="H869">
        <v>-247.5</v>
      </c>
      <c r="I869">
        <v>-358.7</v>
      </c>
      <c r="J869">
        <v>-929.9</v>
      </c>
      <c r="K869">
        <v>-600.20000000000005</v>
      </c>
      <c r="L869">
        <v>-730.8</v>
      </c>
      <c r="M869">
        <v>-677</v>
      </c>
      <c r="N869">
        <v>-645</v>
      </c>
      <c r="O869">
        <v>-975.66</v>
      </c>
      <c r="P869">
        <v>-425.21</v>
      </c>
      <c r="Q869">
        <v>-430.34</v>
      </c>
      <c r="R869">
        <v>-435.74</v>
      </c>
      <c r="S869">
        <v>-441.4</v>
      </c>
      <c r="T869">
        <v>-447.34</v>
      </c>
      <c r="U869">
        <v>-453.58</v>
      </c>
    </row>
    <row r="870" spans="1:21" x14ac:dyDescent="0.25">
      <c r="A870" t="s">
        <v>3790</v>
      </c>
      <c r="B870" s="2">
        <v>11235</v>
      </c>
      <c r="C870" s="2">
        <v>11009.4</v>
      </c>
      <c r="D870" s="2">
        <v>3068.4</v>
      </c>
      <c r="E870" s="2">
        <v>2086</v>
      </c>
      <c r="F870" s="2">
        <v>2586</v>
      </c>
      <c r="G870" s="2">
        <v>3509.5</v>
      </c>
      <c r="H870">
        <v>609.79999999999995</v>
      </c>
      <c r="I870">
        <v>757.1</v>
      </c>
      <c r="J870">
        <v>800</v>
      </c>
      <c r="K870">
        <v>342.2</v>
      </c>
      <c r="L870">
        <v>508.1</v>
      </c>
      <c r="M870">
        <v>374</v>
      </c>
      <c r="N870">
        <v>964</v>
      </c>
      <c r="O870">
        <v>964</v>
      </c>
      <c r="P870">
        <v>964</v>
      </c>
      <c r="Q870">
        <v>964</v>
      </c>
      <c r="R870">
        <v>964</v>
      </c>
      <c r="S870">
        <v>964</v>
      </c>
      <c r="T870">
        <v>964</v>
      </c>
      <c r="U870">
        <v>964</v>
      </c>
    </row>
    <row r="871" spans="1:21" x14ac:dyDescent="0.25">
      <c r="A871" t="s">
        <v>3174</v>
      </c>
      <c r="B871">
        <v>-97.4</v>
      </c>
      <c r="C871" s="2">
        <v>-5430.1</v>
      </c>
      <c r="D871" s="2">
        <v>5272</v>
      </c>
      <c r="E871">
        <v>-130.1</v>
      </c>
      <c r="F871">
        <v>-215.8</v>
      </c>
      <c r="G871">
        <v>-187.7</v>
      </c>
      <c r="H871">
        <v>-622.70000000000005</v>
      </c>
      <c r="I871">
        <v>102.8</v>
      </c>
      <c r="J871">
        <v>24.3</v>
      </c>
      <c r="K871">
        <v>-206.4</v>
      </c>
      <c r="L871" s="2">
        <v>1412.4</v>
      </c>
      <c r="M871">
        <v>353</v>
      </c>
      <c r="N871">
        <v>219</v>
      </c>
      <c r="O871">
        <v>-158</v>
      </c>
    </row>
    <row r="872" spans="1:21" x14ac:dyDescent="0.25">
      <c r="A872" t="s">
        <v>213</v>
      </c>
      <c r="B872" s="2">
        <v>-2072.8000000000002</v>
      </c>
      <c r="C872" s="2">
        <v>-3909.1</v>
      </c>
      <c r="D872">
        <v>26.8</v>
      </c>
      <c r="E872" s="2">
        <v>-3139.1</v>
      </c>
      <c r="F872" s="2">
        <v>-3783.6</v>
      </c>
      <c r="G872" s="2">
        <v>1906</v>
      </c>
      <c r="H872" s="2">
        <v>-8082.9</v>
      </c>
      <c r="I872" s="2">
        <v>-2258.9</v>
      </c>
      <c r="J872" s="2">
        <v>-2762.3</v>
      </c>
      <c r="K872" s="2">
        <v>-3762.9</v>
      </c>
      <c r="L872" s="2">
        <v>-7152.7</v>
      </c>
      <c r="M872" s="2">
        <v>-9302</v>
      </c>
      <c r="N872" s="2">
        <v>-10972</v>
      </c>
      <c r="O872" s="2">
        <v>-13036.99</v>
      </c>
      <c r="P872" s="2">
        <v>-8888.23</v>
      </c>
      <c r="Q872" s="2">
        <v>-8606.26</v>
      </c>
      <c r="R872" s="2">
        <v>-8210.24</v>
      </c>
      <c r="S872" s="2">
        <v>-8631.39</v>
      </c>
      <c r="T872" s="2">
        <v>-8845.83</v>
      </c>
      <c r="U872" s="2">
        <v>-9919.11</v>
      </c>
    </row>
    <row r="873" spans="1:21" x14ac:dyDescent="0.25">
      <c r="A873" t="s">
        <v>17</v>
      </c>
    </row>
    <row r="874" spans="1:21" x14ac:dyDescent="0.25">
      <c r="A874" t="s">
        <v>214</v>
      </c>
    </row>
    <row r="875" spans="1:21" x14ac:dyDescent="0.25">
      <c r="A875" t="s">
        <v>347</v>
      </c>
      <c r="B875" s="2">
        <v>-2120.6999999999998</v>
      </c>
      <c r="C875" s="2">
        <v>-2101.1999999999998</v>
      </c>
      <c r="D875" s="2">
        <v>-2127.3000000000002</v>
      </c>
      <c r="E875" s="2">
        <v>-2158.5</v>
      </c>
      <c r="F875" s="2">
        <v>-2192.1</v>
      </c>
      <c r="G875" s="2">
        <v>-2311.8000000000002</v>
      </c>
      <c r="H875" s="2">
        <v>-2409.8000000000002</v>
      </c>
      <c r="I875" s="2">
        <v>-2687.1</v>
      </c>
      <c r="J875" s="2">
        <v>-3086.8</v>
      </c>
      <c r="K875" s="2">
        <v>-3535.8</v>
      </c>
      <c r="L875" s="2">
        <v>-4069.3</v>
      </c>
      <c r="M875" s="2">
        <v>-4680</v>
      </c>
      <c r="N875" s="2">
        <v>-5384</v>
      </c>
      <c r="O875" s="2">
        <v>-6283.96</v>
      </c>
      <c r="P875" s="2">
        <v>-7184.55</v>
      </c>
      <c r="Q875" s="2">
        <v>-8131.64</v>
      </c>
      <c r="R875" s="2">
        <v>-8689.42</v>
      </c>
      <c r="S875" s="2">
        <v>-9635.58</v>
      </c>
      <c r="T875" s="2">
        <v>-10839.01</v>
      </c>
      <c r="U875" s="2">
        <v>-12076.28</v>
      </c>
    </row>
    <row r="876" spans="1:21" x14ac:dyDescent="0.25">
      <c r="A876" t="s">
        <v>3791</v>
      </c>
      <c r="B876">
        <v>0</v>
      </c>
      <c r="C876" s="2">
        <v>2680.6</v>
      </c>
      <c r="D876" s="2">
        <v>-2680.6</v>
      </c>
      <c r="E876" s="2">
        <v>1293.2</v>
      </c>
      <c r="F876" s="2">
        <v>1397.5</v>
      </c>
      <c r="G876" s="2">
        <v>-2197.9</v>
      </c>
      <c r="H876">
        <v>995.4</v>
      </c>
      <c r="I876" s="2">
        <v>-1494.2</v>
      </c>
      <c r="J876">
        <v>-4</v>
      </c>
      <c r="K876" s="2">
        <v>1498</v>
      </c>
      <c r="L876" s="2">
        <v>4691.3999999999996</v>
      </c>
      <c r="M876" s="2">
        <v>-1852</v>
      </c>
      <c r="N876" s="2">
        <v>-4338</v>
      </c>
      <c r="O876" s="2">
        <v>2120.33</v>
      </c>
      <c r="P876" s="2">
        <v>-4338</v>
      </c>
      <c r="Q876" s="2">
        <v>-4338</v>
      </c>
      <c r="R876" s="2">
        <v>-4338</v>
      </c>
      <c r="S876" s="2">
        <v>-4338</v>
      </c>
      <c r="T876" s="2">
        <v>-4338</v>
      </c>
      <c r="U876" s="2">
        <v>-4338</v>
      </c>
    </row>
    <row r="877" spans="1:21" x14ac:dyDescent="0.25">
      <c r="A877" t="s">
        <v>3792</v>
      </c>
      <c r="B877">
        <v>0</v>
      </c>
      <c r="C877">
        <v>992.9</v>
      </c>
      <c r="D877" s="2">
        <v>4454.7</v>
      </c>
      <c r="E877" s="2">
        <v>1206.5999999999999</v>
      </c>
      <c r="F877" s="2">
        <v>2232</v>
      </c>
      <c r="G877" s="2">
        <v>2477.6999999999998</v>
      </c>
      <c r="H877" s="2">
        <v>6556.4</v>
      </c>
      <c r="I877" s="2">
        <v>2062.3000000000002</v>
      </c>
      <c r="J877" s="2">
        <v>2410.8000000000002</v>
      </c>
      <c r="K877">
        <v>0</v>
      </c>
      <c r="L877" s="2">
        <v>3958.5</v>
      </c>
      <c r="M877" s="2">
        <v>11417</v>
      </c>
      <c r="N877" s="2">
        <v>13167</v>
      </c>
      <c r="O877" s="2">
        <v>8941</v>
      </c>
    </row>
    <row r="878" spans="1:21" x14ac:dyDescent="0.25">
      <c r="A878" t="s">
        <v>822</v>
      </c>
      <c r="B878">
        <v>-10.5</v>
      </c>
      <c r="C878" s="2">
        <v>2638.7</v>
      </c>
      <c r="D878">
        <v>-181.6</v>
      </c>
      <c r="E878" s="2">
        <v>2499.6</v>
      </c>
      <c r="F878" s="2">
        <v>2998.9</v>
      </c>
      <c r="G878">
        <v>-729.3</v>
      </c>
      <c r="H878" s="2">
        <v>4685.3999999999996</v>
      </c>
      <c r="I878">
        <v>291.60000000000002</v>
      </c>
      <c r="J878">
        <v>501.4</v>
      </c>
      <c r="K878">
        <v>-62</v>
      </c>
      <c r="L878" s="2">
        <v>8649.9</v>
      </c>
      <c r="M878" s="2">
        <v>8901</v>
      </c>
      <c r="N878" s="2">
        <v>8051</v>
      </c>
      <c r="O878">
        <v>261.35000000000002</v>
      </c>
      <c r="P878">
        <v>-195.33</v>
      </c>
      <c r="Q878">
        <v>-548.1</v>
      </c>
      <c r="R878" s="2">
        <v>-2103.6</v>
      </c>
      <c r="S878" s="2">
        <v>-2114.85</v>
      </c>
      <c r="T878">
        <v>-650.70000000000005</v>
      </c>
      <c r="U878" s="2">
        <v>-1000</v>
      </c>
    </row>
    <row r="879" spans="1:21" x14ac:dyDescent="0.25">
      <c r="A879" t="s">
        <v>1153</v>
      </c>
      <c r="B879">
        <v>0</v>
      </c>
      <c r="C879">
        <v>992.9</v>
      </c>
      <c r="D879" s="2">
        <v>4454.7</v>
      </c>
      <c r="E879" s="2">
        <v>1206.5999999999999</v>
      </c>
      <c r="F879" s="2">
        <v>2232</v>
      </c>
      <c r="G879" s="2">
        <v>2477.6999999999998</v>
      </c>
      <c r="H879" s="2">
        <v>6556.4</v>
      </c>
      <c r="I879" s="2">
        <v>2062.3000000000002</v>
      </c>
      <c r="J879" s="2">
        <v>2410.8000000000002</v>
      </c>
      <c r="K879">
        <v>0</v>
      </c>
      <c r="L879" s="2">
        <v>3958.5</v>
      </c>
      <c r="M879" s="2">
        <v>11417</v>
      </c>
      <c r="N879" s="2">
        <v>13167</v>
      </c>
      <c r="O879" s="2">
        <v>8941</v>
      </c>
    </row>
    <row r="880" spans="1:21" x14ac:dyDescent="0.25">
      <c r="A880" t="s">
        <v>3793</v>
      </c>
      <c r="B880">
        <v>-10.5</v>
      </c>
      <c r="C880" s="2">
        <v>-1034.8</v>
      </c>
      <c r="D880" s="2">
        <v>-1955.7</v>
      </c>
      <c r="E880">
        <v>-0.2</v>
      </c>
      <c r="F880">
        <v>-630.6</v>
      </c>
      <c r="G880" s="2">
        <v>-1009.1</v>
      </c>
      <c r="H880" s="2">
        <v>-2866.4</v>
      </c>
      <c r="I880">
        <v>-276.5</v>
      </c>
      <c r="J880" s="2">
        <v>-1905.4</v>
      </c>
      <c r="K880" s="2">
        <v>-1560</v>
      </c>
      <c r="L880">
        <v>0</v>
      </c>
      <c r="M880">
        <v>-664</v>
      </c>
      <c r="N880">
        <v>-778</v>
      </c>
      <c r="O880" s="2">
        <v>-3226.99</v>
      </c>
      <c r="P880" s="2">
        <v>-1507.74</v>
      </c>
      <c r="Q880">
        <v>-470.77</v>
      </c>
      <c r="R880" s="2">
        <v>-1787.9</v>
      </c>
      <c r="S880">
        <v>-639.5</v>
      </c>
      <c r="T880">
        <v>-561.55999999999995</v>
      </c>
      <c r="U880">
        <v>-500</v>
      </c>
    </row>
    <row r="881" spans="1:21" x14ac:dyDescent="0.25">
      <c r="A881" t="s">
        <v>1155</v>
      </c>
      <c r="B881" s="2">
        <v>-1698.1</v>
      </c>
      <c r="C881">
        <v>-800</v>
      </c>
      <c r="D881">
        <v>-749.5</v>
      </c>
      <c r="E881">
        <v>-600.1</v>
      </c>
      <c r="F881">
        <v>-299.8</v>
      </c>
      <c r="G881" s="2">
        <v>-4150.7</v>
      </c>
      <c r="H881" s="2">
        <v>-4400</v>
      </c>
      <c r="I881">
        <v>-500</v>
      </c>
      <c r="J881" s="2">
        <v>-1250</v>
      </c>
      <c r="K881" s="2">
        <v>-1500</v>
      </c>
      <c r="L881">
        <v>-750</v>
      </c>
      <c r="M881" s="2">
        <v>-2500</v>
      </c>
      <c r="N881" s="2">
        <v>-4108</v>
      </c>
      <c r="O881" s="2">
        <v>-4677.17</v>
      </c>
      <c r="P881" s="2">
        <v>-4203.08</v>
      </c>
      <c r="Q881" s="2">
        <v>-3591.77</v>
      </c>
      <c r="R881" s="2">
        <v>-4468.3100000000004</v>
      </c>
      <c r="S881" s="2">
        <v>-5321.4</v>
      </c>
      <c r="T881" s="2">
        <v>-6054.27</v>
      </c>
      <c r="U881" s="2">
        <v>-6190.04</v>
      </c>
    </row>
    <row r="882" spans="1:21" x14ac:dyDescent="0.25">
      <c r="A882" t="s">
        <v>212</v>
      </c>
      <c r="B882">
        <v>0</v>
      </c>
      <c r="C882">
        <v>96.1</v>
      </c>
      <c r="D882">
        <v>-52.6</v>
      </c>
      <c r="E882">
        <v>-300.8</v>
      </c>
      <c r="F882">
        <v>-364.4</v>
      </c>
      <c r="G882" s="2">
        <v>1286.9000000000001</v>
      </c>
      <c r="H882">
        <v>-200.1</v>
      </c>
      <c r="I882">
        <v>-241.6</v>
      </c>
      <c r="J882">
        <v>-295.89999999999998</v>
      </c>
      <c r="K882">
        <v>-308.89999999999998</v>
      </c>
      <c r="L882">
        <v>-335</v>
      </c>
      <c r="M882">
        <v>-491</v>
      </c>
      <c r="N882">
        <v>-772</v>
      </c>
      <c r="O882">
        <v>-652.66999999999996</v>
      </c>
      <c r="P882">
        <v>-772</v>
      </c>
      <c r="Q882">
        <v>-772</v>
      </c>
      <c r="R882">
        <v>-772</v>
      </c>
      <c r="S882">
        <v>-772</v>
      </c>
      <c r="T882">
        <v>-772</v>
      </c>
      <c r="U882">
        <v>-772</v>
      </c>
    </row>
    <row r="883" spans="1:21" x14ac:dyDescent="0.25">
      <c r="A883" t="s">
        <v>218</v>
      </c>
      <c r="B883" s="2">
        <v>-3829.3</v>
      </c>
      <c r="C883">
        <v>-166.4</v>
      </c>
      <c r="D883" s="2">
        <v>-3111</v>
      </c>
      <c r="E883">
        <v>-559.79999999999995</v>
      </c>
      <c r="F883">
        <v>142.6</v>
      </c>
      <c r="G883" s="2">
        <v>-5904.9</v>
      </c>
      <c r="H883" s="2">
        <v>-2324.5</v>
      </c>
      <c r="I883" s="2">
        <v>-3137.1</v>
      </c>
      <c r="J883" s="2">
        <v>-4131.3</v>
      </c>
      <c r="K883" s="2">
        <v>-5406.7</v>
      </c>
      <c r="L883" s="2">
        <v>3495.6</v>
      </c>
      <c r="M883" s="2">
        <v>1230</v>
      </c>
      <c r="N883" s="2">
        <v>-2213</v>
      </c>
      <c r="O883" s="2">
        <v>-9102.58</v>
      </c>
      <c r="P883" s="2">
        <v>-11561.28</v>
      </c>
      <c r="Q883" s="2">
        <v>-12045.96</v>
      </c>
      <c r="R883" s="2">
        <v>-14033.18</v>
      </c>
      <c r="S883" s="2">
        <v>-15280.82</v>
      </c>
      <c r="T883" s="2">
        <v>-16485.419999999998</v>
      </c>
      <c r="U883" s="2">
        <v>-17766.47</v>
      </c>
    </row>
    <row r="884" spans="1:21" x14ac:dyDescent="0.25">
      <c r="A884" t="s">
        <v>17</v>
      </c>
    </row>
    <row r="885" spans="1:21" x14ac:dyDescent="0.25">
      <c r="A885" t="s">
        <v>176</v>
      </c>
    </row>
    <row r="886" spans="1:21" x14ac:dyDescent="0.25">
      <c r="A886" t="s">
        <v>219</v>
      </c>
      <c r="B886">
        <v>-21.5</v>
      </c>
      <c r="C886">
        <v>-341.5</v>
      </c>
      <c r="D886">
        <v>-85.6</v>
      </c>
      <c r="E886">
        <v>-236.4</v>
      </c>
      <c r="F886">
        <v>-20.5</v>
      </c>
      <c r="G886">
        <v>-63.6</v>
      </c>
      <c r="H886">
        <v>-89.9</v>
      </c>
      <c r="I886">
        <v>216</v>
      </c>
      <c r="J886">
        <v>-205.7</v>
      </c>
      <c r="K886">
        <v>-167.6</v>
      </c>
      <c r="L886">
        <v>168.6</v>
      </c>
      <c r="M886">
        <v>-297</v>
      </c>
      <c r="N886">
        <v>372</v>
      </c>
      <c r="O886">
        <v>122.43</v>
      </c>
      <c r="P886">
        <v>248</v>
      </c>
      <c r="Q886">
        <v>372</v>
      </c>
      <c r="R886">
        <v>372</v>
      </c>
      <c r="S886">
        <v>372</v>
      </c>
      <c r="T886">
        <v>372</v>
      </c>
      <c r="U886">
        <v>372</v>
      </c>
    </row>
    <row r="887" spans="1:21" x14ac:dyDescent="0.25">
      <c r="A887" t="s">
        <v>220</v>
      </c>
      <c r="B887">
        <v>-188.6</v>
      </c>
      <c r="C887">
        <v>41.4</v>
      </c>
      <c r="D887">
        <v>-205.2</v>
      </c>
      <c r="E887">
        <v>915.7</v>
      </c>
      <c r="F887" s="2">
        <v>1954.1</v>
      </c>
      <c r="G887" s="2">
        <v>1462</v>
      </c>
      <c r="H887" s="2">
        <v>-5660.7</v>
      </c>
      <c r="I887" s="2">
        <v>1319.6</v>
      </c>
      <c r="J887">
        <v>161.4</v>
      </c>
      <c r="K887" s="2">
        <v>-1751.5</v>
      </c>
      <c r="L887">
        <v>751.6</v>
      </c>
      <c r="M887">
        <v>449</v>
      </c>
      <c r="N887" s="2">
        <v>4000</v>
      </c>
      <c r="O887" s="2">
        <v>12277.91</v>
      </c>
      <c r="P887" s="2">
        <v>32331.31</v>
      </c>
      <c r="Q887" s="2">
        <v>41662.949999999997</v>
      </c>
      <c r="R887" s="2">
        <v>50563.34</v>
      </c>
      <c r="S887" s="2">
        <v>55410.65</v>
      </c>
      <c r="T887" s="2">
        <v>62085.52</v>
      </c>
      <c r="U887" s="2">
        <v>64896.76</v>
      </c>
    </row>
    <row r="888" spans="1:21" x14ac:dyDescent="0.25">
      <c r="A888" t="s">
        <v>221</v>
      </c>
      <c r="B888" s="2">
        <v>4018.8</v>
      </c>
      <c r="C888" s="2">
        <v>3830.2</v>
      </c>
      <c r="D888" s="2">
        <v>3871.6</v>
      </c>
      <c r="E888" s="2">
        <v>3666.4</v>
      </c>
      <c r="F888" s="2">
        <v>4582.1000000000004</v>
      </c>
      <c r="G888" s="2">
        <v>6536.2</v>
      </c>
      <c r="H888" s="2">
        <v>7998.2</v>
      </c>
      <c r="I888" s="2">
        <v>2337.5</v>
      </c>
      <c r="J888" s="2">
        <v>3657.1</v>
      </c>
      <c r="K888" s="2">
        <v>3818.5</v>
      </c>
      <c r="L888" s="2">
        <v>2067</v>
      </c>
      <c r="M888" s="2">
        <v>2819</v>
      </c>
      <c r="N888" s="2">
        <v>3268</v>
      </c>
      <c r="O888" s="2">
        <v>6735.31</v>
      </c>
      <c r="P888" s="2">
        <v>19625.57</v>
      </c>
      <c r="Q888" s="2">
        <v>53889.89</v>
      </c>
      <c r="R888" s="2">
        <v>99650.32</v>
      </c>
      <c r="S888" s="2">
        <v>146013.04999999999</v>
      </c>
      <c r="T888" s="2">
        <v>204636.51</v>
      </c>
      <c r="U888" s="2">
        <v>264360.8</v>
      </c>
    </row>
    <row r="889" spans="1:21" x14ac:dyDescent="0.25">
      <c r="A889" t="s">
        <v>222</v>
      </c>
      <c r="B889" s="2">
        <v>3830.2</v>
      </c>
      <c r="C889" s="2">
        <v>3871.6</v>
      </c>
      <c r="D889" s="2">
        <v>3666.4</v>
      </c>
      <c r="E889" s="2">
        <v>4582.1000000000004</v>
      </c>
      <c r="F889" s="2">
        <v>6536.2</v>
      </c>
      <c r="G889" s="2">
        <v>7320.7</v>
      </c>
      <c r="H889" s="2">
        <v>2337.5</v>
      </c>
      <c r="I889" s="2">
        <v>3657.1</v>
      </c>
      <c r="J889" s="2">
        <v>3818.5</v>
      </c>
      <c r="K889" s="2">
        <v>2067</v>
      </c>
      <c r="L889" s="2">
        <v>2818.6</v>
      </c>
      <c r="M889" s="2">
        <v>3268</v>
      </c>
      <c r="N889" s="2">
        <v>7268</v>
      </c>
      <c r="O889" s="2">
        <v>18076.509999999998</v>
      </c>
      <c r="P889" s="2">
        <v>48115.67</v>
      </c>
      <c r="Q889" s="2">
        <v>88007.78</v>
      </c>
      <c r="R889" s="2">
        <v>139450.18</v>
      </c>
      <c r="S889" s="2">
        <v>190111.69</v>
      </c>
      <c r="T889" s="2">
        <v>257732.36</v>
      </c>
      <c r="U889" s="2">
        <v>319149.56</v>
      </c>
    </row>
    <row r="890" spans="1:21" x14ac:dyDescent="0.25">
      <c r="A890" t="s">
        <v>178</v>
      </c>
    </row>
    <row r="891" spans="1:21" x14ac:dyDescent="0.25">
      <c r="A891" t="s">
        <v>224</v>
      </c>
      <c r="B891">
        <v>5.29</v>
      </c>
      <c r="C891">
        <v>4.1500000000000004</v>
      </c>
      <c r="D891">
        <v>2.78</v>
      </c>
      <c r="E891">
        <v>4.57</v>
      </c>
      <c r="F891">
        <v>5.34</v>
      </c>
      <c r="G891">
        <v>5.34</v>
      </c>
      <c r="H891">
        <v>5.17</v>
      </c>
      <c r="I891">
        <v>7.12</v>
      </c>
      <c r="J891">
        <v>7.96</v>
      </c>
      <c r="K891">
        <v>8.39</v>
      </c>
      <c r="L891">
        <v>4.6900000000000004</v>
      </c>
      <c r="M891">
        <v>9.75</v>
      </c>
      <c r="N891">
        <v>18.7</v>
      </c>
      <c r="O891">
        <v>35.4</v>
      </c>
      <c r="P891">
        <v>45.32</v>
      </c>
      <c r="Q891">
        <v>53.86</v>
      </c>
      <c r="R891">
        <v>65.069999999999993</v>
      </c>
      <c r="S891">
        <v>63.57</v>
      </c>
    </row>
    <row r="892" spans="1:21" x14ac:dyDescent="0.25">
      <c r="A892" t="s">
        <v>3794</v>
      </c>
      <c r="B892" s="2">
        <v>4722.8999999999996</v>
      </c>
      <c r="C892" s="2">
        <v>3295.8</v>
      </c>
      <c r="D892" s="2">
        <v>1898.4</v>
      </c>
      <c r="E892" s="2">
        <v>3814</v>
      </c>
      <c r="F892" s="2">
        <v>4538.8</v>
      </c>
      <c r="G892" s="2">
        <v>4313.8999999999996</v>
      </c>
      <c r="H892" s="2">
        <v>3802.7</v>
      </c>
      <c r="I892" s="2">
        <v>5111.7</v>
      </c>
      <c r="J892" s="2">
        <v>5950.9</v>
      </c>
      <c r="K892" s="2">
        <v>5731.4</v>
      </c>
      <c r="L892">
        <v>792.5</v>
      </c>
      <c r="M892" s="2">
        <v>3760</v>
      </c>
      <c r="N892" s="2">
        <v>8972</v>
      </c>
      <c r="O892" s="2">
        <v>24570.080000000002</v>
      </c>
      <c r="P892" s="2">
        <v>33070.22</v>
      </c>
      <c r="Q892" s="2">
        <v>41165.279999999999</v>
      </c>
      <c r="R892" s="2">
        <v>47913.88</v>
      </c>
      <c r="S892" s="2">
        <v>54416.79</v>
      </c>
      <c r="T892" s="2">
        <v>60276.54</v>
      </c>
      <c r="U892" s="2">
        <v>64025.78</v>
      </c>
    </row>
    <row r="893" spans="1:21" x14ac:dyDescent="0.25">
      <c r="A893" t="s">
        <v>230</v>
      </c>
      <c r="B893">
        <v>4.38</v>
      </c>
      <c r="C893">
        <v>5.93</v>
      </c>
      <c r="D893">
        <v>5.34</v>
      </c>
      <c r="E893">
        <v>4.8899999999999997</v>
      </c>
      <c r="F893">
        <v>4.71</v>
      </c>
      <c r="G893">
        <v>5.63</v>
      </c>
      <c r="H893">
        <v>4.63</v>
      </c>
      <c r="I893">
        <v>5.66</v>
      </c>
      <c r="J893">
        <v>4.63</v>
      </c>
      <c r="K893">
        <v>6.5</v>
      </c>
      <c r="L893">
        <v>10.1</v>
      </c>
      <c r="M893">
        <v>11.23</v>
      </c>
      <c r="N893">
        <v>12.03</v>
      </c>
      <c r="O893">
        <v>6.09</v>
      </c>
      <c r="P893">
        <v>4.42</v>
      </c>
      <c r="Q893">
        <v>3.54</v>
      </c>
      <c r="R893">
        <v>3.12</v>
      </c>
      <c r="S893">
        <v>2.89</v>
      </c>
      <c r="T893">
        <v>2.54</v>
      </c>
      <c r="U893">
        <v>2.4900000000000002</v>
      </c>
    </row>
    <row r="894" spans="1:21" x14ac:dyDescent="0.25">
      <c r="A894" t="s">
        <v>17</v>
      </c>
    </row>
    <row r="895" spans="1:21" x14ac:dyDescent="0.25">
      <c r="A895" t="s">
        <v>231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F163-9FD6-485D-8167-E45F6B1621B5}">
  <dimension ref="A1:U282"/>
  <sheetViews>
    <sheetView workbookViewId="0">
      <selection sqref="A1:U282"/>
    </sheetView>
  </sheetViews>
  <sheetFormatPr defaultRowHeight="15" x14ac:dyDescent="0.25"/>
  <sheetData>
    <row r="1" spans="1:21" x14ac:dyDescent="0.25">
      <c r="A1" t="s">
        <v>3795</v>
      </c>
    </row>
    <row r="2" spans="1:21" x14ac:dyDescent="0.25">
      <c r="A2" t="s">
        <v>3796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3.04</v>
      </c>
      <c r="C6">
        <v>2.56</v>
      </c>
      <c r="D6">
        <v>2.71</v>
      </c>
      <c r="E6">
        <v>2.63</v>
      </c>
      <c r="F6">
        <v>3.07</v>
      </c>
      <c r="G6">
        <v>2.59</v>
      </c>
      <c r="H6">
        <v>2.58</v>
      </c>
      <c r="I6">
        <v>2.39</v>
      </c>
      <c r="J6">
        <v>2.6</v>
      </c>
      <c r="K6">
        <v>2.41</v>
      </c>
      <c r="L6">
        <v>2.56</v>
      </c>
      <c r="M6">
        <v>2.37</v>
      </c>
      <c r="N6">
        <v>2.5499999999999998</v>
      </c>
      <c r="O6">
        <v>2.73</v>
      </c>
      <c r="P6">
        <v>2.95</v>
      </c>
      <c r="Q6">
        <v>3.18</v>
      </c>
      <c r="R6">
        <v>3.41</v>
      </c>
      <c r="S6">
        <v>3.68</v>
      </c>
      <c r="T6">
        <v>4.01</v>
      </c>
    </row>
    <row r="7" spans="1:21" x14ac:dyDescent="0.25">
      <c r="A7" t="s">
        <v>16</v>
      </c>
      <c r="B7" s="2">
        <v>14900</v>
      </c>
      <c r="C7" s="2">
        <v>15000</v>
      </c>
      <c r="D7" s="2">
        <v>15026</v>
      </c>
      <c r="E7" s="2">
        <v>14562</v>
      </c>
      <c r="F7" s="2">
        <v>14000</v>
      </c>
      <c r="G7" s="2">
        <v>11261</v>
      </c>
      <c r="H7" s="2">
        <v>11035</v>
      </c>
      <c r="I7" s="2">
        <v>10790</v>
      </c>
      <c r="J7" s="2">
        <v>11100</v>
      </c>
      <c r="K7" s="2">
        <v>12500</v>
      </c>
      <c r="L7" s="2">
        <v>12870</v>
      </c>
      <c r="M7" s="2">
        <v>13472</v>
      </c>
      <c r="N7" s="2">
        <v>15090</v>
      </c>
      <c r="O7" s="2">
        <v>15806.45</v>
      </c>
      <c r="P7" s="2">
        <v>16661.09</v>
      </c>
      <c r="Q7" s="2">
        <v>17408.18</v>
      </c>
      <c r="R7" s="2">
        <v>17983.57</v>
      </c>
      <c r="S7" s="2">
        <v>18742.71</v>
      </c>
      <c r="T7" s="2">
        <v>21333</v>
      </c>
    </row>
    <row r="8" spans="1:21" x14ac:dyDescent="0.25">
      <c r="A8" t="s">
        <v>17</v>
      </c>
    </row>
    <row r="9" spans="1:21" x14ac:dyDescent="0.25">
      <c r="A9" t="s">
        <v>32</v>
      </c>
    </row>
    <row r="10" spans="1:21" x14ac:dyDescent="0.25">
      <c r="A10" t="s">
        <v>3797</v>
      </c>
      <c r="M10" s="2">
        <v>6863</v>
      </c>
      <c r="N10" s="2">
        <v>7547</v>
      </c>
      <c r="O10" s="2">
        <v>7731.73</v>
      </c>
      <c r="P10" s="2">
        <v>8237.9500000000007</v>
      </c>
      <c r="Q10" s="2">
        <v>8478.6</v>
      </c>
      <c r="R10" s="2">
        <v>8730.5400000000009</v>
      </c>
      <c r="S10" s="2">
        <v>8982.6</v>
      </c>
      <c r="T10" s="2">
        <v>10334.49</v>
      </c>
    </row>
    <row r="11" spans="1:21" x14ac:dyDescent="0.25">
      <c r="A11" t="s">
        <v>3798</v>
      </c>
      <c r="M11" s="2">
        <v>4876</v>
      </c>
      <c r="N11" s="2">
        <v>5683</v>
      </c>
      <c r="O11" s="2">
        <v>6125.46</v>
      </c>
      <c r="P11" s="2">
        <v>6295.37</v>
      </c>
      <c r="Q11" s="2">
        <v>6445.23</v>
      </c>
      <c r="R11" s="2">
        <v>6630.88</v>
      </c>
      <c r="S11" s="2">
        <v>6816.56</v>
      </c>
      <c r="T11" s="2">
        <v>7620.2</v>
      </c>
    </row>
    <row r="12" spans="1:21" x14ac:dyDescent="0.25">
      <c r="A12" t="s">
        <v>3799</v>
      </c>
      <c r="M12" s="2">
        <v>1787</v>
      </c>
      <c r="N12" s="2">
        <v>1905</v>
      </c>
      <c r="O12" s="2">
        <v>2077.5</v>
      </c>
      <c r="P12" s="2">
        <v>2216.3000000000002</v>
      </c>
      <c r="Q12" s="2">
        <v>2354.14</v>
      </c>
      <c r="R12" s="2">
        <v>2474.7199999999998</v>
      </c>
      <c r="S12" s="2">
        <v>2635.93</v>
      </c>
      <c r="T12" s="2">
        <v>3378</v>
      </c>
    </row>
    <row r="13" spans="1:21" x14ac:dyDescent="0.25">
      <c r="A13" t="s">
        <v>3800</v>
      </c>
      <c r="B13">
        <v>-287</v>
      </c>
      <c r="C13">
        <v>-292</v>
      </c>
      <c r="D13">
        <v>-300</v>
      </c>
      <c r="E13">
        <v>-62</v>
      </c>
      <c r="F13">
        <v>-156</v>
      </c>
      <c r="G13">
        <v>-195</v>
      </c>
      <c r="H13">
        <v>-189</v>
      </c>
      <c r="I13">
        <v>-203</v>
      </c>
      <c r="J13">
        <v>-197</v>
      </c>
      <c r="K13">
        <v>-210</v>
      </c>
      <c r="L13">
        <v>-222</v>
      </c>
      <c r="M13">
        <v>-54</v>
      </c>
      <c r="N13">
        <v>-45</v>
      </c>
      <c r="O13">
        <v>-46.67</v>
      </c>
      <c r="P13">
        <v>-58</v>
      </c>
      <c r="Q13">
        <v>-58</v>
      </c>
      <c r="R13">
        <v>-58</v>
      </c>
      <c r="S13">
        <v>-58</v>
      </c>
    </row>
    <row r="14" spans="1:21" x14ac:dyDescent="0.25">
      <c r="A14" t="s">
        <v>17</v>
      </c>
    </row>
    <row r="15" spans="1:21" x14ac:dyDescent="0.25">
      <c r="A15" t="s">
        <v>3801</v>
      </c>
      <c r="B15" s="2">
        <v>49980</v>
      </c>
      <c r="C15" s="2">
        <v>51648</v>
      </c>
      <c r="D15" s="2">
        <v>52187</v>
      </c>
      <c r="E15" s="2">
        <v>43148</v>
      </c>
      <c r="F15" s="2">
        <v>42257</v>
      </c>
      <c r="G15" s="2">
        <v>40063</v>
      </c>
      <c r="H15" s="2">
        <v>42301</v>
      </c>
      <c r="I15" s="2">
        <v>44464</v>
      </c>
      <c r="J15" s="2">
        <v>45432</v>
      </c>
      <c r="K15" s="2">
        <v>46108</v>
      </c>
      <c r="L15" s="2">
        <v>48767</v>
      </c>
      <c r="M15" s="2">
        <v>52044</v>
      </c>
      <c r="N15" s="2">
        <v>55904</v>
      </c>
      <c r="O15" s="2">
        <v>60371.98</v>
      </c>
      <c r="P15" s="2">
        <v>64900.5</v>
      </c>
      <c r="Q15" s="2">
        <v>69717.759999999995</v>
      </c>
      <c r="R15" s="2">
        <v>74372.160000000003</v>
      </c>
      <c r="S15" s="2">
        <v>79389.259999999995</v>
      </c>
      <c r="T15" s="2">
        <v>90153.06</v>
      </c>
    </row>
    <row r="16" spans="1:21" x14ac:dyDescent="0.25">
      <c r="A16" t="s">
        <v>17</v>
      </c>
    </row>
    <row r="17" spans="1:20" x14ac:dyDescent="0.25">
      <c r="A17" t="s">
        <v>204</v>
      </c>
      <c r="B17" s="2">
        <v>2662</v>
      </c>
      <c r="C17" s="2">
        <v>2713</v>
      </c>
      <c r="D17" s="2">
        <v>3447</v>
      </c>
      <c r="E17" s="2">
        <v>3383</v>
      </c>
      <c r="F17" s="2">
        <v>3808</v>
      </c>
      <c r="G17" s="2">
        <v>1410</v>
      </c>
      <c r="H17" s="2">
        <v>2467</v>
      </c>
      <c r="I17" s="2">
        <v>1423</v>
      </c>
      <c r="J17">
        <v>0</v>
      </c>
      <c r="K17" s="2">
        <v>2683</v>
      </c>
      <c r="L17" s="2">
        <v>1387</v>
      </c>
      <c r="M17" s="2">
        <v>2891</v>
      </c>
      <c r="N17" s="2">
        <v>3700</v>
      </c>
      <c r="O17" s="2">
        <v>3307.12</v>
      </c>
      <c r="P17" s="2">
        <v>3871.33</v>
      </c>
      <c r="Q17" s="2">
        <v>4166.5</v>
      </c>
      <c r="R17" s="2">
        <v>4572.4799999999996</v>
      </c>
      <c r="S17" s="2">
        <v>4907.6000000000004</v>
      </c>
      <c r="T17" s="2">
        <v>5243.56</v>
      </c>
    </row>
    <row r="18" spans="1:20" x14ac:dyDescent="0.25">
      <c r="A18" t="s">
        <v>242</v>
      </c>
      <c r="B18" s="2">
        <v>-2638</v>
      </c>
      <c r="C18" s="2">
        <v>-3312</v>
      </c>
      <c r="D18" s="2">
        <v>-2704</v>
      </c>
      <c r="E18" s="2">
        <v>-2835</v>
      </c>
      <c r="F18" s="2">
        <v>-2587</v>
      </c>
      <c r="G18" s="2">
        <v>-2675</v>
      </c>
      <c r="H18" s="2">
        <v>-2665</v>
      </c>
      <c r="I18" s="2">
        <v>-2657</v>
      </c>
      <c r="J18" s="2">
        <v>-2445</v>
      </c>
      <c r="K18" s="2">
        <v>-2756</v>
      </c>
      <c r="L18" s="2">
        <v>-3356</v>
      </c>
      <c r="M18" s="2">
        <v>-4030</v>
      </c>
      <c r="N18" s="2">
        <v>-4705</v>
      </c>
      <c r="O18" s="2">
        <v>-5629.13</v>
      </c>
      <c r="P18" s="2">
        <v>-6920.63</v>
      </c>
      <c r="Q18" s="2">
        <v>-7687.5</v>
      </c>
      <c r="R18" s="2">
        <v>-7487.5</v>
      </c>
      <c r="S18" s="2">
        <v>-8215.7099999999991</v>
      </c>
      <c r="T18" s="2">
        <v>-8230</v>
      </c>
    </row>
    <row r="19" spans="1:20" x14ac:dyDescent="0.25">
      <c r="A19" t="s">
        <v>17</v>
      </c>
    </row>
    <row r="20" spans="1:20" x14ac:dyDescent="0.25">
      <c r="A20" t="s">
        <v>37</v>
      </c>
    </row>
    <row r="21" spans="1:20" x14ac:dyDescent="0.25">
      <c r="A21" t="s">
        <v>17</v>
      </c>
    </row>
    <row r="22" spans="1:20" x14ac:dyDescent="0.25">
      <c r="A22" t="s">
        <v>38</v>
      </c>
    </row>
    <row r="23" spans="1:20" x14ac:dyDescent="0.25">
      <c r="A23" t="s">
        <v>3247</v>
      </c>
    </row>
    <row r="24" spans="1:20" x14ac:dyDescent="0.25">
      <c r="A24" t="s">
        <v>3799</v>
      </c>
      <c r="O24">
        <v>156</v>
      </c>
      <c r="P24">
        <v>152</v>
      </c>
      <c r="Q24">
        <v>176</v>
      </c>
      <c r="R24">
        <v>232</v>
      </c>
      <c r="S24">
        <v>336</v>
      </c>
      <c r="T24">
        <v>368</v>
      </c>
    </row>
    <row r="25" spans="1:20" x14ac:dyDescent="0.25">
      <c r="A25" t="s">
        <v>3802</v>
      </c>
      <c r="O25">
        <v>40</v>
      </c>
      <c r="Q25">
        <v>5</v>
      </c>
      <c r="R25">
        <v>5</v>
      </c>
      <c r="S25">
        <v>2.5</v>
      </c>
    </row>
    <row r="26" spans="1:20" x14ac:dyDescent="0.25">
      <c r="A26" t="s">
        <v>3803</v>
      </c>
      <c r="O26">
        <v>60</v>
      </c>
      <c r="R26">
        <v>10</v>
      </c>
      <c r="S26">
        <v>10</v>
      </c>
    </row>
    <row r="27" spans="1:20" x14ac:dyDescent="0.25">
      <c r="A27" t="s">
        <v>3804</v>
      </c>
      <c r="O27">
        <v>-300</v>
      </c>
      <c r="P27">
        <v>-5</v>
      </c>
      <c r="Q27">
        <v>-20</v>
      </c>
      <c r="R27">
        <v>-12.5</v>
      </c>
      <c r="S27">
        <v>-15</v>
      </c>
    </row>
    <row r="28" spans="1:20" x14ac:dyDescent="0.25">
      <c r="A28" t="s">
        <v>3805</v>
      </c>
    </row>
    <row r="29" spans="1:20" x14ac:dyDescent="0.25">
      <c r="A29" t="s">
        <v>3806</v>
      </c>
    </row>
    <row r="30" spans="1:20" x14ac:dyDescent="0.25">
      <c r="A30" t="s">
        <v>3807</v>
      </c>
      <c r="B30" s="2">
        <v>147888</v>
      </c>
      <c r="C30" s="2">
        <v>149553</v>
      </c>
      <c r="D30" s="2">
        <v>148411</v>
      </c>
      <c r="E30" s="2">
        <v>148841</v>
      </c>
      <c r="F30" s="2">
        <v>145716</v>
      </c>
      <c r="G30" s="2">
        <v>151770</v>
      </c>
      <c r="H30" s="2">
        <v>147696</v>
      </c>
      <c r="I30" s="2">
        <v>141823</v>
      </c>
      <c r="J30" s="2">
        <v>145250</v>
      </c>
      <c r="K30" s="2">
        <v>147481</v>
      </c>
      <c r="L30" s="2">
        <v>142648</v>
      </c>
      <c r="M30" s="2">
        <v>146602</v>
      </c>
      <c r="N30" s="2">
        <v>148452</v>
      </c>
    </row>
    <row r="31" spans="1:20" x14ac:dyDescent="0.25">
      <c r="A31" t="s">
        <v>3808</v>
      </c>
    </row>
    <row r="32" spans="1:20" x14ac:dyDescent="0.25">
      <c r="A32" t="s">
        <v>3809</v>
      </c>
    </row>
    <row r="33" spans="1:20" x14ac:dyDescent="0.25">
      <c r="A33" t="s">
        <v>3810</v>
      </c>
    </row>
    <row r="34" spans="1:20" x14ac:dyDescent="0.25">
      <c r="A34" t="s">
        <v>3811</v>
      </c>
    </row>
    <row r="35" spans="1:20" x14ac:dyDescent="0.25">
      <c r="A35" t="s">
        <v>807</v>
      </c>
    </row>
    <row r="36" spans="1:20" x14ac:dyDescent="0.25">
      <c r="A36" t="s">
        <v>3812</v>
      </c>
    </row>
    <row r="37" spans="1:20" x14ac:dyDescent="0.25">
      <c r="A37" t="s">
        <v>3809</v>
      </c>
    </row>
    <row r="38" spans="1:20" x14ac:dyDescent="0.25">
      <c r="A38" t="s">
        <v>3810</v>
      </c>
    </row>
    <row r="39" spans="1:20" x14ac:dyDescent="0.25">
      <c r="A39" t="s">
        <v>3811</v>
      </c>
    </row>
    <row r="40" spans="1:20" x14ac:dyDescent="0.25">
      <c r="A40" t="s">
        <v>807</v>
      </c>
    </row>
    <row r="41" spans="1:20" x14ac:dyDescent="0.25">
      <c r="A41" t="s">
        <v>3813</v>
      </c>
    </row>
    <row r="42" spans="1:20" x14ac:dyDescent="0.25">
      <c r="A42" t="s">
        <v>3809</v>
      </c>
    </row>
    <row r="43" spans="1:20" x14ac:dyDescent="0.25">
      <c r="A43" t="s">
        <v>3810</v>
      </c>
    </row>
    <row r="44" spans="1:20" x14ac:dyDescent="0.25">
      <c r="A44" t="s">
        <v>3811</v>
      </c>
      <c r="O44">
        <v>22.26</v>
      </c>
      <c r="P44">
        <v>15.15</v>
      </c>
      <c r="Q44">
        <v>14.79</v>
      </c>
      <c r="R44">
        <v>-50.38</v>
      </c>
      <c r="S44">
        <v>7.2</v>
      </c>
      <c r="T44">
        <v>6.84</v>
      </c>
    </row>
    <row r="45" spans="1:20" x14ac:dyDescent="0.25">
      <c r="A45" t="s">
        <v>807</v>
      </c>
    </row>
    <row r="46" spans="1:20" x14ac:dyDescent="0.25">
      <c r="A46" t="s">
        <v>3814</v>
      </c>
    </row>
    <row r="47" spans="1:20" x14ac:dyDescent="0.25">
      <c r="A47" t="s">
        <v>3809</v>
      </c>
    </row>
    <row r="48" spans="1:20" x14ac:dyDescent="0.25">
      <c r="A48" t="s">
        <v>3810</v>
      </c>
    </row>
    <row r="49" spans="1:20" x14ac:dyDescent="0.25">
      <c r="A49" t="s">
        <v>3811</v>
      </c>
    </row>
    <row r="50" spans="1:20" x14ac:dyDescent="0.25">
      <c r="A50" t="s">
        <v>807</v>
      </c>
    </row>
    <row r="51" spans="1:20" x14ac:dyDescent="0.25">
      <c r="A51" t="s">
        <v>3815</v>
      </c>
    </row>
    <row r="52" spans="1:20" x14ac:dyDescent="0.25">
      <c r="A52" t="s">
        <v>3809</v>
      </c>
    </row>
    <row r="53" spans="1:20" x14ac:dyDescent="0.25">
      <c r="A53" t="s">
        <v>3810</v>
      </c>
    </row>
    <row r="54" spans="1:20" x14ac:dyDescent="0.25">
      <c r="A54" t="s">
        <v>3811</v>
      </c>
    </row>
    <row r="55" spans="1:20" x14ac:dyDescent="0.25">
      <c r="A55" t="s">
        <v>807</v>
      </c>
    </row>
    <row r="56" spans="1:20" x14ac:dyDescent="0.25">
      <c r="A56" t="s">
        <v>3250</v>
      </c>
      <c r="H56" s="2">
        <v>21715</v>
      </c>
      <c r="I56" s="2">
        <v>23100</v>
      </c>
      <c r="J56" s="2">
        <v>24300</v>
      </c>
      <c r="K56" s="2">
        <v>25600</v>
      </c>
      <c r="L56" s="2">
        <v>27300</v>
      </c>
      <c r="M56" s="2">
        <v>25900</v>
      </c>
      <c r="N56" s="2">
        <v>27800</v>
      </c>
      <c r="O56" s="2">
        <v>33683.58</v>
      </c>
      <c r="P56" s="2">
        <v>37531.339999999997</v>
      </c>
      <c r="Q56" s="2">
        <v>42228.36</v>
      </c>
      <c r="R56" s="2">
        <v>45876.12</v>
      </c>
      <c r="S56" s="2">
        <v>49922.39</v>
      </c>
    </row>
    <row r="57" spans="1:20" x14ac:dyDescent="0.25">
      <c r="A57" t="s">
        <v>17</v>
      </c>
    </row>
    <row r="58" spans="1:20" x14ac:dyDescent="0.25">
      <c r="A58" t="s">
        <v>3816</v>
      </c>
      <c r="B58" s="2">
        <v>2496</v>
      </c>
      <c r="C58" s="2">
        <v>2280</v>
      </c>
      <c r="D58" s="2">
        <v>1855</v>
      </c>
      <c r="E58">
        <v>571</v>
      </c>
      <c r="F58">
        <v>497</v>
      </c>
      <c r="G58">
        <v>538</v>
      </c>
      <c r="H58">
        <v>497</v>
      </c>
      <c r="I58">
        <v>369</v>
      </c>
      <c r="J58">
        <v>481</v>
      </c>
      <c r="K58">
        <v>730</v>
      </c>
      <c r="L58">
        <v>538</v>
      </c>
      <c r="M58">
        <v>464</v>
      </c>
      <c r="N58">
        <v>652</v>
      </c>
      <c r="O58" s="2">
        <v>2127.2600000000002</v>
      </c>
      <c r="P58" s="2">
        <v>2149.38</v>
      </c>
      <c r="Q58" s="2">
        <v>2175.17</v>
      </c>
      <c r="R58" s="2">
        <v>2198.62</v>
      </c>
      <c r="S58" s="2">
        <v>2215.1799999999998</v>
      </c>
    </row>
    <row r="59" spans="1:20" x14ac:dyDescent="0.25">
      <c r="A59" t="s">
        <v>3817</v>
      </c>
      <c r="B59" s="2">
        <v>147888</v>
      </c>
      <c r="C59" s="2">
        <v>149553</v>
      </c>
      <c r="D59" s="2">
        <v>148411</v>
      </c>
      <c r="E59" s="2">
        <v>148841</v>
      </c>
      <c r="F59" s="2">
        <v>145716</v>
      </c>
      <c r="G59" s="2">
        <v>151770</v>
      </c>
      <c r="H59" s="2">
        <v>147696</v>
      </c>
      <c r="I59" s="2">
        <v>141823</v>
      </c>
      <c r="J59" s="2">
        <v>145250</v>
      </c>
      <c r="K59" s="2">
        <v>147481</v>
      </c>
      <c r="L59" s="2">
        <v>142648</v>
      </c>
      <c r="M59" s="2">
        <v>146602</v>
      </c>
      <c r="N59" s="2">
        <v>148452</v>
      </c>
    </row>
    <row r="60" spans="1:20" x14ac:dyDescent="0.25">
      <c r="A60" t="s">
        <v>3241</v>
      </c>
      <c r="B60" s="2">
        <v>54479</v>
      </c>
      <c r="C60" s="2">
        <v>54766</v>
      </c>
      <c r="D60" s="2">
        <v>54466</v>
      </c>
      <c r="E60" s="2">
        <v>54840</v>
      </c>
      <c r="F60" s="2">
        <v>52048</v>
      </c>
      <c r="G60" s="2">
        <v>55994</v>
      </c>
      <c r="H60" s="2">
        <v>54159</v>
      </c>
      <c r="I60" s="2">
        <v>54978</v>
      </c>
      <c r="J60" s="2">
        <v>55624</v>
      </c>
      <c r="K60" s="2">
        <v>55995</v>
      </c>
      <c r="L60" s="2">
        <v>52216</v>
      </c>
      <c r="M60" s="2">
        <v>54631</v>
      </c>
      <c r="N60" s="2">
        <v>56397</v>
      </c>
    </row>
    <row r="61" spans="1:20" x14ac:dyDescent="0.25">
      <c r="A61" t="s">
        <v>17</v>
      </c>
    </row>
    <row r="62" spans="1:20" x14ac:dyDescent="0.25">
      <c r="A62" t="s">
        <v>58</v>
      </c>
    </row>
    <row r="63" spans="1:20" x14ac:dyDescent="0.25">
      <c r="A63" t="s">
        <v>3818</v>
      </c>
    </row>
    <row r="64" spans="1:20" x14ac:dyDescent="0.25">
      <c r="A64" t="s">
        <v>60</v>
      </c>
      <c r="M64" s="2">
        <v>6863</v>
      </c>
      <c r="N64" s="2">
        <v>7547</v>
      </c>
      <c r="O64" s="2">
        <v>7731.73</v>
      </c>
      <c r="P64" s="2">
        <v>8237.9500000000007</v>
      </c>
      <c r="Q64" s="2">
        <v>8478.6</v>
      </c>
      <c r="R64" s="2">
        <v>8730.5400000000009</v>
      </c>
      <c r="S64" s="2">
        <v>8982.6</v>
      </c>
      <c r="T64" s="2">
        <v>10334.49</v>
      </c>
    </row>
    <row r="65" spans="1:20" x14ac:dyDescent="0.25">
      <c r="A65" t="s">
        <v>1251</v>
      </c>
      <c r="M65" s="2">
        <v>2408</v>
      </c>
      <c r="N65" s="2">
        <v>2479</v>
      </c>
      <c r="O65" s="2">
        <v>2481</v>
      </c>
      <c r="P65" s="2">
        <v>2481</v>
      </c>
      <c r="Q65" s="2">
        <v>2481</v>
      </c>
      <c r="R65" s="2">
        <v>2481</v>
      </c>
      <c r="S65" s="2">
        <v>2481</v>
      </c>
    </row>
    <row r="66" spans="1:20" x14ac:dyDescent="0.25">
      <c r="A66" t="s">
        <v>484</v>
      </c>
      <c r="M66">
        <v>432</v>
      </c>
      <c r="N66">
        <v>399</v>
      </c>
      <c r="O66">
        <v>350.25</v>
      </c>
      <c r="P66">
        <v>397.55</v>
      </c>
      <c r="Q66">
        <v>466.67</v>
      </c>
      <c r="R66">
        <v>550.66</v>
      </c>
      <c r="S66">
        <v>619.16999999999996</v>
      </c>
    </row>
    <row r="67" spans="1:20" x14ac:dyDescent="0.25">
      <c r="A67" t="s">
        <v>3819</v>
      </c>
      <c r="M67">
        <v>624</v>
      </c>
      <c r="N67">
        <v>363</v>
      </c>
      <c r="O67">
        <v>771.76</v>
      </c>
      <c r="P67">
        <v>843.2</v>
      </c>
      <c r="Q67">
        <v>917.14</v>
      </c>
      <c r="R67">
        <v>996</v>
      </c>
      <c r="S67" s="2">
        <v>1083.3499999999999</v>
      </c>
    </row>
    <row r="68" spans="1:20" x14ac:dyDescent="0.25">
      <c r="A68" t="s">
        <v>206</v>
      </c>
      <c r="M68" s="2">
        <v>1130</v>
      </c>
      <c r="N68" s="2">
        <v>1344</v>
      </c>
    </row>
    <row r="69" spans="1:20" x14ac:dyDescent="0.25">
      <c r="A69" t="s">
        <v>3820</v>
      </c>
      <c r="N69">
        <v>148.44999999999999</v>
      </c>
      <c r="O69">
        <v>151.1</v>
      </c>
      <c r="P69">
        <v>157.1</v>
      </c>
      <c r="Q69">
        <v>161</v>
      </c>
      <c r="R69">
        <v>165.09</v>
      </c>
      <c r="S69">
        <v>169.38</v>
      </c>
      <c r="T69">
        <v>173.88</v>
      </c>
    </row>
    <row r="70" spans="1:20" x14ac:dyDescent="0.25">
      <c r="A70" t="s">
        <v>17</v>
      </c>
    </row>
    <row r="71" spans="1:20" x14ac:dyDescent="0.25">
      <c r="A71" t="s">
        <v>3821</v>
      </c>
    </row>
    <row r="72" spans="1:20" x14ac:dyDescent="0.25">
      <c r="A72" t="s">
        <v>60</v>
      </c>
      <c r="M72" s="2">
        <v>4876</v>
      </c>
      <c r="N72" s="2">
        <v>5683</v>
      </c>
      <c r="O72" s="2">
        <v>6125.46</v>
      </c>
      <c r="P72" s="2">
        <v>6295.37</v>
      </c>
      <c r="Q72" s="2">
        <v>6445.23</v>
      </c>
      <c r="R72" s="2">
        <v>6630.88</v>
      </c>
      <c r="S72" s="2">
        <v>6816.56</v>
      </c>
      <c r="T72" s="2">
        <v>7620.2</v>
      </c>
    </row>
    <row r="73" spans="1:20" x14ac:dyDescent="0.25">
      <c r="A73" t="s">
        <v>1251</v>
      </c>
      <c r="M73" s="2">
        <v>1324</v>
      </c>
      <c r="N73" s="2">
        <v>1416</v>
      </c>
      <c r="O73">
        <v>819</v>
      </c>
      <c r="P73">
        <v>819</v>
      </c>
      <c r="Q73">
        <v>819</v>
      </c>
      <c r="R73">
        <v>819</v>
      </c>
      <c r="S73">
        <v>819</v>
      </c>
    </row>
    <row r="74" spans="1:20" x14ac:dyDescent="0.25">
      <c r="A74" t="s">
        <v>484</v>
      </c>
      <c r="M74">
        <v>262</v>
      </c>
      <c r="N74">
        <v>284</v>
      </c>
      <c r="O74">
        <v>308.95</v>
      </c>
      <c r="P74">
        <v>385.02</v>
      </c>
      <c r="Q74">
        <v>470.29</v>
      </c>
      <c r="R74">
        <v>578.49</v>
      </c>
      <c r="S74">
        <v>680.19</v>
      </c>
    </row>
    <row r="75" spans="1:20" x14ac:dyDescent="0.25">
      <c r="A75" t="s">
        <v>3819</v>
      </c>
      <c r="M75">
        <v>535</v>
      </c>
      <c r="N75">
        <v>588</v>
      </c>
      <c r="O75">
        <v>660.74</v>
      </c>
      <c r="P75">
        <v>734.51</v>
      </c>
      <c r="Q75">
        <v>811</v>
      </c>
      <c r="R75">
        <v>865.31</v>
      </c>
      <c r="S75">
        <v>930.25</v>
      </c>
    </row>
    <row r="76" spans="1:20" x14ac:dyDescent="0.25">
      <c r="A76" t="s">
        <v>206</v>
      </c>
      <c r="M76" s="2">
        <v>1542</v>
      </c>
      <c r="N76" s="2">
        <v>1842</v>
      </c>
    </row>
    <row r="77" spans="1:20" x14ac:dyDescent="0.25">
      <c r="A77" t="s">
        <v>3820</v>
      </c>
      <c r="O77">
        <v>151.1</v>
      </c>
      <c r="P77">
        <v>157.1</v>
      </c>
      <c r="Q77">
        <v>161</v>
      </c>
      <c r="R77">
        <v>165.09</v>
      </c>
      <c r="S77">
        <v>169.38</v>
      </c>
      <c r="T77">
        <v>173.88</v>
      </c>
    </row>
    <row r="78" spans="1:20" x14ac:dyDescent="0.25">
      <c r="A78" t="s">
        <v>17</v>
      </c>
    </row>
    <row r="79" spans="1:20" x14ac:dyDescent="0.25">
      <c r="A79" t="s">
        <v>3822</v>
      </c>
    </row>
    <row r="80" spans="1:20" x14ac:dyDescent="0.25">
      <c r="A80" t="s">
        <v>60</v>
      </c>
      <c r="M80" s="2">
        <v>1787</v>
      </c>
      <c r="N80" s="2">
        <v>1905</v>
      </c>
      <c r="O80" s="2">
        <v>2077.5</v>
      </c>
      <c r="P80" s="2">
        <v>2216.3000000000002</v>
      </c>
      <c r="Q80" s="2">
        <v>2354.14</v>
      </c>
      <c r="R80" s="2">
        <v>2474.7199999999998</v>
      </c>
      <c r="S80" s="2">
        <v>2635.93</v>
      </c>
      <c r="T80" s="2">
        <v>3378</v>
      </c>
    </row>
    <row r="81" spans="1:20" x14ac:dyDescent="0.25">
      <c r="A81" t="s">
        <v>1251</v>
      </c>
      <c r="M81">
        <v>359</v>
      </c>
      <c r="N81">
        <v>328</v>
      </c>
      <c r="O81">
        <v>338.31</v>
      </c>
      <c r="P81">
        <v>338.31</v>
      </c>
      <c r="Q81">
        <v>338.31</v>
      </c>
      <c r="R81">
        <v>338.31</v>
      </c>
      <c r="S81">
        <v>338.31</v>
      </c>
    </row>
    <row r="82" spans="1:20" x14ac:dyDescent="0.25">
      <c r="A82" t="s">
        <v>484</v>
      </c>
      <c r="M82">
        <v>275</v>
      </c>
      <c r="N82">
        <v>322</v>
      </c>
      <c r="O82">
        <v>191.73</v>
      </c>
      <c r="P82">
        <v>191.73</v>
      </c>
      <c r="Q82">
        <v>191.73</v>
      </c>
      <c r="R82">
        <v>191.73</v>
      </c>
      <c r="S82">
        <v>191.73</v>
      </c>
    </row>
    <row r="83" spans="1:20" x14ac:dyDescent="0.25">
      <c r="A83" t="s">
        <v>3819</v>
      </c>
      <c r="M83">
        <v>294</v>
      </c>
      <c r="N83">
        <v>357</v>
      </c>
      <c r="O83">
        <v>373.61</v>
      </c>
      <c r="P83">
        <v>391.7</v>
      </c>
      <c r="Q83">
        <v>412.71</v>
      </c>
      <c r="R83">
        <v>461.03</v>
      </c>
      <c r="S83">
        <v>498.57</v>
      </c>
    </row>
    <row r="84" spans="1:20" x14ac:dyDescent="0.25">
      <c r="A84" t="s">
        <v>206</v>
      </c>
      <c r="M84" s="2">
        <v>1266</v>
      </c>
      <c r="N84" s="2">
        <v>1601</v>
      </c>
    </row>
    <row r="85" spans="1:20" x14ac:dyDescent="0.25">
      <c r="A85" t="s">
        <v>17</v>
      </c>
    </row>
    <row r="86" spans="1:20" x14ac:dyDescent="0.25">
      <c r="A86" t="s">
        <v>3823</v>
      </c>
    </row>
    <row r="87" spans="1:20" x14ac:dyDescent="0.25">
      <c r="A87" t="s">
        <v>60</v>
      </c>
      <c r="B87">
        <v>-287</v>
      </c>
      <c r="C87">
        <v>-292</v>
      </c>
      <c r="D87">
        <v>-300</v>
      </c>
      <c r="E87">
        <v>-62</v>
      </c>
      <c r="F87">
        <v>-156</v>
      </c>
      <c r="G87">
        <v>-195</v>
      </c>
      <c r="H87">
        <v>-189</v>
      </c>
      <c r="I87">
        <v>-203</v>
      </c>
      <c r="J87">
        <v>-197</v>
      </c>
      <c r="K87">
        <v>-210</v>
      </c>
      <c r="L87">
        <v>-222</v>
      </c>
      <c r="M87">
        <v>-54</v>
      </c>
      <c r="N87">
        <v>-45</v>
      </c>
      <c r="O87">
        <v>-46.67</v>
      </c>
      <c r="P87">
        <v>-58</v>
      </c>
      <c r="Q87">
        <v>-58</v>
      </c>
      <c r="R87">
        <v>-58</v>
      </c>
      <c r="S87">
        <v>-58</v>
      </c>
    </row>
    <row r="88" spans="1:20" x14ac:dyDescent="0.25">
      <c r="A88" t="s">
        <v>3824</v>
      </c>
      <c r="B88">
        <v>-161</v>
      </c>
      <c r="C88">
        <v>-193</v>
      </c>
      <c r="D88">
        <v>-165</v>
      </c>
      <c r="E88">
        <v>-12</v>
      </c>
      <c r="F88">
        <v>-94</v>
      </c>
      <c r="G88">
        <v>-136</v>
      </c>
      <c r="H88">
        <v>-128</v>
      </c>
      <c r="I88">
        <v>-139</v>
      </c>
      <c r="J88">
        <v>-140</v>
      </c>
      <c r="K88">
        <v>-159</v>
      </c>
      <c r="L88">
        <v>-170</v>
      </c>
      <c r="M88">
        <v>9</v>
      </c>
      <c r="N88">
        <v>18</v>
      </c>
    </row>
    <row r="89" spans="1:20" x14ac:dyDescent="0.25">
      <c r="A89" t="s">
        <v>78</v>
      </c>
      <c r="B89">
        <v>-126</v>
      </c>
      <c r="C89">
        <v>-99</v>
      </c>
      <c r="D89">
        <v>-135</v>
      </c>
      <c r="E89">
        <v>-50</v>
      </c>
      <c r="F89">
        <v>-62</v>
      </c>
      <c r="G89">
        <v>-59</v>
      </c>
      <c r="H89">
        <v>-61</v>
      </c>
      <c r="I89">
        <v>-64</v>
      </c>
      <c r="J89">
        <v>-57</v>
      </c>
      <c r="K89">
        <v>-51</v>
      </c>
      <c r="L89">
        <v>-52</v>
      </c>
      <c r="M89">
        <v>-63</v>
      </c>
      <c r="N89">
        <v>-63</v>
      </c>
    </row>
    <row r="90" spans="1:20" x14ac:dyDescent="0.25">
      <c r="A90" t="s">
        <v>87</v>
      </c>
    </row>
    <row r="91" spans="1:20" x14ac:dyDescent="0.25">
      <c r="A91" t="s">
        <v>3825</v>
      </c>
      <c r="F91">
        <v>12</v>
      </c>
      <c r="G91">
        <v>-104</v>
      </c>
      <c r="H91">
        <v>-156</v>
      </c>
      <c r="I91">
        <v>-169</v>
      </c>
      <c r="J91">
        <v>-129</v>
      </c>
      <c r="K91">
        <v>-203</v>
      </c>
      <c r="L91">
        <v>-193</v>
      </c>
      <c r="M91">
        <v>68</v>
      </c>
      <c r="N91">
        <v>-101</v>
      </c>
      <c r="O91">
        <v>40</v>
      </c>
      <c r="P91">
        <v>100</v>
      </c>
      <c r="Q91">
        <v>100</v>
      </c>
      <c r="R91">
        <v>100</v>
      </c>
      <c r="S91">
        <v>100</v>
      </c>
    </row>
    <row r="92" spans="1:20" x14ac:dyDescent="0.25">
      <c r="A92" t="s">
        <v>3826</v>
      </c>
      <c r="E92">
        <v>40</v>
      </c>
      <c r="F92">
        <v>40</v>
      </c>
      <c r="G92">
        <v>41</v>
      </c>
      <c r="H92">
        <v>39</v>
      </c>
      <c r="I92">
        <v>44</v>
      </c>
      <c r="J92">
        <v>36</v>
      </c>
      <c r="K92">
        <v>43</v>
      </c>
      <c r="L92">
        <v>47</v>
      </c>
      <c r="M92">
        <v>41</v>
      </c>
      <c r="N92">
        <v>50</v>
      </c>
      <c r="O92">
        <v>50</v>
      </c>
      <c r="P92">
        <v>50</v>
      </c>
      <c r="Q92">
        <v>50</v>
      </c>
      <c r="R92">
        <v>50</v>
      </c>
      <c r="S92">
        <v>50</v>
      </c>
    </row>
    <row r="93" spans="1:20" x14ac:dyDescent="0.25">
      <c r="A93" t="s">
        <v>116</v>
      </c>
      <c r="B93">
        <v>-37</v>
      </c>
      <c r="C93">
        <v>-35</v>
      </c>
      <c r="D93">
        <v>-84</v>
      </c>
      <c r="E93">
        <v>-198</v>
      </c>
      <c r="F93">
        <v>-293</v>
      </c>
      <c r="G93">
        <v>-210</v>
      </c>
      <c r="H93">
        <v>-162</v>
      </c>
      <c r="I93">
        <v>-157</v>
      </c>
      <c r="J93">
        <v>-417</v>
      </c>
      <c r="K93">
        <v>-143</v>
      </c>
      <c r="L93">
        <v>-169</v>
      </c>
      <c r="M93">
        <v>-262</v>
      </c>
      <c r="N93">
        <v>-92</v>
      </c>
      <c r="O93">
        <v>-41</v>
      </c>
      <c r="P93">
        <v>-41</v>
      </c>
      <c r="Q93">
        <v>-41</v>
      </c>
      <c r="R93">
        <v>-41</v>
      </c>
      <c r="S93">
        <v>-41</v>
      </c>
    </row>
    <row r="94" spans="1:20" x14ac:dyDescent="0.25">
      <c r="A94" t="s">
        <v>190</v>
      </c>
      <c r="B94">
        <v>43</v>
      </c>
      <c r="C94">
        <v>48</v>
      </c>
      <c r="D94">
        <v>60</v>
      </c>
      <c r="E94">
        <v>63</v>
      </c>
      <c r="F94">
        <v>79</v>
      </c>
      <c r="G94">
        <v>72</v>
      </c>
      <c r="H94">
        <v>73</v>
      </c>
      <c r="I94">
        <v>65</v>
      </c>
      <c r="J94">
        <v>66</v>
      </c>
      <c r="K94">
        <v>73</v>
      </c>
      <c r="L94">
        <v>73</v>
      </c>
      <c r="M94">
        <v>76</v>
      </c>
      <c r="N94">
        <v>78</v>
      </c>
    </row>
    <row r="95" spans="1:20" x14ac:dyDescent="0.25">
      <c r="A95" t="s">
        <v>484</v>
      </c>
      <c r="B95">
        <v>158</v>
      </c>
      <c r="C95">
        <v>164</v>
      </c>
      <c r="D95">
        <v>193</v>
      </c>
      <c r="E95">
        <v>219</v>
      </c>
      <c r="F95">
        <v>358</v>
      </c>
      <c r="G95">
        <v>468</v>
      </c>
      <c r="H95">
        <v>372</v>
      </c>
      <c r="I95">
        <v>345</v>
      </c>
      <c r="J95">
        <v>370</v>
      </c>
      <c r="K95">
        <v>283</v>
      </c>
      <c r="L95">
        <v>250</v>
      </c>
      <c r="M95">
        <v>175</v>
      </c>
      <c r="N95">
        <v>212</v>
      </c>
      <c r="O95">
        <v>200.55</v>
      </c>
      <c r="P95">
        <v>198.97</v>
      </c>
      <c r="Q95">
        <v>216.56</v>
      </c>
      <c r="R95">
        <v>235.27</v>
      </c>
      <c r="S95">
        <v>254.58</v>
      </c>
      <c r="T95">
        <v>518.01</v>
      </c>
    </row>
    <row r="96" spans="1:20" x14ac:dyDescent="0.25">
      <c r="A96" t="s">
        <v>3819</v>
      </c>
      <c r="B96">
        <v>-105</v>
      </c>
      <c r="C96">
        <v>-58</v>
      </c>
      <c r="D96">
        <v>-427</v>
      </c>
      <c r="E96">
        <v>-431</v>
      </c>
      <c r="F96" s="2">
        <v>-1541</v>
      </c>
      <c r="G96">
        <v>-617</v>
      </c>
      <c r="H96">
        <v>-619</v>
      </c>
      <c r="I96">
        <v>-420</v>
      </c>
      <c r="J96">
        <v>-413</v>
      </c>
      <c r="K96">
        <v>-912</v>
      </c>
      <c r="L96">
        <v>-131</v>
      </c>
      <c r="M96">
        <v>-475</v>
      </c>
      <c r="N96">
        <v>-288</v>
      </c>
      <c r="O96">
        <v>-253</v>
      </c>
      <c r="P96">
        <v>-218.04</v>
      </c>
      <c r="Q96">
        <v>-220.8</v>
      </c>
      <c r="R96">
        <v>-220.8</v>
      </c>
      <c r="S96">
        <v>-220.8</v>
      </c>
    </row>
    <row r="97" spans="1:20" x14ac:dyDescent="0.25">
      <c r="A97" t="s">
        <v>3480</v>
      </c>
      <c r="B97">
        <v>-0.26</v>
      </c>
      <c r="C97">
        <v>-0.13</v>
      </c>
      <c r="D97">
        <v>-0.44</v>
      </c>
      <c r="E97">
        <v>-0.56000000000000005</v>
      </c>
      <c r="F97">
        <v>-0.42</v>
      </c>
      <c r="G97">
        <v>-0.56000000000000005</v>
      </c>
      <c r="H97">
        <v>-0.51</v>
      </c>
      <c r="I97">
        <v>-0.53</v>
      </c>
      <c r="J97">
        <v>-0.48</v>
      </c>
      <c r="K97">
        <v>-0.2</v>
      </c>
      <c r="L97">
        <v>0.05</v>
      </c>
      <c r="M97">
        <v>-0.82</v>
      </c>
      <c r="N97">
        <v>-0.5</v>
      </c>
      <c r="O97">
        <v>-0.49</v>
      </c>
      <c r="P97">
        <v>-0.46</v>
      </c>
      <c r="Q97">
        <v>-0.5</v>
      </c>
      <c r="R97">
        <v>-0.55000000000000004</v>
      </c>
      <c r="S97">
        <v>-0.62</v>
      </c>
      <c r="T97">
        <v>-0.73</v>
      </c>
    </row>
    <row r="98" spans="1:20" x14ac:dyDescent="0.25">
      <c r="A98" t="s">
        <v>206</v>
      </c>
      <c r="B98">
        <v>78</v>
      </c>
      <c r="C98">
        <v>72</v>
      </c>
      <c r="D98">
        <v>56</v>
      </c>
      <c r="E98">
        <v>52</v>
      </c>
      <c r="F98">
        <v>366</v>
      </c>
      <c r="G98">
        <v>133</v>
      </c>
      <c r="H98">
        <v>102</v>
      </c>
      <c r="I98">
        <v>76</v>
      </c>
      <c r="J98">
        <v>92</v>
      </c>
      <c r="K98">
        <v>51</v>
      </c>
      <c r="L98">
        <v>115</v>
      </c>
      <c r="M98">
        <v>412</v>
      </c>
      <c r="N98">
        <v>-82</v>
      </c>
    </row>
    <row r="99" spans="1:20" x14ac:dyDescent="0.25">
      <c r="A99" t="s">
        <v>17</v>
      </c>
    </row>
    <row r="100" spans="1:20" x14ac:dyDescent="0.25">
      <c r="A100" t="s">
        <v>51</v>
      </c>
    </row>
    <row r="101" spans="1:20" x14ac:dyDescent="0.25">
      <c r="A101" t="s">
        <v>3827</v>
      </c>
    </row>
    <row r="102" spans="1:20" x14ac:dyDescent="0.25">
      <c r="A102" t="s">
        <v>60</v>
      </c>
      <c r="B102" s="2">
        <v>8720</v>
      </c>
      <c r="C102" s="2">
        <v>9102</v>
      </c>
      <c r="D102" s="2">
        <v>9582</v>
      </c>
      <c r="E102" s="2">
        <v>9619</v>
      </c>
      <c r="F102" s="2">
        <v>9760</v>
      </c>
      <c r="G102" s="2">
        <v>10103</v>
      </c>
      <c r="H102" s="2">
        <v>9698</v>
      </c>
      <c r="I102" s="2">
        <v>9363</v>
      </c>
      <c r="J102" s="2">
        <v>9711</v>
      </c>
      <c r="K102" s="2">
        <v>10801</v>
      </c>
      <c r="L102" s="2">
        <v>11038</v>
      </c>
    </row>
    <row r="103" spans="1:20" x14ac:dyDescent="0.25">
      <c r="A103" t="s">
        <v>3824</v>
      </c>
      <c r="B103" s="2">
        <v>8499</v>
      </c>
      <c r="C103" s="2">
        <v>8898</v>
      </c>
      <c r="D103" s="2">
        <v>9386</v>
      </c>
      <c r="E103" s="2">
        <v>9352</v>
      </c>
      <c r="F103" s="2">
        <v>9521</v>
      </c>
      <c r="G103" s="2">
        <v>9851</v>
      </c>
      <c r="H103" s="2">
        <v>9452</v>
      </c>
      <c r="I103" s="2">
        <v>9130</v>
      </c>
      <c r="J103" s="2">
        <v>9498</v>
      </c>
      <c r="K103" s="2">
        <v>10596</v>
      </c>
      <c r="L103" s="2">
        <v>10814</v>
      </c>
      <c r="O103" s="2">
        <v>11515.03</v>
      </c>
      <c r="P103" s="2">
        <v>12265.03</v>
      </c>
      <c r="Q103" s="2">
        <v>13065.03</v>
      </c>
      <c r="R103" s="2">
        <v>13615.03</v>
      </c>
      <c r="S103" s="2">
        <v>14265.03</v>
      </c>
    </row>
    <row r="104" spans="1:20" x14ac:dyDescent="0.25">
      <c r="A104" t="s">
        <v>78</v>
      </c>
      <c r="B104">
        <v>221</v>
      </c>
      <c r="C104">
        <v>204</v>
      </c>
      <c r="D104">
        <v>196</v>
      </c>
      <c r="E104">
        <v>267</v>
      </c>
      <c r="F104">
        <v>239</v>
      </c>
      <c r="G104">
        <v>252</v>
      </c>
      <c r="H104">
        <v>246</v>
      </c>
      <c r="I104">
        <v>233</v>
      </c>
      <c r="J104">
        <v>213</v>
      </c>
      <c r="K104">
        <v>205</v>
      </c>
      <c r="L104">
        <v>224</v>
      </c>
    </row>
    <row r="105" spans="1:20" x14ac:dyDescent="0.25">
      <c r="A105" t="s">
        <v>87</v>
      </c>
    </row>
    <row r="106" spans="1:20" x14ac:dyDescent="0.25">
      <c r="A106" t="s">
        <v>3825</v>
      </c>
      <c r="F106" s="2">
        <v>2546</v>
      </c>
      <c r="G106" s="2">
        <v>2984</v>
      </c>
      <c r="H106" s="2">
        <v>2836</v>
      </c>
      <c r="I106" s="2">
        <v>3178</v>
      </c>
      <c r="J106" s="2">
        <v>2967</v>
      </c>
      <c r="K106" s="2">
        <v>3404</v>
      </c>
      <c r="L106" s="2">
        <v>3364</v>
      </c>
    </row>
    <row r="107" spans="1:20" x14ac:dyDescent="0.25">
      <c r="A107" t="s">
        <v>3826</v>
      </c>
      <c r="E107">
        <v>720</v>
      </c>
      <c r="F107">
        <v>727</v>
      </c>
      <c r="G107">
        <v>760</v>
      </c>
      <c r="H107">
        <v>760</v>
      </c>
      <c r="I107">
        <v>770</v>
      </c>
      <c r="J107">
        <v>789</v>
      </c>
      <c r="K107">
        <v>831</v>
      </c>
      <c r="L107">
        <v>851</v>
      </c>
      <c r="O107">
        <v>852.73</v>
      </c>
      <c r="P107">
        <v>869.42</v>
      </c>
      <c r="Q107">
        <v>886.49</v>
      </c>
      <c r="R107">
        <v>903.96</v>
      </c>
      <c r="S107">
        <v>921.83</v>
      </c>
      <c r="T107">
        <v>933.22</v>
      </c>
    </row>
    <row r="108" spans="1:20" x14ac:dyDescent="0.25">
      <c r="A108" t="s">
        <v>116</v>
      </c>
      <c r="B108" s="2">
        <v>1257</v>
      </c>
      <c r="C108" s="2">
        <v>1211</v>
      </c>
      <c r="D108" s="2">
        <v>1446</v>
      </c>
      <c r="E108" s="2">
        <v>1608</v>
      </c>
      <c r="F108" s="2">
        <v>2054</v>
      </c>
      <c r="G108" s="2">
        <v>2069</v>
      </c>
      <c r="H108" s="2">
        <v>1921</v>
      </c>
      <c r="I108" s="2">
        <v>1527</v>
      </c>
      <c r="J108" s="2">
        <v>1465</v>
      </c>
      <c r="K108" s="2">
        <v>1388</v>
      </c>
      <c r="L108" s="2">
        <v>1432</v>
      </c>
    </row>
    <row r="109" spans="1:20" x14ac:dyDescent="0.25">
      <c r="A109" t="s">
        <v>190</v>
      </c>
      <c r="B109">
        <v>606</v>
      </c>
      <c r="C109">
        <v>658</v>
      </c>
      <c r="D109">
        <v>664</v>
      </c>
      <c r="E109">
        <v>676</v>
      </c>
      <c r="F109">
        <v>724</v>
      </c>
      <c r="G109">
        <v>812</v>
      </c>
      <c r="H109">
        <v>863</v>
      </c>
      <c r="I109">
        <v>896</v>
      </c>
      <c r="J109">
        <v>911</v>
      </c>
      <c r="K109">
        <v>967</v>
      </c>
      <c r="L109" s="2">
        <v>1021</v>
      </c>
    </row>
    <row r="110" spans="1:20" x14ac:dyDescent="0.25">
      <c r="A110" t="s">
        <v>3819</v>
      </c>
      <c r="B110">
        <v>501</v>
      </c>
      <c r="C110">
        <v>465</v>
      </c>
      <c r="D110">
        <v>618</v>
      </c>
      <c r="E110">
        <v>651</v>
      </c>
      <c r="F110">
        <v>916</v>
      </c>
      <c r="G110" s="2">
        <v>1242</v>
      </c>
      <c r="H110" s="2">
        <v>1076</v>
      </c>
      <c r="I110">
        <v>959</v>
      </c>
      <c r="J110" s="2">
        <v>1288</v>
      </c>
      <c r="K110">
        <v>957</v>
      </c>
      <c r="L110">
        <v>740</v>
      </c>
    </row>
    <row r="111" spans="1:20" x14ac:dyDescent="0.25">
      <c r="A111" t="s">
        <v>3480</v>
      </c>
      <c r="B111">
        <v>2.0499999999999998</v>
      </c>
      <c r="C111">
        <v>1.93</v>
      </c>
      <c r="D111">
        <v>1.75</v>
      </c>
      <c r="E111">
        <v>1.81</v>
      </c>
      <c r="F111">
        <v>1.91</v>
      </c>
      <c r="G111">
        <v>2.41</v>
      </c>
      <c r="H111">
        <v>2.2599999999999998</v>
      </c>
      <c r="I111">
        <v>2.06</v>
      </c>
      <c r="J111">
        <v>2.25</v>
      </c>
      <c r="K111">
        <v>1.78</v>
      </c>
      <c r="L111">
        <v>1.6</v>
      </c>
      <c r="O111">
        <v>1.44</v>
      </c>
      <c r="P111">
        <v>1.53</v>
      </c>
      <c r="Q111">
        <v>1.65</v>
      </c>
      <c r="R111">
        <v>1.75</v>
      </c>
      <c r="S111">
        <v>1.85</v>
      </c>
      <c r="T111">
        <v>2.0099999999999998</v>
      </c>
    </row>
    <row r="112" spans="1:20" x14ac:dyDescent="0.25">
      <c r="A112" t="s">
        <v>206</v>
      </c>
      <c r="B112" s="2">
        <v>1272</v>
      </c>
      <c r="C112">
        <v>972</v>
      </c>
      <c r="D112" s="2">
        <v>1040</v>
      </c>
      <c r="E112" s="2">
        <v>1063</v>
      </c>
      <c r="F112" s="2">
        <v>1191</v>
      </c>
      <c r="G112" s="2">
        <v>1411</v>
      </c>
      <c r="H112" s="2">
        <v>1473</v>
      </c>
      <c r="I112" s="2">
        <v>1514</v>
      </c>
      <c r="J112" s="2">
        <v>1395</v>
      </c>
      <c r="K112" s="2">
        <v>1513</v>
      </c>
      <c r="L112" s="2">
        <v>1631</v>
      </c>
    </row>
    <row r="113" spans="1:20" x14ac:dyDescent="0.25">
      <c r="A113" t="s">
        <v>17</v>
      </c>
    </row>
    <row r="114" spans="1:20" x14ac:dyDescent="0.25">
      <c r="A114" t="s">
        <v>3828</v>
      </c>
    </row>
    <row r="115" spans="1:20" x14ac:dyDescent="0.25">
      <c r="A115" t="s">
        <v>60</v>
      </c>
      <c r="B115">
        <v>731</v>
      </c>
      <c r="C115">
        <v>769</v>
      </c>
      <c r="D115" s="2">
        <v>1046</v>
      </c>
      <c r="E115" s="2">
        <v>1143</v>
      </c>
      <c r="F115" s="2">
        <v>1324</v>
      </c>
      <c r="G115" s="2">
        <v>1353</v>
      </c>
      <c r="H115" s="2">
        <v>1526</v>
      </c>
      <c r="I115" s="2">
        <v>1630</v>
      </c>
      <c r="J115" s="2">
        <v>1618</v>
      </c>
      <c r="K115" s="2">
        <v>1868</v>
      </c>
      <c r="L115" s="2">
        <v>2054</v>
      </c>
      <c r="O115" s="2">
        <v>2261.81</v>
      </c>
      <c r="P115" s="2">
        <v>2324.61</v>
      </c>
      <c r="Q115" s="2">
        <v>2403.17</v>
      </c>
      <c r="R115" s="2">
        <v>2761.65</v>
      </c>
      <c r="S115" s="2">
        <v>2936.62</v>
      </c>
      <c r="T115" s="2">
        <v>3378</v>
      </c>
    </row>
    <row r="116" spans="1:20" x14ac:dyDescent="0.25">
      <c r="A116" t="s">
        <v>3824</v>
      </c>
      <c r="B116">
        <v>731</v>
      </c>
      <c r="C116">
        <v>769</v>
      </c>
      <c r="D116" s="2">
        <v>1046</v>
      </c>
      <c r="E116" s="2">
        <v>1123</v>
      </c>
      <c r="F116" s="2">
        <v>1307</v>
      </c>
      <c r="G116" s="2">
        <v>1335</v>
      </c>
      <c r="H116" s="2">
        <v>1510</v>
      </c>
      <c r="I116" s="2">
        <v>1613</v>
      </c>
      <c r="J116" s="2">
        <v>1608</v>
      </c>
      <c r="K116" s="2">
        <v>1863</v>
      </c>
      <c r="L116" s="2">
        <v>2049</v>
      </c>
      <c r="O116" s="2">
        <v>2723</v>
      </c>
      <c r="P116" s="2">
        <v>3024.65</v>
      </c>
      <c r="Q116" s="2">
        <v>3365.17</v>
      </c>
      <c r="R116" s="2">
        <v>3728.58</v>
      </c>
      <c r="S116" s="2">
        <v>4111.2299999999996</v>
      </c>
    </row>
    <row r="117" spans="1:20" x14ac:dyDescent="0.25">
      <c r="A117" t="s">
        <v>78</v>
      </c>
      <c r="B117">
        <v>0</v>
      </c>
      <c r="C117">
        <v>0</v>
      </c>
      <c r="D117">
        <v>0</v>
      </c>
      <c r="E117">
        <v>20</v>
      </c>
      <c r="F117">
        <v>17</v>
      </c>
      <c r="G117">
        <v>18</v>
      </c>
      <c r="H117">
        <v>16</v>
      </c>
      <c r="I117">
        <v>17</v>
      </c>
      <c r="J117">
        <v>10</v>
      </c>
      <c r="K117">
        <v>5</v>
      </c>
      <c r="L117">
        <v>5</v>
      </c>
    </row>
    <row r="118" spans="1:20" x14ac:dyDescent="0.25">
      <c r="A118" t="s">
        <v>87</v>
      </c>
    </row>
    <row r="119" spans="1:20" x14ac:dyDescent="0.25">
      <c r="A119" t="s">
        <v>3825</v>
      </c>
      <c r="F119">
        <v>203</v>
      </c>
      <c r="G119">
        <v>253</v>
      </c>
      <c r="H119">
        <v>272</v>
      </c>
      <c r="I119">
        <v>282</v>
      </c>
      <c r="J119">
        <v>358</v>
      </c>
      <c r="K119">
        <v>616</v>
      </c>
      <c r="L119">
        <v>423</v>
      </c>
    </row>
    <row r="120" spans="1:20" x14ac:dyDescent="0.25">
      <c r="A120" t="s">
        <v>3826</v>
      </c>
      <c r="E120">
        <v>153</v>
      </c>
      <c r="F120">
        <v>173</v>
      </c>
      <c r="G120">
        <v>192</v>
      </c>
      <c r="H120">
        <v>209</v>
      </c>
      <c r="I120">
        <v>232</v>
      </c>
      <c r="J120">
        <v>248</v>
      </c>
      <c r="K120">
        <v>255</v>
      </c>
      <c r="L120">
        <v>266</v>
      </c>
      <c r="O120">
        <v>315.23</v>
      </c>
      <c r="P120">
        <v>321.20999999999998</v>
      </c>
      <c r="Q120">
        <v>328.16</v>
      </c>
      <c r="R120">
        <v>334.17</v>
      </c>
      <c r="S120">
        <v>340.34</v>
      </c>
      <c r="T120">
        <v>392.13</v>
      </c>
    </row>
    <row r="121" spans="1:20" x14ac:dyDescent="0.25">
      <c r="A121" t="s">
        <v>78</v>
      </c>
      <c r="L121">
        <v>423</v>
      </c>
      <c r="O121">
        <v>330</v>
      </c>
      <c r="P121">
        <v>330</v>
      </c>
      <c r="Q121">
        <v>330</v>
      </c>
      <c r="R121">
        <v>330</v>
      </c>
      <c r="S121">
        <v>330</v>
      </c>
    </row>
    <row r="122" spans="1:20" x14ac:dyDescent="0.25">
      <c r="A122" t="s">
        <v>116</v>
      </c>
      <c r="B122">
        <v>422</v>
      </c>
      <c r="C122">
        <v>420</v>
      </c>
      <c r="D122">
        <v>622</v>
      </c>
      <c r="E122">
        <v>644</v>
      </c>
      <c r="F122">
        <v>667</v>
      </c>
      <c r="G122">
        <v>643</v>
      </c>
      <c r="H122">
        <v>751</v>
      </c>
      <c r="I122">
        <v>792</v>
      </c>
      <c r="J122">
        <v>678</v>
      </c>
      <c r="K122">
        <v>665</v>
      </c>
      <c r="L122" s="2">
        <v>1003</v>
      </c>
      <c r="O122" s="2">
        <v>1044.25</v>
      </c>
      <c r="P122" s="2">
        <v>1147.75</v>
      </c>
      <c r="Q122" s="2">
        <v>1260</v>
      </c>
      <c r="R122" s="2">
        <v>1423.77</v>
      </c>
      <c r="S122" s="2">
        <v>1679.84</v>
      </c>
      <c r="T122" s="2">
        <v>1963.86</v>
      </c>
    </row>
    <row r="123" spans="1:20" x14ac:dyDescent="0.25">
      <c r="A123" t="s">
        <v>190</v>
      </c>
      <c r="B123">
        <v>114</v>
      </c>
      <c r="C123">
        <v>127</v>
      </c>
      <c r="D123">
        <v>164</v>
      </c>
      <c r="E123">
        <v>187</v>
      </c>
      <c r="F123">
        <v>224</v>
      </c>
      <c r="G123">
        <v>252</v>
      </c>
      <c r="H123">
        <v>284</v>
      </c>
      <c r="I123">
        <v>313</v>
      </c>
      <c r="J123">
        <v>325</v>
      </c>
      <c r="K123">
        <v>335</v>
      </c>
      <c r="L123">
        <v>367</v>
      </c>
    </row>
    <row r="124" spans="1:20" x14ac:dyDescent="0.25">
      <c r="A124" t="s">
        <v>3819</v>
      </c>
      <c r="B124">
        <v>214</v>
      </c>
      <c r="C124">
        <v>223</v>
      </c>
      <c r="D124">
        <v>298</v>
      </c>
      <c r="E124">
        <v>331</v>
      </c>
      <c r="F124">
        <v>336</v>
      </c>
      <c r="G124">
        <v>397</v>
      </c>
      <c r="H124">
        <v>447</v>
      </c>
      <c r="I124">
        <v>464</v>
      </c>
      <c r="J124">
        <v>408</v>
      </c>
      <c r="K124">
        <v>394</v>
      </c>
      <c r="L124">
        <v>514</v>
      </c>
      <c r="O124">
        <v>602.08000000000004</v>
      </c>
      <c r="P124">
        <v>616.42999999999995</v>
      </c>
      <c r="Q124">
        <v>680.11</v>
      </c>
      <c r="R124">
        <v>721.18</v>
      </c>
      <c r="S124">
        <v>763.96</v>
      </c>
    </row>
    <row r="125" spans="1:20" x14ac:dyDescent="0.25">
      <c r="A125" t="s">
        <v>3480</v>
      </c>
      <c r="B125">
        <v>0.51</v>
      </c>
      <c r="C125">
        <v>0.54</v>
      </c>
      <c r="D125">
        <v>0.78</v>
      </c>
      <c r="E125">
        <v>0.78</v>
      </c>
      <c r="F125">
        <v>0.68</v>
      </c>
      <c r="G125">
        <v>0.74</v>
      </c>
      <c r="H125">
        <v>0.83</v>
      </c>
      <c r="I125">
        <v>0.86</v>
      </c>
      <c r="J125">
        <v>0.83</v>
      </c>
      <c r="K125">
        <v>0.83</v>
      </c>
      <c r="L125">
        <v>0.91</v>
      </c>
      <c r="O125">
        <v>0.84</v>
      </c>
      <c r="P125">
        <v>0.87</v>
      </c>
      <c r="Q125">
        <v>0.94</v>
      </c>
      <c r="R125">
        <v>1.01</v>
      </c>
      <c r="S125">
        <v>1.1000000000000001</v>
      </c>
      <c r="T125">
        <v>1.1200000000000001</v>
      </c>
    </row>
    <row r="126" spans="1:20" x14ac:dyDescent="0.25">
      <c r="A126" t="s">
        <v>206</v>
      </c>
      <c r="B126">
        <v>461</v>
      </c>
      <c r="C126" s="2">
        <v>1329</v>
      </c>
      <c r="D126" s="2">
        <v>1020</v>
      </c>
      <c r="E126" s="2">
        <v>1101</v>
      </c>
      <c r="F126" s="2">
        <v>1030</v>
      </c>
      <c r="G126" s="2">
        <v>1104</v>
      </c>
      <c r="H126" s="2">
        <v>1090</v>
      </c>
      <c r="I126" s="2">
        <v>1067</v>
      </c>
      <c r="J126">
        <v>410</v>
      </c>
      <c r="K126" s="2">
        <v>1192</v>
      </c>
      <c r="L126" s="2">
        <v>1610</v>
      </c>
      <c r="O126" s="2">
        <v>-2115</v>
      </c>
      <c r="P126" s="2">
        <v>-2280</v>
      </c>
      <c r="Q126" s="2">
        <v>-2557.5</v>
      </c>
      <c r="R126" s="2">
        <v>-2710</v>
      </c>
      <c r="S126" s="2">
        <v>-3047.5</v>
      </c>
      <c r="T126" s="2">
        <v>-3395</v>
      </c>
    </row>
    <row r="127" spans="1:20" x14ac:dyDescent="0.25">
      <c r="A127" t="s">
        <v>17</v>
      </c>
    </row>
    <row r="128" spans="1:20" x14ac:dyDescent="0.25">
      <c r="A128" t="s">
        <v>72</v>
      </c>
    </row>
    <row r="129" spans="1:19" x14ac:dyDescent="0.25">
      <c r="A129" t="s">
        <v>17</v>
      </c>
    </row>
    <row r="130" spans="1:19" x14ac:dyDescent="0.25">
      <c r="A130" t="s">
        <v>3829</v>
      </c>
    </row>
    <row r="131" spans="1:19" x14ac:dyDescent="0.25">
      <c r="A131" t="s">
        <v>3830</v>
      </c>
    </row>
    <row r="132" spans="1:19" x14ac:dyDescent="0.25">
      <c r="A132" t="s">
        <v>3436</v>
      </c>
      <c r="O132" s="2">
        <v>1868.91</v>
      </c>
      <c r="P132" s="2">
        <v>1899.01</v>
      </c>
      <c r="Q132" s="2">
        <v>1924.57</v>
      </c>
      <c r="R132" s="2">
        <v>1930.86</v>
      </c>
      <c r="S132" s="2">
        <v>1966.22</v>
      </c>
    </row>
    <row r="133" spans="1:19" x14ac:dyDescent="0.25">
      <c r="A133" t="s">
        <v>3831</v>
      </c>
      <c r="O133" s="2">
        <v>1357.77</v>
      </c>
      <c r="P133" s="2">
        <v>1379.57</v>
      </c>
      <c r="Q133" s="2">
        <v>1386.59</v>
      </c>
      <c r="R133" s="2">
        <v>1365</v>
      </c>
      <c r="S133" s="2">
        <v>1375</v>
      </c>
    </row>
    <row r="134" spans="1:19" x14ac:dyDescent="0.25">
      <c r="A134" t="s">
        <v>3832</v>
      </c>
      <c r="O134">
        <v>688.58</v>
      </c>
      <c r="P134">
        <v>688.66</v>
      </c>
      <c r="Q134">
        <v>695.5</v>
      </c>
      <c r="R134">
        <v>691.71</v>
      </c>
      <c r="S134">
        <v>698.69</v>
      </c>
    </row>
    <row r="135" spans="1:19" x14ac:dyDescent="0.25">
      <c r="A135" t="s">
        <v>3833</v>
      </c>
      <c r="O135">
        <v>492.74</v>
      </c>
      <c r="P135">
        <v>492.74</v>
      </c>
      <c r="Q135">
        <v>492.74</v>
      </c>
      <c r="R135">
        <v>445.61</v>
      </c>
      <c r="S135">
        <v>445.61</v>
      </c>
    </row>
    <row r="136" spans="1:19" x14ac:dyDescent="0.25">
      <c r="A136" t="s">
        <v>1237</v>
      </c>
      <c r="O136">
        <v>158.57</v>
      </c>
      <c r="P136">
        <v>165.88</v>
      </c>
      <c r="Q136">
        <v>173.47</v>
      </c>
      <c r="R136">
        <v>181.3</v>
      </c>
      <c r="S136">
        <v>189.34</v>
      </c>
    </row>
    <row r="137" spans="1:19" x14ac:dyDescent="0.25">
      <c r="A137" t="s">
        <v>3834</v>
      </c>
      <c r="O137">
        <v>243.25</v>
      </c>
      <c r="P137">
        <v>261.5</v>
      </c>
      <c r="Q137">
        <v>263.60000000000002</v>
      </c>
      <c r="R137">
        <v>308.98</v>
      </c>
      <c r="S137">
        <v>333.33</v>
      </c>
    </row>
    <row r="138" spans="1:19" x14ac:dyDescent="0.25">
      <c r="A138" t="s">
        <v>3437</v>
      </c>
      <c r="O138">
        <v>193.94</v>
      </c>
      <c r="P138">
        <v>208.6</v>
      </c>
      <c r="Q138">
        <v>210.3</v>
      </c>
      <c r="R138">
        <v>244.1</v>
      </c>
      <c r="S138">
        <v>263.33</v>
      </c>
    </row>
    <row r="139" spans="1:19" x14ac:dyDescent="0.25">
      <c r="A139" t="s">
        <v>3835</v>
      </c>
      <c r="O139">
        <v>0.33</v>
      </c>
      <c r="P139">
        <v>0.36</v>
      </c>
      <c r="Q139">
        <v>0.36</v>
      </c>
      <c r="R139">
        <v>0.4</v>
      </c>
      <c r="S139">
        <v>0.43</v>
      </c>
    </row>
    <row r="140" spans="1:19" x14ac:dyDescent="0.25">
      <c r="A140" t="s">
        <v>3488</v>
      </c>
    </row>
    <row r="141" spans="1:19" x14ac:dyDescent="0.25">
      <c r="A141" t="s">
        <v>3836</v>
      </c>
      <c r="O141">
        <v>557.38</v>
      </c>
      <c r="P141">
        <v>390.72</v>
      </c>
      <c r="Q141">
        <v>330</v>
      </c>
      <c r="R141">
        <v>330</v>
      </c>
      <c r="S141">
        <v>330</v>
      </c>
    </row>
    <row r="142" spans="1:19" x14ac:dyDescent="0.25">
      <c r="A142" t="s">
        <v>2956</v>
      </c>
      <c r="O142" s="2">
        <v>2232.46</v>
      </c>
      <c r="P142" s="2">
        <v>2398.34</v>
      </c>
      <c r="Q142" s="2">
        <v>2571.81</v>
      </c>
      <c r="R142" s="2">
        <v>2753.11</v>
      </c>
      <c r="S142" s="2">
        <v>2942.45</v>
      </c>
    </row>
    <row r="143" spans="1:19" x14ac:dyDescent="0.25">
      <c r="A143" t="s">
        <v>3837</v>
      </c>
      <c r="O143" s="2">
        <v>3928.11</v>
      </c>
      <c r="P143" s="2">
        <v>3991.85</v>
      </c>
      <c r="Q143" s="2">
        <v>4150.49</v>
      </c>
      <c r="R143" s="2">
        <v>4389.6499999999996</v>
      </c>
      <c r="S143" s="2">
        <v>4688.76</v>
      </c>
    </row>
    <row r="144" spans="1:19" x14ac:dyDescent="0.25">
      <c r="A144" t="s">
        <v>315</v>
      </c>
      <c r="O144" s="2">
        <v>1541.33</v>
      </c>
      <c r="P144" s="2">
        <v>1409.5</v>
      </c>
      <c r="Q144" s="2">
        <v>1671.63</v>
      </c>
      <c r="R144" s="2">
        <v>1612.91</v>
      </c>
      <c r="S144" s="2">
        <v>1747.97</v>
      </c>
    </row>
    <row r="145" spans="1:20" x14ac:dyDescent="0.25">
      <c r="A145" t="s">
        <v>604</v>
      </c>
      <c r="O145">
        <v>377</v>
      </c>
      <c r="P145">
        <v>377</v>
      </c>
      <c r="Q145">
        <v>377</v>
      </c>
      <c r="R145">
        <v>377</v>
      </c>
      <c r="S145">
        <v>377</v>
      </c>
    </row>
    <row r="146" spans="1:20" x14ac:dyDescent="0.25">
      <c r="A146" t="s">
        <v>3491</v>
      </c>
      <c r="O146" s="2">
        <v>2435</v>
      </c>
      <c r="P146" s="2">
        <v>2435</v>
      </c>
      <c r="Q146" s="2">
        <v>2525.9</v>
      </c>
      <c r="R146" s="2">
        <v>2691.82</v>
      </c>
      <c r="S146" s="2">
        <v>2911.94</v>
      </c>
    </row>
    <row r="147" spans="1:20" x14ac:dyDescent="0.25">
      <c r="A147" t="s">
        <v>3495</v>
      </c>
    </row>
    <row r="148" spans="1:20" x14ac:dyDescent="0.25">
      <c r="A148" t="s">
        <v>3838</v>
      </c>
      <c r="O148">
        <v>398.79</v>
      </c>
      <c r="P148">
        <v>421.71</v>
      </c>
      <c r="Q148">
        <v>442.65</v>
      </c>
      <c r="R148">
        <v>474.11</v>
      </c>
      <c r="S148">
        <v>499.29</v>
      </c>
    </row>
    <row r="149" spans="1:20" x14ac:dyDescent="0.25">
      <c r="A149" t="s">
        <v>3839</v>
      </c>
      <c r="O149">
        <v>-326.04000000000002</v>
      </c>
      <c r="P149">
        <v>-352.27</v>
      </c>
      <c r="Q149">
        <v>-350.4</v>
      </c>
      <c r="R149">
        <v>-361.26</v>
      </c>
      <c r="S149">
        <v>-390.84</v>
      </c>
    </row>
    <row r="150" spans="1:20" x14ac:dyDescent="0.25">
      <c r="A150" t="s">
        <v>3840</v>
      </c>
      <c r="O150">
        <v>-136.46</v>
      </c>
      <c r="P150">
        <v>-149.36000000000001</v>
      </c>
      <c r="Q150">
        <v>-108.59</v>
      </c>
      <c r="R150">
        <v>-101.97</v>
      </c>
      <c r="S150">
        <v>-81.11</v>
      </c>
    </row>
    <row r="151" spans="1:20" x14ac:dyDescent="0.25">
      <c r="A151" t="s">
        <v>929</v>
      </c>
      <c r="O151">
        <v>-2.79</v>
      </c>
      <c r="P151">
        <v>6.82</v>
      </c>
      <c r="Q151">
        <v>28.03</v>
      </c>
      <c r="R151">
        <v>21.76</v>
      </c>
      <c r="S151">
        <v>54.67</v>
      </c>
    </row>
    <row r="152" spans="1:20" x14ac:dyDescent="0.25">
      <c r="A152" t="s">
        <v>930</v>
      </c>
      <c r="O152">
        <v>27.25</v>
      </c>
      <c r="P152">
        <v>24.45</v>
      </c>
      <c r="Q152">
        <v>31.28</v>
      </c>
      <c r="R152">
        <v>59.31</v>
      </c>
      <c r="S152">
        <v>81.06</v>
      </c>
    </row>
    <row r="153" spans="1:20" x14ac:dyDescent="0.25">
      <c r="A153" t="s">
        <v>931</v>
      </c>
      <c r="O153">
        <v>24.45</v>
      </c>
      <c r="P153">
        <v>31.28</v>
      </c>
      <c r="Q153">
        <v>59.31</v>
      </c>
      <c r="R153">
        <v>81.06</v>
      </c>
      <c r="S153">
        <v>135.74</v>
      </c>
    </row>
    <row r="154" spans="1:20" x14ac:dyDescent="0.25">
      <c r="A154" t="s">
        <v>3841</v>
      </c>
      <c r="O154">
        <v>-124.62</v>
      </c>
      <c r="P154">
        <v>-166.66</v>
      </c>
      <c r="Q154">
        <v>-151.62</v>
      </c>
      <c r="R154">
        <v>-165.93</v>
      </c>
      <c r="S154">
        <v>-220.12</v>
      </c>
    </row>
    <row r="155" spans="1:20" x14ac:dyDescent="0.25">
      <c r="A155" t="s">
        <v>17</v>
      </c>
    </row>
    <row r="156" spans="1:20" x14ac:dyDescent="0.25">
      <c r="A156" t="s">
        <v>79</v>
      </c>
    </row>
    <row r="157" spans="1:20" x14ac:dyDescent="0.25">
      <c r="A157" t="s">
        <v>80</v>
      </c>
      <c r="B157" s="2">
        <v>14900</v>
      </c>
      <c r="C157" s="2">
        <v>15000</v>
      </c>
      <c r="D157" s="2">
        <v>15026</v>
      </c>
      <c r="E157" s="2">
        <v>14562</v>
      </c>
      <c r="F157" s="2">
        <v>14000</v>
      </c>
      <c r="G157" s="2">
        <v>11261</v>
      </c>
      <c r="H157" s="2">
        <v>11035</v>
      </c>
      <c r="I157" s="2">
        <v>10790</v>
      </c>
      <c r="J157" s="2">
        <v>11100</v>
      </c>
      <c r="K157" s="2">
        <v>12500</v>
      </c>
      <c r="L157" s="2">
        <v>12870</v>
      </c>
      <c r="M157" s="2">
        <v>13472</v>
      </c>
      <c r="N157" s="2">
        <v>15090</v>
      </c>
      <c r="O157" s="2">
        <v>15806.45</v>
      </c>
      <c r="P157" s="2">
        <v>16661.09</v>
      </c>
      <c r="Q157" s="2">
        <v>17408.18</v>
      </c>
      <c r="R157" s="2">
        <v>17983.57</v>
      </c>
      <c r="S157" s="2">
        <v>18742.71</v>
      </c>
      <c r="T157" s="2">
        <v>21333</v>
      </c>
    </row>
    <row r="158" spans="1:20" x14ac:dyDescent="0.25">
      <c r="A158" t="s">
        <v>17</v>
      </c>
    </row>
    <row r="159" spans="1:20" x14ac:dyDescent="0.25">
      <c r="A159" t="s">
        <v>82</v>
      </c>
      <c r="B159" s="2">
        <v>6459</v>
      </c>
      <c r="C159" s="2">
        <v>6996</v>
      </c>
      <c r="D159" s="2">
        <v>6173</v>
      </c>
      <c r="E159" s="2">
        <v>3881</v>
      </c>
      <c r="F159" s="2">
        <v>3423</v>
      </c>
      <c r="G159" s="2">
        <v>3647</v>
      </c>
      <c r="H159" s="2">
        <v>3424</v>
      </c>
      <c r="I159" s="2">
        <v>3070</v>
      </c>
      <c r="J159" s="2">
        <v>3445</v>
      </c>
      <c r="K159" s="2">
        <v>4593</v>
      </c>
      <c r="L159" s="2">
        <v>4646</v>
      </c>
      <c r="M159" s="2">
        <v>4376</v>
      </c>
      <c r="N159" s="2">
        <v>5235</v>
      </c>
      <c r="O159" s="2">
        <v>5244.25</v>
      </c>
      <c r="P159" s="2">
        <v>5273</v>
      </c>
      <c r="Q159" s="2">
        <v>5307.25</v>
      </c>
      <c r="R159" s="2">
        <v>5574.33</v>
      </c>
      <c r="S159" s="2">
        <v>5622.33</v>
      </c>
      <c r="T159" s="2">
        <v>5758</v>
      </c>
    </row>
    <row r="160" spans="1:20" x14ac:dyDescent="0.25">
      <c r="A160" t="s">
        <v>17</v>
      </c>
    </row>
    <row r="161" spans="1:20" x14ac:dyDescent="0.25">
      <c r="A161" t="s">
        <v>84</v>
      </c>
      <c r="B161" s="2">
        <v>8433</v>
      </c>
      <c r="C161" s="2">
        <v>8053</v>
      </c>
      <c r="D161" s="2">
        <v>8853</v>
      </c>
      <c r="E161" s="2">
        <v>6819</v>
      </c>
      <c r="F161" s="2">
        <v>7505</v>
      </c>
      <c r="G161" s="2">
        <v>7614</v>
      </c>
      <c r="H161" s="2">
        <v>7611</v>
      </c>
      <c r="I161" s="2">
        <v>7720</v>
      </c>
      <c r="J161" s="2">
        <v>7687</v>
      </c>
      <c r="K161" s="2">
        <v>7866</v>
      </c>
      <c r="L161" s="2">
        <v>8224</v>
      </c>
      <c r="M161" s="2">
        <v>9096</v>
      </c>
      <c r="N161" s="2">
        <v>9855</v>
      </c>
      <c r="O161" s="2">
        <v>10378.65</v>
      </c>
      <c r="P161" s="2">
        <v>11173.93</v>
      </c>
      <c r="Q161" s="2">
        <v>11802.39</v>
      </c>
      <c r="R161" s="2">
        <v>12694.23</v>
      </c>
      <c r="S161" s="2">
        <v>13440.67</v>
      </c>
      <c r="T161" s="2">
        <v>15574.68</v>
      </c>
    </row>
    <row r="162" spans="1:20" x14ac:dyDescent="0.25">
      <c r="A162" t="s">
        <v>85</v>
      </c>
      <c r="L162">
        <v>63.9</v>
      </c>
      <c r="M162">
        <v>67.52</v>
      </c>
      <c r="N162">
        <v>65.31</v>
      </c>
      <c r="O162">
        <v>64.3</v>
      </c>
      <c r="P162">
        <v>68</v>
      </c>
      <c r="Q162">
        <v>69.3</v>
      </c>
    </row>
    <row r="163" spans="1:20" x14ac:dyDescent="0.25">
      <c r="A163" t="s">
        <v>17</v>
      </c>
    </row>
    <row r="164" spans="1:20" x14ac:dyDescent="0.25">
      <c r="A164" t="s">
        <v>275</v>
      </c>
      <c r="B164" s="2">
        <v>13310</v>
      </c>
      <c r="C164" s="2">
        <v>13987</v>
      </c>
      <c r="D164" s="2">
        <v>12734</v>
      </c>
      <c r="E164" s="2">
        <v>8646</v>
      </c>
      <c r="F164" s="2">
        <v>8500</v>
      </c>
      <c r="G164" s="2">
        <v>8759</v>
      </c>
      <c r="H164" s="2">
        <v>8525</v>
      </c>
      <c r="I164" s="2">
        <v>8628</v>
      </c>
      <c r="J164" s="2">
        <v>9406</v>
      </c>
      <c r="K164" s="2">
        <v>10549</v>
      </c>
      <c r="L164" s="2">
        <v>10604</v>
      </c>
      <c r="M164" s="2">
        <v>11097</v>
      </c>
      <c r="N164" s="2">
        <v>12884</v>
      </c>
      <c r="O164" s="2">
        <v>11484.02</v>
      </c>
      <c r="P164" s="2">
        <v>11770.63</v>
      </c>
      <c r="Q164" s="2">
        <v>12085.02</v>
      </c>
      <c r="R164" s="2">
        <v>11744.11</v>
      </c>
      <c r="S164" s="2">
        <v>11900.19</v>
      </c>
    </row>
    <row r="165" spans="1:20" x14ac:dyDescent="0.25">
      <c r="A165" t="s">
        <v>3842</v>
      </c>
      <c r="C165" s="2">
        <v>3962</v>
      </c>
      <c r="D165" s="2">
        <v>3991</v>
      </c>
      <c r="E165" s="2">
        <v>2579</v>
      </c>
      <c r="F165" s="2">
        <v>2761</v>
      </c>
      <c r="G165" s="2">
        <v>3133</v>
      </c>
      <c r="H165" s="2">
        <v>2952</v>
      </c>
      <c r="I165" s="2">
        <v>3291</v>
      </c>
      <c r="J165" s="2">
        <v>3196</v>
      </c>
      <c r="K165" s="2">
        <v>3817</v>
      </c>
      <c r="L165" s="2">
        <v>3594</v>
      </c>
      <c r="M165" s="2">
        <v>4159</v>
      </c>
      <c r="N165" s="2">
        <v>4122</v>
      </c>
      <c r="O165" s="2">
        <v>4306.7700000000004</v>
      </c>
      <c r="P165" s="2">
        <v>4370.8599999999997</v>
      </c>
      <c r="Q165" s="2">
        <v>4473.32</v>
      </c>
      <c r="R165" s="2">
        <v>4542.01</v>
      </c>
      <c r="S165" s="2">
        <v>4593.08</v>
      </c>
    </row>
    <row r="166" spans="1:20" x14ac:dyDescent="0.25">
      <c r="A166" t="s">
        <v>2805</v>
      </c>
      <c r="B166">
        <v>978</v>
      </c>
      <c r="C166">
        <v>962</v>
      </c>
      <c r="D166">
        <v>978</v>
      </c>
      <c r="E166">
        <v>913</v>
      </c>
      <c r="F166">
        <v>940</v>
      </c>
      <c r="G166">
        <v>993</v>
      </c>
      <c r="H166" s="2">
        <v>1008</v>
      </c>
      <c r="I166" s="2">
        <v>1046</v>
      </c>
      <c r="J166" s="2">
        <v>1073</v>
      </c>
      <c r="K166" s="2">
        <v>1129</v>
      </c>
      <c r="L166" s="2">
        <v>1164</v>
      </c>
      <c r="M166" s="2">
        <v>1212</v>
      </c>
      <c r="N166" s="2">
        <v>1345</v>
      </c>
      <c r="O166" s="2">
        <v>1290.42</v>
      </c>
      <c r="P166" s="2">
        <v>1309.6400000000001</v>
      </c>
      <c r="Q166" s="2">
        <v>1334.31</v>
      </c>
      <c r="R166" s="2">
        <v>1388.77</v>
      </c>
      <c r="S166" s="2">
        <v>1417.38</v>
      </c>
      <c r="T166" s="2">
        <v>1545.43</v>
      </c>
    </row>
    <row r="167" spans="1:20" x14ac:dyDescent="0.25">
      <c r="A167" t="s">
        <v>3843</v>
      </c>
      <c r="B167" s="2">
        <v>3963</v>
      </c>
      <c r="C167" s="2">
        <v>4716</v>
      </c>
      <c r="D167" s="2">
        <v>4318</v>
      </c>
      <c r="E167" s="2">
        <v>3310</v>
      </c>
      <c r="F167" s="2">
        <v>2926</v>
      </c>
      <c r="G167" s="2">
        <v>3109</v>
      </c>
      <c r="H167" s="2">
        <v>2927</v>
      </c>
      <c r="I167" s="2">
        <v>2701</v>
      </c>
      <c r="J167" s="2">
        <v>2964</v>
      </c>
      <c r="K167" s="2">
        <v>3863</v>
      </c>
      <c r="L167" s="2">
        <v>4108</v>
      </c>
      <c r="M167" s="2">
        <v>3912</v>
      </c>
      <c r="N167" s="2">
        <v>4583</v>
      </c>
      <c r="O167" s="2">
        <v>5409.91</v>
      </c>
      <c r="P167" s="2">
        <v>5706.4</v>
      </c>
      <c r="Q167" s="2">
        <v>6079.66</v>
      </c>
      <c r="R167" s="2">
        <v>6536.85</v>
      </c>
      <c r="S167" s="2">
        <v>6993.22</v>
      </c>
    </row>
    <row r="168" spans="1:20" x14ac:dyDescent="0.25">
      <c r="A168" t="s">
        <v>3268</v>
      </c>
      <c r="B168" s="2">
        <v>2496</v>
      </c>
      <c r="C168" s="2">
        <v>2280</v>
      </c>
      <c r="D168" s="2">
        <v>1855</v>
      </c>
      <c r="E168">
        <v>571</v>
      </c>
      <c r="F168">
        <v>497</v>
      </c>
      <c r="G168">
        <v>538</v>
      </c>
      <c r="H168">
        <v>497</v>
      </c>
      <c r="I168">
        <v>369</v>
      </c>
      <c r="J168">
        <v>481</v>
      </c>
      <c r="K168">
        <v>730</v>
      </c>
      <c r="L168">
        <v>538</v>
      </c>
      <c r="M168">
        <v>464</v>
      </c>
      <c r="N168">
        <v>652</v>
      </c>
      <c r="O168" s="2">
        <v>2127.2600000000002</v>
      </c>
      <c r="P168" s="2">
        <v>2149.38</v>
      </c>
      <c r="Q168" s="2">
        <v>2175.17</v>
      </c>
      <c r="R168" s="2">
        <v>2198.62</v>
      </c>
      <c r="S168" s="2">
        <v>2215.1799999999998</v>
      </c>
    </row>
    <row r="169" spans="1:20" x14ac:dyDescent="0.25">
      <c r="A169" t="s">
        <v>17</v>
      </c>
    </row>
    <row r="170" spans="1:20" x14ac:dyDescent="0.25">
      <c r="A170" t="s">
        <v>91</v>
      </c>
      <c r="B170" s="2">
        <v>1582</v>
      </c>
      <c r="C170" s="2">
        <v>1062</v>
      </c>
      <c r="D170" s="2">
        <v>2292</v>
      </c>
      <c r="E170" s="2">
        <v>2054</v>
      </c>
      <c r="F170" s="2">
        <v>2428</v>
      </c>
      <c r="G170" s="2">
        <v>2502</v>
      </c>
      <c r="H170" s="2">
        <v>2510</v>
      </c>
      <c r="I170" s="2">
        <v>2162</v>
      </c>
      <c r="J170" s="2">
        <v>1726</v>
      </c>
      <c r="K170" s="2">
        <v>1910</v>
      </c>
      <c r="L170" s="2">
        <v>2266</v>
      </c>
      <c r="M170" s="2">
        <v>2375</v>
      </c>
      <c r="N170" s="2">
        <v>2206</v>
      </c>
      <c r="O170" s="2">
        <v>3281.08</v>
      </c>
      <c r="P170" s="2">
        <v>3601.62</v>
      </c>
      <c r="Q170" s="2">
        <v>4012.23</v>
      </c>
      <c r="R170" s="2">
        <v>4467.37</v>
      </c>
      <c r="S170" s="2">
        <v>4838.97</v>
      </c>
    </row>
    <row r="171" spans="1:20" x14ac:dyDescent="0.25">
      <c r="A171" t="s">
        <v>17</v>
      </c>
    </row>
    <row r="172" spans="1:20" x14ac:dyDescent="0.25">
      <c r="A172" t="s">
        <v>93</v>
      </c>
      <c r="B172" s="2">
        <v>1741</v>
      </c>
      <c r="C172" s="2">
        <v>1232</v>
      </c>
      <c r="D172" s="2">
        <v>1550</v>
      </c>
      <c r="E172">
        <v>933</v>
      </c>
      <c r="F172" s="2">
        <v>1335</v>
      </c>
      <c r="G172" s="2">
        <v>1136</v>
      </c>
      <c r="H172" s="2">
        <v>1220</v>
      </c>
      <c r="I172" s="2">
        <v>1274</v>
      </c>
      <c r="J172" s="2">
        <v>1302</v>
      </c>
      <c r="K172" s="2">
        <v>1375</v>
      </c>
      <c r="L172" s="2">
        <v>1200</v>
      </c>
      <c r="M172" s="2">
        <v>1581</v>
      </c>
      <c r="N172" s="2">
        <v>1555</v>
      </c>
      <c r="O172" s="2">
        <v>1768.69</v>
      </c>
      <c r="P172" s="2">
        <v>1913.64</v>
      </c>
      <c r="Q172" s="2">
        <v>2066.66</v>
      </c>
      <c r="R172" s="2">
        <v>2224.06</v>
      </c>
      <c r="S172" s="2">
        <v>2388.9899999999998</v>
      </c>
      <c r="T172" s="2">
        <v>2405.48</v>
      </c>
    </row>
    <row r="173" spans="1:20" x14ac:dyDescent="0.25">
      <c r="A173" t="s">
        <v>17</v>
      </c>
    </row>
    <row r="174" spans="1:20" x14ac:dyDescent="0.25">
      <c r="A174" t="s">
        <v>483</v>
      </c>
      <c r="B174">
        <v>913</v>
      </c>
      <c r="C174">
        <v>963</v>
      </c>
      <c r="D174" s="2">
        <v>1015</v>
      </c>
      <c r="E174">
        <v>918</v>
      </c>
      <c r="F174">
        <v>953</v>
      </c>
      <c r="G174" s="2">
        <v>1051</v>
      </c>
      <c r="H174">
        <v>962</v>
      </c>
      <c r="I174">
        <v>988</v>
      </c>
      <c r="J174" s="2">
        <v>1064</v>
      </c>
      <c r="K174">
        <v>955</v>
      </c>
      <c r="L174" s="2">
        <v>1027</v>
      </c>
      <c r="M174" s="2">
        <v>1011</v>
      </c>
      <c r="N174" s="2">
        <v>1032</v>
      </c>
      <c r="O174" s="2">
        <v>1257.54</v>
      </c>
      <c r="P174" s="2">
        <v>1446.37</v>
      </c>
      <c r="Q174" s="2">
        <v>1626.45</v>
      </c>
      <c r="R174" s="2">
        <v>1728.36</v>
      </c>
      <c r="S174" s="2">
        <v>1886.2</v>
      </c>
      <c r="T174" s="2">
        <v>2132.09</v>
      </c>
    </row>
    <row r="175" spans="1:20" x14ac:dyDescent="0.25">
      <c r="A175" t="s">
        <v>484</v>
      </c>
      <c r="B175" s="2">
        <v>1016</v>
      </c>
      <c r="C175" s="2">
        <v>1081</v>
      </c>
      <c r="D175" s="2">
        <v>1132</v>
      </c>
      <c r="E175">
        <v>973</v>
      </c>
      <c r="F175" s="2">
        <v>1005</v>
      </c>
      <c r="G175" s="2">
        <v>1116</v>
      </c>
      <c r="H175" s="2">
        <v>1033</v>
      </c>
      <c r="I175" s="2">
        <v>1065</v>
      </c>
      <c r="J175" s="2">
        <v>1139</v>
      </c>
      <c r="K175" s="2">
        <v>1039</v>
      </c>
      <c r="L175" s="2">
        <v>1124</v>
      </c>
      <c r="M175" s="2">
        <v>1144</v>
      </c>
      <c r="N175" s="2">
        <v>1217</v>
      </c>
      <c r="O175" s="2">
        <v>1211.56</v>
      </c>
      <c r="P175" s="2">
        <v>1249.74</v>
      </c>
      <c r="Q175" s="2">
        <v>1327.76</v>
      </c>
      <c r="R175" s="2">
        <v>1402.02</v>
      </c>
      <c r="S175" s="2">
        <v>1483.9</v>
      </c>
    </row>
    <row r="176" spans="1:20" x14ac:dyDescent="0.25">
      <c r="A176" t="s">
        <v>3844</v>
      </c>
      <c r="B176">
        <v>103</v>
      </c>
      <c r="C176">
        <v>118</v>
      </c>
      <c r="D176">
        <v>117</v>
      </c>
      <c r="E176">
        <v>55</v>
      </c>
      <c r="F176">
        <v>52</v>
      </c>
      <c r="G176">
        <v>65</v>
      </c>
      <c r="H176">
        <v>71</v>
      </c>
      <c r="I176">
        <v>77</v>
      </c>
      <c r="J176">
        <v>75</v>
      </c>
      <c r="K176">
        <v>84</v>
      </c>
      <c r="L176">
        <v>97</v>
      </c>
      <c r="M176">
        <v>133</v>
      </c>
      <c r="N176">
        <v>185</v>
      </c>
      <c r="O176">
        <v>177.7</v>
      </c>
      <c r="P176">
        <v>485.83</v>
      </c>
      <c r="Q176">
        <v>672.65</v>
      </c>
      <c r="R176">
        <v>825.96</v>
      </c>
      <c r="S176">
        <v>990.45</v>
      </c>
    </row>
    <row r="177" spans="1:20" x14ac:dyDescent="0.25">
      <c r="A177" t="s">
        <v>3845</v>
      </c>
      <c r="B177">
        <v>0</v>
      </c>
      <c r="C177">
        <v>0</v>
      </c>
      <c r="D177">
        <v>362</v>
      </c>
      <c r="H177">
        <v>674</v>
      </c>
      <c r="I177">
        <v>477</v>
      </c>
      <c r="J177">
        <v>-382</v>
      </c>
      <c r="K177">
        <v>-72</v>
      </c>
      <c r="L177">
        <v>78</v>
      </c>
      <c r="M177">
        <v>22</v>
      </c>
      <c r="N177">
        <v>-253</v>
      </c>
    </row>
    <row r="178" spans="1:20" x14ac:dyDescent="0.25">
      <c r="A178" t="s">
        <v>100</v>
      </c>
      <c r="B178">
        <v>570</v>
      </c>
      <c r="C178">
        <v>171</v>
      </c>
      <c r="D178">
        <v>893</v>
      </c>
      <c r="E178" s="2">
        <v>1078</v>
      </c>
      <c r="F178" s="2">
        <v>1426</v>
      </c>
      <c r="G178" s="2">
        <v>1512</v>
      </c>
      <c r="H178" s="2">
        <v>1117</v>
      </c>
      <c r="I178" s="2">
        <v>1129</v>
      </c>
      <c r="J178" s="2">
        <v>1559</v>
      </c>
      <c r="K178" s="2">
        <v>1439</v>
      </c>
      <c r="L178" s="2">
        <v>1464</v>
      </c>
      <c r="M178" s="2">
        <v>1504</v>
      </c>
      <c r="N178" s="2">
        <v>1559</v>
      </c>
      <c r="O178" s="2">
        <v>2435.36</v>
      </c>
      <c r="P178" s="2">
        <v>2601.61</v>
      </c>
      <c r="Q178" s="2">
        <v>2818.21</v>
      </c>
      <c r="R178" s="2">
        <v>3046.61</v>
      </c>
      <c r="S178" s="2">
        <v>3321.01</v>
      </c>
    </row>
    <row r="179" spans="1:20" x14ac:dyDescent="0.25">
      <c r="A179" t="s">
        <v>17</v>
      </c>
    </row>
    <row r="180" spans="1:20" x14ac:dyDescent="0.25">
      <c r="A180" t="s">
        <v>101</v>
      </c>
      <c r="B180">
        <v>195</v>
      </c>
      <c r="C180">
        <v>-42</v>
      </c>
      <c r="D180">
        <v>315</v>
      </c>
      <c r="E180">
        <v>527</v>
      </c>
      <c r="F180" s="2">
        <v>1715</v>
      </c>
      <c r="G180">
        <v>490</v>
      </c>
      <c r="H180">
        <v>213</v>
      </c>
      <c r="I180">
        <v>126</v>
      </c>
      <c r="J180">
        <v>320</v>
      </c>
      <c r="K180" s="2">
        <v>1000</v>
      </c>
      <c r="L180">
        <v>267</v>
      </c>
      <c r="M180">
        <v>377</v>
      </c>
      <c r="N180">
        <v>288</v>
      </c>
      <c r="O180">
        <v>474.72</v>
      </c>
      <c r="P180">
        <v>501.02</v>
      </c>
      <c r="Q180">
        <v>538.92999999999995</v>
      </c>
      <c r="R180">
        <v>577.52</v>
      </c>
      <c r="S180">
        <v>626.9</v>
      </c>
    </row>
    <row r="181" spans="1:20" x14ac:dyDescent="0.25">
      <c r="A181" t="s">
        <v>102</v>
      </c>
      <c r="B181">
        <v>34.21</v>
      </c>
      <c r="D181">
        <v>35.270000000000003</v>
      </c>
      <c r="E181">
        <v>48.89</v>
      </c>
      <c r="F181">
        <v>120.27</v>
      </c>
      <c r="G181">
        <v>32.409999999999997</v>
      </c>
      <c r="H181">
        <v>19.07</v>
      </c>
      <c r="I181">
        <v>11.16</v>
      </c>
      <c r="J181">
        <v>20.53</v>
      </c>
      <c r="K181">
        <v>69.489999999999995</v>
      </c>
      <c r="L181">
        <v>18.239999999999998</v>
      </c>
      <c r="M181">
        <v>25.07</v>
      </c>
      <c r="N181">
        <v>18.47</v>
      </c>
      <c r="O181">
        <v>20.18</v>
      </c>
      <c r="P181">
        <v>20.09</v>
      </c>
      <c r="Q181">
        <v>20.02</v>
      </c>
      <c r="R181">
        <v>20.440000000000001</v>
      </c>
      <c r="S181">
        <v>20.420000000000002</v>
      </c>
    </row>
    <row r="182" spans="1:20" x14ac:dyDescent="0.25">
      <c r="A182" t="s">
        <v>17</v>
      </c>
    </row>
    <row r="183" spans="1:20" x14ac:dyDescent="0.25">
      <c r="A183" t="s">
        <v>106</v>
      </c>
      <c r="B183">
        <v>392</v>
      </c>
      <c r="C183">
        <v>299</v>
      </c>
      <c r="D183">
        <v>578</v>
      </c>
      <c r="E183" s="2">
        <v>-6177</v>
      </c>
      <c r="F183" s="2">
        <v>-1724</v>
      </c>
      <c r="G183" s="2">
        <v>1348</v>
      </c>
      <c r="H183">
        <v>912</v>
      </c>
      <c r="I183" s="2">
        <v>1079</v>
      </c>
      <c r="J183" s="2">
        <v>1283</v>
      </c>
      <c r="K183">
        <v>439</v>
      </c>
      <c r="L183" s="2">
        <v>1176</v>
      </c>
      <c r="M183" s="2">
        <v>1127</v>
      </c>
      <c r="N183" s="2">
        <v>1271</v>
      </c>
      <c r="O183" s="2">
        <v>1778.4</v>
      </c>
      <c r="P183" s="2">
        <v>1869.03</v>
      </c>
      <c r="Q183" s="2">
        <v>2051.98</v>
      </c>
      <c r="R183" s="2">
        <v>2227.96</v>
      </c>
      <c r="S183" s="2">
        <v>2426.84</v>
      </c>
      <c r="T183" s="2">
        <v>2494.37</v>
      </c>
    </row>
    <row r="184" spans="1:20" x14ac:dyDescent="0.25">
      <c r="A184" t="s">
        <v>105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33</v>
      </c>
      <c r="L184">
        <v>74</v>
      </c>
      <c r="M184">
        <v>149</v>
      </c>
      <c r="N184">
        <v>251</v>
      </c>
      <c r="O184">
        <v>269.89999999999998</v>
      </c>
      <c r="P184">
        <v>297.85000000000002</v>
      </c>
      <c r="Q184">
        <v>334.72</v>
      </c>
      <c r="R184">
        <v>381.38</v>
      </c>
      <c r="S184">
        <v>428.53</v>
      </c>
    </row>
    <row r="185" spans="1:20" x14ac:dyDescent="0.25">
      <c r="A185" t="s">
        <v>589</v>
      </c>
      <c r="B185">
        <v>392</v>
      </c>
      <c r="C185">
        <v>299</v>
      </c>
      <c r="D185">
        <v>578</v>
      </c>
      <c r="E185" s="2">
        <v>-6177</v>
      </c>
      <c r="F185" s="2">
        <v>-1700</v>
      </c>
      <c r="G185">
        <v>655</v>
      </c>
      <c r="H185">
        <v>900</v>
      </c>
      <c r="I185" s="2">
        <v>1003</v>
      </c>
      <c r="J185" s="2">
        <v>1283</v>
      </c>
      <c r="K185">
        <v>406</v>
      </c>
      <c r="L185" s="2">
        <v>1123</v>
      </c>
      <c r="M185">
        <v>978</v>
      </c>
      <c r="N185" s="2">
        <v>1020</v>
      </c>
      <c r="O185" s="2">
        <v>1647.14</v>
      </c>
      <c r="P185" s="2">
        <v>1796.5</v>
      </c>
      <c r="Q185" s="2">
        <v>1933.57</v>
      </c>
      <c r="R185" s="2">
        <v>2136.8000000000002</v>
      </c>
      <c r="S185" s="2">
        <v>2333</v>
      </c>
    </row>
    <row r="186" spans="1:20" x14ac:dyDescent="0.25">
      <c r="A186" t="s">
        <v>17</v>
      </c>
    </row>
    <row r="187" spans="1:20" x14ac:dyDescent="0.25">
      <c r="A187" t="s">
        <v>108</v>
      </c>
      <c r="B187">
        <v>418</v>
      </c>
      <c r="C187">
        <v>420</v>
      </c>
      <c r="D187">
        <v>422</v>
      </c>
      <c r="E187">
        <v>426</v>
      </c>
      <c r="F187">
        <v>444</v>
      </c>
      <c r="G187">
        <v>492</v>
      </c>
      <c r="H187">
        <v>535</v>
      </c>
      <c r="I187">
        <v>542</v>
      </c>
      <c r="J187">
        <v>545</v>
      </c>
      <c r="K187">
        <v>571</v>
      </c>
      <c r="L187">
        <v>573</v>
      </c>
      <c r="M187">
        <v>575</v>
      </c>
      <c r="N187">
        <v>577</v>
      </c>
      <c r="O187">
        <v>580.14</v>
      </c>
      <c r="P187">
        <v>589.21</v>
      </c>
      <c r="Q187">
        <v>597.21</v>
      </c>
      <c r="R187">
        <v>608.21</v>
      </c>
      <c r="S187">
        <v>616.46</v>
      </c>
      <c r="T187">
        <v>620.99</v>
      </c>
    </row>
    <row r="188" spans="1:20" x14ac:dyDescent="0.25">
      <c r="A188" t="s">
        <v>17</v>
      </c>
    </row>
    <row r="189" spans="1:20" x14ac:dyDescent="0.25">
      <c r="A189" t="s">
        <v>109</v>
      </c>
      <c r="B189">
        <v>419</v>
      </c>
      <c r="C189">
        <v>421</v>
      </c>
      <c r="D189">
        <v>424</v>
      </c>
      <c r="E189">
        <v>426</v>
      </c>
      <c r="F189">
        <v>444</v>
      </c>
      <c r="G189">
        <v>494</v>
      </c>
      <c r="H189">
        <v>542</v>
      </c>
      <c r="I189">
        <v>543</v>
      </c>
      <c r="J189">
        <v>545</v>
      </c>
      <c r="K189">
        <v>572</v>
      </c>
      <c r="L189">
        <v>574</v>
      </c>
      <c r="M189">
        <v>577</v>
      </c>
      <c r="N189">
        <v>578</v>
      </c>
      <c r="O189">
        <v>580.57000000000005</v>
      </c>
      <c r="P189">
        <v>589.5</v>
      </c>
      <c r="Q189">
        <v>597.5</v>
      </c>
      <c r="R189">
        <v>608.54999999999995</v>
      </c>
      <c r="S189">
        <v>616.79</v>
      </c>
      <c r="T189">
        <v>621.99</v>
      </c>
    </row>
    <row r="190" spans="1:20" x14ac:dyDescent="0.25">
      <c r="A190" t="s">
        <v>110</v>
      </c>
      <c r="B190">
        <v>0.94</v>
      </c>
      <c r="C190">
        <v>0.71</v>
      </c>
      <c r="D190">
        <v>1.37</v>
      </c>
      <c r="E190">
        <v>-14.49</v>
      </c>
      <c r="F190">
        <v>-3.88</v>
      </c>
      <c r="G190">
        <v>1.33</v>
      </c>
      <c r="H190">
        <v>1.67</v>
      </c>
      <c r="I190">
        <v>1.99</v>
      </c>
      <c r="J190">
        <v>2.35</v>
      </c>
      <c r="K190">
        <v>0.71</v>
      </c>
      <c r="L190">
        <v>1.96</v>
      </c>
      <c r="M190">
        <v>1.7</v>
      </c>
      <c r="N190">
        <v>1.77</v>
      </c>
      <c r="O190">
        <v>2.81</v>
      </c>
      <c r="P190">
        <v>3</v>
      </c>
      <c r="Q190">
        <v>3.21</v>
      </c>
      <c r="R190">
        <v>3.45</v>
      </c>
      <c r="S190">
        <v>3.74</v>
      </c>
    </row>
    <row r="191" spans="1:20" x14ac:dyDescent="0.25">
      <c r="A191" t="s">
        <v>17</v>
      </c>
    </row>
    <row r="192" spans="1:20" x14ac:dyDescent="0.25">
      <c r="A192" t="s">
        <v>487</v>
      </c>
      <c r="B192">
        <v>1.65</v>
      </c>
      <c r="C192">
        <v>1.44</v>
      </c>
      <c r="D192">
        <v>1.44</v>
      </c>
      <c r="E192">
        <v>1.44</v>
      </c>
      <c r="F192">
        <v>1.44</v>
      </c>
      <c r="G192">
        <v>1.46</v>
      </c>
      <c r="H192">
        <v>1.53</v>
      </c>
      <c r="I192">
        <v>1.56</v>
      </c>
      <c r="J192">
        <v>1.56</v>
      </c>
      <c r="K192">
        <v>1.56</v>
      </c>
      <c r="L192">
        <v>1.6</v>
      </c>
      <c r="M192">
        <v>1.69</v>
      </c>
      <c r="N192">
        <v>1.76</v>
      </c>
      <c r="O192">
        <v>1.86</v>
      </c>
      <c r="P192">
        <v>1.96</v>
      </c>
      <c r="Q192">
        <v>2.0699999999999998</v>
      </c>
      <c r="R192">
        <v>2.17</v>
      </c>
      <c r="S192">
        <v>2.2999999999999998</v>
      </c>
      <c r="T192">
        <v>2.4900000000000002</v>
      </c>
    </row>
    <row r="193" spans="1:20" x14ac:dyDescent="0.25">
      <c r="A193" t="s">
        <v>1123</v>
      </c>
      <c r="B193">
        <v>183.92</v>
      </c>
      <c r="C193">
        <v>283.94</v>
      </c>
      <c r="D193">
        <v>105.13</v>
      </c>
      <c r="E193">
        <v>111.33</v>
      </c>
      <c r="G193">
        <v>109.67</v>
      </c>
      <c r="H193">
        <v>90.95</v>
      </c>
      <c r="I193">
        <v>84.3</v>
      </c>
      <c r="J193">
        <v>68.62</v>
      </c>
      <c r="K193">
        <v>219.4</v>
      </c>
      <c r="L193">
        <v>81.64</v>
      </c>
      <c r="M193">
        <v>99.07</v>
      </c>
      <c r="N193">
        <v>99.56</v>
      </c>
      <c r="O193">
        <v>68.41</v>
      </c>
      <c r="P193">
        <v>67.2</v>
      </c>
      <c r="Q193">
        <v>65.88</v>
      </c>
      <c r="R193">
        <v>64.14</v>
      </c>
      <c r="S193">
        <v>62.5</v>
      </c>
      <c r="T193">
        <v>62.07</v>
      </c>
    </row>
    <row r="194" spans="1:20" x14ac:dyDescent="0.25">
      <c r="A194" t="s">
        <v>17</v>
      </c>
    </row>
    <row r="195" spans="1:20" x14ac:dyDescent="0.25">
      <c r="A195" t="s">
        <v>111</v>
      </c>
    </row>
    <row r="196" spans="1:20" x14ac:dyDescent="0.25">
      <c r="A196" t="s">
        <v>116</v>
      </c>
      <c r="C196" s="2">
        <v>2335</v>
      </c>
      <c r="D196" s="2">
        <v>2709</v>
      </c>
      <c r="E196" s="2">
        <v>2736</v>
      </c>
      <c r="F196" s="2">
        <v>3257</v>
      </c>
      <c r="G196" s="2">
        <v>2564</v>
      </c>
      <c r="H196" s="2">
        <v>2491</v>
      </c>
      <c r="I196" s="2">
        <v>2162</v>
      </c>
      <c r="J196" s="2">
        <v>1726</v>
      </c>
      <c r="K196" s="2">
        <v>2178</v>
      </c>
      <c r="L196" s="2">
        <v>2525</v>
      </c>
      <c r="M196" s="2">
        <v>2811</v>
      </c>
      <c r="N196" s="2">
        <v>3060</v>
      </c>
      <c r="O196" s="2">
        <v>3366.3</v>
      </c>
      <c r="P196" s="2">
        <v>3696.5</v>
      </c>
      <c r="Q196" s="2">
        <v>4047.7</v>
      </c>
      <c r="R196" s="2">
        <v>4280.17</v>
      </c>
      <c r="S196" s="2">
        <v>4625</v>
      </c>
      <c r="T196" s="2">
        <v>5773</v>
      </c>
    </row>
    <row r="197" spans="1:20" x14ac:dyDescent="0.25">
      <c r="A197" t="s">
        <v>117</v>
      </c>
      <c r="C197" s="2">
        <v>3884</v>
      </c>
      <c r="D197" s="2">
        <v>4279</v>
      </c>
      <c r="E197" s="2">
        <v>4733</v>
      </c>
      <c r="F197" s="2">
        <v>4538</v>
      </c>
      <c r="G197" s="2">
        <v>3798</v>
      </c>
      <c r="H197" s="2">
        <v>3683</v>
      </c>
      <c r="I197" s="2">
        <v>3383</v>
      </c>
      <c r="J197" s="2">
        <v>3327</v>
      </c>
      <c r="K197" s="2">
        <v>3553</v>
      </c>
      <c r="L197" s="2">
        <v>3805</v>
      </c>
      <c r="M197" s="2">
        <v>4383</v>
      </c>
      <c r="N197" s="2">
        <v>4707</v>
      </c>
      <c r="O197" s="2">
        <v>5048.33</v>
      </c>
      <c r="P197" s="2">
        <v>5599.56</v>
      </c>
      <c r="Q197" s="2">
        <v>6096.44</v>
      </c>
      <c r="R197" s="2">
        <v>6270.75</v>
      </c>
      <c r="S197" s="2">
        <v>6685</v>
      </c>
    </row>
    <row r="198" spans="1:20" x14ac:dyDescent="0.25">
      <c r="A198" t="s">
        <v>119</v>
      </c>
      <c r="C198" s="2">
        <v>1509</v>
      </c>
      <c r="D198" s="2">
        <v>1787</v>
      </c>
      <c r="E198" s="2">
        <v>1796</v>
      </c>
      <c r="F198" s="2">
        <v>2164</v>
      </c>
      <c r="G198" s="2">
        <v>1816</v>
      </c>
      <c r="H198" s="2">
        <v>1751</v>
      </c>
      <c r="I198" s="2">
        <v>1628</v>
      </c>
      <c r="J198" s="2">
        <v>1559</v>
      </c>
      <c r="K198" s="2">
        <v>1790</v>
      </c>
      <c r="L198" s="2">
        <v>1735</v>
      </c>
      <c r="M198" s="2">
        <v>1481</v>
      </c>
      <c r="N198" s="2">
        <v>1559</v>
      </c>
      <c r="O198" s="2">
        <v>2350.25</v>
      </c>
      <c r="P198" s="2">
        <v>2522.88</v>
      </c>
      <c r="Q198" s="2">
        <v>2744.25</v>
      </c>
      <c r="R198" s="2">
        <v>3070</v>
      </c>
      <c r="S198" s="2">
        <v>3345.67</v>
      </c>
    </row>
    <row r="199" spans="1:20" x14ac:dyDescent="0.25">
      <c r="A199" t="s">
        <v>121</v>
      </c>
      <c r="B199" s="2">
        <v>1267.74</v>
      </c>
      <c r="C199" s="2">
        <v>1078.08</v>
      </c>
      <c r="D199" s="2">
        <v>1143.3399999999999</v>
      </c>
      <c r="E199" s="2">
        <v>1125.33</v>
      </c>
      <c r="F199" s="2">
        <v>1366</v>
      </c>
      <c r="G199" s="2">
        <v>1391</v>
      </c>
      <c r="H199" s="2">
        <v>1392</v>
      </c>
      <c r="I199" s="2">
        <v>1296</v>
      </c>
      <c r="J199" s="2">
        <v>1420</v>
      </c>
      <c r="K199" s="2">
        <v>1376</v>
      </c>
      <c r="L199" s="2">
        <v>1468</v>
      </c>
      <c r="M199" s="2">
        <v>1514</v>
      </c>
      <c r="N199" s="2">
        <v>1471</v>
      </c>
      <c r="O199" s="2">
        <v>1587.3</v>
      </c>
      <c r="P199" s="2">
        <v>1737.4</v>
      </c>
      <c r="Q199" s="2">
        <v>1901</v>
      </c>
      <c r="R199" s="2">
        <v>2078.17</v>
      </c>
      <c r="S199" s="2">
        <v>2271.5</v>
      </c>
      <c r="T199" s="2">
        <v>2494</v>
      </c>
    </row>
    <row r="200" spans="1:20" x14ac:dyDescent="0.25">
      <c r="A200" t="s">
        <v>3846</v>
      </c>
      <c r="B200">
        <v>3.04</v>
      </c>
      <c r="C200">
        <v>2.56</v>
      </c>
      <c r="D200">
        <v>2.71</v>
      </c>
      <c r="E200">
        <v>2.63</v>
      </c>
      <c r="F200">
        <v>3.07</v>
      </c>
      <c r="G200">
        <v>2.59</v>
      </c>
      <c r="H200">
        <v>2.58</v>
      </c>
      <c r="I200">
        <v>2.39</v>
      </c>
      <c r="J200">
        <v>2.6</v>
      </c>
      <c r="K200">
        <v>2.41</v>
      </c>
      <c r="L200">
        <v>2.56</v>
      </c>
      <c r="M200">
        <v>2.37</v>
      </c>
      <c r="N200">
        <v>2.5499999999999998</v>
      </c>
      <c r="O200">
        <v>2.73</v>
      </c>
      <c r="P200">
        <v>2.95</v>
      </c>
      <c r="Q200">
        <v>3.18</v>
      </c>
      <c r="R200">
        <v>3.41</v>
      </c>
      <c r="S200">
        <v>3.68</v>
      </c>
      <c r="T200">
        <v>4.01</v>
      </c>
    </row>
    <row r="201" spans="1:20" x14ac:dyDescent="0.25">
      <c r="A201" t="s">
        <v>17</v>
      </c>
    </row>
    <row r="202" spans="1:20" x14ac:dyDescent="0.25">
      <c r="A202" t="s">
        <v>651</v>
      </c>
    </row>
    <row r="203" spans="1:20" x14ac:dyDescent="0.25">
      <c r="A203" t="s">
        <v>396</v>
      </c>
      <c r="B203">
        <v>539</v>
      </c>
      <c r="C203">
        <v>12</v>
      </c>
      <c r="D203">
        <v>268</v>
      </c>
      <c r="E203">
        <v>297</v>
      </c>
      <c r="F203">
        <v>308</v>
      </c>
      <c r="J203">
        <v>269</v>
      </c>
      <c r="K203">
        <v>365</v>
      </c>
      <c r="L203">
        <v>261</v>
      </c>
      <c r="M203">
        <v>231</v>
      </c>
      <c r="N203">
        <v>109</v>
      </c>
      <c r="O203">
        <v>302.3</v>
      </c>
      <c r="P203">
        <v>307.3</v>
      </c>
      <c r="Q203">
        <v>311.69</v>
      </c>
      <c r="R203">
        <v>316.52999999999997</v>
      </c>
      <c r="S203">
        <v>321.85000000000002</v>
      </c>
    </row>
    <row r="204" spans="1:20" x14ac:dyDescent="0.25">
      <c r="A204" t="s">
        <v>17</v>
      </c>
    </row>
    <row r="205" spans="1:20" x14ac:dyDescent="0.25">
      <c r="A205" t="s">
        <v>134</v>
      </c>
    </row>
    <row r="206" spans="1:20" x14ac:dyDescent="0.25">
      <c r="A206" t="s">
        <v>135</v>
      </c>
    </row>
    <row r="207" spans="1:20" x14ac:dyDescent="0.25">
      <c r="A207" t="s">
        <v>136</v>
      </c>
      <c r="B207" s="2">
        <v>4013</v>
      </c>
      <c r="C207" s="2">
        <v>3358</v>
      </c>
      <c r="D207" s="2">
        <v>3040</v>
      </c>
      <c r="E207" s="2">
        <v>2950</v>
      </c>
      <c r="F207" s="2">
        <v>3110</v>
      </c>
      <c r="G207" s="2">
        <v>2392</v>
      </c>
      <c r="H207" s="2">
        <v>2444</v>
      </c>
      <c r="I207" s="2">
        <v>3714</v>
      </c>
      <c r="J207" s="2">
        <v>3237</v>
      </c>
      <c r="K207" s="2">
        <v>2415</v>
      </c>
      <c r="L207" s="2">
        <v>2568</v>
      </c>
      <c r="M207" s="2">
        <v>2776</v>
      </c>
      <c r="N207" s="2">
        <v>2979</v>
      </c>
      <c r="O207" s="2">
        <v>3345.16</v>
      </c>
      <c r="P207" s="2">
        <v>3545.42</v>
      </c>
      <c r="Q207" s="2">
        <v>3665.07</v>
      </c>
      <c r="R207" s="2">
        <v>3844.3</v>
      </c>
      <c r="S207" s="2">
        <v>4014.78</v>
      </c>
      <c r="T207" s="2">
        <v>5270.25</v>
      </c>
    </row>
    <row r="208" spans="1:20" x14ac:dyDescent="0.25">
      <c r="A208" t="s">
        <v>536</v>
      </c>
      <c r="B208">
        <v>218</v>
      </c>
      <c r="C208">
        <v>85</v>
      </c>
      <c r="D208">
        <v>131</v>
      </c>
      <c r="E208">
        <v>199</v>
      </c>
      <c r="F208">
        <v>588</v>
      </c>
      <c r="G208">
        <v>367</v>
      </c>
      <c r="H208">
        <v>627</v>
      </c>
      <c r="I208" s="2">
        <v>1734</v>
      </c>
      <c r="J208" s="2">
        <v>1462</v>
      </c>
      <c r="K208">
        <v>160</v>
      </c>
      <c r="L208">
        <v>137</v>
      </c>
      <c r="M208">
        <v>111</v>
      </c>
      <c r="N208">
        <v>57</v>
      </c>
      <c r="O208">
        <v>460.33</v>
      </c>
      <c r="P208">
        <v>502.82</v>
      </c>
      <c r="Q208">
        <v>491.19</v>
      </c>
      <c r="R208">
        <v>668.2</v>
      </c>
      <c r="S208">
        <v>433.71</v>
      </c>
    </row>
    <row r="209" spans="1:20" x14ac:dyDescent="0.25">
      <c r="A209" t="s">
        <v>141</v>
      </c>
      <c r="B209" s="2">
        <v>1918</v>
      </c>
      <c r="C209" s="2">
        <v>1779</v>
      </c>
      <c r="D209" s="2">
        <v>1595</v>
      </c>
      <c r="E209" s="2">
        <v>1615</v>
      </c>
      <c r="F209" s="2">
        <v>1452</v>
      </c>
      <c r="G209" s="2">
        <v>1511</v>
      </c>
      <c r="H209" s="2">
        <v>1294</v>
      </c>
      <c r="I209" s="2">
        <v>1439</v>
      </c>
      <c r="J209" s="2">
        <v>1279</v>
      </c>
      <c r="K209" s="2">
        <v>1571</v>
      </c>
      <c r="L209" s="2">
        <v>1584</v>
      </c>
      <c r="M209" s="2">
        <v>1833</v>
      </c>
      <c r="N209" s="2">
        <v>2021</v>
      </c>
      <c r="O209" s="2">
        <v>2047</v>
      </c>
      <c r="P209" s="2">
        <v>2081</v>
      </c>
      <c r="Q209" s="2">
        <v>2118.33</v>
      </c>
      <c r="R209" s="2">
        <v>2157.33</v>
      </c>
      <c r="S209" s="2">
        <v>2198</v>
      </c>
      <c r="T209" s="2">
        <v>2010</v>
      </c>
    </row>
    <row r="210" spans="1:20" x14ac:dyDescent="0.25">
      <c r="A210" t="s">
        <v>340</v>
      </c>
      <c r="B210">
        <v>752</v>
      </c>
      <c r="C210">
        <v>817</v>
      </c>
      <c r="D210">
        <v>785</v>
      </c>
      <c r="E210">
        <v>564</v>
      </c>
      <c r="F210">
        <v>236</v>
      </c>
      <c r="G210">
        <v>252</v>
      </c>
      <c r="H210">
        <v>281</v>
      </c>
      <c r="I210">
        <v>317</v>
      </c>
      <c r="J210">
        <v>260</v>
      </c>
      <c r="K210">
        <v>421</v>
      </c>
      <c r="L210">
        <v>512</v>
      </c>
      <c r="M210">
        <v>549</v>
      </c>
      <c r="N210">
        <v>577</v>
      </c>
      <c r="O210">
        <v>582.79999999999995</v>
      </c>
      <c r="P210">
        <v>594.79999999999995</v>
      </c>
      <c r="Q210">
        <v>608.79999999999995</v>
      </c>
      <c r="R210">
        <v>624.79999999999995</v>
      </c>
      <c r="S210">
        <v>643</v>
      </c>
    </row>
    <row r="211" spans="1:20" x14ac:dyDescent="0.25">
      <c r="A211" t="s">
        <v>3847</v>
      </c>
      <c r="B211" s="2">
        <v>2304</v>
      </c>
      <c r="C211" s="2">
        <v>2449</v>
      </c>
      <c r="D211" s="2">
        <v>2422</v>
      </c>
      <c r="E211" s="2">
        <v>1351</v>
      </c>
      <c r="F211">
        <v>999</v>
      </c>
      <c r="G211" s="2">
        <v>1235</v>
      </c>
      <c r="H211" s="2">
        <v>1310</v>
      </c>
      <c r="I211" s="2">
        <v>1578</v>
      </c>
      <c r="J211" s="2">
        <v>1414</v>
      </c>
      <c r="K211" s="2">
        <v>1693</v>
      </c>
      <c r="L211" s="2">
        <v>2116</v>
      </c>
      <c r="M211" s="2">
        <v>2754</v>
      </c>
      <c r="N211" s="2">
        <v>3389</v>
      </c>
      <c r="O211" s="2">
        <v>3907</v>
      </c>
      <c r="P211" s="2">
        <v>4157</v>
      </c>
      <c r="Q211" s="2">
        <v>4407</v>
      </c>
      <c r="R211" s="2">
        <v>4657</v>
      </c>
      <c r="S211" s="2">
        <v>4907</v>
      </c>
    </row>
    <row r="212" spans="1:20" x14ac:dyDescent="0.25">
      <c r="A212" t="s">
        <v>3848</v>
      </c>
      <c r="B212">
        <v>226</v>
      </c>
      <c r="C212">
        <v>128</v>
      </c>
      <c r="D212">
        <v>135</v>
      </c>
      <c r="E212">
        <v>98</v>
      </c>
      <c r="F212">
        <v>151</v>
      </c>
      <c r="G212">
        <v>175</v>
      </c>
      <c r="H212">
        <v>157</v>
      </c>
      <c r="I212">
        <v>157</v>
      </c>
      <c r="J212">
        <v>187</v>
      </c>
      <c r="K212">
        <v>217</v>
      </c>
      <c r="L212">
        <v>293</v>
      </c>
      <c r="M212">
        <v>240</v>
      </c>
      <c r="N212">
        <v>282</v>
      </c>
      <c r="O212">
        <v>376</v>
      </c>
      <c r="P212">
        <v>388.5</v>
      </c>
      <c r="Q212">
        <v>401</v>
      </c>
      <c r="R212">
        <v>413.5</v>
      </c>
      <c r="S212">
        <v>426</v>
      </c>
    </row>
    <row r="213" spans="1:20" x14ac:dyDescent="0.25">
      <c r="A213" t="s">
        <v>78</v>
      </c>
      <c r="B213" s="2">
        <v>1125</v>
      </c>
      <c r="C213">
        <v>677</v>
      </c>
      <c r="D213">
        <v>529</v>
      </c>
      <c r="E213">
        <v>572</v>
      </c>
      <c r="F213">
        <v>783</v>
      </c>
      <c r="G213">
        <v>200</v>
      </c>
      <c r="H213">
        <v>190</v>
      </c>
      <c r="I213">
        <v>157</v>
      </c>
      <c r="J213">
        <v>187</v>
      </c>
      <c r="K213">
        <v>217</v>
      </c>
      <c r="L213">
        <v>293</v>
      </c>
      <c r="M213">
        <v>240</v>
      </c>
      <c r="N213">
        <v>282</v>
      </c>
    </row>
    <row r="214" spans="1:20" x14ac:dyDescent="0.25">
      <c r="A214" t="s">
        <v>146</v>
      </c>
      <c r="B214" s="2">
        <v>46411</v>
      </c>
      <c r="C214" s="2">
        <v>48290</v>
      </c>
      <c r="D214" s="2">
        <v>49147</v>
      </c>
      <c r="E214" s="2">
        <v>40198</v>
      </c>
      <c r="F214" s="2">
        <v>39147</v>
      </c>
      <c r="G214" s="2">
        <v>37671</v>
      </c>
      <c r="H214" s="2">
        <v>39857</v>
      </c>
      <c r="I214" s="2">
        <v>40750</v>
      </c>
      <c r="J214" s="2">
        <v>42195</v>
      </c>
      <c r="K214" s="2">
        <v>43693</v>
      </c>
      <c r="L214" s="2">
        <v>46199</v>
      </c>
      <c r="M214" s="2">
        <v>49268</v>
      </c>
      <c r="N214" s="2">
        <v>52925</v>
      </c>
      <c r="O214" s="2">
        <v>57147.82</v>
      </c>
      <c r="P214" s="2">
        <v>62171.39</v>
      </c>
      <c r="Q214" s="2">
        <v>67806.52</v>
      </c>
      <c r="R214" s="2">
        <v>73083.09</v>
      </c>
      <c r="S214" s="2">
        <v>79058.289999999994</v>
      </c>
      <c r="T214" s="2">
        <v>84882.81</v>
      </c>
    </row>
    <row r="215" spans="1:20" x14ac:dyDescent="0.25">
      <c r="A215" t="s">
        <v>409</v>
      </c>
      <c r="B215" s="2">
        <v>33252</v>
      </c>
      <c r="C215" s="2">
        <v>35783</v>
      </c>
      <c r="D215" s="2">
        <v>37214</v>
      </c>
      <c r="E215" s="2">
        <v>29387</v>
      </c>
      <c r="F215" s="2">
        <v>28101</v>
      </c>
      <c r="G215" s="2">
        <v>29911</v>
      </c>
      <c r="H215" s="2">
        <v>31650</v>
      </c>
      <c r="I215" s="2">
        <v>33294</v>
      </c>
      <c r="J215" s="2">
        <v>34744</v>
      </c>
      <c r="K215" s="2">
        <v>36285</v>
      </c>
      <c r="L215" s="2">
        <v>38412</v>
      </c>
      <c r="M215" s="2">
        <v>41102</v>
      </c>
      <c r="N215" s="2">
        <v>44413</v>
      </c>
      <c r="O215" s="2">
        <v>47870.879999999997</v>
      </c>
      <c r="P215" s="2">
        <v>52372.85</v>
      </c>
      <c r="Q215" s="2">
        <v>57331.92</v>
      </c>
      <c r="R215" s="2">
        <v>61586.720000000001</v>
      </c>
      <c r="S215" s="2">
        <v>66362.34</v>
      </c>
      <c r="T215" s="2">
        <v>76153.81</v>
      </c>
    </row>
    <row r="216" spans="1:20" x14ac:dyDescent="0.25">
      <c r="A216" t="s">
        <v>3849</v>
      </c>
      <c r="B216" s="2">
        <v>44228</v>
      </c>
      <c r="C216" s="2">
        <v>47484</v>
      </c>
      <c r="D216" s="2">
        <v>49952</v>
      </c>
      <c r="E216" s="2">
        <v>43767</v>
      </c>
      <c r="F216" s="2">
        <v>37113</v>
      </c>
      <c r="G216" s="2">
        <v>39469</v>
      </c>
      <c r="H216" s="2">
        <v>41767</v>
      </c>
      <c r="I216" s="2">
        <v>43654</v>
      </c>
      <c r="J216" s="2">
        <v>46002</v>
      </c>
      <c r="K216" s="2">
        <v>47850</v>
      </c>
      <c r="L216" s="2">
        <v>50107</v>
      </c>
      <c r="M216" s="2">
        <v>52896</v>
      </c>
      <c r="N216" s="2">
        <v>56213</v>
      </c>
      <c r="O216" s="2">
        <v>61460.5</v>
      </c>
      <c r="P216" s="2">
        <v>68010.5</v>
      </c>
      <c r="Q216" s="2">
        <v>75313</v>
      </c>
      <c r="R216" s="2">
        <v>82265.5</v>
      </c>
      <c r="S216" s="2">
        <v>89950.5</v>
      </c>
    </row>
    <row r="217" spans="1:20" x14ac:dyDescent="0.25">
      <c r="A217" t="s">
        <v>3850</v>
      </c>
      <c r="B217" s="2">
        <v>13280</v>
      </c>
      <c r="C217" s="2">
        <v>14150</v>
      </c>
      <c r="D217" s="2">
        <v>15160</v>
      </c>
      <c r="E217" s="2">
        <v>15731</v>
      </c>
      <c r="F217" s="2">
        <v>10011</v>
      </c>
      <c r="G217" s="2">
        <v>10793</v>
      </c>
      <c r="H217" s="2">
        <v>11427</v>
      </c>
      <c r="I217" s="2">
        <v>11938</v>
      </c>
      <c r="J217" s="2">
        <v>12672</v>
      </c>
      <c r="K217" s="2">
        <v>13258</v>
      </c>
      <c r="L217" s="2">
        <v>13811</v>
      </c>
      <c r="M217" s="2">
        <v>14548</v>
      </c>
      <c r="N217" s="2">
        <v>15189</v>
      </c>
      <c r="O217" s="2">
        <v>16653.919999999998</v>
      </c>
      <c r="P217" s="2">
        <v>18551.169999999998</v>
      </c>
      <c r="Q217" s="2">
        <v>20594.79</v>
      </c>
      <c r="R217" s="2">
        <v>22790.38</v>
      </c>
      <c r="S217" s="2">
        <v>25141.55</v>
      </c>
    </row>
    <row r="218" spans="1:20" x14ac:dyDescent="0.25">
      <c r="A218" t="s">
        <v>496</v>
      </c>
      <c r="B218" s="2">
        <v>6418</v>
      </c>
      <c r="C218" s="2">
        <v>6418</v>
      </c>
      <c r="D218" s="2">
        <v>6418</v>
      </c>
      <c r="E218" s="2">
        <v>5618</v>
      </c>
      <c r="F218" s="2">
        <v>5618</v>
      </c>
      <c r="G218" s="2">
        <v>5618</v>
      </c>
      <c r="H218" s="2">
        <v>5618</v>
      </c>
      <c r="I218" s="2">
        <v>5618</v>
      </c>
      <c r="J218" s="2">
        <v>5618</v>
      </c>
      <c r="K218" s="2">
        <v>5618</v>
      </c>
      <c r="L218" s="2">
        <v>5618</v>
      </c>
      <c r="M218" s="2">
        <v>5618</v>
      </c>
      <c r="N218" s="2">
        <v>5618</v>
      </c>
      <c r="O218" s="2">
        <v>5618</v>
      </c>
      <c r="P218" s="2">
        <v>5618</v>
      </c>
      <c r="Q218" s="2">
        <v>5618</v>
      </c>
      <c r="R218" s="2">
        <v>5618</v>
      </c>
      <c r="S218" s="2">
        <v>5618</v>
      </c>
    </row>
    <row r="219" spans="1:20" x14ac:dyDescent="0.25">
      <c r="A219" t="s">
        <v>2728</v>
      </c>
      <c r="B219">
        <v>903</v>
      </c>
      <c r="C219">
        <v>881</v>
      </c>
      <c r="D219">
        <v>506</v>
      </c>
      <c r="E219">
        <v>512</v>
      </c>
      <c r="F219">
        <v>251</v>
      </c>
      <c r="G219">
        <v>256</v>
      </c>
      <c r="H219" s="2">
        <v>1451</v>
      </c>
      <c r="I219">
        <v>605</v>
      </c>
      <c r="J219">
        <v>655</v>
      </c>
      <c r="K219">
        <v>622</v>
      </c>
      <c r="L219">
        <v>663</v>
      </c>
      <c r="M219">
        <v>652</v>
      </c>
      <c r="N219">
        <v>641</v>
      </c>
      <c r="O219">
        <v>648.75</v>
      </c>
      <c r="P219">
        <v>651.25</v>
      </c>
      <c r="Q219">
        <v>653.75</v>
      </c>
      <c r="R219">
        <v>656.25</v>
      </c>
      <c r="S219">
        <v>658.75</v>
      </c>
    </row>
    <row r="220" spans="1:20" x14ac:dyDescent="0.25">
      <c r="A220" t="s">
        <v>3851</v>
      </c>
      <c r="B220" s="2">
        <v>1854</v>
      </c>
      <c r="C220" s="2">
        <v>1411</v>
      </c>
      <c r="D220" s="2">
        <v>1348</v>
      </c>
      <c r="E220" s="2">
        <v>1014</v>
      </c>
      <c r="F220">
        <v>40</v>
      </c>
      <c r="G220">
        <v>91</v>
      </c>
      <c r="H220">
        <v>99</v>
      </c>
      <c r="I220">
        <v>82</v>
      </c>
      <c r="J220">
        <v>71</v>
      </c>
      <c r="K220">
        <v>33</v>
      </c>
      <c r="L220">
        <v>369</v>
      </c>
      <c r="M220">
        <v>617</v>
      </c>
      <c r="N220">
        <v>829</v>
      </c>
      <c r="O220" s="2">
        <v>1372.84</v>
      </c>
      <c r="P220" s="2">
        <v>1594.34</v>
      </c>
      <c r="Q220" s="2">
        <v>1825.35</v>
      </c>
      <c r="R220" s="2">
        <v>2041.5</v>
      </c>
      <c r="S220" s="2">
        <v>2262.34</v>
      </c>
      <c r="T220" s="2">
        <v>1357</v>
      </c>
    </row>
    <row r="221" spans="1:20" x14ac:dyDescent="0.25">
      <c r="A221" t="s">
        <v>78</v>
      </c>
      <c r="B221" s="2">
        <v>1548</v>
      </c>
      <c r="C221" s="2">
        <v>1456</v>
      </c>
      <c r="D221" s="2">
        <v>1379</v>
      </c>
      <c r="E221" s="2">
        <v>1153</v>
      </c>
      <c r="F221">
        <v>952</v>
      </c>
      <c r="G221" s="2">
        <v>1005</v>
      </c>
      <c r="H221" s="2">
        <v>1039</v>
      </c>
      <c r="I221" s="2">
        <v>1106</v>
      </c>
      <c r="J221" s="2">
        <v>1107</v>
      </c>
      <c r="K221" s="2">
        <v>1135</v>
      </c>
      <c r="L221" s="2">
        <v>1137</v>
      </c>
      <c r="M221" s="2">
        <v>1279</v>
      </c>
      <c r="N221" s="2">
        <v>1424</v>
      </c>
      <c r="O221" s="2">
        <v>1774</v>
      </c>
      <c r="P221" s="2">
        <v>2124</v>
      </c>
      <c r="Q221" s="2">
        <v>2474</v>
      </c>
      <c r="R221" s="2">
        <v>2824</v>
      </c>
      <c r="S221" s="2">
        <v>3174</v>
      </c>
    </row>
    <row r="222" spans="1:20" x14ac:dyDescent="0.25">
      <c r="A222" t="s">
        <v>155</v>
      </c>
      <c r="B222" s="2">
        <v>49980</v>
      </c>
      <c r="C222" s="2">
        <v>51648</v>
      </c>
      <c r="D222" s="2">
        <v>52187</v>
      </c>
      <c r="E222" s="2">
        <v>43148</v>
      </c>
      <c r="F222" s="2">
        <v>42257</v>
      </c>
      <c r="G222" s="2">
        <v>40063</v>
      </c>
      <c r="H222" s="2">
        <v>42301</v>
      </c>
      <c r="I222" s="2">
        <v>44464</v>
      </c>
      <c r="J222" s="2">
        <v>45432</v>
      </c>
      <c r="K222" s="2">
        <v>46108</v>
      </c>
      <c r="L222" s="2">
        <v>48767</v>
      </c>
      <c r="M222" s="2">
        <v>52044</v>
      </c>
      <c r="N222" s="2">
        <v>55904</v>
      </c>
      <c r="O222" s="2">
        <v>60371.98</v>
      </c>
      <c r="P222" s="2">
        <v>64900.5</v>
      </c>
      <c r="Q222" s="2">
        <v>69717.759999999995</v>
      </c>
      <c r="R222" s="2">
        <v>74372.160000000003</v>
      </c>
      <c r="S222" s="2">
        <v>79389.259999999995</v>
      </c>
      <c r="T222" s="2">
        <v>90153.06</v>
      </c>
    </row>
    <row r="223" spans="1:20" x14ac:dyDescent="0.25">
      <c r="A223" t="s">
        <v>17</v>
      </c>
    </row>
    <row r="224" spans="1:20" x14ac:dyDescent="0.25">
      <c r="A224" t="s">
        <v>156</v>
      </c>
    </row>
    <row r="225" spans="1:20" x14ac:dyDescent="0.25">
      <c r="A225" t="s">
        <v>157</v>
      </c>
      <c r="B225" s="2">
        <v>7637</v>
      </c>
      <c r="C225" s="2">
        <v>5561</v>
      </c>
      <c r="D225" s="2">
        <v>5602</v>
      </c>
      <c r="E225" s="2">
        <v>7126</v>
      </c>
      <c r="F225" s="2">
        <v>4113</v>
      </c>
      <c r="G225" s="2">
        <v>4634</v>
      </c>
      <c r="H225" s="2">
        <v>4862</v>
      </c>
      <c r="I225" s="2">
        <v>5004</v>
      </c>
      <c r="J225" s="2">
        <v>4416</v>
      </c>
      <c r="K225" s="2">
        <v>3958</v>
      </c>
      <c r="L225" s="2">
        <v>5386</v>
      </c>
      <c r="M225" s="2">
        <v>4997</v>
      </c>
      <c r="N225" s="2">
        <v>5271</v>
      </c>
      <c r="O225" s="2">
        <v>5719.35</v>
      </c>
      <c r="P225" s="2">
        <v>6261.73</v>
      </c>
      <c r="Q225" s="2">
        <v>6417.21</v>
      </c>
      <c r="R225" s="2">
        <v>6429.86</v>
      </c>
      <c r="S225" s="2">
        <v>6763.46</v>
      </c>
      <c r="T225" s="2">
        <v>5928</v>
      </c>
    </row>
    <row r="226" spans="1:20" x14ac:dyDescent="0.25">
      <c r="A226" t="s">
        <v>3852</v>
      </c>
      <c r="B226" s="2">
        <v>1415</v>
      </c>
      <c r="C226">
        <v>804</v>
      </c>
      <c r="D226" s="2">
        <v>1166</v>
      </c>
      <c r="E226" s="2">
        <v>1685</v>
      </c>
      <c r="F226">
        <v>558</v>
      </c>
      <c r="G226">
        <v>503</v>
      </c>
      <c r="H226">
        <v>380</v>
      </c>
      <c r="I226">
        <v>146</v>
      </c>
      <c r="J226" s="2">
        <v>1606</v>
      </c>
      <c r="K226">
        <v>351</v>
      </c>
      <c r="L226" s="2">
        <v>1250</v>
      </c>
      <c r="M226">
        <v>977</v>
      </c>
      <c r="N226">
        <v>723</v>
      </c>
      <c r="O226">
        <v>489</v>
      </c>
      <c r="P226" s="2">
        <v>2625</v>
      </c>
      <c r="Q226" s="2">
        <v>2800</v>
      </c>
      <c r="R226" s="2">
        <v>2235.89</v>
      </c>
      <c r="S226" s="2">
        <v>3250</v>
      </c>
    </row>
    <row r="227" spans="1:20" x14ac:dyDescent="0.25">
      <c r="A227" t="s">
        <v>158</v>
      </c>
      <c r="B227" s="2">
        <v>1250</v>
      </c>
      <c r="C227" s="2">
        <v>1279</v>
      </c>
      <c r="D227" s="2">
        <v>1075</v>
      </c>
      <c r="E227" s="2">
        <v>1043</v>
      </c>
      <c r="F227">
        <v>827</v>
      </c>
      <c r="G227">
        <v>965</v>
      </c>
      <c r="H227" s="2">
        <v>1005</v>
      </c>
      <c r="I227">
        <v>827</v>
      </c>
      <c r="J227">
        <v>943</v>
      </c>
      <c r="K227" s="2">
        <v>1503</v>
      </c>
      <c r="L227" s="2">
        <v>1362</v>
      </c>
      <c r="M227" s="2">
        <v>1575</v>
      </c>
      <c r="N227" s="2">
        <v>2002</v>
      </c>
      <c r="O227" s="2">
        <v>2179.5</v>
      </c>
      <c r="P227" s="2">
        <v>2298.25</v>
      </c>
      <c r="Q227" s="2">
        <v>2423.25</v>
      </c>
      <c r="R227" s="2">
        <v>2554.5</v>
      </c>
      <c r="S227" s="2">
        <v>2692</v>
      </c>
      <c r="T227" s="2">
        <v>2122</v>
      </c>
    </row>
    <row r="228" spans="1:20" x14ac:dyDescent="0.25">
      <c r="A228" t="s">
        <v>3508</v>
      </c>
      <c r="G228">
        <v>243</v>
      </c>
      <c r="H228">
        <v>249</v>
      </c>
      <c r="I228">
        <v>282</v>
      </c>
      <c r="J228">
        <v>283</v>
      </c>
      <c r="K228">
        <v>254</v>
      </c>
      <c r="L228">
        <v>292</v>
      </c>
      <c r="M228">
        <v>269</v>
      </c>
      <c r="N228">
        <v>373</v>
      </c>
      <c r="O228">
        <v>423</v>
      </c>
      <c r="P228">
        <v>473</v>
      </c>
      <c r="Q228">
        <v>523</v>
      </c>
      <c r="R228">
        <v>573</v>
      </c>
      <c r="S228">
        <v>623</v>
      </c>
    </row>
    <row r="229" spans="1:20" x14ac:dyDescent="0.25">
      <c r="A229" t="s">
        <v>313</v>
      </c>
      <c r="B229" s="2">
        <v>3404</v>
      </c>
      <c r="C229" s="2">
        <v>1799</v>
      </c>
      <c r="D229" s="2">
        <v>1708</v>
      </c>
      <c r="E229" s="2">
        <v>2675</v>
      </c>
      <c r="F229">
        <v>300</v>
      </c>
      <c r="G229" s="2">
        <v>1250</v>
      </c>
      <c r="H229" s="2">
        <v>1000</v>
      </c>
      <c r="I229" s="2">
        <v>2200</v>
      </c>
      <c r="J229">
        <v>0</v>
      </c>
      <c r="K229">
        <v>100</v>
      </c>
      <c r="L229">
        <v>775</v>
      </c>
      <c r="M229">
        <v>550</v>
      </c>
      <c r="N229">
        <v>325</v>
      </c>
    </row>
    <row r="230" spans="1:20" x14ac:dyDescent="0.25">
      <c r="A230" t="s">
        <v>78</v>
      </c>
      <c r="F230" s="2">
        <v>2720</v>
      </c>
      <c r="G230" s="2">
        <v>2498</v>
      </c>
      <c r="H230" s="2">
        <v>2360</v>
      </c>
      <c r="I230" s="2">
        <v>1826</v>
      </c>
      <c r="J230" s="2">
        <v>1863</v>
      </c>
      <c r="K230" s="2">
        <v>1920</v>
      </c>
      <c r="L230" s="2">
        <v>1214</v>
      </c>
      <c r="M230">
        <v>995</v>
      </c>
      <c r="N230" s="2">
        <v>1185</v>
      </c>
      <c r="O230">
        <v>963</v>
      </c>
      <c r="P230">
        <v>888</v>
      </c>
      <c r="Q230">
        <v>813</v>
      </c>
      <c r="R230">
        <v>738</v>
      </c>
      <c r="S230">
        <v>663</v>
      </c>
    </row>
    <row r="231" spans="1:20" x14ac:dyDescent="0.25">
      <c r="A231" t="s">
        <v>164</v>
      </c>
      <c r="B231" s="2">
        <v>30014</v>
      </c>
      <c r="C231" s="2">
        <v>33665</v>
      </c>
      <c r="D231" s="2">
        <v>34163</v>
      </c>
      <c r="E231" s="2">
        <v>29781</v>
      </c>
      <c r="F231" s="2">
        <v>34219</v>
      </c>
      <c r="G231" s="2">
        <v>28615</v>
      </c>
      <c r="H231" s="2">
        <v>30464</v>
      </c>
      <c r="I231" s="2">
        <v>32223</v>
      </c>
      <c r="J231" s="2">
        <v>32341</v>
      </c>
      <c r="K231" s="2">
        <v>31507</v>
      </c>
      <c r="L231" s="2">
        <v>32465</v>
      </c>
      <c r="M231" s="2">
        <v>33327</v>
      </c>
      <c r="N231" s="2">
        <v>36707</v>
      </c>
      <c r="O231" s="2">
        <v>40344.75</v>
      </c>
      <c r="P231" s="2">
        <v>43759.35</v>
      </c>
      <c r="Q231" s="2">
        <v>48561.75</v>
      </c>
      <c r="R231" s="2">
        <v>53152.19</v>
      </c>
      <c r="S231" s="2">
        <v>57411.08</v>
      </c>
      <c r="T231" s="2">
        <v>63284.47</v>
      </c>
    </row>
    <row r="232" spans="1:20" x14ac:dyDescent="0.25">
      <c r="A232" t="s">
        <v>315</v>
      </c>
      <c r="B232" s="2">
        <v>15831</v>
      </c>
      <c r="C232" s="2">
        <v>19176</v>
      </c>
      <c r="D232" s="2">
        <v>19192</v>
      </c>
      <c r="E232" s="2">
        <v>18192</v>
      </c>
      <c r="F232" s="2">
        <v>18687</v>
      </c>
      <c r="G232" s="2">
        <v>17751</v>
      </c>
      <c r="H232" s="2">
        <v>19618</v>
      </c>
      <c r="I232" s="2">
        <v>22131</v>
      </c>
      <c r="J232" s="2">
        <v>22248</v>
      </c>
      <c r="K232" s="2">
        <v>21203</v>
      </c>
      <c r="L232" s="2">
        <v>22885</v>
      </c>
      <c r="M232" s="2">
        <v>22496</v>
      </c>
      <c r="N232" s="2">
        <v>25508</v>
      </c>
      <c r="O232" s="2">
        <v>27950.09</v>
      </c>
      <c r="P232" s="2">
        <v>31478.89</v>
      </c>
      <c r="Q232" s="2">
        <v>35193.61</v>
      </c>
      <c r="R232" s="2">
        <v>39058.03</v>
      </c>
      <c r="S232" s="2">
        <v>42900.41</v>
      </c>
      <c r="T232" s="2">
        <v>49126.22</v>
      </c>
    </row>
    <row r="233" spans="1:20" x14ac:dyDescent="0.25">
      <c r="A233" t="s">
        <v>3301</v>
      </c>
      <c r="B233" s="2">
        <v>6968</v>
      </c>
      <c r="C233" s="2">
        <v>6539</v>
      </c>
      <c r="D233" s="2">
        <v>6773</v>
      </c>
      <c r="E233" s="2">
        <v>3765</v>
      </c>
      <c r="F233" s="2">
        <v>3171</v>
      </c>
      <c r="G233" s="2">
        <v>2502</v>
      </c>
      <c r="H233" s="2">
        <v>2849</v>
      </c>
      <c r="I233" s="2">
        <v>3095</v>
      </c>
      <c r="J233" s="2">
        <v>3437</v>
      </c>
      <c r="K233" s="2">
        <v>4202</v>
      </c>
      <c r="L233" s="2">
        <v>4530</v>
      </c>
      <c r="M233" s="2">
        <v>5613</v>
      </c>
      <c r="N233" s="2">
        <v>6032</v>
      </c>
      <c r="O233" s="2">
        <v>6210.44</v>
      </c>
      <c r="P233" s="2">
        <v>6373.22</v>
      </c>
      <c r="Q233" s="2">
        <v>6546.43</v>
      </c>
      <c r="R233" s="2">
        <v>6770.75</v>
      </c>
      <c r="S233" s="2">
        <v>7008.41</v>
      </c>
      <c r="T233" s="2">
        <v>9707.25</v>
      </c>
    </row>
    <row r="234" spans="1:20" x14ac:dyDescent="0.25">
      <c r="A234" t="s">
        <v>3853</v>
      </c>
      <c r="B234" s="2">
        <v>2689</v>
      </c>
      <c r="C234" s="2">
        <v>3932</v>
      </c>
      <c r="D234" s="2">
        <v>4245</v>
      </c>
      <c r="E234" s="2">
        <v>3719</v>
      </c>
      <c r="F234" s="2">
        <v>3975</v>
      </c>
      <c r="G234" s="2">
        <v>2906</v>
      </c>
      <c r="H234" s="2">
        <v>3065</v>
      </c>
      <c r="I234" s="2">
        <v>3345</v>
      </c>
      <c r="J234" s="2">
        <v>2669</v>
      </c>
      <c r="K234" s="2">
        <v>2335</v>
      </c>
      <c r="L234" s="2">
        <v>1663</v>
      </c>
      <c r="M234" s="2">
        <v>1698</v>
      </c>
      <c r="N234" s="2">
        <v>1469</v>
      </c>
      <c r="O234" s="2">
        <v>1404</v>
      </c>
      <c r="P234" s="2">
        <v>1329</v>
      </c>
      <c r="Q234" s="2">
        <v>1244</v>
      </c>
      <c r="R234" s="2">
        <v>1149</v>
      </c>
      <c r="S234" s="2">
        <v>1044</v>
      </c>
    </row>
    <row r="235" spans="1:20" x14ac:dyDescent="0.25">
      <c r="A235" t="s">
        <v>3510</v>
      </c>
      <c r="B235" s="2">
        <v>1778</v>
      </c>
      <c r="C235" s="2">
        <v>1590</v>
      </c>
      <c r="D235" s="2">
        <v>1555</v>
      </c>
      <c r="E235" s="2">
        <v>1704</v>
      </c>
      <c r="F235" s="2">
        <v>4966</v>
      </c>
      <c r="G235" s="2">
        <v>2057</v>
      </c>
      <c r="H235" s="2">
        <v>1667</v>
      </c>
      <c r="I235" s="2">
        <v>1826</v>
      </c>
      <c r="J235" s="2">
        <v>2124</v>
      </c>
      <c r="K235" s="2">
        <v>1847</v>
      </c>
      <c r="L235" s="2">
        <v>2173</v>
      </c>
      <c r="M235" s="2">
        <v>2525</v>
      </c>
      <c r="N235" s="2">
        <v>2513</v>
      </c>
      <c r="O235" s="2">
        <v>1925</v>
      </c>
      <c r="P235" s="2">
        <v>1925</v>
      </c>
      <c r="Q235" s="2">
        <v>1925</v>
      </c>
      <c r="R235" s="2">
        <v>1925</v>
      </c>
      <c r="S235" s="2">
        <v>1925</v>
      </c>
      <c r="T235" s="2">
        <v>1925</v>
      </c>
    </row>
    <row r="236" spans="1:20" x14ac:dyDescent="0.25">
      <c r="A236" t="s">
        <v>709</v>
      </c>
      <c r="B236" s="2">
        <v>7293</v>
      </c>
      <c r="C236" s="2">
        <v>7950</v>
      </c>
      <c r="D236" s="2">
        <v>8198</v>
      </c>
      <c r="E236" s="2">
        <v>7824</v>
      </c>
      <c r="F236" s="2">
        <v>12361</v>
      </c>
      <c r="G236" s="2">
        <v>8362</v>
      </c>
      <c r="H236" s="2">
        <v>7756</v>
      </c>
      <c r="I236" s="2">
        <v>6734</v>
      </c>
      <c r="J236" s="2">
        <v>6385</v>
      </c>
      <c r="K236" s="2">
        <v>5855</v>
      </c>
      <c r="L236" s="2">
        <v>4871</v>
      </c>
      <c r="M236" s="2">
        <v>5026</v>
      </c>
      <c r="N236" s="2">
        <v>4940</v>
      </c>
      <c r="O236" s="2">
        <v>4579.33</v>
      </c>
      <c r="P236" s="2">
        <v>4579.33</v>
      </c>
      <c r="Q236" s="2">
        <v>4579.33</v>
      </c>
      <c r="R236" s="2">
        <v>4579.33</v>
      </c>
      <c r="S236" s="2">
        <v>4579.33</v>
      </c>
      <c r="T236" s="2">
        <v>4451</v>
      </c>
    </row>
    <row r="237" spans="1:20" x14ac:dyDescent="0.25">
      <c r="A237" t="s">
        <v>167</v>
      </c>
      <c r="B237" s="2">
        <v>37651</v>
      </c>
      <c r="C237" s="2">
        <v>39226</v>
      </c>
      <c r="D237" s="2">
        <v>39765</v>
      </c>
      <c r="E237" s="2">
        <v>36907</v>
      </c>
      <c r="F237" s="2">
        <v>38332</v>
      </c>
      <c r="G237" s="2">
        <v>33249</v>
      </c>
      <c r="H237" s="2">
        <v>35326</v>
      </c>
      <c r="I237" s="2">
        <v>37227</v>
      </c>
      <c r="J237" s="2">
        <v>36757</v>
      </c>
      <c r="K237" s="2">
        <v>35465</v>
      </c>
      <c r="L237" s="2">
        <v>37851</v>
      </c>
      <c r="M237" s="2">
        <v>38324</v>
      </c>
      <c r="N237" s="2">
        <v>41978</v>
      </c>
      <c r="O237" s="2">
        <v>45258.75</v>
      </c>
      <c r="P237" s="2">
        <v>48811.94</v>
      </c>
      <c r="Q237" s="2">
        <v>52619.86</v>
      </c>
      <c r="R237" s="2">
        <v>55905.74</v>
      </c>
      <c r="S237" s="2">
        <v>59373.64</v>
      </c>
      <c r="T237" s="2">
        <v>5928</v>
      </c>
    </row>
    <row r="238" spans="1:20" x14ac:dyDescent="0.25">
      <c r="A238" t="s">
        <v>170</v>
      </c>
      <c r="B238" s="2">
        <v>12692</v>
      </c>
      <c r="C238" s="2">
        <v>12420</v>
      </c>
      <c r="D238" s="2">
        <v>12421</v>
      </c>
      <c r="E238" s="2">
        <v>6241</v>
      </c>
      <c r="F238" s="2">
        <v>3925</v>
      </c>
      <c r="G238" s="2">
        <v>6814</v>
      </c>
      <c r="H238" s="2">
        <v>6975</v>
      </c>
      <c r="I238" s="2">
        <v>7237</v>
      </c>
      <c r="J238" s="2">
        <v>8675</v>
      </c>
      <c r="K238" s="2">
        <v>10643</v>
      </c>
      <c r="L238" s="2">
        <v>10916</v>
      </c>
      <c r="M238" s="2">
        <v>13720</v>
      </c>
      <c r="N238" s="2">
        <v>13926</v>
      </c>
      <c r="O238" s="2">
        <v>14933</v>
      </c>
      <c r="P238" s="2">
        <v>16103.8</v>
      </c>
      <c r="Q238" s="2">
        <v>17396.8</v>
      </c>
      <c r="R238" s="2">
        <v>18797.400000000001</v>
      </c>
      <c r="S238" s="2">
        <v>20323.599999999999</v>
      </c>
      <c r="T238" s="2">
        <v>20941</v>
      </c>
    </row>
    <row r="239" spans="1:20" x14ac:dyDescent="0.25">
      <c r="A239" t="s">
        <v>171</v>
      </c>
      <c r="B239">
        <v>42</v>
      </c>
      <c r="C239">
        <v>42</v>
      </c>
      <c r="D239">
        <v>42</v>
      </c>
      <c r="E239">
        <v>44</v>
      </c>
      <c r="F239">
        <v>44</v>
      </c>
      <c r="G239">
        <v>51</v>
      </c>
      <c r="H239">
        <v>54</v>
      </c>
      <c r="I239">
        <v>54</v>
      </c>
      <c r="J239">
        <v>57</v>
      </c>
      <c r="K239">
        <v>57</v>
      </c>
      <c r="L239">
        <v>57</v>
      </c>
      <c r="M239">
        <v>58</v>
      </c>
      <c r="N239">
        <v>58</v>
      </c>
      <c r="O239">
        <v>58</v>
      </c>
      <c r="P239">
        <v>58</v>
      </c>
      <c r="Q239">
        <v>58</v>
      </c>
      <c r="R239">
        <v>58</v>
      </c>
      <c r="S239">
        <v>58</v>
      </c>
    </row>
    <row r="240" spans="1:20" x14ac:dyDescent="0.25">
      <c r="A240" t="s">
        <v>173</v>
      </c>
      <c r="B240" s="2">
        <v>2590</v>
      </c>
      <c r="C240" s="2">
        <v>2285</v>
      </c>
      <c r="D240" s="2">
        <v>2256</v>
      </c>
      <c r="E240" s="2">
        <v>-4532</v>
      </c>
      <c r="F240" s="2">
        <v>-6262</v>
      </c>
      <c r="G240" s="2">
        <v>-4879</v>
      </c>
      <c r="H240" s="2">
        <v>-3967</v>
      </c>
      <c r="I240" s="2">
        <v>-2888</v>
      </c>
      <c r="J240" s="2">
        <v>-1605</v>
      </c>
      <c r="K240" s="2">
        <v>-1199</v>
      </c>
      <c r="L240">
        <v>-97</v>
      </c>
      <c r="M240">
        <v>43</v>
      </c>
      <c r="N240">
        <v>35</v>
      </c>
    </row>
    <row r="241" spans="1:20" x14ac:dyDescent="0.25">
      <c r="A241" t="s">
        <v>700</v>
      </c>
      <c r="B241">
        <v>284</v>
      </c>
      <c r="C241">
        <v>246</v>
      </c>
      <c r="D241">
        <v>171</v>
      </c>
      <c r="E241">
        <v>174</v>
      </c>
      <c r="F241">
        <v>142</v>
      </c>
      <c r="G241">
        <v>41</v>
      </c>
      <c r="H241">
        <v>20</v>
      </c>
      <c r="I241">
        <v>-5</v>
      </c>
      <c r="J241">
        <v>-15</v>
      </c>
      <c r="K241">
        <v>-14</v>
      </c>
      <c r="L241">
        <v>-17</v>
      </c>
      <c r="M241">
        <v>-14</v>
      </c>
      <c r="N241">
        <v>-14</v>
      </c>
      <c r="O241">
        <v>-14</v>
      </c>
      <c r="P241">
        <v>-14</v>
      </c>
      <c r="Q241">
        <v>-14</v>
      </c>
      <c r="R241">
        <v>-14</v>
      </c>
      <c r="S241">
        <v>-14</v>
      </c>
    </row>
    <row r="242" spans="1:20" x14ac:dyDescent="0.25">
      <c r="A242" t="s">
        <v>326</v>
      </c>
      <c r="B242" s="2">
        <v>49980</v>
      </c>
      <c r="C242" s="2">
        <v>51648</v>
      </c>
      <c r="D242" s="2">
        <v>52187</v>
      </c>
      <c r="E242" s="2">
        <v>43148</v>
      </c>
      <c r="F242" s="2">
        <v>42257</v>
      </c>
      <c r="G242" s="2">
        <v>40063</v>
      </c>
      <c r="H242" s="2">
        <v>42301</v>
      </c>
      <c r="I242" s="2">
        <v>44464</v>
      </c>
      <c r="J242" s="2">
        <v>45432</v>
      </c>
      <c r="K242" s="2">
        <v>46108</v>
      </c>
      <c r="L242" s="2">
        <v>48767</v>
      </c>
      <c r="M242" s="2">
        <v>52044</v>
      </c>
      <c r="N242" s="2">
        <v>55904</v>
      </c>
      <c r="O242" s="2">
        <v>60371.98</v>
      </c>
      <c r="P242" s="2">
        <v>64900.5</v>
      </c>
      <c r="Q242" s="2">
        <v>69717.759999999995</v>
      </c>
      <c r="R242" s="2">
        <v>74372.160000000003</v>
      </c>
      <c r="S242" s="2">
        <v>79389.259999999995</v>
      </c>
      <c r="T242" s="2">
        <v>90153.06</v>
      </c>
    </row>
    <row r="243" spans="1:20" x14ac:dyDescent="0.25">
      <c r="A243" t="s">
        <v>17</v>
      </c>
    </row>
    <row r="244" spans="1:20" x14ac:dyDescent="0.25">
      <c r="A244" t="s">
        <v>176</v>
      </c>
    </row>
    <row r="245" spans="1:20" x14ac:dyDescent="0.25">
      <c r="A245" t="s">
        <v>505</v>
      </c>
      <c r="B245" s="2">
        <v>20432</v>
      </c>
      <c r="C245" s="2">
        <v>21694</v>
      </c>
      <c r="D245" s="2">
        <v>21935</v>
      </c>
      <c r="E245" s="2">
        <v>22353</v>
      </c>
      <c r="F245" s="2">
        <v>18906</v>
      </c>
      <c r="G245" s="2">
        <v>19075</v>
      </c>
      <c r="H245" s="2">
        <v>20592</v>
      </c>
      <c r="I245" s="2">
        <v>22981</v>
      </c>
      <c r="J245" s="2">
        <v>22653</v>
      </c>
      <c r="K245" s="2">
        <v>21743</v>
      </c>
      <c r="L245" s="2">
        <v>24957</v>
      </c>
      <c r="M245" s="2">
        <v>24112</v>
      </c>
      <c r="N245" s="2">
        <v>26744</v>
      </c>
      <c r="O245" s="2">
        <v>29721.39</v>
      </c>
      <c r="P245" s="2">
        <v>33262.410000000003</v>
      </c>
      <c r="Q245" s="2">
        <v>36864.67</v>
      </c>
      <c r="R245" s="2">
        <v>42074.74</v>
      </c>
      <c r="S245" s="2">
        <v>46533.38</v>
      </c>
      <c r="T245" s="2">
        <v>50816.22</v>
      </c>
    </row>
    <row r="246" spans="1:20" x14ac:dyDescent="0.25">
      <c r="A246" t="s">
        <v>3854</v>
      </c>
      <c r="B246">
        <v>61.82</v>
      </c>
      <c r="C246">
        <v>63.59</v>
      </c>
      <c r="D246">
        <v>63.84</v>
      </c>
      <c r="E246">
        <v>78.17</v>
      </c>
      <c r="F246">
        <v>82.81</v>
      </c>
      <c r="G246">
        <v>73.680000000000007</v>
      </c>
      <c r="H246">
        <v>74.7</v>
      </c>
      <c r="I246">
        <v>76.05</v>
      </c>
      <c r="J246">
        <v>72.31</v>
      </c>
      <c r="K246">
        <v>67.14</v>
      </c>
      <c r="L246">
        <v>69.569999999999993</v>
      </c>
      <c r="M246">
        <v>63.73</v>
      </c>
      <c r="N246">
        <v>65.760000000000005</v>
      </c>
      <c r="O246">
        <v>67.72</v>
      </c>
      <c r="P246">
        <v>68.459999999999994</v>
      </c>
      <c r="Q246">
        <v>68.98</v>
      </c>
      <c r="R246">
        <v>68.77</v>
      </c>
      <c r="S246">
        <v>69.209999999999994</v>
      </c>
      <c r="T246">
        <v>72.319999999999993</v>
      </c>
    </row>
    <row r="247" spans="1:20" x14ac:dyDescent="0.25">
      <c r="A247" t="s">
        <v>609</v>
      </c>
      <c r="H247" s="2">
        <v>20300</v>
      </c>
      <c r="I247" s="2">
        <v>24500</v>
      </c>
      <c r="J247" s="2">
        <v>23900</v>
      </c>
      <c r="O247" s="2">
        <v>29374.959999999999</v>
      </c>
      <c r="P247" s="2">
        <v>32735.23</v>
      </c>
      <c r="Q247" s="2">
        <v>36262.449999999997</v>
      </c>
      <c r="R247" s="2">
        <v>40115.620000000003</v>
      </c>
      <c r="S247" s="2">
        <v>43705.18</v>
      </c>
      <c r="T247" s="2">
        <v>51007.22</v>
      </c>
    </row>
    <row r="248" spans="1:20" x14ac:dyDescent="0.25">
      <c r="A248" t="s">
        <v>178</v>
      </c>
    </row>
    <row r="249" spans="1:20" x14ac:dyDescent="0.25">
      <c r="A249" t="s">
        <v>179</v>
      </c>
      <c r="B249">
        <v>0.78</v>
      </c>
      <c r="C249">
        <v>0.59</v>
      </c>
      <c r="D249">
        <v>1.1100000000000001</v>
      </c>
      <c r="E249">
        <v>-12.96</v>
      </c>
      <c r="F249">
        <v>-4.04</v>
      </c>
      <c r="G249">
        <v>3.28</v>
      </c>
      <c r="H249">
        <v>2.21</v>
      </c>
      <c r="I249">
        <v>2.4900000000000002</v>
      </c>
      <c r="J249">
        <v>2.85</v>
      </c>
      <c r="K249">
        <v>0.89</v>
      </c>
      <c r="L249">
        <v>2.3199999999999998</v>
      </c>
      <c r="M249">
        <v>1.94</v>
      </c>
      <c r="N249">
        <v>1.89</v>
      </c>
      <c r="O249">
        <v>2.35</v>
      </c>
      <c r="P249">
        <v>2.35</v>
      </c>
      <c r="Q249">
        <v>2.35</v>
      </c>
      <c r="R249">
        <v>2.4</v>
      </c>
      <c r="S249">
        <v>2.4500000000000002</v>
      </c>
    </row>
    <row r="250" spans="1:20" x14ac:dyDescent="0.25">
      <c r="A250" t="s">
        <v>180</v>
      </c>
      <c r="B250">
        <v>3.04</v>
      </c>
      <c r="C250">
        <v>2.38</v>
      </c>
      <c r="D250">
        <v>4.6500000000000004</v>
      </c>
      <c r="E250">
        <v>-66.2</v>
      </c>
      <c r="F250">
        <v>-33.92</v>
      </c>
      <c r="G250">
        <v>18.39</v>
      </c>
      <c r="H250">
        <v>13.24</v>
      </c>
      <c r="I250">
        <v>15.18</v>
      </c>
      <c r="J250">
        <v>16.13</v>
      </c>
      <c r="K250">
        <v>7.7</v>
      </c>
      <c r="L250">
        <v>8.8000000000000007</v>
      </c>
      <c r="M250">
        <v>9.4</v>
      </c>
      <c r="N250">
        <v>9.8000000000000007</v>
      </c>
      <c r="O250">
        <v>11.96</v>
      </c>
      <c r="P250">
        <v>12.07</v>
      </c>
      <c r="Q250">
        <v>12.21</v>
      </c>
      <c r="R250">
        <v>12.4</v>
      </c>
      <c r="S250">
        <v>12.7</v>
      </c>
    </row>
    <row r="251" spans="1:20" x14ac:dyDescent="0.25">
      <c r="A251" t="s">
        <v>17</v>
      </c>
    </row>
    <row r="252" spans="1:20" x14ac:dyDescent="0.25">
      <c r="A252" t="s">
        <v>188</v>
      </c>
    </row>
    <row r="253" spans="1:20" x14ac:dyDescent="0.25">
      <c r="A253" t="s">
        <v>189</v>
      </c>
    </row>
    <row r="254" spans="1:20" x14ac:dyDescent="0.25">
      <c r="A254" t="s">
        <v>121</v>
      </c>
      <c r="B254">
        <v>392</v>
      </c>
      <c r="C254">
        <v>299</v>
      </c>
      <c r="D254">
        <v>578</v>
      </c>
      <c r="E254" s="2">
        <v>-6177</v>
      </c>
      <c r="F254" s="2">
        <v>-1700</v>
      </c>
      <c r="G254">
        <v>655</v>
      </c>
      <c r="H254">
        <v>900</v>
      </c>
      <c r="I254" s="2">
        <v>1003</v>
      </c>
      <c r="J254" s="2">
        <v>1283</v>
      </c>
      <c r="K254">
        <v>406</v>
      </c>
      <c r="L254" s="2">
        <v>1123</v>
      </c>
      <c r="M254">
        <v>978</v>
      </c>
      <c r="N254" s="2">
        <v>1020</v>
      </c>
      <c r="O254" s="2">
        <v>1647.14</v>
      </c>
      <c r="P254" s="2">
        <v>1796.5</v>
      </c>
      <c r="Q254" s="2">
        <v>1933.57</v>
      </c>
      <c r="R254" s="2">
        <v>2136.8000000000002</v>
      </c>
      <c r="S254" s="2">
        <v>2333</v>
      </c>
    </row>
    <row r="255" spans="1:20" x14ac:dyDescent="0.25">
      <c r="A255" t="s">
        <v>190</v>
      </c>
      <c r="B255" s="2">
        <v>2022</v>
      </c>
      <c r="C255" s="2">
        <v>1592</v>
      </c>
      <c r="D255" s="2">
        <v>1836</v>
      </c>
      <c r="E255" s="2">
        <v>1974</v>
      </c>
      <c r="F255" s="2">
        <v>1700</v>
      </c>
      <c r="G255" s="2">
        <v>1384</v>
      </c>
      <c r="H255" s="2">
        <v>1217</v>
      </c>
      <c r="I255" s="2">
        <v>1199</v>
      </c>
      <c r="J255" s="2">
        <v>1664</v>
      </c>
      <c r="K255" s="2">
        <v>1317</v>
      </c>
      <c r="L255" s="2">
        <v>1280</v>
      </c>
      <c r="M255" s="2">
        <v>1588</v>
      </c>
      <c r="N255" s="2">
        <v>1607</v>
      </c>
      <c r="O255" s="2">
        <v>1628.17</v>
      </c>
      <c r="P255" s="2">
        <v>1878.05</v>
      </c>
      <c r="Q255" s="2">
        <v>2027.45</v>
      </c>
      <c r="R255" s="2">
        <v>2214.13</v>
      </c>
      <c r="S255" s="2">
        <v>2376.4</v>
      </c>
      <c r="T255" s="2">
        <v>2405.48</v>
      </c>
    </row>
    <row r="256" spans="1:20" x14ac:dyDescent="0.25">
      <c r="A256" t="s">
        <v>546</v>
      </c>
      <c r="B256">
        <v>243</v>
      </c>
      <c r="C256">
        <v>162</v>
      </c>
      <c r="D256">
        <v>284</v>
      </c>
      <c r="E256" s="2">
        <v>-3063</v>
      </c>
      <c r="F256">
        <v>839</v>
      </c>
      <c r="G256">
        <v>485</v>
      </c>
      <c r="H256">
        <v>252</v>
      </c>
      <c r="I256">
        <v>113</v>
      </c>
      <c r="J256">
        <v>297</v>
      </c>
      <c r="K256">
        <v>989</v>
      </c>
      <c r="L256">
        <v>252</v>
      </c>
      <c r="M256">
        <v>316</v>
      </c>
      <c r="N256">
        <v>219</v>
      </c>
      <c r="O256">
        <v>325.58999999999997</v>
      </c>
      <c r="P256">
        <v>359.9</v>
      </c>
      <c r="Q256">
        <v>372.94</v>
      </c>
      <c r="R256">
        <v>386.83</v>
      </c>
      <c r="S256">
        <v>403.5</v>
      </c>
      <c r="T256">
        <v>755.21</v>
      </c>
    </row>
    <row r="257" spans="1:20" x14ac:dyDescent="0.25">
      <c r="A257" t="s">
        <v>204</v>
      </c>
      <c r="B257" s="2">
        <v>2662</v>
      </c>
      <c r="C257" s="2">
        <v>2713</v>
      </c>
      <c r="D257" s="2">
        <v>3447</v>
      </c>
      <c r="E257" s="2">
        <v>3383</v>
      </c>
      <c r="F257" s="2">
        <v>3808</v>
      </c>
      <c r="G257" s="2">
        <v>1410</v>
      </c>
      <c r="H257" s="2">
        <v>2467</v>
      </c>
      <c r="I257" s="2">
        <v>1423</v>
      </c>
      <c r="J257">
        <v>0</v>
      </c>
      <c r="K257" s="2">
        <v>2683</v>
      </c>
      <c r="L257" s="2">
        <v>1387</v>
      </c>
      <c r="M257" s="2">
        <v>2891</v>
      </c>
      <c r="N257" s="2">
        <v>3700</v>
      </c>
      <c r="O257" s="2">
        <v>3307.12</v>
      </c>
      <c r="P257" s="2">
        <v>3871.33</v>
      </c>
      <c r="Q257" s="2">
        <v>4166.5</v>
      </c>
      <c r="R257" s="2">
        <v>4572.4799999999996</v>
      </c>
      <c r="S257" s="2">
        <v>4907.6000000000004</v>
      </c>
      <c r="T257" s="2">
        <v>5243.56</v>
      </c>
    </row>
    <row r="258" spans="1:20" x14ac:dyDescent="0.25">
      <c r="A258" t="s">
        <v>17</v>
      </c>
    </row>
    <row r="259" spans="1:20" x14ac:dyDescent="0.25">
      <c r="A259" t="s">
        <v>205</v>
      </c>
    </row>
    <row r="260" spans="1:20" x14ac:dyDescent="0.25">
      <c r="A260" t="s">
        <v>206</v>
      </c>
      <c r="B260" s="2">
        <v>-2638</v>
      </c>
      <c r="C260" s="2">
        <v>-3312</v>
      </c>
      <c r="D260" s="2">
        <v>-2704</v>
      </c>
      <c r="E260" s="2">
        <v>-2835</v>
      </c>
      <c r="F260" s="2">
        <v>-2587</v>
      </c>
      <c r="G260" s="2">
        <v>-2675</v>
      </c>
      <c r="H260" s="2">
        <v>-2665</v>
      </c>
      <c r="I260" s="2">
        <v>-2657</v>
      </c>
      <c r="J260" s="2">
        <v>-2445</v>
      </c>
      <c r="K260" s="2">
        <v>-2756</v>
      </c>
      <c r="L260" s="2">
        <v>-3356</v>
      </c>
      <c r="M260" s="2">
        <v>-4030</v>
      </c>
      <c r="N260" s="2">
        <v>-4705</v>
      </c>
      <c r="O260" s="2">
        <v>-5629.13</v>
      </c>
      <c r="P260" s="2">
        <v>-6920.63</v>
      </c>
      <c r="Q260" s="2">
        <v>-7687.5</v>
      </c>
      <c r="R260" s="2">
        <v>-7487.5</v>
      </c>
      <c r="S260" s="2">
        <v>-8215.7099999999991</v>
      </c>
      <c r="T260" s="2">
        <v>-8230</v>
      </c>
    </row>
    <row r="261" spans="1:20" x14ac:dyDescent="0.25">
      <c r="A261" t="s">
        <v>3855</v>
      </c>
      <c r="B261">
        <v>-205</v>
      </c>
      <c r="C261">
        <v>186</v>
      </c>
      <c r="D261">
        <v>-228</v>
      </c>
      <c r="E261">
        <v>-235</v>
      </c>
      <c r="F261">
        <v>118</v>
      </c>
      <c r="G261">
        <v>-343</v>
      </c>
      <c r="H261">
        <v>-208</v>
      </c>
      <c r="I261">
        <v>-251</v>
      </c>
      <c r="J261">
        <v>-114</v>
      </c>
      <c r="K261">
        <v>-320</v>
      </c>
      <c r="L261">
        <v>-296</v>
      </c>
      <c r="M261">
        <v>-320</v>
      </c>
      <c r="N261">
        <v>-360</v>
      </c>
      <c r="O261" s="2">
        <v>-1961.33</v>
      </c>
    </row>
    <row r="262" spans="1:20" x14ac:dyDescent="0.25">
      <c r="A262" t="s">
        <v>213</v>
      </c>
      <c r="B262" s="2">
        <v>-3093</v>
      </c>
      <c r="C262" s="2">
        <v>-3359</v>
      </c>
      <c r="D262" s="2">
        <v>-3122</v>
      </c>
      <c r="E262" s="2">
        <v>-3302</v>
      </c>
      <c r="F262" s="2">
        <v>-2723</v>
      </c>
      <c r="G262" s="2">
        <v>-3018</v>
      </c>
      <c r="H262" s="2">
        <v>-2873</v>
      </c>
      <c r="I262" s="2">
        <v>-2908</v>
      </c>
      <c r="J262" s="2">
        <v>-2559</v>
      </c>
      <c r="K262" s="2">
        <v>-3076</v>
      </c>
      <c r="L262" s="2">
        <v>-3652</v>
      </c>
      <c r="M262" s="2">
        <v>-4350</v>
      </c>
      <c r="N262" s="2">
        <v>-5065</v>
      </c>
      <c r="O262" s="2">
        <v>-5951</v>
      </c>
      <c r="P262" s="2">
        <v>-6848.75</v>
      </c>
      <c r="Q262" s="2">
        <v>-7577.5</v>
      </c>
      <c r="R262" s="2">
        <v>-7357.5</v>
      </c>
      <c r="S262" s="2">
        <v>-8242.5</v>
      </c>
      <c r="T262" s="2">
        <v>-8230</v>
      </c>
    </row>
    <row r="263" spans="1:20" x14ac:dyDescent="0.25">
      <c r="A263" t="s">
        <v>17</v>
      </c>
    </row>
    <row r="264" spans="1:20" x14ac:dyDescent="0.25">
      <c r="A264" t="s">
        <v>214</v>
      </c>
    </row>
    <row r="265" spans="1:20" x14ac:dyDescent="0.25">
      <c r="A265" t="s">
        <v>347</v>
      </c>
      <c r="B265">
        <v>-920</v>
      </c>
      <c r="C265">
        <v>-604</v>
      </c>
      <c r="D265">
        <v>-607</v>
      </c>
      <c r="E265">
        <v>-611</v>
      </c>
      <c r="F265">
        <v>-639</v>
      </c>
      <c r="G265">
        <v>-711</v>
      </c>
      <c r="H265">
        <v>-814</v>
      </c>
      <c r="I265">
        <v>-845</v>
      </c>
      <c r="J265">
        <v>-849</v>
      </c>
      <c r="K265">
        <v>-891</v>
      </c>
      <c r="L265">
        <v>-906</v>
      </c>
      <c r="M265">
        <v>-970</v>
      </c>
      <c r="N265" s="2">
        <v>-1016</v>
      </c>
      <c r="O265" s="2">
        <v>-1088.69</v>
      </c>
      <c r="P265" s="2">
        <v>-1165.99</v>
      </c>
      <c r="Q265" s="2">
        <v>-1242.69</v>
      </c>
      <c r="R265" s="2">
        <v>-1321.77</v>
      </c>
      <c r="S265" s="2">
        <v>-1405.89</v>
      </c>
      <c r="T265" s="2">
        <v>-1547.82</v>
      </c>
    </row>
    <row r="266" spans="1:20" x14ac:dyDescent="0.25">
      <c r="A266" t="s">
        <v>3856</v>
      </c>
      <c r="B266" s="2">
        <v>1435</v>
      </c>
      <c r="C266" s="2">
        <v>-1605</v>
      </c>
      <c r="D266">
        <v>-91</v>
      </c>
      <c r="E266">
        <v>975</v>
      </c>
      <c r="F266" s="2">
        <v>-2375</v>
      </c>
      <c r="G266">
        <v>950</v>
      </c>
      <c r="H266">
        <v>0</v>
      </c>
      <c r="I266" s="2">
        <v>1200</v>
      </c>
      <c r="J266" s="2">
        <v>-2200</v>
      </c>
      <c r="K266">
        <v>100</v>
      </c>
      <c r="L266">
        <v>675</v>
      </c>
      <c r="M266">
        <v>-225</v>
      </c>
      <c r="N266">
        <v>-225</v>
      </c>
      <c r="O266" s="2">
        <v>1387.84</v>
      </c>
      <c r="P266" s="2">
        <v>2249.65</v>
      </c>
      <c r="Q266" s="2">
        <v>2581.79</v>
      </c>
      <c r="R266" s="2">
        <v>3913.12</v>
      </c>
      <c r="S266" s="2">
        <v>4668.41</v>
      </c>
    </row>
    <row r="267" spans="1:20" x14ac:dyDescent="0.25">
      <c r="A267" t="s">
        <v>2892</v>
      </c>
      <c r="B267" s="2">
        <v>1470</v>
      </c>
      <c r="C267" s="2">
        <v>1164</v>
      </c>
      <c r="D267">
        <v>341</v>
      </c>
      <c r="E267">
        <v>620</v>
      </c>
      <c r="F267">
        <v>9</v>
      </c>
      <c r="G267">
        <v>-184</v>
      </c>
      <c r="H267" s="2">
        <v>1511</v>
      </c>
      <c r="I267" s="2">
        <v>3511</v>
      </c>
      <c r="J267">
        <v>-632</v>
      </c>
      <c r="K267" s="2">
        <v>-2205</v>
      </c>
      <c r="L267" s="2">
        <v>3288</v>
      </c>
      <c r="M267">
        <v>-885</v>
      </c>
      <c r="N267" s="2">
        <v>2571</v>
      </c>
      <c r="O267" s="2">
        <v>3730.23</v>
      </c>
      <c r="P267" s="2">
        <v>3885.31</v>
      </c>
      <c r="Q267" s="2">
        <v>4388.76</v>
      </c>
      <c r="R267" s="2">
        <v>3873.28</v>
      </c>
      <c r="S267" s="2">
        <v>4444.3900000000003</v>
      </c>
      <c r="T267" s="2">
        <v>4134.26</v>
      </c>
    </row>
    <row r="268" spans="1:20" x14ac:dyDescent="0.25">
      <c r="A268" t="s">
        <v>3857</v>
      </c>
      <c r="B268">
        <v>0</v>
      </c>
      <c r="C268">
        <v>0</v>
      </c>
      <c r="D268">
        <v>0</v>
      </c>
      <c r="E268">
        <v>0</v>
      </c>
      <c r="F268">
        <v>0</v>
      </c>
      <c r="G268" s="2">
        <v>2466</v>
      </c>
      <c r="H268">
        <v>0</v>
      </c>
      <c r="I268">
        <v>0</v>
      </c>
      <c r="J268" s="2">
        <v>1000</v>
      </c>
      <c r="K268">
        <v>0</v>
      </c>
      <c r="L268">
        <v>0</v>
      </c>
      <c r="M268">
        <v>0</v>
      </c>
      <c r="N268">
        <v>0</v>
      </c>
      <c r="O268">
        <v>400</v>
      </c>
      <c r="P268">
        <v>400</v>
      </c>
      <c r="Q268">
        <v>400</v>
      </c>
      <c r="R268">
        <v>400</v>
      </c>
      <c r="S268">
        <v>400</v>
      </c>
    </row>
    <row r="269" spans="1:20" x14ac:dyDescent="0.25">
      <c r="A269" t="s">
        <v>212</v>
      </c>
      <c r="B269">
        <v>-73</v>
      </c>
      <c r="C269">
        <v>-47</v>
      </c>
      <c r="D269">
        <v>-13</v>
      </c>
      <c r="E269">
        <v>-43</v>
      </c>
      <c r="F269">
        <v>-72</v>
      </c>
      <c r="G269">
        <v>-116</v>
      </c>
      <c r="H269">
        <v>-35</v>
      </c>
      <c r="I269">
        <v>-59</v>
      </c>
      <c r="J269">
        <v>-61</v>
      </c>
      <c r="K269" s="2">
        <v>2184</v>
      </c>
      <c r="L269">
        <v>-144</v>
      </c>
      <c r="M269" s="2">
        <v>3289</v>
      </c>
      <c r="N269">
        <v>-245</v>
      </c>
      <c r="O269">
        <v>342</v>
      </c>
    </row>
    <row r="270" spans="1:20" x14ac:dyDescent="0.25">
      <c r="A270" t="s">
        <v>3858</v>
      </c>
      <c r="B270" s="2">
        <v>-3710</v>
      </c>
      <c r="C270" s="2">
        <v>-1759</v>
      </c>
      <c r="D270">
        <v>-879</v>
      </c>
      <c r="E270" s="2">
        <v>-2331</v>
      </c>
      <c r="F270" s="2">
        <v>-2291</v>
      </c>
      <c r="G270" s="2">
        <v>-2608</v>
      </c>
      <c r="H270">
        <v>-789</v>
      </c>
      <c r="I270" s="2">
        <v>-1114</v>
      </c>
      <c r="J270">
        <v>-532</v>
      </c>
      <c r="K270" s="2">
        <v>-3005</v>
      </c>
      <c r="L270">
        <v>-537</v>
      </c>
      <c r="M270" s="2">
        <v>-2760</v>
      </c>
      <c r="N270" s="2">
        <v>-3129</v>
      </c>
      <c r="O270" s="2">
        <v>-1623.98</v>
      </c>
      <c r="P270">
        <v>-489</v>
      </c>
      <c r="Q270" s="2">
        <v>-2625</v>
      </c>
      <c r="R270" s="2">
        <v>-2800</v>
      </c>
      <c r="S270" s="2">
        <v>-2235.89</v>
      </c>
    </row>
    <row r="271" spans="1:20" x14ac:dyDescent="0.25">
      <c r="A271" t="s">
        <v>17</v>
      </c>
    </row>
    <row r="272" spans="1:20" x14ac:dyDescent="0.25">
      <c r="A272" t="s">
        <v>218</v>
      </c>
      <c r="B272">
        <v>477</v>
      </c>
      <c r="C272">
        <v>513</v>
      </c>
      <c r="D272">
        <v>-279</v>
      </c>
      <c r="E272">
        <v>-34</v>
      </c>
      <c r="F272">
        <v>-702</v>
      </c>
      <c r="G272" s="2">
        <v>1394</v>
      </c>
      <c r="H272">
        <v>656</v>
      </c>
      <c r="I272" s="2">
        <v>2607</v>
      </c>
      <c r="J272">
        <v>-542</v>
      </c>
      <c r="K272">
        <v>-912</v>
      </c>
      <c r="L272" s="2">
        <v>2238</v>
      </c>
      <c r="M272" s="2">
        <v>1434</v>
      </c>
      <c r="N272" s="2">
        <v>1310</v>
      </c>
      <c r="O272" s="2">
        <v>2824.89</v>
      </c>
      <c r="P272" s="2">
        <v>3065.43</v>
      </c>
      <c r="Q272" s="2">
        <v>3388.01</v>
      </c>
      <c r="R272" s="2">
        <v>2517.27</v>
      </c>
      <c r="S272" s="2">
        <v>2900.91</v>
      </c>
      <c r="T272" s="2">
        <v>2986.44</v>
      </c>
    </row>
    <row r="273" spans="1:20" x14ac:dyDescent="0.25">
      <c r="A273" t="s">
        <v>17</v>
      </c>
    </row>
    <row r="274" spans="1:20" x14ac:dyDescent="0.25">
      <c r="A274" t="s">
        <v>176</v>
      </c>
    </row>
    <row r="275" spans="1:20" x14ac:dyDescent="0.25">
      <c r="A275" t="s">
        <v>3859</v>
      </c>
      <c r="K275" s="2">
        <v>2400</v>
      </c>
      <c r="L275" s="2">
        <v>2800</v>
      </c>
      <c r="O275" s="2">
        <v>3526.19</v>
      </c>
      <c r="P275" s="2">
        <v>3851.83</v>
      </c>
      <c r="Q275" s="2">
        <v>4137.5</v>
      </c>
      <c r="R275" s="2">
        <v>4610.63</v>
      </c>
      <c r="S275" s="2">
        <v>4933.58</v>
      </c>
    </row>
    <row r="276" spans="1:20" x14ac:dyDescent="0.25">
      <c r="A276" t="s">
        <v>220</v>
      </c>
      <c r="B276">
        <v>46</v>
      </c>
      <c r="C276">
        <v>-133</v>
      </c>
      <c r="D276">
        <v>46</v>
      </c>
      <c r="E276">
        <v>47</v>
      </c>
      <c r="F276">
        <v>383</v>
      </c>
      <c r="G276">
        <v>-214</v>
      </c>
      <c r="H276">
        <v>250</v>
      </c>
      <c r="I276" s="2">
        <v>1122</v>
      </c>
      <c r="J276">
        <v>0</v>
      </c>
      <c r="K276" s="2">
        <v>-1305</v>
      </c>
      <c r="L276">
        <v>-27</v>
      </c>
      <c r="M276">
        <v>-25</v>
      </c>
      <c r="N276">
        <v>-55</v>
      </c>
      <c r="O276">
        <v>273.99</v>
      </c>
      <c r="P276">
        <v>349.71</v>
      </c>
      <c r="Q276">
        <v>202.5</v>
      </c>
      <c r="R276">
        <v>-230.02</v>
      </c>
      <c r="S276">
        <v>-360.06</v>
      </c>
    </row>
    <row r="277" spans="1:20" x14ac:dyDescent="0.25">
      <c r="A277" t="s">
        <v>221</v>
      </c>
      <c r="B277">
        <v>172</v>
      </c>
      <c r="C277">
        <v>218</v>
      </c>
      <c r="D277">
        <v>85</v>
      </c>
      <c r="E277">
        <v>213</v>
      </c>
      <c r="F277">
        <v>260</v>
      </c>
      <c r="G277">
        <v>643</v>
      </c>
      <c r="H277">
        <v>429</v>
      </c>
      <c r="I277">
        <v>679</v>
      </c>
      <c r="J277" s="2">
        <v>1801</v>
      </c>
      <c r="K277" s="2">
        <v>1511</v>
      </c>
      <c r="L277">
        <v>206</v>
      </c>
      <c r="M277">
        <v>179</v>
      </c>
      <c r="N277">
        <v>154</v>
      </c>
      <c r="O277">
        <v>-17.829999999999998</v>
      </c>
      <c r="P277">
        <v>275.55</v>
      </c>
      <c r="Q277">
        <v>467.91</v>
      </c>
      <c r="R277">
        <v>700.72</v>
      </c>
      <c r="S277">
        <v>562.71</v>
      </c>
      <c r="T277">
        <v>191</v>
      </c>
    </row>
    <row r="278" spans="1:20" x14ac:dyDescent="0.25">
      <c r="A278" t="s">
        <v>222</v>
      </c>
      <c r="B278">
        <v>218</v>
      </c>
      <c r="C278">
        <v>85</v>
      </c>
      <c r="D278">
        <v>131</v>
      </c>
      <c r="E278">
        <v>260</v>
      </c>
      <c r="F278">
        <v>643</v>
      </c>
      <c r="G278">
        <v>429</v>
      </c>
      <c r="H278">
        <v>679</v>
      </c>
      <c r="I278" s="2">
        <v>1801</v>
      </c>
      <c r="J278" s="2">
        <v>1511</v>
      </c>
      <c r="K278">
        <v>206</v>
      </c>
      <c r="L278">
        <v>179</v>
      </c>
      <c r="M278">
        <v>154</v>
      </c>
      <c r="N278">
        <v>99</v>
      </c>
      <c r="O278">
        <v>369.39</v>
      </c>
      <c r="P278">
        <v>579.21</v>
      </c>
      <c r="Q278">
        <v>700.72</v>
      </c>
      <c r="R278">
        <v>562.71</v>
      </c>
      <c r="S278">
        <v>346.67</v>
      </c>
      <c r="T278">
        <v>191</v>
      </c>
    </row>
    <row r="279" spans="1:20" x14ac:dyDescent="0.25">
      <c r="A279" t="s">
        <v>178</v>
      </c>
    </row>
    <row r="280" spans="1:20" x14ac:dyDescent="0.25">
      <c r="A280" t="s">
        <v>225</v>
      </c>
      <c r="B280">
        <v>-226</v>
      </c>
      <c r="C280">
        <v>-832</v>
      </c>
      <c r="D280">
        <v>553</v>
      </c>
      <c r="E280">
        <v>316</v>
      </c>
      <c r="F280">
        <v>967</v>
      </c>
      <c r="G280" s="2">
        <v>-1265</v>
      </c>
      <c r="H280">
        <v>-198</v>
      </c>
      <c r="I280" s="2">
        <v>-1234</v>
      </c>
      <c r="J280">
        <v>366</v>
      </c>
      <c r="K280">
        <v>-73</v>
      </c>
      <c r="L280" s="2">
        <v>-1969</v>
      </c>
      <c r="M280" s="2">
        <v>-1139</v>
      </c>
      <c r="N280" s="2">
        <v>-1005</v>
      </c>
      <c r="O280" s="2">
        <v>-2891.5</v>
      </c>
      <c r="P280" s="2">
        <v>-3081.09</v>
      </c>
      <c r="Q280" s="2">
        <v>-3673.8</v>
      </c>
      <c r="R280" s="2">
        <v>-3023.64</v>
      </c>
      <c r="S280" s="2">
        <v>-3700.89</v>
      </c>
    </row>
    <row r="281" spans="1:20" x14ac:dyDescent="0.25">
      <c r="A281" t="s">
        <v>17</v>
      </c>
    </row>
    <row r="282" spans="1:20" x14ac:dyDescent="0.25">
      <c r="A282" t="s">
        <v>231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84EA-6DAB-4750-85CE-FA08DA423DBD}">
  <dimension ref="A1:U277"/>
  <sheetViews>
    <sheetView workbookViewId="0">
      <selection sqref="A1:U277"/>
    </sheetView>
  </sheetViews>
  <sheetFormatPr defaultRowHeight="15" x14ac:dyDescent="0.25"/>
  <sheetData>
    <row r="1" spans="1:21" x14ac:dyDescent="0.25">
      <c r="A1" t="s">
        <v>3860</v>
      </c>
    </row>
    <row r="2" spans="1:21" x14ac:dyDescent="0.25">
      <c r="A2" t="s">
        <v>3861</v>
      </c>
    </row>
    <row r="3" spans="1:21" x14ac:dyDescent="0.25">
      <c r="A3" t="s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235</v>
      </c>
      <c r="M3" t="s">
        <v>3</v>
      </c>
      <c r="N3" t="s">
        <v>4</v>
      </c>
      <c r="O3" t="s">
        <v>236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</row>
    <row r="4" spans="1:21" x14ac:dyDescent="0.25">
      <c r="A4" t="s">
        <v>13</v>
      </c>
      <c r="B4" s="1">
        <v>41639</v>
      </c>
      <c r="C4" s="1">
        <v>42004</v>
      </c>
      <c r="D4" s="1">
        <v>42369</v>
      </c>
      <c r="E4" s="1">
        <v>42735</v>
      </c>
      <c r="F4" s="1">
        <v>43100</v>
      </c>
      <c r="G4" s="1">
        <v>43465</v>
      </c>
      <c r="H4" s="1">
        <v>43830</v>
      </c>
      <c r="I4" s="1">
        <v>44196</v>
      </c>
      <c r="J4" s="1">
        <v>44561</v>
      </c>
      <c r="K4" s="1">
        <v>44926</v>
      </c>
      <c r="L4" s="1">
        <v>45291</v>
      </c>
      <c r="M4" s="1">
        <v>45657</v>
      </c>
      <c r="N4" s="1">
        <v>46022</v>
      </c>
      <c r="O4" s="1">
        <v>46387</v>
      </c>
      <c r="P4" s="1">
        <v>46752</v>
      </c>
      <c r="Q4" s="1">
        <v>47118</v>
      </c>
      <c r="R4" s="1">
        <v>47483</v>
      </c>
      <c r="S4" s="1">
        <v>47848</v>
      </c>
      <c r="T4" s="1">
        <v>48213</v>
      </c>
      <c r="U4" s="1">
        <v>48579</v>
      </c>
    </row>
    <row r="5" spans="1:21" x14ac:dyDescent="0.25">
      <c r="A5" t="s">
        <v>14</v>
      </c>
    </row>
    <row r="6" spans="1:21" x14ac:dyDescent="0.25">
      <c r="A6" t="s">
        <v>15</v>
      </c>
      <c r="B6">
        <v>1.66</v>
      </c>
      <c r="C6">
        <v>1.77</v>
      </c>
      <c r="D6">
        <v>1.89</v>
      </c>
      <c r="E6">
        <v>2.02</v>
      </c>
      <c r="F6">
        <v>2.17</v>
      </c>
      <c r="G6">
        <v>2.33</v>
      </c>
      <c r="H6">
        <v>2.4900000000000002</v>
      </c>
      <c r="I6">
        <v>2.67</v>
      </c>
      <c r="J6">
        <v>2.65</v>
      </c>
      <c r="K6">
        <v>2.89</v>
      </c>
      <c r="L6">
        <v>3.11</v>
      </c>
      <c r="M6">
        <v>3.34</v>
      </c>
      <c r="N6">
        <v>3.61</v>
      </c>
      <c r="O6">
        <v>3.87</v>
      </c>
      <c r="P6">
        <v>4.16</v>
      </c>
      <c r="Q6">
        <v>4.4800000000000004</v>
      </c>
      <c r="R6">
        <v>4.83</v>
      </c>
      <c r="S6">
        <v>5.18</v>
      </c>
      <c r="T6">
        <v>5.61</v>
      </c>
    </row>
    <row r="7" spans="1:21" x14ac:dyDescent="0.25">
      <c r="A7" t="s">
        <v>16</v>
      </c>
      <c r="B7" s="2">
        <v>6566</v>
      </c>
      <c r="C7" s="2">
        <v>7179</v>
      </c>
      <c r="D7" s="2">
        <v>6456</v>
      </c>
      <c r="E7" s="2">
        <v>6399</v>
      </c>
      <c r="F7" s="2">
        <v>6583</v>
      </c>
      <c r="G7" s="2">
        <v>6873</v>
      </c>
      <c r="H7" s="2">
        <v>6845</v>
      </c>
      <c r="I7" s="2">
        <v>6680</v>
      </c>
      <c r="J7" s="2">
        <v>7329</v>
      </c>
      <c r="K7" s="2">
        <v>8596</v>
      </c>
      <c r="L7" s="2">
        <v>7462</v>
      </c>
      <c r="M7" s="2">
        <v>7515</v>
      </c>
      <c r="N7" s="2">
        <v>8539</v>
      </c>
      <c r="O7" s="2">
        <v>8960.17</v>
      </c>
      <c r="P7" s="2">
        <v>9315.25</v>
      </c>
      <c r="Q7" s="2">
        <v>9765.82</v>
      </c>
      <c r="R7" s="2">
        <v>10130.5</v>
      </c>
      <c r="S7" s="2">
        <v>10445.33</v>
      </c>
      <c r="T7" s="2">
        <v>11074</v>
      </c>
    </row>
    <row r="8" spans="1:21" x14ac:dyDescent="0.25">
      <c r="A8" t="s">
        <v>17</v>
      </c>
    </row>
    <row r="9" spans="1:21" x14ac:dyDescent="0.25">
      <c r="A9" t="s">
        <v>275</v>
      </c>
      <c r="B9" s="2">
        <v>5424</v>
      </c>
      <c r="C9" s="2">
        <v>6027</v>
      </c>
      <c r="D9" s="2">
        <v>5293</v>
      </c>
      <c r="E9" s="2">
        <v>5143</v>
      </c>
      <c r="F9" s="2">
        <v>5245</v>
      </c>
      <c r="G9" s="2">
        <v>5711</v>
      </c>
      <c r="H9" s="2">
        <v>5509</v>
      </c>
      <c r="I9" s="2">
        <v>5188</v>
      </c>
      <c r="J9" s="2">
        <v>6183</v>
      </c>
      <c r="K9" s="2">
        <v>7372</v>
      </c>
      <c r="L9" s="2">
        <v>6227</v>
      </c>
      <c r="M9" s="2">
        <v>6028</v>
      </c>
      <c r="N9" s="2">
        <v>6812</v>
      </c>
      <c r="O9" s="2">
        <v>6836.4</v>
      </c>
      <c r="P9" s="2">
        <v>6910.16</v>
      </c>
      <c r="Q9" s="2">
        <v>6978.42</v>
      </c>
      <c r="R9" s="2">
        <v>7032.79</v>
      </c>
      <c r="S9" s="2">
        <v>7077.5</v>
      </c>
    </row>
    <row r="10" spans="1:21" x14ac:dyDescent="0.25">
      <c r="A10" t="s">
        <v>91</v>
      </c>
      <c r="B10" s="2">
        <v>1142</v>
      </c>
      <c r="C10" s="2">
        <v>1152</v>
      </c>
      <c r="D10" s="2">
        <v>1163</v>
      </c>
      <c r="E10" s="2">
        <v>1316</v>
      </c>
      <c r="F10" s="2">
        <v>1342</v>
      </c>
      <c r="G10" s="2">
        <v>1167</v>
      </c>
      <c r="H10" s="2">
        <v>1239</v>
      </c>
      <c r="I10" s="2">
        <v>1362</v>
      </c>
      <c r="J10" s="2">
        <v>1146</v>
      </c>
      <c r="K10" s="2">
        <v>1224</v>
      </c>
      <c r="L10" s="2">
        <v>1235</v>
      </c>
      <c r="M10" s="2">
        <v>1487</v>
      </c>
      <c r="N10" s="2">
        <v>1727</v>
      </c>
      <c r="O10" s="2">
        <v>2014.27</v>
      </c>
      <c r="P10" s="2">
        <v>2263.4499999999998</v>
      </c>
      <c r="Q10" s="2">
        <v>2542.1799999999998</v>
      </c>
      <c r="R10" s="2">
        <v>2795</v>
      </c>
      <c r="S10" s="2">
        <v>2964.57</v>
      </c>
      <c r="T10" s="2">
        <v>3421</v>
      </c>
    </row>
    <row r="11" spans="1:21" x14ac:dyDescent="0.25">
      <c r="A11" t="s">
        <v>277</v>
      </c>
      <c r="F11" s="2">
        <v>2219</v>
      </c>
      <c r="G11" s="2">
        <v>2095</v>
      </c>
      <c r="H11" s="2">
        <v>2228</v>
      </c>
      <c r="I11" s="2">
        <v>2405</v>
      </c>
      <c r="J11" s="2">
        <v>2260</v>
      </c>
      <c r="K11" s="2">
        <v>2567</v>
      </c>
      <c r="L11" s="2">
        <v>2415</v>
      </c>
      <c r="M11" s="2">
        <v>2727</v>
      </c>
      <c r="N11" s="2">
        <v>3033</v>
      </c>
      <c r="O11" s="2">
        <v>3543.08</v>
      </c>
      <c r="P11" s="2">
        <v>3869</v>
      </c>
      <c r="Q11" s="2">
        <v>4283.91</v>
      </c>
      <c r="R11" s="2">
        <v>4646.75</v>
      </c>
      <c r="S11" s="2">
        <v>4894.67</v>
      </c>
      <c r="T11" s="2">
        <v>5718</v>
      </c>
    </row>
    <row r="12" spans="1:21" x14ac:dyDescent="0.25">
      <c r="A12" t="s">
        <v>528</v>
      </c>
      <c r="B12">
        <v>452</v>
      </c>
      <c r="C12">
        <v>486</v>
      </c>
      <c r="D12">
        <v>523</v>
      </c>
      <c r="E12">
        <v>563</v>
      </c>
      <c r="F12">
        <v>610</v>
      </c>
      <c r="G12">
        <v>659</v>
      </c>
      <c r="H12">
        <v>708</v>
      </c>
      <c r="I12">
        <v>764</v>
      </c>
      <c r="J12">
        <v>767</v>
      </c>
      <c r="K12">
        <v>838</v>
      </c>
      <c r="L12">
        <v>907</v>
      </c>
      <c r="M12">
        <v>998</v>
      </c>
      <c r="N12" s="2">
        <v>1087</v>
      </c>
      <c r="O12" s="2">
        <v>1195.92</v>
      </c>
      <c r="P12" s="2">
        <v>1322.23</v>
      </c>
      <c r="Q12" s="2">
        <v>1465.75</v>
      </c>
      <c r="R12" s="2">
        <v>1620.56</v>
      </c>
      <c r="S12" s="2">
        <v>1773.86</v>
      </c>
      <c r="T12" s="2">
        <v>1898</v>
      </c>
    </row>
    <row r="13" spans="1:21" x14ac:dyDescent="0.25">
      <c r="A13" t="s">
        <v>487</v>
      </c>
      <c r="B13">
        <v>1.02</v>
      </c>
      <c r="C13">
        <v>1.08</v>
      </c>
      <c r="D13">
        <v>1.1599999999999999</v>
      </c>
      <c r="E13">
        <v>1.24</v>
      </c>
      <c r="F13">
        <v>1.33</v>
      </c>
      <c r="G13">
        <v>1.43</v>
      </c>
      <c r="H13">
        <v>1.53</v>
      </c>
      <c r="I13">
        <v>1.63</v>
      </c>
      <c r="J13">
        <v>1.74</v>
      </c>
      <c r="K13">
        <v>1.84</v>
      </c>
      <c r="L13">
        <v>1.95</v>
      </c>
      <c r="M13">
        <v>2.06</v>
      </c>
      <c r="N13">
        <v>2.17</v>
      </c>
      <c r="O13">
        <v>2.2799999999999998</v>
      </c>
      <c r="P13">
        <v>2.42</v>
      </c>
      <c r="Q13">
        <v>2.5499999999999998</v>
      </c>
      <c r="R13">
        <v>2.7</v>
      </c>
      <c r="S13">
        <v>2.89</v>
      </c>
      <c r="T13">
        <v>3.05</v>
      </c>
    </row>
    <row r="14" spans="1:21" x14ac:dyDescent="0.25">
      <c r="A14" t="s">
        <v>1123</v>
      </c>
      <c r="B14">
        <v>60.04</v>
      </c>
      <c r="C14">
        <v>60.29</v>
      </c>
      <c r="D14">
        <v>61.19</v>
      </c>
      <c r="E14">
        <v>61.28</v>
      </c>
      <c r="F14">
        <v>61.48</v>
      </c>
      <c r="G14">
        <v>61.46</v>
      </c>
      <c r="H14">
        <v>65.7</v>
      </c>
      <c r="I14">
        <v>65.8</v>
      </c>
      <c r="J14">
        <v>65.56</v>
      </c>
      <c r="K14">
        <v>63.57</v>
      </c>
      <c r="L14">
        <v>62.61</v>
      </c>
      <c r="M14">
        <v>61.51</v>
      </c>
      <c r="N14">
        <v>60.09</v>
      </c>
      <c r="O14">
        <v>58.84</v>
      </c>
      <c r="P14">
        <v>58.13</v>
      </c>
      <c r="Q14">
        <v>57.26</v>
      </c>
      <c r="R14">
        <v>56.76</v>
      </c>
      <c r="S14">
        <v>56.69</v>
      </c>
    </row>
    <row r="15" spans="1:21" x14ac:dyDescent="0.25">
      <c r="A15" t="s">
        <v>17</v>
      </c>
    </row>
    <row r="16" spans="1:21" x14ac:dyDescent="0.25">
      <c r="A16" t="s">
        <v>204</v>
      </c>
      <c r="B16" s="2">
        <v>1421</v>
      </c>
      <c r="C16" s="2">
        <v>1481</v>
      </c>
      <c r="D16" s="2">
        <v>1640</v>
      </c>
      <c r="E16" s="2">
        <v>1629</v>
      </c>
      <c r="F16" s="2">
        <v>1705</v>
      </c>
      <c r="G16" s="2">
        <v>1703</v>
      </c>
      <c r="H16" s="2">
        <v>1790</v>
      </c>
      <c r="I16" s="2">
        <v>1276</v>
      </c>
      <c r="J16" s="2">
        <v>1819</v>
      </c>
      <c r="K16">
        <v>855</v>
      </c>
      <c r="L16" s="2">
        <v>2309</v>
      </c>
      <c r="M16" s="2">
        <v>2370</v>
      </c>
      <c r="N16" s="2">
        <v>2235</v>
      </c>
      <c r="O16" s="2">
        <v>2758</v>
      </c>
      <c r="P16" s="2">
        <v>2927.98</v>
      </c>
      <c r="Q16" s="2">
        <v>3200.13</v>
      </c>
      <c r="R16" s="2">
        <v>3457.48</v>
      </c>
      <c r="S16" s="2">
        <v>3756.6</v>
      </c>
      <c r="T16" s="2">
        <v>4015.59</v>
      </c>
    </row>
    <row r="17" spans="1:20" x14ac:dyDescent="0.25">
      <c r="A17" t="s">
        <v>17</v>
      </c>
    </row>
    <row r="18" spans="1:20" x14ac:dyDescent="0.25">
      <c r="A18" t="s">
        <v>37</v>
      </c>
    </row>
    <row r="19" spans="1:20" x14ac:dyDescent="0.25">
      <c r="A19" t="s">
        <v>17</v>
      </c>
    </row>
    <row r="20" spans="1:20" x14ac:dyDescent="0.25">
      <c r="A20" t="s">
        <v>38</v>
      </c>
    </row>
    <row r="21" spans="1:20" x14ac:dyDescent="0.25">
      <c r="A21" t="s">
        <v>3250</v>
      </c>
      <c r="E21" s="2">
        <v>14208</v>
      </c>
      <c r="F21" s="2">
        <v>15000</v>
      </c>
      <c r="G21" s="2">
        <v>16000</v>
      </c>
      <c r="H21" s="2">
        <v>17500</v>
      </c>
      <c r="I21" s="2">
        <v>19800</v>
      </c>
      <c r="J21" s="2">
        <v>21000</v>
      </c>
      <c r="K21" s="2">
        <v>22500</v>
      </c>
      <c r="L21" s="2">
        <v>24600</v>
      </c>
      <c r="M21" s="2">
        <v>26200</v>
      </c>
      <c r="N21" s="2">
        <v>28400</v>
      </c>
      <c r="O21" s="2">
        <v>30820.03</v>
      </c>
      <c r="P21" s="2">
        <v>34098.99</v>
      </c>
      <c r="Q21" s="2">
        <v>37815.56</v>
      </c>
      <c r="R21" s="2">
        <v>41978.96</v>
      </c>
      <c r="S21" s="2">
        <v>44233.440000000002</v>
      </c>
      <c r="T21" s="2">
        <v>46986.31</v>
      </c>
    </row>
    <row r="22" spans="1:20" x14ac:dyDescent="0.25">
      <c r="A22" t="s">
        <v>3862</v>
      </c>
      <c r="B22" s="2">
        <v>8374</v>
      </c>
      <c r="C22" s="2">
        <v>8900</v>
      </c>
      <c r="D22" s="2">
        <v>9559</v>
      </c>
      <c r="E22" s="2">
        <v>10184</v>
      </c>
      <c r="F22" s="2">
        <v>10691</v>
      </c>
      <c r="G22" s="2">
        <v>10890</v>
      </c>
      <c r="H22" s="2">
        <v>11516</v>
      </c>
      <c r="I22" s="2">
        <v>12992</v>
      </c>
      <c r="J22" s="2">
        <v>13354</v>
      </c>
      <c r="K22" s="2">
        <v>13796</v>
      </c>
      <c r="L22" s="2">
        <v>15097</v>
      </c>
      <c r="M22" s="2">
        <v>15878</v>
      </c>
      <c r="N22" s="2">
        <v>17499</v>
      </c>
      <c r="O22" s="2">
        <v>19407.32</v>
      </c>
      <c r="P22" s="2">
        <v>21965.59</v>
      </c>
      <c r="Q22" s="2">
        <v>24856.25</v>
      </c>
      <c r="R22" s="2">
        <v>27458.02</v>
      </c>
      <c r="S22" s="2">
        <v>30108.959999999999</v>
      </c>
    </row>
    <row r="23" spans="1:20" x14ac:dyDescent="0.25">
      <c r="A23" t="s">
        <v>3347</v>
      </c>
      <c r="B23" s="2">
        <v>3187</v>
      </c>
      <c r="C23" s="2">
        <v>3399</v>
      </c>
      <c r="D23" s="2">
        <v>3677</v>
      </c>
      <c r="E23" s="2">
        <v>4024</v>
      </c>
      <c r="F23" s="2">
        <v>4604</v>
      </c>
      <c r="G23" s="2">
        <v>5200</v>
      </c>
      <c r="H23" s="2">
        <v>6790</v>
      </c>
      <c r="I23" s="2">
        <v>6790</v>
      </c>
      <c r="J23" s="2">
        <v>7654</v>
      </c>
      <c r="K23" s="2">
        <v>8668</v>
      </c>
      <c r="L23" s="2">
        <v>9574</v>
      </c>
      <c r="M23" s="2">
        <v>9987</v>
      </c>
      <c r="N23" s="2">
        <v>10795</v>
      </c>
      <c r="O23" s="2">
        <v>11732.92</v>
      </c>
      <c r="P23" s="2">
        <v>12842.82</v>
      </c>
      <c r="Q23" s="2">
        <v>14056.95</v>
      </c>
      <c r="R23" s="2">
        <v>15428.11</v>
      </c>
      <c r="S23" s="2">
        <v>16965.09</v>
      </c>
    </row>
    <row r="24" spans="1:20" x14ac:dyDescent="0.25">
      <c r="A24" t="s">
        <v>17</v>
      </c>
    </row>
    <row r="25" spans="1:20" x14ac:dyDescent="0.25">
      <c r="A25" t="s">
        <v>3247</v>
      </c>
    </row>
    <row r="26" spans="1:20" x14ac:dyDescent="0.25">
      <c r="A26" t="s">
        <v>3862</v>
      </c>
      <c r="O26">
        <v>213.91</v>
      </c>
      <c r="P26">
        <v>213.28</v>
      </c>
      <c r="Q26">
        <v>243.49</v>
      </c>
      <c r="R26">
        <v>228.37</v>
      </c>
      <c r="S26">
        <v>159.63999999999999</v>
      </c>
      <c r="T26">
        <v>192</v>
      </c>
    </row>
    <row r="27" spans="1:20" x14ac:dyDescent="0.25">
      <c r="A27" t="s">
        <v>3347</v>
      </c>
      <c r="O27">
        <v>120.44</v>
      </c>
      <c r="P27">
        <v>112.19</v>
      </c>
      <c r="Q27">
        <v>123.52</v>
      </c>
      <c r="R27">
        <v>119.23</v>
      </c>
      <c r="S27">
        <v>122.09</v>
      </c>
      <c r="T27">
        <v>60</v>
      </c>
    </row>
    <row r="28" spans="1:20" x14ac:dyDescent="0.25">
      <c r="A28" t="s">
        <v>17</v>
      </c>
    </row>
    <row r="29" spans="1:20" x14ac:dyDescent="0.25">
      <c r="A29" t="s">
        <v>3253</v>
      </c>
      <c r="B29" s="2">
        <v>39273</v>
      </c>
      <c r="C29" s="2">
        <v>39872</v>
      </c>
      <c r="D29" s="2">
        <v>40295</v>
      </c>
      <c r="E29" s="2">
        <v>40641</v>
      </c>
      <c r="F29" s="2">
        <v>39899</v>
      </c>
      <c r="G29" s="2">
        <v>41496</v>
      </c>
      <c r="H29" s="2">
        <v>40921</v>
      </c>
      <c r="I29" s="2">
        <v>35766</v>
      </c>
      <c r="J29" s="2">
        <v>41150</v>
      </c>
      <c r="K29" s="2">
        <v>41129</v>
      </c>
      <c r="L29" s="2">
        <v>40137</v>
      </c>
      <c r="M29" s="2">
        <v>44499</v>
      </c>
      <c r="N29" s="2">
        <v>43403</v>
      </c>
      <c r="O29" s="2">
        <v>44122.33</v>
      </c>
      <c r="P29" s="2">
        <v>44915.02</v>
      </c>
      <c r="Q29" s="2">
        <v>45771.66</v>
      </c>
      <c r="R29" s="2">
        <v>46620.07</v>
      </c>
      <c r="S29" s="2">
        <v>47187.78</v>
      </c>
    </row>
    <row r="30" spans="1:20" x14ac:dyDescent="0.25">
      <c r="A30" t="s">
        <v>3863</v>
      </c>
      <c r="B30" s="2">
        <v>32557</v>
      </c>
      <c r="C30" s="2">
        <v>33254</v>
      </c>
      <c r="D30" s="2">
        <v>32992</v>
      </c>
      <c r="E30" s="2">
        <v>33659</v>
      </c>
      <c r="F30" s="2">
        <v>37028</v>
      </c>
      <c r="G30" s="2">
        <v>37867</v>
      </c>
      <c r="H30" s="2">
        <v>36473</v>
      </c>
      <c r="I30" s="2">
        <v>35040</v>
      </c>
      <c r="J30" s="2">
        <v>35895</v>
      </c>
      <c r="K30" s="2">
        <v>37012</v>
      </c>
      <c r="L30" s="2">
        <v>36011</v>
      </c>
      <c r="M30" s="2">
        <v>36521</v>
      </c>
      <c r="N30" s="2">
        <v>37421</v>
      </c>
      <c r="O30" s="2">
        <v>36686.53</v>
      </c>
      <c r="P30" s="2">
        <v>37440.800000000003</v>
      </c>
      <c r="Q30" s="2">
        <v>38329.25</v>
      </c>
      <c r="R30" s="2">
        <v>39083.17</v>
      </c>
      <c r="S30" s="2">
        <v>40749.22</v>
      </c>
    </row>
    <row r="31" spans="1:20" x14ac:dyDescent="0.25">
      <c r="A31" t="s">
        <v>3864</v>
      </c>
      <c r="B31" s="2">
        <v>12793</v>
      </c>
      <c r="C31" s="2">
        <v>12594</v>
      </c>
      <c r="D31" s="2">
        <v>12495</v>
      </c>
      <c r="E31" s="2">
        <v>12789</v>
      </c>
      <c r="F31" s="2">
        <v>12341</v>
      </c>
      <c r="G31" s="2">
        <v>13051</v>
      </c>
      <c r="H31" s="2">
        <v>12485</v>
      </c>
      <c r="I31" s="2">
        <v>13331</v>
      </c>
      <c r="J31" s="2">
        <v>13229</v>
      </c>
      <c r="K31" s="2">
        <v>12977</v>
      </c>
      <c r="L31" s="2">
        <v>12208</v>
      </c>
      <c r="M31" s="2">
        <v>12495</v>
      </c>
      <c r="N31" s="2">
        <v>12941</v>
      </c>
      <c r="O31" s="2">
        <v>13196.76</v>
      </c>
      <c r="P31" s="2">
        <v>13515.44</v>
      </c>
      <c r="Q31" s="2">
        <v>13853.31</v>
      </c>
      <c r="R31" s="2">
        <v>14176.64</v>
      </c>
      <c r="S31" s="2">
        <v>14423.72</v>
      </c>
    </row>
    <row r="32" spans="1:20" x14ac:dyDescent="0.25">
      <c r="A32" t="s">
        <v>3865</v>
      </c>
      <c r="B32" s="2">
        <v>10908</v>
      </c>
      <c r="C32" s="2">
        <v>11720</v>
      </c>
      <c r="D32" s="2">
        <v>11699</v>
      </c>
      <c r="E32" s="2">
        <v>11843</v>
      </c>
      <c r="F32" s="2">
        <v>11763</v>
      </c>
      <c r="G32" s="2">
        <v>12034</v>
      </c>
      <c r="H32" s="2">
        <v>11638</v>
      </c>
      <c r="I32" s="2">
        <v>11014</v>
      </c>
      <c r="J32" s="2">
        <v>11504</v>
      </c>
      <c r="K32" s="2">
        <v>11675</v>
      </c>
      <c r="L32" s="2">
        <v>11553</v>
      </c>
      <c r="M32" s="2">
        <v>11766</v>
      </c>
      <c r="N32" s="2">
        <v>11883</v>
      </c>
      <c r="O32" s="2">
        <v>12071.67</v>
      </c>
      <c r="P32" s="2">
        <v>12343.52</v>
      </c>
      <c r="Q32" s="2">
        <v>12632.26</v>
      </c>
      <c r="R32" s="2">
        <v>12886.25</v>
      </c>
      <c r="S32" s="2">
        <v>13045.8</v>
      </c>
    </row>
    <row r="33" spans="1:19" x14ac:dyDescent="0.25">
      <c r="A33" t="s">
        <v>3866</v>
      </c>
      <c r="B33" s="2">
        <v>8647</v>
      </c>
      <c r="C33" s="2">
        <v>8742</v>
      </c>
      <c r="D33" s="2">
        <v>8605</v>
      </c>
      <c r="E33" s="2">
        <v>8839</v>
      </c>
      <c r="F33" s="2">
        <v>8966</v>
      </c>
      <c r="G33" s="2">
        <v>8833</v>
      </c>
      <c r="H33" s="2">
        <v>8424</v>
      </c>
      <c r="I33" s="2">
        <v>6953</v>
      </c>
      <c r="J33" s="2">
        <v>7375</v>
      </c>
      <c r="K33" s="2">
        <v>8455</v>
      </c>
      <c r="L33" s="2">
        <v>8547</v>
      </c>
      <c r="M33" s="2">
        <v>8543</v>
      </c>
      <c r="N33" s="2">
        <v>8855</v>
      </c>
      <c r="O33" s="2">
        <v>9141.86</v>
      </c>
      <c r="P33" s="2">
        <v>9424.1299999999992</v>
      </c>
      <c r="Q33" s="2">
        <v>9723.2800000000007</v>
      </c>
      <c r="R33" s="2">
        <v>10016</v>
      </c>
      <c r="S33" s="2">
        <v>10452.69</v>
      </c>
    </row>
    <row r="34" spans="1:19" x14ac:dyDescent="0.25">
      <c r="A34" t="s">
        <v>3867</v>
      </c>
      <c r="B34" s="2">
        <v>6716</v>
      </c>
      <c r="C34" s="2">
        <v>6618</v>
      </c>
      <c r="D34" s="2">
        <v>7303</v>
      </c>
      <c r="E34" s="2">
        <v>6982</v>
      </c>
      <c r="F34" s="2">
        <v>2871</v>
      </c>
      <c r="G34" s="2">
        <v>3629</v>
      </c>
      <c r="H34" s="2">
        <v>4448</v>
      </c>
      <c r="I34">
        <v>726</v>
      </c>
      <c r="J34" s="2">
        <v>5255</v>
      </c>
      <c r="K34" s="2">
        <v>4117</v>
      </c>
      <c r="L34" s="2">
        <v>4126</v>
      </c>
      <c r="M34" s="2">
        <v>7978</v>
      </c>
      <c r="N34" s="2">
        <v>5982</v>
      </c>
      <c r="O34" s="2">
        <v>5981</v>
      </c>
      <c r="P34" s="2">
        <v>5981</v>
      </c>
      <c r="Q34" s="2">
        <v>5981</v>
      </c>
      <c r="R34" s="2">
        <v>5981</v>
      </c>
      <c r="S34" s="2">
        <v>5981</v>
      </c>
    </row>
    <row r="35" spans="1:19" x14ac:dyDescent="0.25">
      <c r="A35" t="s">
        <v>3868</v>
      </c>
      <c r="B35" s="2">
        <v>3520</v>
      </c>
      <c r="C35" s="2">
        <v>3726.29</v>
      </c>
      <c r="D35" s="2">
        <v>221137</v>
      </c>
      <c r="E35" s="2">
        <v>205873</v>
      </c>
      <c r="F35" s="2">
        <v>211480</v>
      </c>
      <c r="G35" s="2">
        <v>230148</v>
      </c>
      <c r="H35" s="2">
        <v>233784</v>
      </c>
      <c r="I35" s="2">
        <v>211382</v>
      </c>
      <c r="J35" s="2">
        <v>205211</v>
      </c>
      <c r="K35">
        <v>229.8</v>
      </c>
      <c r="L35" s="2">
        <v>3748.58</v>
      </c>
      <c r="M35">
        <v>361.77</v>
      </c>
      <c r="N35">
        <v>395.88</v>
      </c>
    </row>
    <row r="36" spans="1:19" x14ac:dyDescent="0.25">
      <c r="A36" t="s">
        <v>17</v>
      </c>
    </row>
    <row r="37" spans="1:19" x14ac:dyDescent="0.25">
      <c r="A37" t="s">
        <v>3869</v>
      </c>
      <c r="M37">
        <v>10.9</v>
      </c>
      <c r="N37">
        <v>-2.5</v>
      </c>
      <c r="O37">
        <v>1.85</v>
      </c>
      <c r="P37">
        <v>2.2000000000000002</v>
      </c>
      <c r="Q37">
        <v>2.27</v>
      </c>
      <c r="R37">
        <v>2.0699999999999998</v>
      </c>
      <c r="S37">
        <v>1.87</v>
      </c>
    </row>
    <row r="38" spans="1:19" x14ac:dyDescent="0.25">
      <c r="A38" t="s">
        <v>3870</v>
      </c>
      <c r="M38">
        <v>-3.5</v>
      </c>
      <c r="N38">
        <v>9.4</v>
      </c>
      <c r="O38">
        <v>1</v>
      </c>
      <c r="P38">
        <v>1</v>
      </c>
      <c r="Q38">
        <v>1</v>
      </c>
      <c r="R38">
        <v>1</v>
      </c>
    </row>
    <row r="39" spans="1:19" x14ac:dyDescent="0.25">
      <c r="A39" t="s">
        <v>17</v>
      </c>
    </row>
    <row r="40" spans="1:19" x14ac:dyDescent="0.25">
      <c r="A40" t="s">
        <v>252</v>
      </c>
    </row>
    <row r="41" spans="1:19" x14ac:dyDescent="0.25">
      <c r="A41" t="s">
        <v>3871</v>
      </c>
    </row>
    <row r="42" spans="1:19" x14ac:dyDescent="0.25">
      <c r="A42" t="s">
        <v>3862</v>
      </c>
      <c r="B42">
        <v>40.5</v>
      </c>
      <c r="C42">
        <v>41</v>
      </c>
      <c r="D42">
        <v>41.5</v>
      </c>
      <c r="E42">
        <v>41</v>
      </c>
      <c r="F42">
        <v>41.3</v>
      </c>
      <c r="G42">
        <v>42.2</v>
      </c>
      <c r="H42">
        <v>42.4</v>
      </c>
      <c r="I42">
        <v>41.7</v>
      </c>
      <c r="J42">
        <v>42.6</v>
      </c>
      <c r="K42">
        <v>43.5</v>
      </c>
      <c r="L42">
        <v>41.7</v>
      </c>
      <c r="M42">
        <v>41.2</v>
      </c>
      <c r="N42">
        <v>41.4</v>
      </c>
      <c r="O42">
        <v>42.38</v>
      </c>
      <c r="P42">
        <v>42.43</v>
      </c>
      <c r="Q42">
        <v>42.48</v>
      </c>
      <c r="R42">
        <v>42.53</v>
      </c>
      <c r="S42">
        <v>42.27</v>
      </c>
    </row>
    <row r="43" spans="1:19" x14ac:dyDescent="0.25">
      <c r="A43" t="s">
        <v>3347</v>
      </c>
      <c r="B43">
        <v>40.299999999999997</v>
      </c>
      <c r="C43">
        <v>40.799999999999997</v>
      </c>
      <c r="D43">
        <v>41.3</v>
      </c>
      <c r="E43">
        <v>40.9</v>
      </c>
      <c r="F43">
        <v>41.2</v>
      </c>
      <c r="G43">
        <v>42.2</v>
      </c>
      <c r="H43">
        <v>42.4</v>
      </c>
      <c r="I43">
        <v>41.7</v>
      </c>
      <c r="J43">
        <v>42.6</v>
      </c>
      <c r="K43">
        <v>43.5</v>
      </c>
      <c r="L43">
        <v>41.7</v>
      </c>
      <c r="M43">
        <v>41.2</v>
      </c>
      <c r="N43">
        <v>41.4</v>
      </c>
      <c r="O43">
        <v>46.68</v>
      </c>
      <c r="P43">
        <v>46.68</v>
      </c>
      <c r="Q43">
        <v>46.68</v>
      </c>
      <c r="R43">
        <v>46.68</v>
      </c>
      <c r="S43">
        <v>46.68</v>
      </c>
    </row>
    <row r="44" spans="1:19" x14ac:dyDescent="0.25">
      <c r="A44" t="s">
        <v>17</v>
      </c>
    </row>
    <row r="45" spans="1:19" x14ac:dyDescent="0.25">
      <c r="A45" t="s">
        <v>3872</v>
      </c>
    </row>
    <row r="46" spans="1:19" x14ac:dyDescent="0.25">
      <c r="A46" t="s">
        <v>3862</v>
      </c>
      <c r="B46">
        <v>10.9</v>
      </c>
      <c r="C46">
        <v>10.7</v>
      </c>
      <c r="D46">
        <v>11.4</v>
      </c>
      <c r="E46">
        <v>11.2</v>
      </c>
      <c r="F46">
        <v>10.1</v>
      </c>
      <c r="G46">
        <v>11.1</v>
      </c>
      <c r="H46">
        <v>10.7</v>
      </c>
      <c r="I46">
        <v>10.1</v>
      </c>
      <c r="J46">
        <v>10.1</v>
      </c>
      <c r="K46">
        <v>9.3000000000000007</v>
      </c>
      <c r="L46">
        <v>9.1999999999999993</v>
      </c>
      <c r="M46">
        <v>10.1</v>
      </c>
      <c r="N46">
        <v>10</v>
      </c>
      <c r="O46">
        <v>10.19</v>
      </c>
      <c r="P46">
        <v>10.28</v>
      </c>
      <c r="Q46">
        <v>10.31</v>
      </c>
      <c r="R46">
        <v>10.5</v>
      </c>
      <c r="S46">
        <v>10.86</v>
      </c>
    </row>
    <row r="47" spans="1:19" x14ac:dyDescent="0.25">
      <c r="A47" t="s">
        <v>3347</v>
      </c>
      <c r="B47">
        <v>12.3</v>
      </c>
      <c r="C47">
        <v>12.1</v>
      </c>
      <c r="D47">
        <v>9.8000000000000007</v>
      </c>
      <c r="E47">
        <v>9.4</v>
      </c>
      <c r="F47">
        <v>9.6999999999999993</v>
      </c>
      <c r="G47">
        <v>8.8000000000000007</v>
      </c>
      <c r="H47">
        <v>9</v>
      </c>
      <c r="I47">
        <v>9.5</v>
      </c>
      <c r="J47">
        <v>9.4</v>
      </c>
      <c r="K47">
        <v>10</v>
      </c>
      <c r="L47">
        <v>8.1999999999999993</v>
      </c>
      <c r="M47">
        <v>7.8</v>
      </c>
      <c r="N47">
        <v>9.8000000000000007</v>
      </c>
      <c r="O47">
        <v>10.1</v>
      </c>
      <c r="P47">
        <v>10.199999999999999</v>
      </c>
      <c r="Q47">
        <v>10</v>
      </c>
      <c r="R47">
        <v>10</v>
      </c>
      <c r="S47">
        <v>10.3</v>
      </c>
    </row>
    <row r="48" spans="1:19" x14ac:dyDescent="0.25">
      <c r="A48" t="s">
        <v>17</v>
      </c>
    </row>
    <row r="49" spans="1:20" x14ac:dyDescent="0.25">
      <c r="A49" t="s">
        <v>3873</v>
      </c>
      <c r="B49" s="2">
        <v>5984</v>
      </c>
      <c r="C49">
        <v>0</v>
      </c>
      <c r="D49" s="2">
        <v>5885</v>
      </c>
      <c r="E49" s="2">
        <v>5643</v>
      </c>
      <c r="F49" s="2">
        <v>5759</v>
      </c>
      <c r="G49" s="2">
        <v>5704</v>
      </c>
      <c r="J49" s="2">
        <v>18076</v>
      </c>
      <c r="K49" s="2">
        <v>18752</v>
      </c>
      <c r="L49" s="2">
        <v>19751</v>
      </c>
      <c r="M49" s="2">
        <v>24947</v>
      </c>
      <c r="N49" s="2">
        <v>24236</v>
      </c>
      <c r="O49" s="2">
        <v>24236</v>
      </c>
      <c r="P49" s="2">
        <v>24236</v>
      </c>
      <c r="Q49" s="2">
        <v>24236</v>
      </c>
      <c r="R49" s="2">
        <v>24236</v>
      </c>
      <c r="S49" s="2">
        <v>24236</v>
      </c>
    </row>
    <row r="50" spans="1:20" x14ac:dyDescent="0.25">
      <c r="A50" t="s">
        <v>17</v>
      </c>
    </row>
    <row r="51" spans="1:20" x14ac:dyDescent="0.25">
      <c r="A51" t="s">
        <v>58</v>
      </c>
    </row>
    <row r="52" spans="1:20" x14ac:dyDescent="0.25">
      <c r="A52" t="s">
        <v>3874</v>
      </c>
    </row>
    <row r="53" spans="1:20" x14ac:dyDescent="0.25">
      <c r="A53" t="s">
        <v>60</v>
      </c>
      <c r="B53" s="2">
        <v>6321</v>
      </c>
      <c r="C53" s="2">
        <v>6799</v>
      </c>
      <c r="D53" s="2">
        <v>6165</v>
      </c>
      <c r="E53" s="2">
        <v>6064</v>
      </c>
      <c r="F53" s="2">
        <v>6222</v>
      </c>
      <c r="G53" s="2">
        <v>6464</v>
      </c>
      <c r="H53" s="2">
        <v>6376</v>
      </c>
      <c r="I53" s="2">
        <v>6189</v>
      </c>
      <c r="J53" s="2">
        <v>7021</v>
      </c>
      <c r="K53" s="2">
        <v>8115</v>
      </c>
      <c r="L53" s="2">
        <v>7080</v>
      </c>
      <c r="M53" s="2">
        <v>7109</v>
      </c>
      <c r="N53" s="2">
        <v>8131</v>
      </c>
      <c r="O53" s="2">
        <v>8598.1</v>
      </c>
      <c r="P53" s="2">
        <v>8985.08</v>
      </c>
      <c r="Q53" s="2">
        <v>9407.64</v>
      </c>
      <c r="R53" s="2">
        <v>9847.9699999999993</v>
      </c>
      <c r="S53" s="2">
        <v>10170.11</v>
      </c>
      <c r="T53" s="2">
        <v>11068.08</v>
      </c>
    </row>
    <row r="54" spans="1:20" x14ac:dyDescent="0.25">
      <c r="A54" t="s">
        <v>3239</v>
      </c>
      <c r="B54" s="2">
        <v>4173</v>
      </c>
      <c r="C54" s="2">
        <v>4436</v>
      </c>
      <c r="D54" s="2">
        <v>4249</v>
      </c>
      <c r="E54" s="2">
        <v>4379</v>
      </c>
      <c r="F54" s="2">
        <v>4448</v>
      </c>
      <c r="G54" s="2">
        <v>4561</v>
      </c>
      <c r="H54" s="2">
        <v>4439</v>
      </c>
      <c r="I54" s="2">
        <v>4372</v>
      </c>
      <c r="J54" s="2">
        <v>4958</v>
      </c>
      <c r="K54" s="2">
        <v>5395</v>
      </c>
      <c r="L54" s="2">
        <v>4686</v>
      </c>
      <c r="M54" s="2">
        <v>4995</v>
      </c>
      <c r="N54" s="2">
        <v>5638</v>
      </c>
      <c r="O54" s="2">
        <v>5872.36</v>
      </c>
      <c r="P54" s="2">
        <v>6159.28</v>
      </c>
      <c r="Q54" s="2">
        <v>6471.86</v>
      </c>
      <c r="R54" s="2">
        <v>6781.31</v>
      </c>
      <c r="S54" s="2">
        <v>6977.09</v>
      </c>
    </row>
    <row r="55" spans="1:20" x14ac:dyDescent="0.25">
      <c r="A55" t="s">
        <v>3236</v>
      </c>
      <c r="B55" s="2">
        <v>2148</v>
      </c>
      <c r="C55" s="2">
        <v>2363</v>
      </c>
      <c r="D55" s="2">
        <v>1916</v>
      </c>
      <c r="E55" s="2">
        <v>1685</v>
      </c>
      <c r="F55" s="2">
        <v>1774</v>
      </c>
      <c r="G55" s="2">
        <v>1903</v>
      </c>
      <c r="H55" s="2">
        <v>1937</v>
      </c>
      <c r="I55" s="2">
        <v>1817</v>
      </c>
      <c r="J55" s="2">
        <v>2063</v>
      </c>
      <c r="K55" s="2">
        <v>2720</v>
      </c>
      <c r="L55" s="2">
        <v>2394</v>
      </c>
      <c r="M55" s="2">
        <v>2114</v>
      </c>
      <c r="N55" s="2">
        <v>2493</v>
      </c>
      <c r="O55" s="2">
        <v>2618.42</v>
      </c>
      <c r="P55" s="2">
        <v>2720.92</v>
      </c>
      <c r="Q55" s="2">
        <v>2840.29</v>
      </c>
      <c r="R55" s="2">
        <v>2974.64</v>
      </c>
      <c r="S55" s="2">
        <v>3121.32</v>
      </c>
    </row>
    <row r="56" spans="1:20" x14ac:dyDescent="0.25">
      <c r="A56" t="s">
        <v>3875</v>
      </c>
      <c r="I56">
        <v>568</v>
      </c>
      <c r="J56">
        <v>726</v>
      </c>
      <c r="K56" s="2">
        <v>1243</v>
      </c>
      <c r="L56">
        <v>897</v>
      </c>
      <c r="M56">
        <v>637</v>
      </c>
      <c r="N56">
        <v>803</v>
      </c>
      <c r="O56">
        <v>826.95</v>
      </c>
      <c r="P56">
        <v>839.7</v>
      </c>
      <c r="Q56">
        <v>854.57</v>
      </c>
      <c r="R56">
        <v>902.12</v>
      </c>
      <c r="S56">
        <v>952.5</v>
      </c>
    </row>
    <row r="57" spans="1:20" x14ac:dyDescent="0.25">
      <c r="A57" t="s">
        <v>807</v>
      </c>
      <c r="B57">
        <v>41</v>
      </c>
      <c r="C57">
        <v>118</v>
      </c>
      <c r="D57">
        <v>22</v>
      </c>
      <c r="E57">
        <v>17</v>
      </c>
      <c r="F57">
        <v>20</v>
      </c>
      <c r="G57">
        <v>17</v>
      </c>
      <c r="H57">
        <v>15</v>
      </c>
      <c r="I57">
        <v>9</v>
      </c>
      <c r="J57">
        <v>9</v>
      </c>
      <c r="K57">
        <v>13</v>
      </c>
      <c r="L57">
        <v>5</v>
      </c>
      <c r="M57">
        <v>3</v>
      </c>
      <c r="N57">
        <v>6</v>
      </c>
      <c r="O57">
        <v>5.91</v>
      </c>
      <c r="P57">
        <v>5.85</v>
      </c>
      <c r="Q57">
        <v>5.89</v>
      </c>
      <c r="R57">
        <v>5.93</v>
      </c>
      <c r="S57">
        <v>5.95</v>
      </c>
    </row>
    <row r="58" spans="1:20" x14ac:dyDescent="0.25">
      <c r="A58" t="s">
        <v>116</v>
      </c>
      <c r="B58" s="2">
        <v>1117</v>
      </c>
      <c r="C58" s="2">
        <v>1134</v>
      </c>
      <c r="D58" s="2">
        <v>1121</v>
      </c>
      <c r="E58" s="2">
        <v>1197</v>
      </c>
      <c r="F58" s="2">
        <v>1252</v>
      </c>
      <c r="G58" s="2">
        <v>1065</v>
      </c>
      <c r="H58" s="2">
        <v>1131</v>
      </c>
      <c r="I58" s="2">
        <v>1222</v>
      </c>
      <c r="J58" s="2">
        <v>1176</v>
      </c>
      <c r="K58" s="2">
        <v>1235</v>
      </c>
      <c r="L58" s="2">
        <v>1270</v>
      </c>
      <c r="M58" s="2">
        <v>1516</v>
      </c>
      <c r="N58" s="2">
        <v>1770</v>
      </c>
      <c r="O58" s="2">
        <v>2052.85</v>
      </c>
      <c r="P58" s="2">
        <v>2294.34</v>
      </c>
      <c r="Q58" s="2">
        <v>2541.52</v>
      </c>
      <c r="R58" s="2">
        <v>2793.56</v>
      </c>
      <c r="S58" s="2">
        <v>2952.74</v>
      </c>
      <c r="T58" s="2">
        <v>3617.58</v>
      </c>
    </row>
    <row r="59" spans="1:20" x14ac:dyDescent="0.25">
      <c r="A59" t="s">
        <v>3239</v>
      </c>
      <c r="B59">
        <v>783</v>
      </c>
      <c r="C59">
        <v>791</v>
      </c>
      <c r="D59">
        <v>826</v>
      </c>
      <c r="E59">
        <v>910</v>
      </c>
      <c r="F59">
        <v>916</v>
      </c>
      <c r="G59">
        <v>816</v>
      </c>
      <c r="H59">
        <v>806</v>
      </c>
      <c r="I59">
        <v>841</v>
      </c>
      <c r="J59">
        <v>801</v>
      </c>
      <c r="K59">
        <v>789</v>
      </c>
      <c r="L59">
        <v>772</v>
      </c>
      <c r="M59">
        <v>982</v>
      </c>
      <c r="N59" s="2">
        <v>1099</v>
      </c>
      <c r="O59" s="2">
        <v>1249.76</v>
      </c>
      <c r="P59" s="2">
        <v>1417.49</v>
      </c>
      <c r="Q59" s="2">
        <v>1593.56</v>
      </c>
      <c r="R59" s="2">
        <v>1746.61</v>
      </c>
      <c r="S59" s="2">
        <v>1904.59</v>
      </c>
    </row>
    <row r="60" spans="1:20" x14ac:dyDescent="0.25">
      <c r="A60" t="s">
        <v>3236</v>
      </c>
      <c r="B60">
        <v>334</v>
      </c>
      <c r="C60">
        <v>343</v>
      </c>
      <c r="D60">
        <v>295</v>
      </c>
      <c r="E60">
        <v>287</v>
      </c>
      <c r="F60">
        <v>336</v>
      </c>
      <c r="G60">
        <v>249</v>
      </c>
      <c r="H60">
        <v>325</v>
      </c>
      <c r="I60">
        <v>381</v>
      </c>
      <c r="J60">
        <v>375</v>
      </c>
      <c r="K60">
        <v>446</v>
      </c>
      <c r="L60">
        <v>498</v>
      </c>
      <c r="M60">
        <v>534</v>
      </c>
      <c r="N60">
        <v>671</v>
      </c>
      <c r="O60">
        <v>728.82</v>
      </c>
      <c r="P60">
        <v>818.57</v>
      </c>
      <c r="Q60">
        <v>892.85</v>
      </c>
      <c r="R60" s="2">
        <v>1002.2</v>
      </c>
      <c r="S60" s="2">
        <v>1072.26</v>
      </c>
    </row>
    <row r="61" spans="1:20" x14ac:dyDescent="0.25">
      <c r="A61" t="s">
        <v>190</v>
      </c>
      <c r="B61">
        <v>622</v>
      </c>
      <c r="C61">
        <v>678</v>
      </c>
      <c r="D61">
        <v>744</v>
      </c>
      <c r="E61">
        <v>803</v>
      </c>
      <c r="F61">
        <v>872</v>
      </c>
      <c r="G61">
        <v>921</v>
      </c>
      <c r="H61">
        <v>974</v>
      </c>
      <c r="I61" s="2">
        <v>1022</v>
      </c>
      <c r="J61" s="2">
        <v>1076</v>
      </c>
      <c r="K61" s="2">
        <v>1087</v>
      </c>
      <c r="L61" s="2">
        <v>1135</v>
      </c>
      <c r="M61" s="2">
        <v>1190</v>
      </c>
      <c r="N61" s="2">
        <v>1253</v>
      </c>
      <c r="O61" s="2">
        <v>1366.7</v>
      </c>
      <c r="P61" s="2">
        <v>1475.56</v>
      </c>
      <c r="Q61" s="2">
        <v>1595.3</v>
      </c>
      <c r="R61" s="2">
        <v>1705.08</v>
      </c>
      <c r="S61" s="2">
        <v>1851.51</v>
      </c>
      <c r="T61" s="2">
        <v>1928.61</v>
      </c>
    </row>
    <row r="62" spans="1:20" x14ac:dyDescent="0.25">
      <c r="A62" t="s">
        <v>3239</v>
      </c>
      <c r="B62">
        <v>484</v>
      </c>
      <c r="C62">
        <v>522</v>
      </c>
      <c r="D62">
        <v>567</v>
      </c>
      <c r="E62">
        <v>603</v>
      </c>
      <c r="F62">
        <v>654</v>
      </c>
      <c r="G62">
        <v>682</v>
      </c>
      <c r="H62">
        <v>713</v>
      </c>
      <c r="I62">
        <v>739</v>
      </c>
      <c r="J62">
        <v>772</v>
      </c>
      <c r="K62">
        <v>757</v>
      </c>
      <c r="L62">
        <v>797</v>
      </c>
      <c r="M62">
        <v>865</v>
      </c>
      <c r="N62">
        <v>903</v>
      </c>
      <c r="O62" s="2">
        <v>1021.05</v>
      </c>
      <c r="P62" s="2">
        <v>1129.57</v>
      </c>
      <c r="Q62" s="2">
        <v>1249.54</v>
      </c>
      <c r="R62" s="2">
        <v>1382.05</v>
      </c>
      <c r="S62" s="2">
        <v>1527.95</v>
      </c>
    </row>
    <row r="63" spans="1:20" x14ac:dyDescent="0.25">
      <c r="A63" t="s">
        <v>3236</v>
      </c>
      <c r="B63">
        <v>138</v>
      </c>
      <c r="C63">
        <v>156</v>
      </c>
      <c r="D63">
        <v>177</v>
      </c>
      <c r="E63">
        <v>200</v>
      </c>
      <c r="F63">
        <v>218</v>
      </c>
      <c r="G63">
        <v>239</v>
      </c>
      <c r="H63">
        <v>261</v>
      </c>
      <c r="I63">
        <v>283</v>
      </c>
      <c r="J63">
        <v>304</v>
      </c>
      <c r="K63">
        <v>330</v>
      </c>
      <c r="L63">
        <v>338</v>
      </c>
      <c r="M63">
        <v>325</v>
      </c>
      <c r="N63">
        <v>350</v>
      </c>
      <c r="O63">
        <v>378.51</v>
      </c>
      <c r="P63">
        <v>405.69</v>
      </c>
      <c r="Q63">
        <v>460.3</v>
      </c>
      <c r="R63">
        <v>496.06</v>
      </c>
      <c r="S63">
        <v>560.04</v>
      </c>
    </row>
    <row r="64" spans="1:20" x14ac:dyDescent="0.25">
      <c r="A64" t="s">
        <v>484</v>
      </c>
      <c r="B64">
        <v>243</v>
      </c>
      <c r="C64">
        <v>248</v>
      </c>
      <c r="D64">
        <v>249</v>
      </c>
      <c r="E64">
        <v>268</v>
      </c>
      <c r="F64">
        <v>275</v>
      </c>
      <c r="G64">
        <v>288</v>
      </c>
      <c r="H64">
        <v>296</v>
      </c>
      <c r="I64">
        <v>319</v>
      </c>
      <c r="J64">
        <v>311</v>
      </c>
      <c r="K64">
        <v>334</v>
      </c>
      <c r="L64">
        <v>439</v>
      </c>
      <c r="M64">
        <v>516</v>
      </c>
      <c r="N64">
        <v>559</v>
      </c>
      <c r="O64">
        <v>621.78</v>
      </c>
      <c r="P64">
        <v>722.22</v>
      </c>
      <c r="Q64">
        <v>850.84</v>
      </c>
      <c r="R64">
        <v>961.99</v>
      </c>
      <c r="S64" s="2">
        <v>1030.1400000000001</v>
      </c>
      <c r="T64" s="2">
        <v>1105</v>
      </c>
    </row>
    <row r="65" spans="1:20" x14ac:dyDescent="0.25">
      <c r="A65" t="s">
        <v>120</v>
      </c>
      <c r="B65">
        <v>346</v>
      </c>
      <c r="C65">
        <v>306</v>
      </c>
      <c r="D65">
        <v>302</v>
      </c>
      <c r="E65">
        <v>320</v>
      </c>
      <c r="F65">
        <v>341</v>
      </c>
      <c r="G65">
        <v>142</v>
      </c>
      <c r="H65">
        <v>185</v>
      </c>
      <c r="I65">
        <v>173</v>
      </c>
      <c r="J65">
        <v>156</v>
      </c>
      <c r="K65">
        <v>141</v>
      </c>
      <c r="L65">
        <v>165</v>
      </c>
      <c r="M65">
        <v>201</v>
      </c>
      <c r="N65">
        <v>288</v>
      </c>
      <c r="O65">
        <v>330.67</v>
      </c>
      <c r="P65">
        <v>363.85</v>
      </c>
      <c r="Q65">
        <v>401.73</v>
      </c>
      <c r="R65">
        <v>439.68</v>
      </c>
      <c r="S65">
        <v>457.9</v>
      </c>
      <c r="T65">
        <v>503.31</v>
      </c>
    </row>
    <row r="66" spans="1:20" x14ac:dyDescent="0.25">
      <c r="A66" t="s">
        <v>121</v>
      </c>
      <c r="B66">
        <v>531</v>
      </c>
      <c r="C66">
        <v>563</v>
      </c>
      <c r="D66">
        <v>591</v>
      </c>
      <c r="E66">
        <v>613</v>
      </c>
      <c r="F66">
        <v>628</v>
      </c>
      <c r="G66">
        <v>704</v>
      </c>
      <c r="H66">
        <v>742</v>
      </c>
      <c r="I66">
        <v>815</v>
      </c>
      <c r="J66">
        <v>867</v>
      </c>
      <c r="K66">
        <v>945</v>
      </c>
      <c r="L66">
        <v>865</v>
      </c>
      <c r="M66" s="2">
        <v>1009</v>
      </c>
      <c r="N66" s="2">
        <v>1128</v>
      </c>
      <c r="O66" s="2">
        <v>1356.1</v>
      </c>
      <c r="P66" s="2">
        <v>1513.88</v>
      </c>
      <c r="Q66" s="2">
        <v>1671.37</v>
      </c>
      <c r="R66" s="2">
        <v>1830.35</v>
      </c>
      <c r="S66" s="2">
        <v>2009.32</v>
      </c>
      <c r="T66" s="2">
        <v>2217.27</v>
      </c>
    </row>
    <row r="67" spans="1:20" x14ac:dyDescent="0.25">
      <c r="A67" t="s">
        <v>3239</v>
      </c>
      <c r="B67">
        <v>363</v>
      </c>
      <c r="C67">
        <v>384</v>
      </c>
      <c r="D67">
        <v>437</v>
      </c>
      <c r="E67">
        <v>458</v>
      </c>
      <c r="F67">
        <v>455</v>
      </c>
      <c r="G67">
        <v>535</v>
      </c>
      <c r="H67">
        <v>509</v>
      </c>
      <c r="I67">
        <v>554</v>
      </c>
      <c r="J67">
        <v>565</v>
      </c>
      <c r="K67">
        <v>567</v>
      </c>
      <c r="L67">
        <v>550</v>
      </c>
      <c r="M67">
        <v>681</v>
      </c>
      <c r="N67">
        <v>719</v>
      </c>
      <c r="O67">
        <v>862.93</v>
      </c>
      <c r="P67">
        <v>979.03</v>
      </c>
      <c r="Q67" s="2">
        <v>1103.83</v>
      </c>
      <c r="R67" s="2">
        <v>1209.69</v>
      </c>
      <c r="S67" s="2">
        <v>1310.6099999999999</v>
      </c>
    </row>
    <row r="68" spans="1:20" x14ac:dyDescent="0.25">
      <c r="A68" t="s">
        <v>3236</v>
      </c>
      <c r="B68">
        <v>168</v>
      </c>
      <c r="C68">
        <v>179</v>
      </c>
      <c r="D68">
        <v>154</v>
      </c>
      <c r="E68">
        <v>155</v>
      </c>
      <c r="F68">
        <v>173</v>
      </c>
      <c r="G68">
        <v>169</v>
      </c>
      <c r="H68">
        <v>233</v>
      </c>
      <c r="I68">
        <v>261</v>
      </c>
      <c r="J68">
        <v>302</v>
      </c>
      <c r="K68">
        <v>378</v>
      </c>
      <c r="L68">
        <v>315</v>
      </c>
      <c r="M68">
        <v>328</v>
      </c>
      <c r="N68">
        <v>409</v>
      </c>
      <c r="O68">
        <v>474.79</v>
      </c>
      <c r="P68">
        <v>496.45</v>
      </c>
      <c r="Q68">
        <v>517.69000000000005</v>
      </c>
      <c r="R68">
        <v>574.80999999999995</v>
      </c>
      <c r="S68">
        <v>644.47</v>
      </c>
    </row>
    <row r="69" spans="1:20" x14ac:dyDescent="0.25">
      <c r="A69" t="s">
        <v>3480</v>
      </c>
      <c r="B69">
        <v>1.95</v>
      </c>
      <c r="C69">
        <v>2.0499999999999998</v>
      </c>
      <c r="D69">
        <v>2.14</v>
      </c>
      <c r="E69">
        <v>2.2200000000000002</v>
      </c>
      <c r="F69">
        <v>2.36</v>
      </c>
      <c r="G69">
        <v>2.5</v>
      </c>
      <c r="H69">
        <v>2.63</v>
      </c>
      <c r="I69">
        <v>2.91</v>
      </c>
      <c r="J69">
        <v>3.07</v>
      </c>
      <c r="K69">
        <v>3.31</v>
      </c>
      <c r="L69">
        <v>3.07</v>
      </c>
      <c r="M69">
        <v>3.39</v>
      </c>
      <c r="N69">
        <v>3.83</v>
      </c>
      <c r="O69">
        <v>4.3499999999999996</v>
      </c>
      <c r="P69">
        <v>4.75</v>
      </c>
      <c r="Q69">
        <v>5.1100000000000003</v>
      </c>
      <c r="R69">
        <v>5.47</v>
      </c>
      <c r="S69">
        <v>5.88</v>
      </c>
      <c r="T69">
        <v>6.55</v>
      </c>
    </row>
    <row r="70" spans="1:20" x14ac:dyDescent="0.25">
      <c r="A70" t="s">
        <v>3239</v>
      </c>
      <c r="B70">
        <v>1.33</v>
      </c>
      <c r="C70">
        <v>1.4</v>
      </c>
      <c r="D70">
        <v>1.58</v>
      </c>
      <c r="E70">
        <v>1.66</v>
      </c>
      <c r="F70">
        <v>1.71</v>
      </c>
      <c r="G70">
        <v>1.9</v>
      </c>
      <c r="H70">
        <v>1.81</v>
      </c>
      <c r="I70">
        <v>1.99</v>
      </c>
      <c r="J70">
        <v>2</v>
      </c>
      <c r="K70">
        <v>1.99</v>
      </c>
      <c r="L70">
        <v>1.95</v>
      </c>
      <c r="M70">
        <v>2.29</v>
      </c>
      <c r="N70">
        <v>2.4500000000000002</v>
      </c>
      <c r="O70">
        <v>2.76</v>
      </c>
      <c r="P70">
        <v>3.05</v>
      </c>
      <c r="Q70">
        <v>3.35</v>
      </c>
      <c r="R70">
        <v>3.57</v>
      </c>
      <c r="S70">
        <v>3.79</v>
      </c>
    </row>
    <row r="71" spans="1:20" x14ac:dyDescent="0.25">
      <c r="A71" t="s">
        <v>3236</v>
      </c>
      <c r="B71">
        <v>0.62</v>
      </c>
      <c r="C71">
        <v>0.65</v>
      </c>
      <c r="D71">
        <v>0.56000000000000005</v>
      </c>
      <c r="E71">
        <v>0.56000000000000005</v>
      </c>
      <c r="F71">
        <v>0.65</v>
      </c>
      <c r="G71">
        <v>0.6</v>
      </c>
      <c r="H71">
        <v>0.82</v>
      </c>
      <c r="I71">
        <v>0.92</v>
      </c>
      <c r="J71">
        <v>1.07</v>
      </c>
      <c r="K71">
        <v>1.32</v>
      </c>
      <c r="L71">
        <v>1.1200000000000001</v>
      </c>
      <c r="M71">
        <v>1.1000000000000001</v>
      </c>
      <c r="N71">
        <v>1.38</v>
      </c>
      <c r="O71">
        <v>1.52</v>
      </c>
      <c r="P71">
        <v>1.55</v>
      </c>
      <c r="Q71">
        <v>1.57</v>
      </c>
      <c r="R71">
        <v>1.7</v>
      </c>
      <c r="S71">
        <v>1.86</v>
      </c>
    </row>
    <row r="72" spans="1:20" x14ac:dyDescent="0.25">
      <c r="A72" t="s">
        <v>3876</v>
      </c>
      <c r="B72" s="2">
        <v>16029</v>
      </c>
      <c r="C72" s="2">
        <v>17580</v>
      </c>
      <c r="D72" s="2">
        <v>18797</v>
      </c>
      <c r="E72" s="2">
        <v>20823</v>
      </c>
      <c r="F72" s="2">
        <v>22301</v>
      </c>
      <c r="G72" s="2">
        <v>23963</v>
      </c>
      <c r="H72" s="2">
        <v>24963</v>
      </c>
      <c r="I72" s="2">
        <v>26757</v>
      </c>
      <c r="J72" s="2">
        <v>28771</v>
      </c>
      <c r="K72" s="2">
        <v>29313</v>
      </c>
      <c r="L72" s="2">
        <v>31685</v>
      </c>
      <c r="M72" s="2">
        <v>33434</v>
      </c>
      <c r="N72" s="2">
        <v>36120</v>
      </c>
      <c r="O72" s="2">
        <v>39210.94</v>
      </c>
      <c r="P72" s="2">
        <v>43419.42</v>
      </c>
      <c r="Q72" s="2">
        <v>47800.89</v>
      </c>
      <c r="R72" s="2">
        <v>51758.27</v>
      </c>
      <c r="S72" s="2">
        <v>53763.05</v>
      </c>
    </row>
    <row r="73" spans="1:20" x14ac:dyDescent="0.25">
      <c r="A73" t="s">
        <v>3877</v>
      </c>
      <c r="H73">
        <v>322</v>
      </c>
      <c r="I73">
        <v>349</v>
      </c>
      <c r="J73">
        <v>373</v>
      </c>
      <c r="K73">
        <v>412</v>
      </c>
      <c r="L73">
        <v>447</v>
      </c>
      <c r="M73">
        <v>469</v>
      </c>
      <c r="N73">
        <v>498</v>
      </c>
      <c r="O73">
        <v>515.03</v>
      </c>
      <c r="P73">
        <v>525.24</v>
      </c>
      <c r="Q73">
        <v>539.66999999999996</v>
      </c>
      <c r="R73">
        <v>555.34</v>
      </c>
      <c r="S73">
        <v>592.08000000000004</v>
      </c>
      <c r="T73">
        <v>608.64</v>
      </c>
    </row>
    <row r="74" spans="1:20" x14ac:dyDescent="0.25">
      <c r="A74" t="s">
        <v>3878</v>
      </c>
      <c r="I74">
        <v>17.5</v>
      </c>
      <c r="J74">
        <v>15.2</v>
      </c>
      <c r="K74">
        <v>10.3</v>
      </c>
      <c r="L74">
        <v>15.4</v>
      </c>
      <c r="M74">
        <v>15.7</v>
      </c>
      <c r="N74">
        <v>19.7</v>
      </c>
      <c r="O74">
        <v>19.239999999999998</v>
      </c>
      <c r="P74">
        <v>18.97</v>
      </c>
      <c r="Q74">
        <v>19</v>
      </c>
      <c r="R74">
        <v>19.079999999999998</v>
      </c>
      <c r="S74">
        <v>18.57</v>
      </c>
      <c r="T74">
        <v>18.5</v>
      </c>
    </row>
    <row r="75" spans="1:20" x14ac:dyDescent="0.25">
      <c r="A75" t="s">
        <v>3289</v>
      </c>
      <c r="I75" s="2">
        <v>1892</v>
      </c>
      <c r="J75" s="2">
        <v>2121</v>
      </c>
      <c r="K75" s="2">
        <v>3433</v>
      </c>
      <c r="L75" s="2">
        <v>2839</v>
      </c>
      <c r="M75" s="2">
        <v>2790</v>
      </c>
      <c r="N75" s="2">
        <v>3472</v>
      </c>
      <c r="O75" s="2">
        <v>2702.04</v>
      </c>
      <c r="P75" s="2">
        <v>2392.9699999999998</v>
      </c>
      <c r="Q75" s="2">
        <v>2218.62</v>
      </c>
      <c r="R75" s="2">
        <v>1966.61</v>
      </c>
      <c r="S75" s="2">
        <v>1509.08</v>
      </c>
    </row>
    <row r="76" spans="1:20" x14ac:dyDescent="0.25">
      <c r="A76" t="s">
        <v>3879</v>
      </c>
      <c r="I76">
        <v>384</v>
      </c>
      <c r="J76">
        <v>374</v>
      </c>
      <c r="K76" s="2">
        <v>1099</v>
      </c>
      <c r="L76">
        <v>980</v>
      </c>
      <c r="M76" s="2">
        <v>1195</v>
      </c>
      <c r="N76">
        <v>579</v>
      </c>
      <c r="O76">
        <v>654.75</v>
      </c>
      <c r="P76">
        <v>787.25</v>
      </c>
      <c r="Q76">
        <v>839.75</v>
      </c>
      <c r="R76">
        <v>581.66999999999996</v>
      </c>
      <c r="S76" s="2">
        <v>1094.5</v>
      </c>
    </row>
    <row r="77" spans="1:20" x14ac:dyDescent="0.25">
      <c r="A77" t="s">
        <v>3297</v>
      </c>
      <c r="I77" s="2">
        <v>2139</v>
      </c>
      <c r="J77" s="2">
        <v>2488</v>
      </c>
      <c r="K77" s="2">
        <v>2985</v>
      </c>
      <c r="L77" s="2">
        <v>2895</v>
      </c>
      <c r="M77" s="2">
        <v>2592</v>
      </c>
      <c r="N77" s="2">
        <v>3334</v>
      </c>
      <c r="O77" s="2">
        <v>3009.25</v>
      </c>
      <c r="P77" s="2">
        <v>3156.75</v>
      </c>
      <c r="Q77" s="2">
        <v>3409.25</v>
      </c>
      <c r="R77" s="2">
        <v>3150.5</v>
      </c>
      <c r="S77" s="2">
        <v>3022.67</v>
      </c>
    </row>
    <row r="78" spans="1:20" x14ac:dyDescent="0.25">
      <c r="A78" t="s">
        <v>3880</v>
      </c>
      <c r="I78" s="2">
        <v>7742</v>
      </c>
      <c r="J78" s="2">
        <v>8050</v>
      </c>
      <c r="K78" s="2">
        <v>13122</v>
      </c>
      <c r="L78" s="2">
        <v>14508</v>
      </c>
      <c r="M78" s="2">
        <v>15194</v>
      </c>
      <c r="N78" s="2">
        <v>17807</v>
      </c>
      <c r="O78" s="2">
        <v>14015.46</v>
      </c>
      <c r="P78" s="2">
        <v>16024.07</v>
      </c>
      <c r="Q78" s="2">
        <v>18235.509999999998</v>
      </c>
      <c r="R78" s="2">
        <v>20386.52</v>
      </c>
      <c r="S78" s="2">
        <v>21724.68</v>
      </c>
    </row>
    <row r="79" spans="1:20" x14ac:dyDescent="0.25">
      <c r="A79" t="s">
        <v>3881</v>
      </c>
      <c r="I79" s="2">
        <v>1218</v>
      </c>
      <c r="J79" s="2">
        <v>1982</v>
      </c>
      <c r="K79">
        <v>855</v>
      </c>
      <c r="L79" s="2">
        <v>2309</v>
      </c>
      <c r="M79" s="2">
        <v>2370</v>
      </c>
      <c r="N79" s="2">
        <v>2238</v>
      </c>
      <c r="O79" s="2">
        <v>2782.01</v>
      </c>
      <c r="P79" s="2">
        <v>2997.36</v>
      </c>
      <c r="Q79" s="2">
        <v>3229.39</v>
      </c>
      <c r="R79" s="2">
        <v>3442.39</v>
      </c>
      <c r="S79" s="2">
        <v>3640.22</v>
      </c>
    </row>
    <row r="80" spans="1:20" x14ac:dyDescent="0.25">
      <c r="A80" t="s">
        <v>3882</v>
      </c>
      <c r="I80" s="2">
        <v>1035</v>
      </c>
      <c r="J80">
        <v>212</v>
      </c>
      <c r="K80" s="2">
        <v>1327</v>
      </c>
      <c r="L80" s="2">
        <v>1143</v>
      </c>
      <c r="M80">
        <v>614</v>
      </c>
      <c r="N80" s="2">
        <v>2240</v>
      </c>
      <c r="O80" s="2">
        <v>1341.87</v>
      </c>
      <c r="P80" s="2">
        <v>1981.5</v>
      </c>
      <c r="Q80" s="2">
        <v>2004</v>
      </c>
      <c r="R80" s="2">
        <v>1155.1099999999999</v>
      </c>
      <c r="S80">
        <v>197</v>
      </c>
    </row>
    <row r="81" spans="1:20" x14ac:dyDescent="0.25">
      <c r="A81" t="s">
        <v>3883</v>
      </c>
      <c r="I81">
        <v>28</v>
      </c>
      <c r="J81">
        <v>35</v>
      </c>
      <c r="K81">
        <v>476</v>
      </c>
      <c r="L81">
        <v>182</v>
      </c>
      <c r="M81">
        <v>56</v>
      </c>
      <c r="N81">
        <v>119</v>
      </c>
      <c r="O81">
        <v>92.44</v>
      </c>
      <c r="P81">
        <v>105.48</v>
      </c>
      <c r="Q81">
        <v>-204.9</v>
      </c>
      <c r="R81">
        <v>-671.19</v>
      </c>
      <c r="S81" s="2">
        <v>-1549.69</v>
      </c>
    </row>
    <row r="82" spans="1:20" x14ac:dyDescent="0.25">
      <c r="A82" t="s">
        <v>3884</v>
      </c>
      <c r="I82" s="2">
        <v>1863</v>
      </c>
      <c r="J82">
        <v>154</v>
      </c>
      <c r="K82">
        <v>89</v>
      </c>
      <c r="L82" s="2">
        <v>2789</v>
      </c>
      <c r="M82" s="2">
        <v>2925</v>
      </c>
      <c r="N82" s="2">
        <v>3201</v>
      </c>
      <c r="O82">
        <v>242.98</v>
      </c>
      <c r="P82">
        <v>293.22000000000003</v>
      </c>
      <c r="Q82">
        <v>320.67</v>
      </c>
      <c r="R82">
        <v>385.58</v>
      </c>
      <c r="S82">
        <v>355.76</v>
      </c>
      <c r="T82">
        <v>382.92</v>
      </c>
    </row>
    <row r="83" spans="1:20" x14ac:dyDescent="0.25">
      <c r="A83" t="s">
        <v>347</v>
      </c>
      <c r="I83">
        <v>637</v>
      </c>
      <c r="J83">
        <v>724</v>
      </c>
      <c r="K83">
        <v>771</v>
      </c>
      <c r="L83">
        <v>697</v>
      </c>
      <c r="M83">
        <v>-626</v>
      </c>
      <c r="N83">
        <v>898</v>
      </c>
      <c r="O83">
        <v>-958.7</v>
      </c>
      <c r="P83" s="2">
        <v>-1169.46</v>
      </c>
      <c r="Q83" s="2">
        <v>-1347.96</v>
      </c>
      <c r="R83" s="2">
        <v>-1113.47</v>
      </c>
      <c r="S83" s="2">
        <v>-1652.62</v>
      </c>
    </row>
    <row r="84" spans="1:20" x14ac:dyDescent="0.25">
      <c r="A84" t="s">
        <v>3885</v>
      </c>
      <c r="I84" s="2">
        <v>8519</v>
      </c>
      <c r="J84" s="2">
        <v>9242</v>
      </c>
      <c r="K84" s="2">
        <v>7015</v>
      </c>
      <c r="L84" s="2">
        <v>7544</v>
      </c>
      <c r="M84" s="2">
        <v>8230</v>
      </c>
      <c r="N84" s="2">
        <v>9144</v>
      </c>
      <c r="O84" s="2">
        <v>13719.4</v>
      </c>
      <c r="P84" s="2">
        <v>15026.27</v>
      </c>
      <c r="Q84" s="2">
        <v>16333.04</v>
      </c>
      <c r="R84" s="2">
        <v>16945.580000000002</v>
      </c>
      <c r="S84" s="2">
        <v>17545.599999999999</v>
      </c>
    </row>
    <row r="85" spans="1:20" x14ac:dyDescent="0.25">
      <c r="A85" t="s">
        <v>3886</v>
      </c>
      <c r="I85" s="2">
        <v>8556</v>
      </c>
      <c r="J85" s="2">
        <v>9279</v>
      </c>
      <c r="K85" s="2">
        <v>7595</v>
      </c>
      <c r="L85" s="2">
        <v>8125</v>
      </c>
      <c r="M85" s="2">
        <v>8748</v>
      </c>
      <c r="N85" s="2">
        <v>9711</v>
      </c>
      <c r="O85" s="2">
        <v>13755.89</v>
      </c>
      <c r="P85" s="2">
        <v>15116.91</v>
      </c>
      <c r="Q85" s="2">
        <v>16600.72</v>
      </c>
      <c r="R85" s="2">
        <v>17876.25</v>
      </c>
      <c r="S85" s="2">
        <v>18373.13</v>
      </c>
    </row>
    <row r="86" spans="1:20" x14ac:dyDescent="0.25">
      <c r="A86" t="s">
        <v>3842</v>
      </c>
      <c r="I86" s="2">
        <v>1023</v>
      </c>
      <c r="J86" s="2">
        <v>1531</v>
      </c>
      <c r="K86" s="2">
        <v>1669</v>
      </c>
      <c r="L86" s="2">
        <v>1687</v>
      </c>
      <c r="M86" s="2">
        <v>1520</v>
      </c>
      <c r="N86" s="2">
        <v>1614</v>
      </c>
      <c r="O86" s="2">
        <v>1630.91</v>
      </c>
      <c r="P86" s="2">
        <v>1637.68</v>
      </c>
      <c r="Q86" s="2">
        <v>1647.57</v>
      </c>
      <c r="R86" s="2">
        <v>1658.75</v>
      </c>
      <c r="S86" s="2">
        <v>1632.62</v>
      </c>
      <c r="T86" s="2">
        <v>1772.26</v>
      </c>
    </row>
    <row r="87" spans="1:20" x14ac:dyDescent="0.25">
      <c r="A87" t="s">
        <v>3887</v>
      </c>
      <c r="F87" s="2">
        <v>-1868</v>
      </c>
      <c r="G87" s="2">
        <v>-2606</v>
      </c>
      <c r="H87" s="2">
        <v>-2816</v>
      </c>
      <c r="I87" s="2">
        <v>-2246</v>
      </c>
      <c r="J87" s="2">
        <v>-2185</v>
      </c>
      <c r="K87" s="2">
        <v>-2476</v>
      </c>
      <c r="L87" s="2">
        <v>-3386</v>
      </c>
      <c r="M87" s="2">
        <v>-3054</v>
      </c>
      <c r="N87" s="2">
        <v>-4038</v>
      </c>
      <c r="O87" s="2">
        <v>-4116.3999999999996</v>
      </c>
      <c r="P87" s="2">
        <v>-5302.94</v>
      </c>
      <c r="Q87" s="2">
        <v>-5553.1</v>
      </c>
      <c r="R87" s="2">
        <v>-4963.2700000000004</v>
      </c>
      <c r="S87" s="2">
        <v>-4128.1899999999996</v>
      </c>
    </row>
    <row r="88" spans="1:20" x14ac:dyDescent="0.25">
      <c r="A88" t="s">
        <v>206</v>
      </c>
      <c r="B88" s="2">
        <v>1403</v>
      </c>
      <c r="C88" s="2">
        <v>1612</v>
      </c>
      <c r="D88" s="2">
        <v>1694</v>
      </c>
      <c r="E88" s="2">
        <v>1618</v>
      </c>
      <c r="F88" s="2">
        <v>1682</v>
      </c>
      <c r="G88" s="2">
        <v>1823</v>
      </c>
      <c r="I88" s="2">
        <v>2166</v>
      </c>
      <c r="J88" s="2">
        <v>2142</v>
      </c>
      <c r="K88" s="2">
        <v>2273</v>
      </c>
      <c r="L88" s="2">
        <v>3122</v>
      </c>
      <c r="M88" s="2">
        <v>3012</v>
      </c>
      <c r="N88" s="2">
        <v>3472</v>
      </c>
      <c r="O88" s="2">
        <v>4100</v>
      </c>
      <c r="P88" s="2">
        <v>5300</v>
      </c>
      <c r="Q88" s="2">
        <v>5550</v>
      </c>
      <c r="R88" s="2">
        <v>4966.67</v>
      </c>
      <c r="S88" s="2">
        <v>4300</v>
      </c>
      <c r="T88" s="2">
        <v>5000</v>
      </c>
    </row>
    <row r="89" spans="1:20" x14ac:dyDescent="0.25">
      <c r="A89" t="s">
        <v>3239</v>
      </c>
      <c r="B89">
        <v>996</v>
      </c>
      <c r="C89" s="2">
        <v>1139</v>
      </c>
      <c r="D89" s="2">
        <v>1136</v>
      </c>
      <c r="E89" s="2">
        <v>1007</v>
      </c>
      <c r="F89">
        <v>882</v>
      </c>
      <c r="G89">
        <v>865</v>
      </c>
      <c r="I89" s="2">
        <v>1281</v>
      </c>
      <c r="J89" s="2">
        <v>1153</v>
      </c>
      <c r="K89" s="2">
        <v>1265</v>
      </c>
      <c r="L89" s="2">
        <v>2081</v>
      </c>
      <c r="M89" s="2">
        <v>1871</v>
      </c>
      <c r="N89" s="2">
        <v>2408</v>
      </c>
      <c r="O89" s="2">
        <v>3000</v>
      </c>
      <c r="P89" s="2">
        <v>4100</v>
      </c>
      <c r="Q89" s="2">
        <v>4400</v>
      </c>
      <c r="R89" s="2">
        <v>3500</v>
      </c>
      <c r="S89" s="2">
        <v>2400</v>
      </c>
    </row>
    <row r="90" spans="1:20" x14ac:dyDescent="0.25">
      <c r="A90" t="s">
        <v>3236</v>
      </c>
      <c r="B90">
        <v>407</v>
      </c>
      <c r="C90">
        <v>473</v>
      </c>
      <c r="D90">
        <v>558</v>
      </c>
      <c r="E90">
        <v>611</v>
      </c>
      <c r="F90">
        <v>800</v>
      </c>
      <c r="G90">
        <v>958</v>
      </c>
      <c r="I90">
        <v>885</v>
      </c>
      <c r="J90">
        <v>989</v>
      </c>
      <c r="K90" s="2">
        <v>1008</v>
      </c>
      <c r="L90" s="2">
        <v>1041</v>
      </c>
      <c r="M90" s="2">
        <v>1141</v>
      </c>
      <c r="N90" s="2">
        <v>1064</v>
      </c>
      <c r="O90" s="2">
        <v>1100</v>
      </c>
      <c r="P90" s="2">
        <v>1300</v>
      </c>
      <c r="Q90" s="2">
        <v>1300</v>
      </c>
      <c r="R90" s="2">
        <v>1500</v>
      </c>
      <c r="S90" s="2">
        <v>1500</v>
      </c>
    </row>
    <row r="91" spans="1:20" x14ac:dyDescent="0.25">
      <c r="A91" t="s">
        <v>17</v>
      </c>
    </row>
    <row r="92" spans="1:20" x14ac:dyDescent="0.25">
      <c r="A92" t="s">
        <v>3888</v>
      </c>
    </row>
    <row r="93" spans="1:20" x14ac:dyDescent="0.25">
      <c r="A93" t="s">
        <v>60</v>
      </c>
      <c r="B93">
        <v>181</v>
      </c>
      <c r="C93">
        <v>299</v>
      </c>
      <c r="D93">
        <v>190</v>
      </c>
      <c r="E93">
        <v>215</v>
      </c>
      <c r="F93">
        <v>229</v>
      </c>
      <c r="G93">
        <v>252</v>
      </c>
      <c r="H93">
        <v>248</v>
      </c>
      <c r="I93">
        <v>229</v>
      </c>
      <c r="J93">
        <v>308</v>
      </c>
      <c r="O93">
        <v>388.45</v>
      </c>
      <c r="P93">
        <v>311.10000000000002</v>
      </c>
      <c r="Q93">
        <v>312.7</v>
      </c>
      <c r="R93">
        <v>274.89</v>
      </c>
      <c r="S93">
        <v>192.05</v>
      </c>
      <c r="T93">
        <v>6.09</v>
      </c>
    </row>
    <row r="94" spans="1:20" x14ac:dyDescent="0.25">
      <c r="A94" t="s">
        <v>116</v>
      </c>
      <c r="B94">
        <v>-4</v>
      </c>
      <c r="C94">
        <v>-18</v>
      </c>
      <c r="D94">
        <v>-7</v>
      </c>
      <c r="E94">
        <v>10</v>
      </c>
      <c r="F94">
        <v>25</v>
      </c>
      <c r="G94">
        <v>22</v>
      </c>
      <c r="H94">
        <v>23</v>
      </c>
      <c r="I94">
        <v>15</v>
      </c>
      <c r="J94">
        <v>-21</v>
      </c>
      <c r="O94">
        <v>-27.96</v>
      </c>
      <c r="P94">
        <v>26.25</v>
      </c>
      <c r="Q94">
        <v>34.75</v>
      </c>
      <c r="R94">
        <v>52.26</v>
      </c>
      <c r="S94">
        <v>19.86</v>
      </c>
    </row>
    <row r="95" spans="1:20" x14ac:dyDescent="0.25">
      <c r="A95" t="s">
        <v>190</v>
      </c>
      <c r="B95">
        <v>3</v>
      </c>
      <c r="C95">
        <v>4</v>
      </c>
      <c r="D95">
        <v>4</v>
      </c>
      <c r="E95">
        <v>5</v>
      </c>
      <c r="F95">
        <v>6</v>
      </c>
      <c r="G95">
        <v>8</v>
      </c>
      <c r="H95">
        <v>14</v>
      </c>
      <c r="I95">
        <v>20</v>
      </c>
      <c r="J95">
        <v>37</v>
      </c>
      <c r="O95">
        <v>54.68</v>
      </c>
      <c r="P95">
        <v>46.32</v>
      </c>
      <c r="Q95">
        <v>46.54</v>
      </c>
      <c r="R95">
        <v>45.7</v>
      </c>
      <c r="S95">
        <v>60.88</v>
      </c>
    </row>
    <row r="96" spans="1:20" x14ac:dyDescent="0.25">
      <c r="A96" t="s">
        <v>484</v>
      </c>
      <c r="C96">
        <v>0</v>
      </c>
      <c r="D96">
        <v>0</v>
      </c>
      <c r="E96">
        <v>1</v>
      </c>
      <c r="F96">
        <v>0</v>
      </c>
      <c r="G96">
        <v>2</v>
      </c>
      <c r="H96">
        <v>7</v>
      </c>
      <c r="I96">
        <v>7</v>
      </c>
      <c r="J96">
        <v>6</v>
      </c>
      <c r="O96">
        <v>3.5</v>
      </c>
      <c r="P96">
        <v>4.5</v>
      </c>
      <c r="Q96">
        <v>4.5</v>
      </c>
      <c r="R96">
        <v>16</v>
      </c>
    </row>
    <row r="97" spans="1:19" x14ac:dyDescent="0.25">
      <c r="A97" t="s">
        <v>121</v>
      </c>
      <c r="B97">
        <v>2</v>
      </c>
      <c r="C97">
        <v>-1</v>
      </c>
      <c r="D97">
        <v>4</v>
      </c>
      <c r="E97">
        <v>17</v>
      </c>
      <c r="F97">
        <v>-27</v>
      </c>
      <c r="G97">
        <v>34</v>
      </c>
      <c r="H97">
        <v>33</v>
      </c>
      <c r="I97">
        <v>36</v>
      </c>
      <c r="J97">
        <v>23</v>
      </c>
      <c r="O97">
        <v>79.34</v>
      </c>
      <c r="P97">
        <v>82.04</v>
      </c>
      <c r="Q97">
        <v>87.84</v>
      </c>
      <c r="R97">
        <v>99.51</v>
      </c>
      <c r="S97">
        <v>133.62</v>
      </c>
    </row>
    <row r="98" spans="1:19" x14ac:dyDescent="0.25">
      <c r="A98" t="s">
        <v>3480</v>
      </c>
      <c r="B98">
        <v>0.01</v>
      </c>
      <c r="C98">
        <v>0.03</v>
      </c>
      <c r="D98">
        <v>0.02</v>
      </c>
      <c r="E98">
        <v>7.0000000000000007E-2</v>
      </c>
      <c r="F98">
        <v>0.11</v>
      </c>
      <c r="G98">
        <v>0.12</v>
      </c>
      <c r="H98">
        <v>0.12</v>
      </c>
      <c r="I98">
        <v>0.12</v>
      </c>
      <c r="J98">
        <v>0.08</v>
      </c>
      <c r="K98">
        <v>0.12</v>
      </c>
      <c r="L98">
        <v>0.23</v>
      </c>
      <c r="O98">
        <v>0.27</v>
      </c>
      <c r="P98">
        <v>0.19</v>
      </c>
      <c r="Q98">
        <v>0.2</v>
      </c>
      <c r="R98">
        <v>0.2</v>
      </c>
    </row>
    <row r="99" spans="1:19" x14ac:dyDescent="0.25">
      <c r="A99" t="s">
        <v>124</v>
      </c>
      <c r="B99">
        <v>0.01</v>
      </c>
      <c r="C99">
        <v>0.03</v>
      </c>
      <c r="D99">
        <v>0.02</v>
      </c>
      <c r="E99">
        <v>7.0000000000000007E-2</v>
      </c>
      <c r="F99">
        <v>0.11</v>
      </c>
      <c r="G99">
        <v>0.12</v>
      </c>
      <c r="H99">
        <v>0.12</v>
      </c>
      <c r="I99">
        <v>0.13</v>
      </c>
      <c r="J99">
        <v>0.08</v>
      </c>
      <c r="K99">
        <v>0.12</v>
      </c>
    </row>
    <row r="100" spans="1:19" x14ac:dyDescent="0.25">
      <c r="A100" t="s">
        <v>206</v>
      </c>
      <c r="B100">
        <v>1</v>
      </c>
      <c r="C100">
        <v>3</v>
      </c>
      <c r="D100">
        <v>44</v>
      </c>
      <c r="E100">
        <v>10</v>
      </c>
      <c r="F100">
        <v>33</v>
      </c>
      <c r="G100">
        <v>246</v>
      </c>
      <c r="I100">
        <v>108</v>
      </c>
      <c r="J100">
        <v>17</v>
      </c>
    </row>
    <row r="101" spans="1:19" x14ac:dyDescent="0.25">
      <c r="A101" t="s">
        <v>17</v>
      </c>
    </row>
    <row r="102" spans="1:19" x14ac:dyDescent="0.25">
      <c r="A102" t="s">
        <v>3889</v>
      </c>
    </row>
    <row r="103" spans="1:19" x14ac:dyDescent="0.25">
      <c r="A103" t="s">
        <v>60</v>
      </c>
      <c r="F103">
        <v>132</v>
      </c>
      <c r="G103">
        <v>157</v>
      </c>
      <c r="H103">
        <v>221</v>
      </c>
      <c r="I103">
        <v>262</v>
      </c>
      <c r="O103" s="2">
        <v>2253.17</v>
      </c>
      <c r="P103" s="2">
        <v>2312.23</v>
      </c>
      <c r="Q103" s="2">
        <v>2378.61</v>
      </c>
      <c r="R103" s="2">
        <v>2434.0300000000002</v>
      </c>
      <c r="S103" s="2">
        <v>2531.8000000000002</v>
      </c>
    </row>
    <row r="104" spans="1:19" x14ac:dyDescent="0.25">
      <c r="A104" t="s">
        <v>121</v>
      </c>
      <c r="F104">
        <v>28</v>
      </c>
      <c r="G104">
        <v>38</v>
      </c>
      <c r="H104">
        <v>49</v>
      </c>
      <c r="I104">
        <v>58</v>
      </c>
      <c r="O104">
        <v>-108.71</v>
      </c>
      <c r="P104">
        <v>-149.63</v>
      </c>
      <c r="Q104">
        <v>-163.89</v>
      </c>
      <c r="R104">
        <v>-174.71</v>
      </c>
      <c r="S104">
        <v>-179.88</v>
      </c>
    </row>
    <row r="105" spans="1:19" x14ac:dyDescent="0.25">
      <c r="A105" t="s">
        <v>17</v>
      </c>
    </row>
    <row r="106" spans="1:19" x14ac:dyDescent="0.25">
      <c r="A106" t="s">
        <v>260</v>
      </c>
    </row>
    <row r="107" spans="1:19" x14ac:dyDescent="0.25">
      <c r="A107" t="s">
        <v>121</v>
      </c>
      <c r="B107">
        <v>-81</v>
      </c>
      <c r="C107">
        <v>-85</v>
      </c>
      <c r="D107">
        <v>-72</v>
      </c>
      <c r="E107">
        <v>-79</v>
      </c>
      <c r="F107">
        <v>-169</v>
      </c>
      <c r="G107">
        <v>-119</v>
      </c>
      <c r="H107">
        <v>-95</v>
      </c>
      <c r="I107">
        <v>-96</v>
      </c>
      <c r="J107">
        <v>458</v>
      </c>
      <c r="K107">
        <v>-152</v>
      </c>
      <c r="L107">
        <v>-55</v>
      </c>
      <c r="M107">
        <v>-69</v>
      </c>
      <c r="N107">
        <v>-128</v>
      </c>
      <c r="O107">
        <v>-166.4</v>
      </c>
      <c r="P107">
        <v>-210.13</v>
      </c>
      <c r="Q107">
        <v>-225.02</v>
      </c>
      <c r="R107">
        <v>-236.46</v>
      </c>
      <c r="S107">
        <v>-252.63</v>
      </c>
    </row>
    <row r="108" spans="1:19" x14ac:dyDescent="0.25">
      <c r="A108" t="s">
        <v>3480</v>
      </c>
      <c r="B108">
        <v>-0.3</v>
      </c>
      <c r="C108">
        <v>-0.31</v>
      </c>
      <c r="D108">
        <v>-0.27</v>
      </c>
      <c r="E108">
        <v>-0.27</v>
      </c>
      <c r="F108">
        <v>-0.3</v>
      </c>
      <c r="G108">
        <v>-0.42</v>
      </c>
      <c r="H108">
        <v>-0.43</v>
      </c>
      <c r="I108">
        <v>-0.56000000000000005</v>
      </c>
      <c r="J108">
        <v>-0.5</v>
      </c>
      <c r="K108">
        <v>-0.54</v>
      </c>
      <c r="L108">
        <v>-0.19</v>
      </c>
      <c r="M108">
        <v>-0.26</v>
      </c>
      <c r="N108">
        <v>-0.46</v>
      </c>
      <c r="O108">
        <v>-0.88</v>
      </c>
      <c r="P108">
        <v>-0.99</v>
      </c>
      <c r="Q108">
        <v>-1.04</v>
      </c>
      <c r="R108">
        <v>-1.04</v>
      </c>
      <c r="S108">
        <v>-1.2</v>
      </c>
    </row>
    <row r="109" spans="1:19" x14ac:dyDescent="0.25">
      <c r="A109" t="s">
        <v>206</v>
      </c>
      <c r="B109">
        <v>4</v>
      </c>
      <c r="C109">
        <v>1</v>
      </c>
      <c r="D109">
        <v>3</v>
      </c>
      <c r="E109">
        <v>5</v>
      </c>
      <c r="F109">
        <v>1</v>
      </c>
      <c r="G109">
        <v>2</v>
      </c>
      <c r="I109">
        <v>1</v>
      </c>
      <c r="J109">
        <v>2</v>
      </c>
      <c r="K109">
        <v>7</v>
      </c>
      <c r="L109">
        <v>2</v>
      </c>
      <c r="M109">
        <v>1</v>
      </c>
      <c r="N109">
        <v>0</v>
      </c>
      <c r="O109">
        <v>1.1299999999999999</v>
      </c>
      <c r="P109">
        <v>1.25</v>
      </c>
      <c r="Q109">
        <v>1.25</v>
      </c>
      <c r="R109">
        <v>1.33</v>
      </c>
      <c r="S109">
        <v>1.5</v>
      </c>
    </row>
    <row r="110" spans="1:19" x14ac:dyDescent="0.25">
      <c r="A110" t="s">
        <v>17</v>
      </c>
    </row>
    <row r="111" spans="1:19" x14ac:dyDescent="0.25">
      <c r="A111" t="s">
        <v>3890</v>
      </c>
    </row>
    <row r="112" spans="1:19" x14ac:dyDescent="0.25">
      <c r="A112" t="s">
        <v>60</v>
      </c>
      <c r="K112">
        <v>445</v>
      </c>
      <c r="L112">
        <v>297</v>
      </c>
      <c r="M112">
        <v>316</v>
      </c>
      <c r="N112">
        <v>408</v>
      </c>
      <c r="O112">
        <v>402.62</v>
      </c>
      <c r="P112">
        <v>399.85</v>
      </c>
      <c r="Q112">
        <v>406.4</v>
      </c>
      <c r="R112">
        <v>401.61</v>
      </c>
      <c r="S112">
        <v>401.32</v>
      </c>
    </row>
    <row r="113" spans="1:20" x14ac:dyDescent="0.25">
      <c r="A113" t="s">
        <v>190</v>
      </c>
      <c r="J113">
        <v>37</v>
      </c>
      <c r="K113">
        <v>38</v>
      </c>
      <c r="L113">
        <v>43</v>
      </c>
      <c r="M113">
        <v>49</v>
      </c>
      <c r="N113">
        <v>52</v>
      </c>
      <c r="O113">
        <v>55.46</v>
      </c>
      <c r="P113">
        <v>49</v>
      </c>
      <c r="Q113">
        <v>49.14</v>
      </c>
      <c r="R113">
        <v>49.29</v>
      </c>
      <c r="S113">
        <v>57.25</v>
      </c>
      <c r="T113">
        <v>58.03</v>
      </c>
    </row>
    <row r="114" spans="1:20" x14ac:dyDescent="0.25">
      <c r="A114" t="s">
        <v>121</v>
      </c>
      <c r="J114">
        <v>23</v>
      </c>
      <c r="K114">
        <v>34</v>
      </c>
      <c r="L114">
        <v>67</v>
      </c>
      <c r="M114">
        <v>63</v>
      </c>
      <c r="N114">
        <v>71</v>
      </c>
      <c r="O114">
        <v>68.7</v>
      </c>
      <c r="P114">
        <v>76.08</v>
      </c>
      <c r="Q114">
        <v>82.62</v>
      </c>
    </row>
    <row r="115" spans="1:20" x14ac:dyDescent="0.25">
      <c r="A115" t="s">
        <v>3480</v>
      </c>
      <c r="K115">
        <v>0.12</v>
      </c>
      <c r="L115">
        <v>0.23</v>
      </c>
      <c r="M115">
        <v>0.21</v>
      </c>
      <c r="N115">
        <v>0.24</v>
      </c>
      <c r="O115">
        <v>0.27</v>
      </c>
      <c r="P115">
        <v>0.24</v>
      </c>
      <c r="Q115">
        <v>0.25</v>
      </c>
      <c r="R115">
        <v>0.27</v>
      </c>
      <c r="S115">
        <v>0.38</v>
      </c>
    </row>
    <row r="116" spans="1:20" x14ac:dyDescent="0.25">
      <c r="A116" t="s">
        <v>17</v>
      </c>
    </row>
    <row r="117" spans="1:20" x14ac:dyDescent="0.25">
      <c r="A117" t="s">
        <v>79</v>
      </c>
    </row>
    <row r="118" spans="1:20" x14ac:dyDescent="0.25">
      <c r="A118" t="s">
        <v>80</v>
      </c>
      <c r="B118" s="2">
        <v>6566</v>
      </c>
      <c r="C118" s="2">
        <v>7179</v>
      </c>
      <c r="D118" s="2">
        <v>6456</v>
      </c>
      <c r="E118" s="2">
        <v>6399</v>
      </c>
      <c r="F118" s="2">
        <v>6583</v>
      </c>
      <c r="G118" s="2">
        <v>6873</v>
      </c>
      <c r="H118" s="2">
        <v>6845</v>
      </c>
      <c r="I118" s="2">
        <v>6680</v>
      </c>
      <c r="J118" s="2">
        <v>7329</v>
      </c>
      <c r="K118" s="2">
        <v>8596</v>
      </c>
      <c r="L118" s="2">
        <v>7462</v>
      </c>
      <c r="M118" s="2">
        <v>7515</v>
      </c>
      <c r="N118" s="2">
        <v>8539</v>
      </c>
      <c r="O118" s="2">
        <v>8960.17</v>
      </c>
      <c r="P118" s="2">
        <v>9315.25</v>
      </c>
      <c r="Q118" s="2">
        <v>9765.82</v>
      </c>
      <c r="R118" s="2">
        <v>10130.5</v>
      </c>
      <c r="S118" s="2">
        <v>10445.33</v>
      </c>
      <c r="T118" s="2">
        <v>11074</v>
      </c>
    </row>
    <row r="119" spans="1:20" x14ac:dyDescent="0.25">
      <c r="A119" t="s">
        <v>3891</v>
      </c>
      <c r="B119" s="2">
        <v>3926</v>
      </c>
      <c r="C119" s="2">
        <v>4143</v>
      </c>
      <c r="D119" s="2">
        <v>4002</v>
      </c>
      <c r="E119" s="2">
        <v>4148</v>
      </c>
      <c r="F119" s="2">
        <v>4208</v>
      </c>
      <c r="G119" s="2">
        <v>4304</v>
      </c>
      <c r="H119" s="2">
        <v>4195</v>
      </c>
      <c r="I119" s="2">
        <v>4141</v>
      </c>
      <c r="J119" s="2">
        <v>4633</v>
      </c>
      <c r="K119" s="2">
        <v>5053</v>
      </c>
      <c r="L119" s="2">
        <v>4484</v>
      </c>
      <c r="M119" s="2">
        <v>4704</v>
      </c>
      <c r="N119" s="2">
        <v>5353</v>
      </c>
      <c r="O119" s="2">
        <v>5596.78</v>
      </c>
      <c r="P119" s="2">
        <v>5880.94</v>
      </c>
      <c r="Q119" s="2">
        <v>6187.16</v>
      </c>
      <c r="R119" s="2">
        <v>6466.05</v>
      </c>
      <c r="S119" s="2">
        <v>6627.18</v>
      </c>
    </row>
    <row r="120" spans="1:20" x14ac:dyDescent="0.25">
      <c r="A120" t="s">
        <v>3255</v>
      </c>
      <c r="B120" s="2">
        <v>1819</v>
      </c>
      <c r="C120" s="2">
        <v>1899</v>
      </c>
      <c r="D120" s="2">
        <v>1836</v>
      </c>
      <c r="E120" s="2">
        <v>1978</v>
      </c>
      <c r="F120" s="2">
        <v>1935</v>
      </c>
      <c r="G120" s="2">
        <v>2049</v>
      </c>
      <c r="H120" s="2">
        <v>1988</v>
      </c>
      <c r="I120" s="2">
        <v>2102</v>
      </c>
      <c r="J120" s="2">
        <v>2402</v>
      </c>
      <c r="K120" s="2">
        <v>2508</v>
      </c>
      <c r="L120" s="2">
        <v>2236</v>
      </c>
      <c r="M120" s="2">
        <v>2318</v>
      </c>
      <c r="N120" s="2">
        <v>2661</v>
      </c>
      <c r="O120" s="2">
        <v>2779.99</v>
      </c>
      <c r="P120" s="2">
        <v>2940.56</v>
      </c>
      <c r="Q120" s="2">
        <v>3099.64</v>
      </c>
      <c r="R120" s="2">
        <v>3255.2</v>
      </c>
      <c r="S120" s="2">
        <v>3401.83</v>
      </c>
    </row>
    <row r="121" spans="1:20" x14ac:dyDescent="0.25">
      <c r="A121" t="s">
        <v>1643</v>
      </c>
      <c r="B121" s="2">
        <v>1301</v>
      </c>
      <c r="C121" s="2">
        <v>1483</v>
      </c>
      <c r="D121" s="2">
        <v>1437</v>
      </c>
      <c r="E121" s="2">
        <v>1452</v>
      </c>
      <c r="F121" s="2">
        <v>1499</v>
      </c>
      <c r="G121" s="2">
        <v>1545</v>
      </c>
      <c r="H121" s="2">
        <v>1502</v>
      </c>
      <c r="I121" s="2">
        <v>1439</v>
      </c>
      <c r="J121" s="2">
        <v>1573</v>
      </c>
      <c r="K121" s="2">
        <v>1723</v>
      </c>
      <c r="L121" s="2">
        <v>1550</v>
      </c>
      <c r="M121" s="2">
        <v>1674</v>
      </c>
      <c r="N121" s="2">
        <v>1889</v>
      </c>
      <c r="O121" s="2">
        <v>1950.08</v>
      </c>
      <c r="P121" s="2">
        <v>2023.19</v>
      </c>
      <c r="Q121" s="2">
        <v>2101.17</v>
      </c>
      <c r="R121" s="2">
        <v>2166.16</v>
      </c>
      <c r="S121" s="2">
        <v>2223.4</v>
      </c>
    </row>
    <row r="122" spans="1:20" x14ac:dyDescent="0.25">
      <c r="A122" t="s">
        <v>576</v>
      </c>
      <c r="B122">
        <v>772</v>
      </c>
      <c r="C122">
        <v>725</v>
      </c>
      <c r="D122">
        <v>694</v>
      </c>
      <c r="E122">
        <v>686</v>
      </c>
      <c r="F122">
        <v>741</v>
      </c>
      <c r="G122">
        <v>674</v>
      </c>
      <c r="H122">
        <v>669</v>
      </c>
      <c r="I122">
        <v>566</v>
      </c>
      <c r="J122">
        <v>624</v>
      </c>
      <c r="K122">
        <v>788</v>
      </c>
      <c r="L122">
        <v>660</v>
      </c>
      <c r="M122">
        <v>670</v>
      </c>
      <c r="N122">
        <v>761</v>
      </c>
      <c r="O122">
        <v>794.01</v>
      </c>
      <c r="P122">
        <v>830.32</v>
      </c>
      <c r="Q122">
        <v>868.98</v>
      </c>
      <c r="R122">
        <v>904.06</v>
      </c>
      <c r="S122">
        <v>933.55</v>
      </c>
    </row>
    <row r="123" spans="1:20" x14ac:dyDescent="0.25">
      <c r="A123" t="s">
        <v>78</v>
      </c>
      <c r="B123">
        <v>34</v>
      </c>
      <c r="C123">
        <v>36</v>
      </c>
      <c r="D123">
        <v>35</v>
      </c>
      <c r="E123">
        <v>32</v>
      </c>
      <c r="F123">
        <v>33</v>
      </c>
      <c r="G123">
        <v>36</v>
      </c>
      <c r="H123">
        <v>36</v>
      </c>
      <c r="I123">
        <v>34</v>
      </c>
      <c r="J123">
        <v>34</v>
      </c>
      <c r="K123">
        <v>34</v>
      </c>
      <c r="L123">
        <v>38</v>
      </c>
      <c r="M123">
        <v>42</v>
      </c>
      <c r="N123">
        <v>42</v>
      </c>
      <c r="O123">
        <v>43.22</v>
      </c>
      <c r="P123">
        <v>44.38</v>
      </c>
      <c r="Q123">
        <v>45.42</v>
      </c>
      <c r="R123">
        <v>46.41</v>
      </c>
      <c r="S123">
        <v>47.31</v>
      </c>
    </row>
    <row r="124" spans="1:20" x14ac:dyDescent="0.25">
      <c r="A124" t="s">
        <v>3892</v>
      </c>
      <c r="B124">
        <v>24</v>
      </c>
      <c r="C124">
        <v>24</v>
      </c>
      <c r="D124">
        <v>22</v>
      </c>
      <c r="E124">
        <v>21</v>
      </c>
      <c r="F124">
        <v>23</v>
      </c>
      <c r="G124">
        <v>23</v>
      </c>
      <c r="H124">
        <v>22</v>
      </c>
      <c r="I124">
        <v>22</v>
      </c>
      <c r="J124">
        <v>22</v>
      </c>
      <c r="K124">
        <v>23</v>
      </c>
      <c r="L124">
        <v>20</v>
      </c>
      <c r="M124">
        <v>21</v>
      </c>
      <c r="N124">
        <v>0</v>
      </c>
    </row>
    <row r="125" spans="1:20" x14ac:dyDescent="0.25">
      <c r="A125" t="s">
        <v>3893</v>
      </c>
    </row>
    <row r="126" spans="1:20" x14ac:dyDescent="0.25">
      <c r="A126" t="s">
        <v>3255</v>
      </c>
      <c r="B126" s="2">
        <v>1515</v>
      </c>
      <c r="C126" s="2">
        <v>1643</v>
      </c>
      <c r="D126" s="2">
        <v>1311</v>
      </c>
      <c r="E126" s="2">
        <v>1146</v>
      </c>
      <c r="F126" s="2">
        <v>1197</v>
      </c>
      <c r="G126" s="2">
        <v>1288</v>
      </c>
      <c r="H126" s="2">
        <v>1316</v>
      </c>
      <c r="I126" s="2">
        <v>1224</v>
      </c>
      <c r="J126" s="2">
        <v>1394</v>
      </c>
      <c r="K126" s="2">
        <v>1872</v>
      </c>
      <c r="L126" s="2">
        <v>1619</v>
      </c>
      <c r="M126" s="2">
        <v>1429</v>
      </c>
      <c r="N126" s="2">
        <v>1701</v>
      </c>
      <c r="O126" s="2">
        <v>1797.71</v>
      </c>
      <c r="P126" s="2">
        <v>1850.88</v>
      </c>
      <c r="Q126" s="2">
        <v>1910.84</v>
      </c>
      <c r="R126" s="2">
        <v>1972.11</v>
      </c>
      <c r="S126" s="2">
        <v>2034.71</v>
      </c>
    </row>
    <row r="127" spans="1:20" x14ac:dyDescent="0.25">
      <c r="A127" t="s">
        <v>1643</v>
      </c>
      <c r="B127">
        <v>399</v>
      </c>
      <c r="C127">
        <v>470</v>
      </c>
      <c r="D127">
        <v>372</v>
      </c>
      <c r="E127">
        <v>310</v>
      </c>
      <c r="F127">
        <v>338</v>
      </c>
      <c r="G127">
        <v>368</v>
      </c>
      <c r="H127">
        <v>372</v>
      </c>
      <c r="I127">
        <v>335</v>
      </c>
      <c r="J127">
        <v>396</v>
      </c>
      <c r="K127">
        <v>555</v>
      </c>
      <c r="L127">
        <v>489</v>
      </c>
      <c r="M127">
        <v>440</v>
      </c>
      <c r="N127">
        <v>538</v>
      </c>
      <c r="O127">
        <v>556.59</v>
      </c>
      <c r="P127">
        <v>575.08000000000004</v>
      </c>
      <c r="Q127">
        <v>596.11</v>
      </c>
      <c r="R127">
        <v>617.6</v>
      </c>
      <c r="S127">
        <v>639.55999999999995</v>
      </c>
    </row>
    <row r="128" spans="1:20" x14ac:dyDescent="0.25">
      <c r="A128" t="s">
        <v>576</v>
      </c>
      <c r="B128">
        <v>69</v>
      </c>
      <c r="C128">
        <v>81</v>
      </c>
      <c r="D128">
        <v>61</v>
      </c>
      <c r="E128">
        <v>48</v>
      </c>
      <c r="F128">
        <v>52</v>
      </c>
      <c r="G128">
        <v>55</v>
      </c>
      <c r="H128">
        <v>51</v>
      </c>
      <c r="I128">
        <v>45</v>
      </c>
      <c r="J128">
        <v>54</v>
      </c>
      <c r="K128">
        <v>75</v>
      </c>
      <c r="L128">
        <v>60</v>
      </c>
      <c r="M128">
        <v>50</v>
      </c>
      <c r="N128">
        <v>62</v>
      </c>
      <c r="O128">
        <v>62.55</v>
      </c>
      <c r="P128">
        <v>64.75</v>
      </c>
      <c r="Q128">
        <v>67.27</v>
      </c>
      <c r="R128">
        <v>69.84</v>
      </c>
      <c r="S128">
        <v>72.47</v>
      </c>
    </row>
    <row r="129" spans="1:20" x14ac:dyDescent="0.25">
      <c r="A129" t="s">
        <v>3894</v>
      </c>
      <c r="B129">
        <v>62</v>
      </c>
      <c r="C129">
        <v>167</v>
      </c>
      <c r="D129">
        <v>171</v>
      </c>
      <c r="E129">
        <v>72</v>
      </c>
      <c r="F129">
        <v>74</v>
      </c>
      <c r="G129">
        <v>78</v>
      </c>
      <c r="H129">
        <v>1</v>
      </c>
      <c r="I129">
        <v>1</v>
      </c>
      <c r="J129">
        <v>2</v>
      </c>
      <c r="K129">
        <v>2</v>
      </c>
      <c r="L129">
        <v>1</v>
      </c>
      <c r="M129">
        <v>1</v>
      </c>
      <c r="N129">
        <v>1</v>
      </c>
    </row>
    <row r="130" spans="1:20" x14ac:dyDescent="0.25">
      <c r="A130" t="s">
        <v>17</v>
      </c>
    </row>
    <row r="131" spans="1:20" x14ac:dyDescent="0.25">
      <c r="A131" t="s">
        <v>82</v>
      </c>
      <c r="B131" s="2">
        <v>3326</v>
      </c>
      <c r="C131" s="2">
        <v>3858</v>
      </c>
      <c r="D131" s="2">
        <v>3043</v>
      </c>
      <c r="E131" s="2">
        <v>2803</v>
      </c>
      <c r="F131" s="2">
        <v>2844</v>
      </c>
      <c r="G131" s="2">
        <v>3058</v>
      </c>
      <c r="H131" s="2">
        <v>2833</v>
      </c>
      <c r="I131" s="2">
        <v>2508</v>
      </c>
      <c r="J131" s="2">
        <v>3070</v>
      </c>
      <c r="K131" s="2">
        <v>4165</v>
      </c>
      <c r="L131" s="2">
        <v>2913</v>
      </c>
      <c r="M131" s="2">
        <v>2668</v>
      </c>
      <c r="N131" s="2">
        <v>3266</v>
      </c>
      <c r="O131" s="2">
        <v>3200.68</v>
      </c>
      <c r="P131" s="2">
        <v>3191.27</v>
      </c>
      <c r="Q131" s="2">
        <v>3212.89</v>
      </c>
      <c r="R131" s="2">
        <v>3265.16</v>
      </c>
      <c r="S131" s="2">
        <v>3270.49</v>
      </c>
      <c r="T131" s="2">
        <v>3141</v>
      </c>
    </row>
    <row r="132" spans="1:20" x14ac:dyDescent="0.25">
      <c r="A132" t="s">
        <v>3895</v>
      </c>
      <c r="B132" s="2">
        <v>2098</v>
      </c>
      <c r="C132" s="2">
        <v>2365</v>
      </c>
      <c r="D132" s="2">
        <v>2082</v>
      </c>
      <c r="E132" s="2">
        <v>2093</v>
      </c>
      <c r="F132" s="2">
        <v>2094</v>
      </c>
      <c r="G132" s="2">
        <v>2222</v>
      </c>
      <c r="H132" s="2">
        <v>2064</v>
      </c>
      <c r="I132" s="2">
        <v>1931</v>
      </c>
      <c r="J132" s="2">
        <v>2335</v>
      </c>
      <c r="K132" s="2">
        <v>2909</v>
      </c>
      <c r="L132" s="2">
        <v>2011</v>
      </c>
      <c r="M132" s="2">
        <v>2028</v>
      </c>
      <c r="N132" s="2">
        <v>2457</v>
      </c>
      <c r="O132" s="2">
        <v>2399.0300000000002</v>
      </c>
      <c r="P132" s="2">
        <v>2407.58</v>
      </c>
      <c r="Q132" s="2">
        <v>2438.35</v>
      </c>
      <c r="R132" s="2">
        <v>2468.36</v>
      </c>
      <c r="S132" s="2">
        <v>2425.89</v>
      </c>
    </row>
    <row r="133" spans="1:20" x14ac:dyDescent="0.25">
      <c r="A133" t="s">
        <v>3896</v>
      </c>
      <c r="B133">
        <v>621</v>
      </c>
      <c r="C133">
        <v>673</v>
      </c>
      <c r="D133">
        <v>593</v>
      </c>
      <c r="E133">
        <v>499</v>
      </c>
      <c r="F133">
        <v>505</v>
      </c>
      <c r="G133">
        <v>528</v>
      </c>
      <c r="H133">
        <v>493</v>
      </c>
      <c r="I133">
        <v>375</v>
      </c>
      <c r="J133">
        <v>593</v>
      </c>
      <c r="K133">
        <v>905</v>
      </c>
      <c r="L133">
        <v>561</v>
      </c>
      <c r="M133">
        <v>624</v>
      </c>
      <c r="N133">
        <v>657</v>
      </c>
      <c r="O133" s="2">
        <v>1430.02</v>
      </c>
      <c r="P133" s="2">
        <v>1461.69</v>
      </c>
      <c r="Q133" s="2">
        <v>1511.9</v>
      </c>
      <c r="R133" s="2">
        <v>1559.65</v>
      </c>
      <c r="S133">
        <v>811.08</v>
      </c>
    </row>
    <row r="134" spans="1:20" x14ac:dyDescent="0.25">
      <c r="A134" t="s">
        <v>3897</v>
      </c>
      <c r="B134" s="2">
        <v>1477</v>
      </c>
      <c r="C134" s="2">
        <v>1692</v>
      </c>
      <c r="D134" s="2">
        <v>1489</v>
      </c>
      <c r="E134" s="2">
        <v>1594</v>
      </c>
      <c r="F134" s="2">
        <v>1589</v>
      </c>
      <c r="G134" s="2">
        <v>1694</v>
      </c>
      <c r="H134" s="2">
        <v>1571</v>
      </c>
      <c r="I134" s="2">
        <v>1556</v>
      </c>
      <c r="J134" s="2">
        <v>1742</v>
      </c>
      <c r="K134" s="2">
        <v>2004</v>
      </c>
      <c r="L134" s="2">
        <v>1450</v>
      </c>
      <c r="M134" s="2">
        <v>1404</v>
      </c>
      <c r="N134" s="2">
        <v>1800</v>
      </c>
    </row>
    <row r="135" spans="1:20" x14ac:dyDescent="0.25">
      <c r="A135" t="s">
        <v>3898</v>
      </c>
      <c r="B135" s="2">
        <v>1228</v>
      </c>
      <c r="C135" s="2">
        <v>1493</v>
      </c>
      <c r="D135">
        <v>961</v>
      </c>
      <c r="E135">
        <v>710</v>
      </c>
      <c r="F135">
        <v>750</v>
      </c>
      <c r="G135">
        <v>836</v>
      </c>
      <c r="H135">
        <v>769</v>
      </c>
      <c r="I135">
        <v>577</v>
      </c>
      <c r="J135">
        <v>735</v>
      </c>
      <c r="K135" s="2">
        <v>1256</v>
      </c>
      <c r="L135">
        <v>902</v>
      </c>
      <c r="M135">
        <v>640</v>
      </c>
      <c r="N135">
        <v>809</v>
      </c>
    </row>
    <row r="136" spans="1:20" x14ac:dyDescent="0.25">
      <c r="A136" t="s">
        <v>3899</v>
      </c>
      <c r="B136" s="2">
        <v>1228</v>
      </c>
      <c r="C136" s="2">
        <v>1493</v>
      </c>
      <c r="D136">
        <v>961</v>
      </c>
      <c r="E136">
        <v>710</v>
      </c>
      <c r="F136">
        <v>750</v>
      </c>
      <c r="G136">
        <v>836</v>
      </c>
      <c r="H136">
        <v>769</v>
      </c>
      <c r="I136">
        <v>577</v>
      </c>
      <c r="J136">
        <v>735</v>
      </c>
      <c r="K136" s="2">
        <v>1256</v>
      </c>
      <c r="L136">
        <v>902</v>
      </c>
      <c r="M136">
        <v>640</v>
      </c>
      <c r="N136">
        <v>809</v>
      </c>
      <c r="O136">
        <v>842.86</v>
      </c>
      <c r="P136">
        <v>862.68</v>
      </c>
      <c r="Q136">
        <v>885.16</v>
      </c>
      <c r="R136">
        <v>908.04</v>
      </c>
      <c r="S136" s="2">
        <v>1033.18</v>
      </c>
    </row>
    <row r="137" spans="1:20" x14ac:dyDescent="0.25">
      <c r="A137" t="s">
        <v>84</v>
      </c>
      <c r="B137" s="2">
        <v>3240</v>
      </c>
      <c r="C137" s="2">
        <v>3321</v>
      </c>
      <c r="D137" s="2">
        <v>3413</v>
      </c>
      <c r="E137" s="2">
        <v>3596</v>
      </c>
      <c r="F137" s="2">
        <v>3739</v>
      </c>
      <c r="G137" s="2">
        <v>3815</v>
      </c>
      <c r="H137" s="2">
        <v>3791</v>
      </c>
      <c r="I137" s="2">
        <v>3910</v>
      </c>
      <c r="J137" s="2">
        <v>4259</v>
      </c>
      <c r="K137" s="2">
        <v>4431</v>
      </c>
      <c r="L137" s="2">
        <v>4549</v>
      </c>
      <c r="M137" s="2">
        <v>4847</v>
      </c>
      <c r="N137" s="2">
        <v>5273</v>
      </c>
      <c r="O137" s="2">
        <v>5710.83</v>
      </c>
      <c r="P137" s="2">
        <v>6068.15</v>
      </c>
      <c r="Q137" s="2">
        <v>6480.4</v>
      </c>
      <c r="R137" s="2">
        <v>6863.01</v>
      </c>
      <c r="S137" s="2">
        <v>7123.6</v>
      </c>
      <c r="T137" s="2">
        <v>7933.17</v>
      </c>
    </row>
    <row r="138" spans="1:20" x14ac:dyDescent="0.25">
      <c r="A138" t="s">
        <v>85</v>
      </c>
      <c r="O138">
        <v>70.349999999999994</v>
      </c>
      <c r="P138">
        <v>72.12</v>
      </c>
      <c r="Q138">
        <v>74.23</v>
      </c>
      <c r="R138">
        <v>75.03</v>
      </c>
      <c r="S138">
        <v>78.09</v>
      </c>
    </row>
    <row r="139" spans="1:20" x14ac:dyDescent="0.25">
      <c r="A139" t="s">
        <v>17</v>
      </c>
    </row>
    <row r="140" spans="1:20" x14ac:dyDescent="0.25">
      <c r="A140" t="s">
        <v>275</v>
      </c>
      <c r="B140" s="2">
        <v>5424</v>
      </c>
      <c r="C140" s="2">
        <v>6027</v>
      </c>
      <c r="D140" s="2">
        <v>5293</v>
      </c>
      <c r="E140" s="2">
        <v>5143</v>
      </c>
      <c r="F140" s="2">
        <v>5245</v>
      </c>
      <c r="G140" s="2">
        <v>5711</v>
      </c>
      <c r="H140" s="2">
        <v>5509</v>
      </c>
      <c r="I140" s="2">
        <v>5188</v>
      </c>
      <c r="J140" s="2">
        <v>6183</v>
      </c>
      <c r="K140" s="2">
        <v>7372</v>
      </c>
      <c r="L140" s="2">
        <v>6227</v>
      </c>
      <c r="M140" s="2">
        <v>6028</v>
      </c>
      <c r="N140" s="2">
        <v>6812</v>
      </c>
      <c r="O140" s="2">
        <v>6836.4</v>
      </c>
      <c r="P140" s="2">
        <v>6910.16</v>
      </c>
      <c r="Q140" s="2">
        <v>6978.42</v>
      </c>
      <c r="R140" s="2">
        <v>7032.79</v>
      </c>
      <c r="S140" s="2">
        <v>7077.5</v>
      </c>
    </row>
    <row r="141" spans="1:20" x14ac:dyDescent="0.25">
      <c r="A141" t="s">
        <v>3256</v>
      </c>
      <c r="C141" s="2">
        <v>1232</v>
      </c>
      <c r="D141" s="2">
        <v>1238</v>
      </c>
      <c r="E141" s="2">
        <v>1248</v>
      </c>
      <c r="F141" s="2">
        <v>1236</v>
      </c>
      <c r="G141" s="2">
        <v>1417</v>
      </c>
      <c r="H141" s="2">
        <v>1356</v>
      </c>
      <c r="I141" s="2">
        <v>1280</v>
      </c>
      <c r="J141" s="2">
        <v>1610</v>
      </c>
      <c r="K141" s="2">
        <v>1669</v>
      </c>
      <c r="L141" s="2">
        <v>1687</v>
      </c>
      <c r="M141" s="2">
        <v>1638</v>
      </c>
      <c r="N141" s="2">
        <v>1727</v>
      </c>
      <c r="O141" s="2">
        <v>1763.5</v>
      </c>
      <c r="P141" s="2">
        <v>1761.04</v>
      </c>
      <c r="Q141" s="2">
        <v>1772.91</v>
      </c>
      <c r="R141" s="2">
        <v>1773.99</v>
      </c>
      <c r="S141" s="2">
        <v>1768.72</v>
      </c>
      <c r="T141" s="2">
        <v>1899.26</v>
      </c>
    </row>
    <row r="142" spans="1:20" x14ac:dyDescent="0.25">
      <c r="A142" t="s">
        <v>3900</v>
      </c>
      <c r="B142">
        <v>234</v>
      </c>
      <c r="C142">
        <v>252</v>
      </c>
      <c r="D142">
        <v>262</v>
      </c>
      <c r="E142">
        <v>281</v>
      </c>
      <c r="F142">
        <v>284</v>
      </c>
      <c r="G142">
        <v>303</v>
      </c>
      <c r="H142">
        <v>331</v>
      </c>
      <c r="I142">
        <v>357</v>
      </c>
      <c r="J142">
        <v>389</v>
      </c>
      <c r="K142">
        <v>412</v>
      </c>
      <c r="L142">
        <v>447</v>
      </c>
      <c r="M142">
        <v>482</v>
      </c>
      <c r="N142">
        <v>513</v>
      </c>
      <c r="O142">
        <v>528.54999999999995</v>
      </c>
      <c r="P142">
        <v>536.80999999999995</v>
      </c>
      <c r="Q142">
        <v>551.41999999999996</v>
      </c>
      <c r="R142">
        <v>566.66</v>
      </c>
      <c r="S142">
        <v>605.38</v>
      </c>
      <c r="T142">
        <v>626.19000000000005</v>
      </c>
    </row>
    <row r="143" spans="1:20" x14ac:dyDescent="0.25">
      <c r="A143" t="s">
        <v>3843</v>
      </c>
      <c r="B143" s="2">
        <v>1477</v>
      </c>
      <c r="C143" s="2">
        <v>1692</v>
      </c>
      <c r="D143" s="2">
        <v>1489</v>
      </c>
      <c r="E143" s="2">
        <v>1594</v>
      </c>
      <c r="F143" s="2">
        <v>1589</v>
      </c>
      <c r="G143" s="2">
        <v>1694</v>
      </c>
      <c r="H143" s="2">
        <v>1571</v>
      </c>
      <c r="I143" s="2">
        <v>1556</v>
      </c>
      <c r="J143" s="2">
        <v>1742</v>
      </c>
      <c r="K143" s="2">
        <v>2004</v>
      </c>
      <c r="L143" s="2">
        <v>1450</v>
      </c>
      <c r="M143" s="2">
        <v>1404</v>
      </c>
      <c r="N143" s="2">
        <v>1800</v>
      </c>
    </row>
    <row r="144" spans="1:20" x14ac:dyDescent="0.25">
      <c r="A144" t="s">
        <v>17</v>
      </c>
    </row>
    <row r="145" spans="1:20" x14ac:dyDescent="0.25">
      <c r="A145" t="s">
        <v>91</v>
      </c>
      <c r="B145" s="2">
        <v>1142</v>
      </c>
      <c r="C145" s="2">
        <v>1152</v>
      </c>
      <c r="D145" s="2">
        <v>1163</v>
      </c>
      <c r="E145" s="2">
        <v>1316</v>
      </c>
      <c r="F145" s="2">
        <v>1342</v>
      </c>
      <c r="G145" s="2">
        <v>1167</v>
      </c>
      <c r="H145" s="2">
        <v>1239</v>
      </c>
      <c r="I145" s="2">
        <v>1362</v>
      </c>
      <c r="J145" s="2">
        <v>1146</v>
      </c>
      <c r="K145" s="2">
        <v>1224</v>
      </c>
      <c r="L145" s="2">
        <v>1235</v>
      </c>
      <c r="M145" s="2">
        <v>1487</v>
      </c>
      <c r="N145" s="2">
        <v>1727</v>
      </c>
      <c r="O145" s="2">
        <v>2014.27</v>
      </c>
      <c r="P145" s="2">
        <v>2263.4499999999998</v>
      </c>
      <c r="Q145" s="2">
        <v>2542.1799999999998</v>
      </c>
      <c r="R145" s="2">
        <v>2795</v>
      </c>
      <c r="S145" s="2">
        <v>2964.57</v>
      </c>
      <c r="T145" s="2">
        <v>3421</v>
      </c>
    </row>
    <row r="146" spans="1:20" x14ac:dyDescent="0.25">
      <c r="A146" t="s">
        <v>92</v>
      </c>
      <c r="B146">
        <v>17.39</v>
      </c>
      <c r="C146">
        <v>16.05</v>
      </c>
      <c r="D146">
        <v>18.010000000000002</v>
      </c>
      <c r="E146">
        <v>19.63</v>
      </c>
      <c r="F146">
        <v>20.329999999999998</v>
      </c>
      <c r="G146">
        <v>16.91</v>
      </c>
      <c r="H146">
        <v>16.829999999999998</v>
      </c>
      <c r="I146">
        <v>19.16</v>
      </c>
      <c r="J146">
        <v>15.64</v>
      </c>
      <c r="K146">
        <v>14.24</v>
      </c>
      <c r="L146">
        <v>16.55</v>
      </c>
      <c r="M146">
        <v>19.79</v>
      </c>
      <c r="N146">
        <v>20.22</v>
      </c>
      <c r="O146">
        <v>23.8</v>
      </c>
      <c r="P146">
        <v>25.5</v>
      </c>
      <c r="Q146">
        <v>27.7</v>
      </c>
      <c r="R146">
        <v>29.4</v>
      </c>
      <c r="S146">
        <v>29.9</v>
      </c>
    </row>
    <row r="147" spans="1:20" x14ac:dyDescent="0.25">
      <c r="A147" t="s">
        <v>17</v>
      </c>
    </row>
    <row r="148" spans="1:20" x14ac:dyDescent="0.25">
      <c r="A148" t="s">
        <v>93</v>
      </c>
      <c r="B148">
        <v>628</v>
      </c>
      <c r="C148">
        <v>685</v>
      </c>
      <c r="D148">
        <v>750</v>
      </c>
      <c r="E148">
        <v>811</v>
      </c>
      <c r="F148">
        <v>881</v>
      </c>
      <c r="G148">
        <v>933</v>
      </c>
      <c r="H148">
        <v>989</v>
      </c>
      <c r="I148" s="2">
        <v>1043</v>
      </c>
      <c r="J148" s="2">
        <v>1114</v>
      </c>
      <c r="K148" s="2">
        <v>1126</v>
      </c>
      <c r="L148" s="2">
        <v>1180</v>
      </c>
      <c r="M148" s="2">
        <v>1240</v>
      </c>
      <c r="N148" s="2">
        <v>1306</v>
      </c>
      <c r="O148" s="2">
        <v>1407.77</v>
      </c>
      <c r="P148" s="2">
        <v>1513.62</v>
      </c>
      <c r="Q148" s="2">
        <v>1634.19</v>
      </c>
      <c r="R148" s="2">
        <v>1747.49</v>
      </c>
      <c r="S148" s="2">
        <v>1901.28</v>
      </c>
      <c r="T148" s="2">
        <v>1986.64</v>
      </c>
    </row>
    <row r="149" spans="1:20" x14ac:dyDescent="0.25">
      <c r="A149" t="s">
        <v>277</v>
      </c>
      <c r="F149" s="2">
        <v>2219</v>
      </c>
      <c r="G149" s="2">
        <v>2095</v>
      </c>
      <c r="H149" s="2">
        <v>2228</v>
      </c>
      <c r="I149" s="2">
        <v>2405</v>
      </c>
      <c r="J149" s="2">
        <v>2260</v>
      </c>
      <c r="K149" s="2">
        <v>2567</v>
      </c>
      <c r="L149" s="2">
        <v>2415</v>
      </c>
      <c r="M149" s="2">
        <v>2727</v>
      </c>
      <c r="N149" s="2">
        <v>3033</v>
      </c>
      <c r="O149" s="2">
        <v>3543.08</v>
      </c>
      <c r="P149" s="2">
        <v>3869</v>
      </c>
      <c r="Q149" s="2">
        <v>4283.91</v>
      </c>
      <c r="R149" s="2">
        <v>4646.75</v>
      </c>
      <c r="S149" s="2">
        <v>4894.67</v>
      </c>
      <c r="T149" s="2">
        <v>5718</v>
      </c>
    </row>
    <row r="150" spans="1:20" x14ac:dyDescent="0.25">
      <c r="A150" t="s">
        <v>481</v>
      </c>
      <c r="B150">
        <v>26.96</v>
      </c>
      <c r="C150">
        <v>25.59</v>
      </c>
      <c r="D150">
        <v>29.63</v>
      </c>
      <c r="E150">
        <v>32.299999999999997</v>
      </c>
      <c r="F150">
        <v>33.71</v>
      </c>
      <c r="G150">
        <v>30.48</v>
      </c>
      <c r="H150">
        <v>31.93</v>
      </c>
      <c r="I150">
        <v>35.56</v>
      </c>
      <c r="J150">
        <v>30.95</v>
      </c>
      <c r="K150">
        <v>27.41</v>
      </c>
      <c r="L150">
        <v>32.44</v>
      </c>
      <c r="M150">
        <v>36.369999999999997</v>
      </c>
      <c r="N150">
        <v>35.57</v>
      </c>
      <c r="O150">
        <v>43.5</v>
      </c>
      <c r="P150">
        <v>45.3</v>
      </c>
      <c r="Q150">
        <v>47.2</v>
      </c>
      <c r="R150">
        <v>49</v>
      </c>
      <c r="S150">
        <v>50.1</v>
      </c>
    </row>
    <row r="151" spans="1:20" x14ac:dyDescent="0.25">
      <c r="A151" t="s">
        <v>17</v>
      </c>
    </row>
    <row r="152" spans="1:20" x14ac:dyDescent="0.25">
      <c r="A152" t="s">
        <v>3901</v>
      </c>
      <c r="C152">
        <v>16</v>
      </c>
      <c r="G152">
        <v>-90</v>
      </c>
      <c r="H152">
        <v>-91</v>
      </c>
      <c r="I152">
        <v>-118</v>
      </c>
      <c r="J152">
        <v>-165</v>
      </c>
      <c r="K152">
        <v>-205</v>
      </c>
      <c r="L152">
        <v>-180</v>
      </c>
      <c r="M152">
        <v>-169</v>
      </c>
      <c r="N152">
        <v>-186</v>
      </c>
    </row>
    <row r="153" spans="1:20" x14ac:dyDescent="0.25">
      <c r="A153" t="s">
        <v>3902</v>
      </c>
      <c r="B153">
        <v>-10</v>
      </c>
      <c r="C153">
        <v>-11</v>
      </c>
      <c r="D153">
        <v>-10</v>
      </c>
      <c r="E153">
        <v>-49</v>
      </c>
      <c r="F153">
        <v>-30</v>
      </c>
      <c r="G153">
        <v>-92</v>
      </c>
      <c r="H153">
        <v>-4</v>
      </c>
      <c r="I153">
        <v>-6</v>
      </c>
      <c r="J153">
        <v>-9</v>
      </c>
      <c r="K153">
        <v>-19</v>
      </c>
      <c r="L153">
        <v>-195</v>
      </c>
      <c r="M153">
        <v>-207</v>
      </c>
      <c r="N153">
        <v>-151</v>
      </c>
      <c r="O153">
        <v>-151</v>
      </c>
      <c r="P153">
        <v>-151</v>
      </c>
      <c r="Q153">
        <v>-151</v>
      </c>
      <c r="R153">
        <v>-151</v>
      </c>
    </row>
    <row r="154" spans="1:20" x14ac:dyDescent="0.25">
      <c r="A154" t="s">
        <v>97</v>
      </c>
      <c r="B154">
        <v>3</v>
      </c>
      <c r="C154">
        <v>5</v>
      </c>
      <c r="D154">
        <v>12</v>
      </c>
      <c r="E154">
        <v>6</v>
      </c>
      <c r="F154">
        <v>12</v>
      </c>
      <c r="G154">
        <v>11</v>
      </c>
      <c r="H154">
        <v>7</v>
      </c>
      <c r="I154">
        <v>11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7.33</v>
      </c>
      <c r="P154">
        <v>7.33</v>
      </c>
      <c r="Q154">
        <v>7.33</v>
      </c>
      <c r="R154">
        <v>9.66</v>
      </c>
    </row>
    <row r="155" spans="1:20" x14ac:dyDescent="0.25">
      <c r="A155" t="s">
        <v>3903</v>
      </c>
      <c r="B155">
        <v>6</v>
      </c>
      <c r="C155">
        <v>8</v>
      </c>
      <c r="D155">
        <v>10</v>
      </c>
      <c r="E155">
        <v>12</v>
      </c>
      <c r="F155">
        <v>5</v>
      </c>
      <c r="G155">
        <v>6</v>
      </c>
      <c r="H155">
        <v>10</v>
      </c>
      <c r="I155">
        <v>6</v>
      </c>
      <c r="J155">
        <v>8</v>
      </c>
      <c r="N155">
        <v>-11</v>
      </c>
      <c r="O155">
        <v>55.37</v>
      </c>
      <c r="P155">
        <v>165.84</v>
      </c>
      <c r="Q155">
        <v>260.54000000000002</v>
      </c>
      <c r="R155">
        <v>452.03</v>
      </c>
      <c r="S155">
        <v>514.32000000000005</v>
      </c>
    </row>
    <row r="156" spans="1:20" x14ac:dyDescent="0.25">
      <c r="A156" t="s">
        <v>96</v>
      </c>
      <c r="B156">
        <v>398</v>
      </c>
      <c r="C156">
        <v>407</v>
      </c>
      <c r="D156">
        <v>396</v>
      </c>
      <c r="E156">
        <v>435</v>
      </c>
      <c r="F156">
        <v>438</v>
      </c>
      <c r="G156">
        <v>458</v>
      </c>
      <c r="H156">
        <v>460</v>
      </c>
      <c r="I156">
        <v>505</v>
      </c>
      <c r="J156">
        <v>500</v>
      </c>
      <c r="K156">
        <v>519</v>
      </c>
      <c r="L156">
        <v>625</v>
      </c>
      <c r="M156">
        <v>694</v>
      </c>
      <c r="N156">
        <v>798</v>
      </c>
      <c r="O156">
        <v>879.49</v>
      </c>
      <c r="P156" s="2">
        <v>1002.19</v>
      </c>
      <c r="Q156" s="2">
        <v>1150.96</v>
      </c>
      <c r="R156" s="2">
        <v>1269.57</v>
      </c>
      <c r="S156" s="2">
        <v>1351.39</v>
      </c>
      <c r="T156" s="2">
        <v>1512.14</v>
      </c>
    </row>
    <row r="157" spans="1:20" x14ac:dyDescent="0.25">
      <c r="A157" t="s">
        <v>3904</v>
      </c>
      <c r="B157">
        <v>3</v>
      </c>
      <c r="C157">
        <v>3</v>
      </c>
      <c r="D157">
        <v>4</v>
      </c>
      <c r="E157">
        <v>5</v>
      </c>
      <c r="F157">
        <v>2</v>
      </c>
      <c r="G157">
        <v>3</v>
      </c>
      <c r="H157">
        <v>4</v>
      </c>
      <c r="I157">
        <v>2</v>
      </c>
      <c r="J157">
        <v>3</v>
      </c>
      <c r="K157">
        <v>2</v>
      </c>
      <c r="L157">
        <v>3</v>
      </c>
      <c r="M157">
        <v>18</v>
      </c>
      <c r="N157">
        <v>11</v>
      </c>
      <c r="O157">
        <v>110.79</v>
      </c>
      <c r="P157">
        <v>260.63</v>
      </c>
      <c r="Q157">
        <v>415.84</v>
      </c>
      <c r="R157">
        <v>768.89</v>
      </c>
      <c r="S157">
        <v>884.3</v>
      </c>
    </row>
    <row r="158" spans="1:20" x14ac:dyDescent="0.25">
      <c r="A158" t="s">
        <v>1417</v>
      </c>
      <c r="B158">
        <v>13</v>
      </c>
      <c r="C158">
        <v>15</v>
      </c>
      <c r="D158">
        <v>14</v>
      </c>
      <c r="E158">
        <v>13</v>
      </c>
      <c r="F158">
        <v>15</v>
      </c>
      <c r="G158">
        <v>9</v>
      </c>
      <c r="H158">
        <v>10</v>
      </c>
      <c r="I158">
        <v>5</v>
      </c>
      <c r="J158">
        <v>10</v>
      </c>
      <c r="O158">
        <v>9.24</v>
      </c>
      <c r="P158">
        <v>9.24</v>
      </c>
      <c r="Q158">
        <v>9.24</v>
      </c>
      <c r="R158">
        <v>9.94</v>
      </c>
      <c r="S158">
        <v>9.91</v>
      </c>
      <c r="T158">
        <v>10</v>
      </c>
    </row>
    <row r="159" spans="1:20" x14ac:dyDescent="0.25">
      <c r="A159" t="s">
        <v>17</v>
      </c>
    </row>
    <row r="160" spans="1:20" x14ac:dyDescent="0.25">
      <c r="A160" t="s">
        <v>100</v>
      </c>
      <c r="B160">
        <v>756</v>
      </c>
      <c r="C160">
        <v>729</v>
      </c>
      <c r="D160">
        <v>796</v>
      </c>
      <c r="E160">
        <v>826</v>
      </c>
      <c r="F160">
        <v>886</v>
      </c>
      <c r="G160">
        <v>774</v>
      </c>
      <c r="H160">
        <v>764</v>
      </c>
      <c r="I160">
        <v>809</v>
      </c>
      <c r="J160">
        <v>823</v>
      </c>
      <c r="K160">
        <v>902</v>
      </c>
      <c r="L160">
        <v>954</v>
      </c>
      <c r="M160" s="2">
        <v>1123</v>
      </c>
      <c r="N160" s="2">
        <v>1248</v>
      </c>
      <c r="O160" s="2">
        <v>1686.27</v>
      </c>
      <c r="P160" s="2">
        <v>1878.22</v>
      </c>
      <c r="Q160" s="2">
        <v>2073.6</v>
      </c>
      <c r="R160" s="2">
        <v>2270.6</v>
      </c>
      <c r="S160" s="2">
        <v>2467.2199999999998</v>
      </c>
      <c r="T160" s="2">
        <v>2720.58</v>
      </c>
    </row>
    <row r="161" spans="1:20" x14ac:dyDescent="0.25">
      <c r="A161" t="s">
        <v>17</v>
      </c>
    </row>
    <row r="162" spans="1:20" x14ac:dyDescent="0.25">
      <c r="A162" t="s">
        <v>101</v>
      </c>
      <c r="B162">
        <v>302</v>
      </c>
      <c r="C162">
        <v>250</v>
      </c>
      <c r="D162">
        <v>271</v>
      </c>
      <c r="E162">
        <v>273</v>
      </c>
      <c r="F162">
        <v>424</v>
      </c>
      <c r="G162">
        <v>115</v>
      </c>
      <c r="H162">
        <v>131</v>
      </c>
      <c r="I162">
        <v>115</v>
      </c>
      <c r="J162">
        <v>95</v>
      </c>
      <c r="K162">
        <v>93</v>
      </c>
      <c r="L162">
        <v>147</v>
      </c>
      <c r="M162">
        <v>176</v>
      </c>
      <c r="N162">
        <v>246</v>
      </c>
      <c r="O162">
        <v>282.54000000000002</v>
      </c>
      <c r="P162">
        <v>308.98</v>
      </c>
      <c r="Q162">
        <v>298.77</v>
      </c>
      <c r="R162">
        <v>355.03</v>
      </c>
      <c r="S162">
        <v>380</v>
      </c>
      <c r="T162">
        <v>382.92</v>
      </c>
    </row>
    <row r="163" spans="1:20" x14ac:dyDescent="0.25">
      <c r="A163" t="s">
        <v>102</v>
      </c>
      <c r="B163">
        <v>39.950000000000003</v>
      </c>
      <c r="C163">
        <v>34.29</v>
      </c>
      <c r="D163">
        <v>34.049999999999997</v>
      </c>
      <c r="E163">
        <v>33.049999999999997</v>
      </c>
      <c r="F163">
        <v>47.86</v>
      </c>
      <c r="G163">
        <v>14.86</v>
      </c>
      <c r="H163">
        <v>17.149999999999999</v>
      </c>
      <c r="I163">
        <v>14.22</v>
      </c>
      <c r="J163">
        <v>11.54</v>
      </c>
      <c r="K163">
        <v>10.31</v>
      </c>
      <c r="L163">
        <v>15.41</v>
      </c>
      <c r="M163">
        <v>15.67</v>
      </c>
      <c r="N163">
        <v>19.71</v>
      </c>
      <c r="O163">
        <v>20.27</v>
      </c>
      <c r="P163">
        <v>19.239999999999998</v>
      </c>
      <c r="Q163">
        <v>16.55</v>
      </c>
      <c r="R163">
        <v>18.16</v>
      </c>
      <c r="S163">
        <v>17.829999999999998</v>
      </c>
      <c r="T163">
        <v>17.260000000000002</v>
      </c>
    </row>
    <row r="164" spans="1:20" x14ac:dyDescent="0.25">
      <c r="A164" t="s">
        <v>17</v>
      </c>
    </row>
    <row r="165" spans="1:20" x14ac:dyDescent="0.25">
      <c r="A165" t="s">
        <v>106</v>
      </c>
      <c r="B165">
        <v>454</v>
      </c>
      <c r="C165">
        <v>479</v>
      </c>
      <c r="D165">
        <v>525</v>
      </c>
      <c r="E165">
        <v>553</v>
      </c>
      <c r="F165">
        <v>462</v>
      </c>
      <c r="G165">
        <v>659</v>
      </c>
      <c r="H165">
        <v>633</v>
      </c>
      <c r="I165">
        <v>694</v>
      </c>
      <c r="J165">
        <v>728</v>
      </c>
      <c r="K165">
        <v>809</v>
      </c>
      <c r="L165">
        <v>807</v>
      </c>
      <c r="M165">
        <v>947</v>
      </c>
      <c r="N165" s="2">
        <v>1002</v>
      </c>
      <c r="O165" s="2">
        <v>1152.26</v>
      </c>
      <c r="P165" s="2">
        <v>1306.54</v>
      </c>
      <c r="Q165" s="2">
        <v>1444.92</v>
      </c>
      <c r="R165" s="2">
        <v>1604.1</v>
      </c>
      <c r="S165" s="2">
        <v>1760.16</v>
      </c>
      <c r="T165" s="2">
        <v>1836.04</v>
      </c>
    </row>
    <row r="166" spans="1:20" x14ac:dyDescent="0.25">
      <c r="A166" t="s">
        <v>217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-3</v>
      </c>
      <c r="J166">
        <v>-23</v>
      </c>
      <c r="K166">
        <v>-24</v>
      </c>
      <c r="L166">
        <v>-79</v>
      </c>
      <c r="M166">
        <v>-56</v>
      </c>
      <c r="N166">
        <v>-69</v>
      </c>
      <c r="O166">
        <v>-76.81</v>
      </c>
      <c r="P166">
        <v>-58.84</v>
      </c>
      <c r="Q166">
        <v>-58.9</v>
      </c>
      <c r="R166">
        <v>-57.76</v>
      </c>
      <c r="S166">
        <v>-60.06</v>
      </c>
      <c r="T166">
        <v>-72</v>
      </c>
    </row>
    <row r="167" spans="1:20" x14ac:dyDescent="0.25">
      <c r="A167" t="s">
        <v>589</v>
      </c>
      <c r="B167">
        <v>452</v>
      </c>
      <c r="C167">
        <v>477</v>
      </c>
      <c r="D167">
        <v>523</v>
      </c>
      <c r="E167">
        <v>551</v>
      </c>
      <c r="F167">
        <v>460</v>
      </c>
      <c r="G167">
        <v>657</v>
      </c>
      <c r="H167">
        <v>680</v>
      </c>
      <c r="I167">
        <v>755</v>
      </c>
      <c r="J167" s="2">
        <v>1348</v>
      </c>
      <c r="K167">
        <v>827</v>
      </c>
      <c r="L167">
        <v>877</v>
      </c>
      <c r="M167">
        <v>993</v>
      </c>
      <c r="N167" s="2">
        <v>1061</v>
      </c>
      <c r="O167" s="2">
        <v>1196.08</v>
      </c>
      <c r="P167" s="2">
        <v>1323.33</v>
      </c>
      <c r="Q167" s="2">
        <v>1468</v>
      </c>
      <c r="R167" s="2">
        <v>1620.56</v>
      </c>
      <c r="S167" s="2">
        <v>1773.86</v>
      </c>
      <c r="T167" s="2">
        <v>1898</v>
      </c>
    </row>
    <row r="168" spans="1:20" x14ac:dyDescent="0.25">
      <c r="A168" t="s">
        <v>17</v>
      </c>
    </row>
    <row r="169" spans="1:20" x14ac:dyDescent="0.25">
      <c r="A169" t="s">
        <v>108</v>
      </c>
      <c r="B169">
        <v>264.5</v>
      </c>
      <c r="C169">
        <v>270.60000000000002</v>
      </c>
      <c r="D169">
        <v>275.60000000000002</v>
      </c>
      <c r="E169">
        <v>277.89999999999998</v>
      </c>
      <c r="F169">
        <v>280</v>
      </c>
      <c r="G169">
        <v>282.2</v>
      </c>
      <c r="H169">
        <v>283</v>
      </c>
      <c r="I169">
        <v>285</v>
      </c>
      <c r="J169">
        <v>289</v>
      </c>
      <c r="K169">
        <v>289.5</v>
      </c>
      <c r="L169">
        <v>291.2</v>
      </c>
      <c r="M169">
        <v>298.3</v>
      </c>
      <c r="N169">
        <v>301</v>
      </c>
      <c r="O169">
        <v>312.14999999999998</v>
      </c>
      <c r="P169">
        <v>319.81</v>
      </c>
      <c r="Q169">
        <v>327.73</v>
      </c>
      <c r="R169">
        <v>335.58</v>
      </c>
      <c r="S169">
        <v>342.96</v>
      </c>
      <c r="T169">
        <v>337.7</v>
      </c>
    </row>
    <row r="170" spans="1:20" x14ac:dyDescent="0.25">
      <c r="A170" t="s">
        <v>888</v>
      </c>
      <c r="B170">
        <v>1.71</v>
      </c>
      <c r="C170">
        <v>1.76</v>
      </c>
      <c r="D170">
        <v>1.9</v>
      </c>
      <c r="E170">
        <v>1.99</v>
      </c>
      <c r="F170">
        <v>1.64</v>
      </c>
      <c r="G170">
        <v>2.33</v>
      </c>
      <c r="H170">
        <v>2.4</v>
      </c>
      <c r="I170">
        <v>2.65</v>
      </c>
      <c r="J170">
        <v>4.66</v>
      </c>
      <c r="K170">
        <v>2.85</v>
      </c>
      <c r="L170">
        <v>3.01</v>
      </c>
      <c r="M170">
        <v>3.34</v>
      </c>
      <c r="N170">
        <v>3.53</v>
      </c>
    </row>
    <row r="171" spans="1:20" x14ac:dyDescent="0.25">
      <c r="A171" t="s">
        <v>17</v>
      </c>
    </row>
    <row r="172" spans="1:20" x14ac:dyDescent="0.25">
      <c r="A172" t="s">
        <v>109</v>
      </c>
      <c r="B172">
        <v>271.89999999999998</v>
      </c>
      <c r="C172">
        <v>274.60000000000002</v>
      </c>
      <c r="D172">
        <v>276.5</v>
      </c>
      <c r="E172">
        <v>278.89999999999998</v>
      </c>
      <c r="F172">
        <v>280.8</v>
      </c>
      <c r="G172">
        <v>282.89999999999998</v>
      </c>
      <c r="H172">
        <v>284.3</v>
      </c>
      <c r="I172">
        <v>286.3</v>
      </c>
      <c r="J172">
        <v>289.5</v>
      </c>
      <c r="K172">
        <v>290</v>
      </c>
      <c r="L172">
        <v>291.7</v>
      </c>
      <c r="M172">
        <v>298.3</v>
      </c>
      <c r="N172">
        <v>301</v>
      </c>
      <c r="O172">
        <v>311.22000000000003</v>
      </c>
      <c r="P172">
        <v>319.01</v>
      </c>
      <c r="Q172">
        <v>327.01</v>
      </c>
      <c r="R172">
        <v>335.52</v>
      </c>
      <c r="S172">
        <v>342.4</v>
      </c>
      <c r="T172">
        <v>342.7</v>
      </c>
    </row>
    <row r="173" spans="1:20" x14ac:dyDescent="0.25">
      <c r="A173" t="s">
        <v>110</v>
      </c>
      <c r="B173">
        <v>1.66</v>
      </c>
      <c r="C173">
        <v>1.74</v>
      </c>
      <c r="D173">
        <v>1.89</v>
      </c>
      <c r="E173">
        <v>1.98</v>
      </c>
      <c r="F173">
        <v>1.64</v>
      </c>
      <c r="G173">
        <v>2.3199999999999998</v>
      </c>
      <c r="H173">
        <v>2.39</v>
      </c>
      <c r="I173">
        <v>2.64</v>
      </c>
      <c r="J173">
        <v>4.66</v>
      </c>
      <c r="K173">
        <v>2.85</v>
      </c>
      <c r="L173">
        <v>3.01</v>
      </c>
      <c r="M173">
        <v>3.33</v>
      </c>
      <c r="N173">
        <v>3.53</v>
      </c>
      <c r="O173">
        <v>3.87</v>
      </c>
      <c r="P173">
        <v>4.16</v>
      </c>
      <c r="Q173">
        <v>4.47</v>
      </c>
      <c r="R173">
        <v>4.83</v>
      </c>
      <c r="S173">
        <v>5.18</v>
      </c>
      <c r="T173">
        <v>5.61</v>
      </c>
    </row>
    <row r="174" spans="1:20" x14ac:dyDescent="0.25">
      <c r="A174" t="s">
        <v>17</v>
      </c>
    </row>
    <row r="175" spans="1:20" x14ac:dyDescent="0.25">
      <c r="A175" t="s">
        <v>487</v>
      </c>
      <c r="B175">
        <v>1.02</v>
      </c>
      <c r="C175">
        <v>1.08</v>
      </c>
      <c r="D175">
        <v>1.1599999999999999</v>
      </c>
      <c r="E175">
        <v>1.24</v>
      </c>
      <c r="F175">
        <v>1.33</v>
      </c>
      <c r="G175">
        <v>1.43</v>
      </c>
      <c r="H175">
        <v>1.53</v>
      </c>
      <c r="I175">
        <v>1.63</v>
      </c>
      <c r="J175">
        <v>1.74</v>
      </c>
      <c r="K175">
        <v>1.84</v>
      </c>
      <c r="L175">
        <v>1.95</v>
      </c>
      <c r="M175">
        <v>2.06</v>
      </c>
      <c r="N175">
        <v>2.17</v>
      </c>
      <c r="O175">
        <v>2.2799999999999998</v>
      </c>
      <c r="P175">
        <v>2.42</v>
      </c>
      <c r="Q175">
        <v>2.5499999999999998</v>
      </c>
      <c r="R175">
        <v>2.7</v>
      </c>
      <c r="S175">
        <v>2.89</v>
      </c>
      <c r="T175">
        <v>3.05</v>
      </c>
    </row>
    <row r="176" spans="1:20" x14ac:dyDescent="0.25">
      <c r="A176" t="s">
        <v>1123</v>
      </c>
      <c r="B176">
        <v>59.96</v>
      </c>
      <c r="C176">
        <v>61.43</v>
      </c>
      <c r="D176">
        <v>61.19</v>
      </c>
      <c r="E176">
        <v>62.61</v>
      </c>
      <c r="F176">
        <v>81.52</v>
      </c>
      <c r="G176">
        <v>61.64</v>
      </c>
      <c r="H176">
        <v>68.62</v>
      </c>
      <c r="I176">
        <v>66.650000000000006</v>
      </c>
      <c r="J176">
        <v>67.41</v>
      </c>
      <c r="K176">
        <v>64.72</v>
      </c>
      <c r="L176">
        <v>64.819999999999993</v>
      </c>
      <c r="M176">
        <v>61.88</v>
      </c>
      <c r="N176">
        <v>61.56</v>
      </c>
      <c r="O176">
        <v>58.85</v>
      </c>
      <c r="P176">
        <v>57.98</v>
      </c>
      <c r="Q176">
        <v>56.87</v>
      </c>
      <c r="R176">
        <v>55.79</v>
      </c>
      <c r="S176">
        <v>55.69</v>
      </c>
      <c r="T176">
        <v>54.4</v>
      </c>
    </row>
    <row r="177" spans="1:20" x14ac:dyDescent="0.25">
      <c r="A177" t="s">
        <v>17</v>
      </c>
    </row>
    <row r="178" spans="1:20" x14ac:dyDescent="0.25">
      <c r="A178" t="s">
        <v>111</v>
      </c>
    </row>
    <row r="179" spans="1:20" x14ac:dyDescent="0.25">
      <c r="A179" t="s">
        <v>116</v>
      </c>
      <c r="B179" s="2">
        <v>1154</v>
      </c>
      <c r="C179" s="2">
        <v>1136</v>
      </c>
      <c r="D179" s="2">
        <v>1192</v>
      </c>
      <c r="E179" s="2">
        <v>1261</v>
      </c>
      <c r="F179" s="2">
        <v>1324</v>
      </c>
      <c r="G179" s="2">
        <v>1232</v>
      </c>
      <c r="H179" s="2">
        <v>1224</v>
      </c>
      <c r="I179" s="2">
        <v>1314</v>
      </c>
      <c r="J179" s="2">
        <v>1323</v>
      </c>
      <c r="K179" s="2">
        <v>1421</v>
      </c>
      <c r="L179" s="2">
        <v>1579</v>
      </c>
      <c r="M179" s="2">
        <v>1817</v>
      </c>
      <c r="N179" s="2">
        <v>2046</v>
      </c>
      <c r="O179" s="2">
        <v>2290.61</v>
      </c>
      <c r="P179" s="2">
        <v>2581.17</v>
      </c>
      <c r="Q179" s="2">
        <v>2901.72</v>
      </c>
      <c r="R179" s="2">
        <v>3196.02</v>
      </c>
      <c r="S179" s="2">
        <v>3380.57</v>
      </c>
      <c r="T179" s="2">
        <v>3731.09</v>
      </c>
    </row>
    <row r="180" spans="1:20" x14ac:dyDescent="0.25">
      <c r="A180" t="s">
        <v>119</v>
      </c>
      <c r="B180">
        <v>750</v>
      </c>
      <c r="C180">
        <v>729</v>
      </c>
      <c r="D180">
        <v>796</v>
      </c>
      <c r="E180">
        <v>845</v>
      </c>
      <c r="F180">
        <v>890</v>
      </c>
      <c r="G180">
        <v>779</v>
      </c>
      <c r="H180">
        <v>829</v>
      </c>
      <c r="I180">
        <v>885</v>
      </c>
      <c r="J180">
        <v>823</v>
      </c>
      <c r="K180">
        <v>902</v>
      </c>
      <c r="L180">
        <v>954</v>
      </c>
      <c r="M180" s="2">
        <v>1123</v>
      </c>
      <c r="N180" s="2">
        <v>1248</v>
      </c>
      <c r="O180" s="2">
        <v>1418.82</v>
      </c>
      <c r="P180" s="2">
        <v>1603.64</v>
      </c>
      <c r="Q180" s="2">
        <v>1780.5</v>
      </c>
      <c r="R180" s="2">
        <v>1963.86</v>
      </c>
      <c r="S180" s="2">
        <v>2136.1999999999998</v>
      </c>
      <c r="T180" s="2">
        <v>2219</v>
      </c>
    </row>
    <row r="181" spans="1:20" x14ac:dyDescent="0.25">
      <c r="A181" t="s">
        <v>121</v>
      </c>
      <c r="B181">
        <v>452</v>
      </c>
      <c r="C181">
        <v>486</v>
      </c>
      <c r="D181">
        <v>523</v>
      </c>
      <c r="E181">
        <v>563</v>
      </c>
      <c r="F181">
        <v>610</v>
      </c>
      <c r="G181">
        <v>659</v>
      </c>
      <c r="H181">
        <v>708</v>
      </c>
      <c r="I181">
        <v>764</v>
      </c>
      <c r="J181">
        <v>767</v>
      </c>
      <c r="K181">
        <v>838</v>
      </c>
      <c r="L181">
        <v>907</v>
      </c>
      <c r="M181">
        <v>998</v>
      </c>
      <c r="N181" s="2">
        <v>1087</v>
      </c>
      <c r="O181" s="2">
        <v>1195.92</v>
      </c>
      <c r="P181" s="2">
        <v>1322.23</v>
      </c>
      <c r="Q181" s="2">
        <v>1465.75</v>
      </c>
      <c r="R181" s="2">
        <v>1620.56</v>
      </c>
      <c r="S181" s="2">
        <v>1773.86</v>
      </c>
      <c r="T181" s="2">
        <v>1898</v>
      </c>
    </row>
    <row r="182" spans="1:20" x14ac:dyDescent="0.25">
      <c r="A182" t="s">
        <v>124</v>
      </c>
      <c r="B182">
        <v>1.66</v>
      </c>
      <c r="C182">
        <v>1.77</v>
      </c>
      <c r="D182">
        <v>1.89</v>
      </c>
      <c r="E182">
        <v>2.02</v>
      </c>
      <c r="F182">
        <v>2.17</v>
      </c>
      <c r="G182">
        <v>2.33</v>
      </c>
      <c r="H182">
        <v>2.4900000000000002</v>
      </c>
      <c r="I182">
        <v>2.67</v>
      </c>
      <c r="J182">
        <v>2.65</v>
      </c>
      <c r="K182">
        <v>2.89</v>
      </c>
      <c r="L182">
        <v>3.11</v>
      </c>
      <c r="M182">
        <v>3.34</v>
      </c>
      <c r="N182">
        <v>3.61</v>
      </c>
      <c r="O182">
        <v>3.87</v>
      </c>
      <c r="P182">
        <v>4.16</v>
      </c>
      <c r="Q182">
        <v>4.4800000000000004</v>
      </c>
      <c r="R182">
        <v>4.83</v>
      </c>
      <c r="S182">
        <v>5.18</v>
      </c>
      <c r="T182">
        <v>5.61</v>
      </c>
    </row>
    <row r="183" spans="1:20" x14ac:dyDescent="0.25">
      <c r="A183" t="s">
        <v>1123</v>
      </c>
      <c r="B183">
        <v>60.04</v>
      </c>
      <c r="C183">
        <v>60.29</v>
      </c>
      <c r="D183">
        <v>61.19</v>
      </c>
      <c r="E183">
        <v>61.28</v>
      </c>
      <c r="F183">
        <v>61.48</v>
      </c>
      <c r="G183">
        <v>61.46</v>
      </c>
      <c r="H183">
        <v>65.7</v>
      </c>
      <c r="I183">
        <v>65.8</v>
      </c>
      <c r="J183">
        <v>65.56</v>
      </c>
      <c r="K183">
        <v>63.57</v>
      </c>
      <c r="L183">
        <v>62.61</v>
      </c>
      <c r="M183">
        <v>61.51</v>
      </c>
      <c r="N183">
        <v>60.09</v>
      </c>
      <c r="O183">
        <v>58.84</v>
      </c>
      <c r="P183">
        <v>58.13</v>
      </c>
      <c r="Q183">
        <v>57.26</v>
      </c>
      <c r="R183">
        <v>56.76</v>
      </c>
      <c r="S183">
        <v>56.69</v>
      </c>
    </row>
    <row r="184" spans="1:20" x14ac:dyDescent="0.25">
      <c r="A184" t="s">
        <v>17</v>
      </c>
    </row>
    <row r="185" spans="1:20" x14ac:dyDescent="0.25">
      <c r="A185" t="s">
        <v>134</v>
      </c>
    </row>
    <row r="186" spans="1:20" x14ac:dyDescent="0.25">
      <c r="A186" t="s">
        <v>135</v>
      </c>
    </row>
    <row r="187" spans="1:20" x14ac:dyDescent="0.25">
      <c r="A187" t="s">
        <v>136</v>
      </c>
      <c r="B187" s="2">
        <v>2526</v>
      </c>
      <c r="C187" s="2">
        <v>2597</v>
      </c>
      <c r="D187" s="2">
        <v>2320</v>
      </c>
      <c r="E187" s="2">
        <v>2280</v>
      </c>
      <c r="F187" s="2">
        <v>2475</v>
      </c>
      <c r="G187" s="2">
        <v>2468</v>
      </c>
      <c r="H187" s="2">
        <v>2331</v>
      </c>
      <c r="I187" s="2">
        <v>2404</v>
      </c>
      <c r="J187" s="2">
        <v>2627</v>
      </c>
      <c r="K187" s="2">
        <v>3433</v>
      </c>
      <c r="L187" s="2">
        <v>2839</v>
      </c>
      <c r="M187" s="2">
        <v>2790</v>
      </c>
      <c r="N187" s="2">
        <v>3472</v>
      </c>
      <c r="O187" s="2">
        <v>3032.16</v>
      </c>
      <c r="P187" s="2">
        <v>2995.27</v>
      </c>
      <c r="Q187" s="2">
        <v>3048.64</v>
      </c>
      <c r="R187" s="2">
        <v>3085.87</v>
      </c>
      <c r="S187" s="2">
        <v>2974.17</v>
      </c>
      <c r="T187" s="2">
        <v>3940.5</v>
      </c>
    </row>
    <row r="188" spans="1:20" x14ac:dyDescent="0.25">
      <c r="A188" t="s">
        <v>536</v>
      </c>
      <c r="B188">
        <v>172</v>
      </c>
      <c r="C188">
        <v>207</v>
      </c>
      <c r="D188">
        <v>266</v>
      </c>
      <c r="E188">
        <v>235</v>
      </c>
      <c r="F188">
        <v>182</v>
      </c>
      <c r="G188">
        <v>153</v>
      </c>
      <c r="H188">
        <v>140</v>
      </c>
      <c r="I188">
        <v>32</v>
      </c>
      <c r="J188">
        <v>452</v>
      </c>
      <c r="K188">
        <v>164</v>
      </c>
      <c r="L188">
        <v>227</v>
      </c>
      <c r="M188">
        <v>103</v>
      </c>
      <c r="N188">
        <v>509</v>
      </c>
      <c r="O188">
        <v>547.35</v>
      </c>
      <c r="P188">
        <v>278.62</v>
      </c>
      <c r="Q188">
        <v>194.45</v>
      </c>
      <c r="R188">
        <v>101.33</v>
      </c>
      <c r="S188">
        <v>90.09</v>
      </c>
    </row>
    <row r="189" spans="1:20" x14ac:dyDescent="0.25">
      <c r="A189" t="s">
        <v>3905</v>
      </c>
      <c r="B189">
        <v>32</v>
      </c>
      <c r="C189">
        <v>37</v>
      </c>
      <c r="D189">
        <v>19</v>
      </c>
      <c r="E189">
        <v>19</v>
      </c>
      <c r="F189">
        <v>17</v>
      </c>
      <c r="G189">
        <v>21</v>
      </c>
      <c r="H189">
        <v>17</v>
      </c>
      <c r="I189">
        <v>17</v>
      </c>
      <c r="J189">
        <v>24</v>
      </c>
      <c r="K189">
        <v>18</v>
      </c>
      <c r="L189">
        <v>21</v>
      </c>
      <c r="M189">
        <v>75</v>
      </c>
      <c r="N189">
        <v>106</v>
      </c>
      <c r="O189">
        <v>71.5</v>
      </c>
      <c r="P189">
        <v>70.33</v>
      </c>
      <c r="Q189">
        <v>70.33</v>
      </c>
      <c r="R189">
        <v>70.33</v>
      </c>
      <c r="S189">
        <v>52.5</v>
      </c>
    </row>
    <row r="190" spans="1:20" x14ac:dyDescent="0.25">
      <c r="A190" t="s">
        <v>141</v>
      </c>
      <c r="B190">
        <v>987</v>
      </c>
      <c r="C190" s="2">
        <v>1031</v>
      </c>
      <c r="D190">
        <v>929</v>
      </c>
      <c r="E190" s="2">
        <v>1052</v>
      </c>
      <c r="F190" s="2">
        <v>1244</v>
      </c>
      <c r="G190" s="2">
        <v>1211</v>
      </c>
      <c r="H190" s="2">
        <v>1145</v>
      </c>
      <c r="I190">
        <v>872</v>
      </c>
      <c r="J190">
        <v>943</v>
      </c>
      <c r="K190" s="2">
        <v>1580</v>
      </c>
      <c r="L190">
        <v>944</v>
      </c>
      <c r="M190" s="2">
        <v>1063</v>
      </c>
      <c r="N190" s="2">
        <v>1323</v>
      </c>
      <c r="O190" s="2">
        <v>1103</v>
      </c>
      <c r="P190" s="2">
        <v>1103</v>
      </c>
      <c r="Q190" s="2">
        <v>1103</v>
      </c>
      <c r="R190" s="2">
        <v>1103</v>
      </c>
      <c r="S190" s="2">
        <v>1078.4000000000001</v>
      </c>
      <c r="T190" s="2">
        <v>1023</v>
      </c>
    </row>
    <row r="191" spans="1:20" x14ac:dyDescent="0.25">
      <c r="A191" t="s">
        <v>340</v>
      </c>
      <c r="B191">
        <v>881</v>
      </c>
      <c r="C191">
        <v>918</v>
      </c>
      <c r="D191">
        <v>778</v>
      </c>
      <c r="E191">
        <v>626</v>
      </c>
      <c r="F191">
        <v>672</v>
      </c>
      <c r="G191">
        <v>650</v>
      </c>
      <c r="H191">
        <v>605</v>
      </c>
      <c r="I191">
        <v>576</v>
      </c>
      <c r="J191">
        <v>667</v>
      </c>
      <c r="K191" s="2">
        <v>1117</v>
      </c>
      <c r="L191">
        <v>938</v>
      </c>
      <c r="M191">
        <v>769</v>
      </c>
      <c r="N191">
        <v>791</v>
      </c>
      <c r="O191">
        <v>792.25</v>
      </c>
      <c r="P191">
        <v>794.25</v>
      </c>
      <c r="Q191">
        <v>796.75</v>
      </c>
      <c r="R191">
        <v>798.75</v>
      </c>
      <c r="S191">
        <v>804</v>
      </c>
    </row>
    <row r="192" spans="1:20" x14ac:dyDescent="0.25">
      <c r="A192" t="s">
        <v>3906</v>
      </c>
      <c r="B192">
        <v>40</v>
      </c>
      <c r="C192">
        <v>89</v>
      </c>
      <c r="D192">
        <v>16</v>
      </c>
      <c r="E192">
        <v>17</v>
      </c>
      <c r="F192">
        <v>20</v>
      </c>
      <c r="G192">
        <v>37</v>
      </c>
      <c r="H192">
        <v>33</v>
      </c>
      <c r="I192">
        <v>42</v>
      </c>
      <c r="J192">
        <v>46</v>
      </c>
      <c r="K192">
        <v>57</v>
      </c>
      <c r="L192">
        <v>203</v>
      </c>
      <c r="M192">
        <v>229</v>
      </c>
      <c r="N192">
        <v>104</v>
      </c>
      <c r="O192">
        <v>92.5</v>
      </c>
      <c r="P192">
        <v>92.5</v>
      </c>
      <c r="Q192">
        <v>92.5</v>
      </c>
      <c r="R192">
        <v>92.5</v>
      </c>
      <c r="S192">
        <v>104</v>
      </c>
    </row>
    <row r="193" spans="1:20" x14ac:dyDescent="0.25">
      <c r="A193" t="s">
        <v>78</v>
      </c>
      <c r="B193">
        <v>368</v>
      </c>
      <c r="C193">
        <v>116</v>
      </c>
      <c r="D193">
        <v>16</v>
      </c>
      <c r="E193">
        <v>17</v>
      </c>
      <c r="F193">
        <v>20</v>
      </c>
      <c r="G193">
        <v>53</v>
      </c>
      <c r="H193">
        <v>33</v>
      </c>
      <c r="I193">
        <v>907</v>
      </c>
      <c r="J193">
        <v>541</v>
      </c>
      <c r="K193">
        <v>554</v>
      </c>
      <c r="L193">
        <v>709</v>
      </c>
      <c r="M193">
        <v>780</v>
      </c>
      <c r="N193">
        <v>743</v>
      </c>
      <c r="O193">
        <v>674</v>
      </c>
      <c r="P193">
        <v>674</v>
      </c>
      <c r="Q193">
        <v>674</v>
      </c>
      <c r="R193">
        <v>674</v>
      </c>
      <c r="S193">
        <v>674</v>
      </c>
    </row>
    <row r="194" spans="1:20" x14ac:dyDescent="0.25">
      <c r="A194" t="s">
        <v>3907</v>
      </c>
      <c r="B194" s="2">
        <v>2322</v>
      </c>
      <c r="C194">
        <v>27</v>
      </c>
      <c r="D194">
        <v>0</v>
      </c>
      <c r="E194" s="2">
        <v>2026</v>
      </c>
      <c r="F194">
        <v>0</v>
      </c>
      <c r="G194">
        <v>16</v>
      </c>
      <c r="H194" s="2">
        <v>2174</v>
      </c>
      <c r="I194">
        <v>104</v>
      </c>
      <c r="J194">
        <v>120</v>
      </c>
      <c r="K194">
        <v>113</v>
      </c>
      <c r="L194">
        <v>80</v>
      </c>
      <c r="M194">
        <v>103</v>
      </c>
      <c r="N194">
        <v>160</v>
      </c>
      <c r="O194">
        <v>131.5</v>
      </c>
      <c r="P194">
        <v>160</v>
      </c>
      <c r="Q194">
        <v>160</v>
      </c>
      <c r="R194">
        <v>160</v>
      </c>
      <c r="S194">
        <v>160</v>
      </c>
    </row>
    <row r="195" spans="1:20" x14ac:dyDescent="0.25">
      <c r="A195" t="s">
        <v>146</v>
      </c>
      <c r="B195" s="2">
        <v>14890</v>
      </c>
      <c r="C195" s="2">
        <v>16588</v>
      </c>
      <c r="D195" s="2">
        <v>17979</v>
      </c>
      <c r="E195" s="2">
        <v>19342</v>
      </c>
      <c r="F195" s="2">
        <v>20575</v>
      </c>
      <c r="G195" s="2">
        <v>22061</v>
      </c>
      <c r="H195" s="2">
        <v>24506</v>
      </c>
      <c r="I195" s="2">
        <v>27262</v>
      </c>
      <c r="J195" s="2">
        <v>26126</v>
      </c>
      <c r="K195" s="2">
        <v>27920</v>
      </c>
      <c r="L195" s="2">
        <v>30678</v>
      </c>
      <c r="M195" s="2">
        <v>33130</v>
      </c>
      <c r="N195" s="2">
        <v>36469</v>
      </c>
      <c r="O195" s="2">
        <v>39466.22</v>
      </c>
      <c r="P195" s="2">
        <v>43309.65</v>
      </c>
      <c r="Q195" s="2">
        <v>47443.66</v>
      </c>
      <c r="R195" s="2">
        <v>50771.199999999997</v>
      </c>
      <c r="S195" s="2">
        <v>53878.7</v>
      </c>
      <c r="T195" s="2">
        <v>56932.06</v>
      </c>
    </row>
    <row r="196" spans="1:20" x14ac:dyDescent="0.25">
      <c r="A196" t="s">
        <v>3908</v>
      </c>
      <c r="B196" s="2">
        <v>16184</v>
      </c>
      <c r="C196" s="2">
        <v>17721</v>
      </c>
      <c r="D196" s="2">
        <v>18943</v>
      </c>
      <c r="E196" s="2">
        <v>21010</v>
      </c>
      <c r="F196" s="2">
        <v>22506</v>
      </c>
      <c r="G196" s="2">
        <v>24400</v>
      </c>
      <c r="H196" s="2">
        <v>25390</v>
      </c>
      <c r="I196" s="2">
        <v>27870</v>
      </c>
      <c r="J196" s="2">
        <v>29893</v>
      </c>
      <c r="K196" s="2">
        <v>30491</v>
      </c>
      <c r="L196" s="2">
        <v>33135</v>
      </c>
      <c r="M196" s="2">
        <v>34932</v>
      </c>
      <c r="N196" s="2">
        <v>37763</v>
      </c>
      <c r="O196" s="2">
        <v>41235.769999999997</v>
      </c>
      <c r="P196" s="2">
        <v>45857.74</v>
      </c>
      <c r="Q196" s="2">
        <v>51094.78</v>
      </c>
      <c r="R196" s="2">
        <v>55575.68</v>
      </c>
      <c r="S196" s="2">
        <v>58494.3</v>
      </c>
      <c r="T196" s="2">
        <v>50803.46</v>
      </c>
    </row>
    <row r="197" spans="1:20" x14ac:dyDescent="0.25">
      <c r="A197" t="s">
        <v>3909</v>
      </c>
      <c r="B197">
        <v>155</v>
      </c>
      <c r="C197">
        <v>156</v>
      </c>
      <c r="D197">
        <v>146</v>
      </c>
      <c r="E197">
        <v>172</v>
      </c>
      <c r="F197">
        <v>188</v>
      </c>
      <c r="G197">
        <v>437</v>
      </c>
      <c r="H197">
        <v>427</v>
      </c>
      <c r="I197" s="2">
        <v>1113</v>
      </c>
      <c r="J197" s="2">
        <v>1122</v>
      </c>
      <c r="K197" s="2">
        <v>1149</v>
      </c>
      <c r="L197" s="2">
        <v>1412</v>
      </c>
      <c r="M197" s="2">
        <v>1498</v>
      </c>
      <c r="N197" s="2">
        <v>1643</v>
      </c>
      <c r="O197" s="2">
        <v>1846.33</v>
      </c>
      <c r="P197" s="2">
        <v>1863.33</v>
      </c>
      <c r="Q197" s="2">
        <v>1880.33</v>
      </c>
      <c r="R197" s="2">
        <v>1897.33</v>
      </c>
      <c r="S197" s="2">
        <v>2150</v>
      </c>
    </row>
    <row r="198" spans="1:20" x14ac:dyDescent="0.25">
      <c r="A198" t="s">
        <v>3910</v>
      </c>
      <c r="B198" s="2">
        <v>11097</v>
      </c>
      <c r="C198" s="2">
        <v>12306</v>
      </c>
      <c r="D198" s="2">
        <v>13196</v>
      </c>
      <c r="E198" s="2">
        <v>14954</v>
      </c>
      <c r="F198" s="2">
        <v>15996</v>
      </c>
      <c r="G198" s="2">
        <v>17363</v>
      </c>
      <c r="H198" s="2">
        <v>18030</v>
      </c>
      <c r="I198" s="2">
        <v>19932</v>
      </c>
      <c r="J198" s="2">
        <v>21391</v>
      </c>
      <c r="K198" s="2">
        <v>21531</v>
      </c>
      <c r="L198" s="2">
        <v>24128</v>
      </c>
      <c r="M198" s="2">
        <v>25363</v>
      </c>
      <c r="N198" s="2">
        <v>27628</v>
      </c>
      <c r="O198" s="2">
        <v>30913.08</v>
      </c>
      <c r="P198" s="2">
        <v>35035.57</v>
      </c>
      <c r="Q198" s="2">
        <v>39167.42</v>
      </c>
      <c r="R198" s="2">
        <v>42342.26</v>
      </c>
      <c r="S198" s="2">
        <v>44182.23</v>
      </c>
      <c r="T198" s="2">
        <v>48522.01</v>
      </c>
    </row>
    <row r="199" spans="1:20" x14ac:dyDescent="0.25">
      <c r="A199" t="s">
        <v>3507</v>
      </c>
      <c r="B199" s="2">
        <v>2644</v>
      </c>
      <c r="C199" s="2">
        <v>3176</v>
      </c>
      <c r="D199" s="2">
        <v>3274</v>
      </c>
      <c r="E199" s="2">
        <v>3627</v>
      </c>
      <c r="F199" s="2">
        <v>3814</v>
      </c>
      <c r="G199" s="2">
        <v>3935</v>
      </c>
      <c r="H199" s="2">
        <v>5580</v>
      </c>
      <c r="I199" s="2">
        <v>6245</v>
      </c>
      <c r="J199" s="2">
        <v>3774</v>
      </c>
      <c r="K199" s="2">
        <v>5207</v>
      </c>
      <c r="L199" s="2">
        <v>5606</v>
      </c>
      <c r="M199" s="2">
        <v>5669</v>
      </c>
      <c r="N199" s="2">
        <v>5789</v>
      </c>
      <c r="O199" s="2">
        <v>5756.6</v>
      </c>
      <c r="P199" s="2">
        <v>5822.14</v>
      </c>
      <c r="Q199" s="2">
        <v>5873.11</v>
      </c>
      <c r="R199" s="2">
        <v>5914.45</v>
      </c>
      <c r="S199" s="2">
        <v>5979.15</v>
      </c>
      <c r="T199" s="2">
        <v>5710</v>
      </c>
    </row>
    <row r="200" spans="1:20" x14ac:dyDescent="0.25">
      <c r="A200" t="s">
        <v>3911</v>
      </c>
      <c r="B200" s="2">
        <v>12246</v>
      </c>
      <c r="C200" s="2">
        <v>13412</v>
      </c>
      <c r="D200" s="2">
        <v>14705</v>
      </c>
      <c r="E200" s="2">
        <v>15715</v>
      </c>
      <c r="F200" s="2">
        <v>16761</v>
      </c>
      <c r="G200" s="2">
        <v>18126</v>
      </c>
      <c r="H200" s="2">
        <v>18926</v>
      </c>
      <c r="I200" s="2">
        <v>21017</v>
      </c>
      <c r="J200" s="2">
        <v>22352</v>
      </c>
      <c r="K200" s="2">
        <v>22713</v>
      </c>
      <c r="L200" s="2">
        <v>25072</v>
      </c>
      <c r="M200" s="2">
        <v>27461</v>
      </c>
      <c r="N200" s="2">
        <v>30680</v>
      </c>
      <c r="O200" s="2">
        <v>33648.910000000003</v>
      </c>
      <c r="P200" s="2">
        <v>37812.69</v>
      </c>
      <c r="Q200" s="2">
        <v>41962.879999999997</v>
      </c>
      <c r="R200" s="2">
        <v>45227.56</v>
      </c>
      <c r="S200" s="2">
        <v>47293.82</v>
      </c>
      <c r="T200" s="2">
        <v>51222.06</v>
      </c>
    </row>
    <row r="201" spans="1:20" x14ac:dyDescent="0.25">
      <c r="A201" t="s">
        <v>3912</v>
      </c>
      <c r="B201" s="2">
        <v>1149</v>
      </c>
      <c r="C201" s="2">
        <v>1106</v>
      </c>
      <c r="D201" s="2">
        <v>1509</v>
      </c>
      <c r="E201">
        <v>761</v>
      </c>
      <c r="F201">
        <v>765</v>
      </c>
      <c r="G201">
        <v>763</v>
      </c>
      <c r="H201">
        <v>896</v>
      </c>
      <c r="I201" s="2">
        <v>1085</v>
      </c>
      <c r="J201">
        <v>961</v>
      </c>
      <c r="K201" s="2">
        <v>1182</v>
      </c>
      <c r="L201">
        <v>944</v>
      </c>
      <c r="M201" s="2">
        <v>2098</v>
      </c>
      <c r="N201" s="2">
        <v>3052</v>
      </c>
      <c r="O201" s="2">
        <v>3193.26</v>
      </c>
      <c r="P201" s="2">
        <v>3700.43</v>
      </c>
      <c r="Q201" s="2">
        <v>3756.21</v>
      </c>
      <c r="R201" s="2">
        <v>3634.4</v>
      </c>
      <c r="S201" s="2">
        <v>3554.75</v>
      </c>
    </row>
    <row r="202" spans="1:20" x14ac:dyDescent="0.25">
      <c r="A202" t="s">
        <v>3296</v>
      </c>
      <c r="B202" s="2">
        <v>1530</v>
      </c>
      <c r="C202" s="2">
        <v>1956</v>
      </c>
      <c r="D202" s="2">
        <v>1840</v>
      </c>
      <c r="E202" s="2">
        <v>2091</v>
      </c>
      <c r="F202" s="2">
        <v>1764</v>
      </c>
      <c r="G202" s="2">
        <v>1743</v>
      </c>
      <c r="H202" s="2">
        <v>2489</v>
      </c>
      <c r="I202" s="2">
        <v>2653</v>
      </c>
      <c r="J202" s="2">
        <v>2259</v>
      </c>
      <c r="K202" s="2">
        <v>3595</v>
      </c>
      <c r="L202" s="2">
        <v>3683</v>
      </c>
      <c r="M202" s="2">
        <v>3569</v>
      </c>
      <c r="N202" s="2">
        <v>3355</v>
      </c>
      <c r="O202" s="2">
        <v>3362.51</v>
      </c>
      <c r="P202" s="2">
        <v>3368.12</v>
      </c>
      <c r="Q202" s="2">
        <v>3410.59</v>
      </c>
      <c r="R202" s="2">
        <v>3445.04</v>
      </c>
      <c r="S202" s="2">
        <v>3543.65</v>
      </c>
      <c r="T202" s="2">
        <v>3274</v>
      </c>
    </row>
    <row r="203" spans="1:20" x14ac:dyDescent="0.25">
      <c r="A203" t="s">
        <v>155</v>
      </c>
      <c r="B203" s="2">
        <v>17416</v>
      </c>
      <c r="C203" s="2">
        <v>19185</v>
      </c>
      <c r="D203" s="2">
        <v>20299</v>
      </c>
      <c r="E203" s="2">
        <v>21622</v>
      </c>
      <c r="F203" s="2">
        <v>23050</v>
      </c>
      <c r="G203" s="2">
        <v>24529</v>
      </c>
      <c r="H203" s="2">
        <v>26837</v>
      </c>
      <c r="I203" s="2">
        <v>29666</v>
      </c>
      <c r="J203" s="2">
        <v>28753</v>
      </c>
      <c r="K203" s="2">
        <v>31353</v>
      </c>
      <c r="L203" s="2">
        <v>33517</v>
      </c>
      <c r="M203" s="2">
        <v>35920</v>
      </c>
      <c r="N203" s="2">
        <v>39941</v>
      </c>
      <c r="O203" s="2">
        <v>42400.62</v>
      </c>
      <c r="P203" s="2">
        <v>46533.74</v>
      </c>
      <c r="Q203" s="2">
        <v>50766.65</v>
      </c>
      <c r="R203" s="2">
        <v>54093.91</v>
      </c>
      <c r="S203" s="2">
        <v>56209.68</v>
      </c>
      <c r="T203" s="2">
        <v>60872.56</v>
      </c>
    </row>
    <row r="204" spans="1:20" x14ac:dyDescent="0.25">
      <c r="A204" t="s">
        <v>17</v>
      </c>
    </row>
    <row r="205" spans="1:20" x14ac:dyDescent="0.25">
      <c r="A205" t="s">
        <v>156</v>
      </c>
    </row>
    <row r="206" spans="1:20" x14ac:dyDescent="0.25">
      <c r="A206" t="s">
        <v>157</v>
      </c>
      <c r="B206" s="2">
        <v>1945</v>
      </c>
      <c r="C206" s="2">
        <v>1948</v>
      </c>
      <c r="D206" s="2">
        <v>2302</v>
      </c>
      <c r="E206" s="2">
        <v>2655</v>
      </c>
      <c r="F206" s="2">
        <v>2784</v>
      </c>
      <c r="G206" s="2">
        <v>2624</v>
      </c>
      <c r="H206" s="2">
        <v>2704</v>
      </c>
      <c r="I206" s="2">
        <v>3074</v>
      </c>
      <c r="J206" s="2">
        <v>2204</v>
      </c>
      <c r="K206" s="2">
        <v>2985</v>
      </c>
      <c r="L206" s="2">
        <v>2895</v>
      </c>
      <c r="M206" s="2">
        <v>3521</v>
      </c>
      <c r="N206" s="2">
        <v>3548</v>
      </c>
      <c r="O206" s="2">
        <v>3228.57</v>
      </c>
      <c r="P206" s="2">
        <v>3574.03</v>
      </c>
      <c r="Q206" s="2">
        <v>3888.34</v>
      </c>
      <c r="R206" s="2">
        <v>3809.48</v>
      </c>
      <c r="S206" s="2">
        <v>4469.49</v>
      </c>
      <c r="T206" s="2">
        <v>9008.8799999999992</v>
      </c>
    </row>
    <row r="207" spans="1:20" x14ac:dyDescent="0.25">
      <c r="A207" t="s">
        <v>158</v>
      </c>
      <c r="B207">
        <v>595</v>
      </c>
      <c r="C207">
        <v>688</v>
      </c>
      <c r="D207">
        <v>642</v>
      </c>
      <c r="E207">
        <v>610</v>
      </c>
      <c r="F207">
        <v>740</v>
      </c>
      <c r="G207">
        <v>733</v>
      </c>
      <c r="H207">
        <v>635</v>
      </c>
      <c r="I207">
        <v>668</v>
      </c>
      <c r="J207">
        <v>886</v>
      </c>
      <c r="K207">
        <v>936</v>
      </c>
      <c r="L207">
        <v>809</v>
      </c>
      <c r="M207" s="2">
        <v>1093</v>
      </c>
      <c r="N207" s="2">
        <v>1404</v>
      </c>
      <c r="O207" s="2">
        <v>1297.2</v>
      </c>
      <c r="P207" s="2">
        <v>1297.2</v>
      </c>
      <c r="Q207" s="2">
        <v>1297.2</v>
      </c>
      <c r="R207" s="2">
        <v>1297.2</v>
      </c>
      <c r="S207" s="2">
        <v>1287.33</v>
      </c>
      <c r="T207" s="2">
        <v>1229</v>
      </c>
    </row>
    <row r="208" spans="1:20" x14ac:dyDescent="0.25">
      <c r="A208" t="s">
        <v>608</v>
      </c>
      <c r="B208">
        <v>297</v>
      </c>
      <c r="C208">
        <v>316</v>
      </c>
      <c r="D208">
        <v>349</v>
      </c>
      <c r="E208">
        <v>348</v>
      </c>
      <c r="F208">
        <v>360</v>
      </c>
      <c r="G208">
        <v>398</v>
      </c>
      <c r="H208">
        <v>437</v>
      </c>
      <c r="I208">
        <v>454</v>
      </c>
      <c r="J208">
        <v>515</v>
      </c>
      <c r="K208">
        <v>538</v>
      </c>
      <c r="L208">
        <v>612</v>
      </c>
      <c r="M208">
        <v>654</v>
      </c>
      <c r="N208">
        <v>708</v>
      </c>
      <c r="O208">
        <v>726.8</v>
      </c>
      <c r="P208">
        <v>818.64</v>
      </c>
      <c r="Q208">
        <v>887.34</v>
      </c>
      <c r="R208">
        <v>948.2</v>
      </c>
      <c r="S208">
        <v>708</v>
      </c>
    </row>
    <row r="209" spans="1:20" x14ac:dyDescent="0.25">
      <c r="A209" t="s">
        <v>3913</v>
      </c>
      <c r="B209">
        <v>96</v>
      </c>
      <c r="C209">
        <v>108</v>
      </c>
      <c r="D209">
        <v>106</v>
      </c>
      <c r="E209">
        <v>98</v>
      </c>
      <c r="F209">
        <v>103</v>
      </c>
      <c r="G209">
        <v>94</v>
      </c>
      <c r="H209">
        <v>104</v>
      </c>
      <c r="I209">
        <v>104</v>
      </c>
      <c r="J209">
        <v>107</v>
      </c>
      <c r="K209">
        <v>122</v>
      </c>
      <c r="L209">
        <v>142</v>
      </c>
      <c r="M209">
        <v>156</v>
      </c>
      <c r="N209">
        <v>182</v>
      </c>
      <c r="O209">
        <v>169</v>
      </c>
      <c r="P209">
        <v>182</v>
      </c>
      <c r="Q209">
        <v>182</v>
      </c>
      <c r="R209">
        <v>182</v>
      </c>
      <c r="S209">
        <v>182</v>
      </c>
    </row>
    <row r="210" spans="1:20" x14ac:dyDescent="0.25">
      <c r="A210" t="s">
        <v>313</v>
      </c>
      <c r="B210">
        <v>170</v>
      </c>
      <c r="C210">
        <v>60</v>
      </c>
      <c r="D210">
        <v>249</v>
      </c>
      <c r="E210">
        <v>398</v>
      </c>
      <c r="F210">
        <v>170</v>
      </c>
      <c r="G210">
        <v>97</v>
      </c>
      <c r="H210">
        <v>90</v>
      </c>
      <c r="I210">
        <v>0</v>
      </c>
      <c r="K210">
        <v>20</v>
      </c>
      <c r="L210">
        <v>93</v>
      </c>
      <c r="M210">
        <v>65</v>
      </c>
      <c r="N210">
        <v>0</v>
      </c>
    </row>
    <row r="211" spans="1:20" x14ac:dyDescent="0.25">
      <c r="A211" t="s">
        <v>3914</v>
      </c>
      <c r="B211">
        <v>562</v>
      </c>
      <c r="C211">
        <v>540</v>
      </c>
      <c r="D211">
        <v>706</v>
      </c>
      <c r="E211">
        <v>886</v>
      </c>
      <c r="F211" s="2">
        <v>1103</v>
      </c>
      <c r="G211">
        <v>996</v>
      </c>
      <c r="H211" s="2">
        <v>1139</v>
      </c>
      <c r="I211">
        <v>598</v>
      </c>
      <c r="J211">
        <v>385</v>
      </c>
      <c r="K211" s="2">
        <v>1103</v>
      </c>
      <c r="L211">
        <v>984</v>
      </c>
      <c r="M211" s="2">
        <v>1198</v>
      </c>
      <c r="N211">
        <v>959</v>
      </c>
      <c r="O211">
        <v>898.67</v>
      </c>
      <c r="P211" s="2">
        <v>1153.19</v>
      </c>
      <c r="Q211" s="2">
        <v>1432.51</v>
      </c>
      <c r="R211" s="2">
        <v>1640.18</v>
      </c>
      <c r="S211" s="2">
        <v>2327.9899999999998</v>
      </c>
      <c r="T211" s="2">
        <v>6815.88</v>
      </c>
    </row>
    <row r="212" spans="1:20" x14ac:dyDescent="0.25">
      <c r="A212" t="s">
        <v>543</v>
      </c>
      <c r="O212">
        <v>33</v>
      </c>
      <c r="P212">
        <v>28</v>
      </c>
      <c r="Q212">
        <v>28</v>
      </c>
      <c r="R212">
        <v>28</v>
      </c>
      <c r="S212">
        <v>28</v>
      </c>
    </row>
    <row r="213" spans="1:20" x14ac:dyDescent="0.25">
      <c r="A213" t="s">
        <v>3915</v>
      </c>
      <c r="B213">
        <v>67</v>
      </c>
      <c r="C213">
        <v>67</v>
      </c>
      <c r="D213">
        <v>82</v>
      </c>
      <c r="E213">
        <v>95</v>
      </c>
      <c r="F213">
        <v>80</v>
      </c>
      <c r="G213">
        <v>155</v>
      </c>
      <c r="H213">
        <v>87</v>
      </c>
      <c r="I213">
        <v>151</v>
      </c>
      <c r="J213">
        <v>146</v>
      </c>
      <c r="K213">
        <v>104</v>
      </c>
      <c r="L213">
        <v>56</v>
      </c>
      <c r="M213">
        <v>111</v>
      </c>
      <c r="N213">
        <v>85</v>
      </c>
      <c r="O213">
        <v>88.67</v>
      </c>
      <c r="P213">
        <v>88.67</v>
      </c>
      <c r="Q213">
        <v>88.67</v>
      </c>
      <c r="R213">
        <v>88.67</v>
      </c>
      <c r="S213">
        <v>85</v>
      </c>
    </row>
    <row r="214" spans="1:20" x14ac:dyDescent="0.25">
      <c r="A214" t="s">
        <v>78</v>
      </c>
      <c r="B214">
        <v>146</v>
      </c>
      <c r="C214">
        <v>163</v>
      </c>
      <c r="D214">
        <v>142</v>
      </c>
      <c r="E214">
        <v>199</v>
      </c>
      <c r="F214">
        <v>195</v>
      </c>
      <c r="G214">
        <v>147</v>
      </c>
      <c r="H214">
        <v>186</v>
      </c>
      <c r="I214">
        <v>133</v>
      </c>
      <c r="J214">
        <v>156</v>
      </c>
      <c r="K214">
        <v>166</v>
      </c>
      <c r="L214">
        <v>149</v>
      </c>
      <c r="M214">
        <v>209</v>
      </c>
      <c r="N214">
        <v>185</v>
      </c>
      <c r="O214">
        <v>197</v>
      </c>
      <c r="P214">
        <v>185</v>
      </c>
      <c r="Q214">
        <v>185</v>
      </c>
      <c r="R214">
        <v>185</v>
      </c>
      <c r="S214">
        <v>185</v>
      </c>
    </row>
    <row r="215" spans="1:20" x14ac:dyDescent="0.25">
      <c r="A215" t="s">
        <v>164</v>
      </c>
      <c r="B215" s="2">
        <v>11980</v>
      </c>
      <c r="C215" s="2">
        <v>13530</v>
      </c>
      <c r="D215" s="2">
        <v>14022</v>
      </c>
      <c r="E215" s="2">
        <v>14677</v>
      </c>
      <c r="F215" s="2">
        <v>15788</v>
      </c>
      <c r="G215" s="2">
        <v>17113</v>
      </c>
      <c r="H215" s="2">
        <v>19078</v>
      </c>
      <c r="I215" s="2">
        <v>20515</v>
      </c>
      <c r="J215" s="2">
        <v>19361</v>
      </c>
      <c r="K215" s="2">
        <v>20773</v>
      </c>
      <c r="L215" s="2">
        <v>22497</v>
      </c>
      <c r="M215" s="2">
        <v>23651</v>
      </c>
      <c r="N215" s="2">
        <v>26682</v>
      </c>
      <c r="O215" s="2">
        <v>28295.62</v>
      </c>
      <c r="P215" s="2">
        <v>30661.34</v>
      </c>
      <c r="Q215" s="2">
        <v>33181.480000000003</v>
      </c>
      <c r="R215" s="2">
        <v>35024.370000000003</v>
      </c>
      <c r="S215" s="2">
        <v>34890.76</v>
      </c>
      <c r="T215" s="2">
        <v>35206.44</v>
      </c>
    </row>
    <row r="216" spans="1:20" x14ac:dyDescent="0.25">
      <c r="A216" t="s">
        <v>3916</v>
      </c>
      <c r="B216">
        <v>325</v>
      </c>
      <c r="C216">
        <v>340</v>
      </c>
      <c r="D216">
        <v>439</v>
      </c>
      <c r="E216">
        <v>447</v>
      </c>
      <c r="F216">
        <v>430</v>
      </c>
      <c r="G216">
        <v>432</v>
      </c>
      <c r="H216">
        <v>477</v>
      </c>
      <c r="I216">
        <v>553</v>
      </c>
      <c r="J216">
        <v>628</v>
      </c>
      <c r="K216">
        <v>746</v>
      </c>
      <c r="L216">
        <v>771</v>
      </c>
      <c r="M216">
        <v>728</v>
      </c>
      <c r="N216">
        <v>792</v>
      </c>
      <c r="O216">
        <v>723.73</v>
      </c>
      <c r="P216">
        <v>739.52</v>
      </c>
      <c r="Q216">
        <v>752.16</v>
      </c>
      <c r="R216">
        <v>765.33</v>
      </c>
      <c r="S216">
        <v>792</v>
      </c>
    </row>
    <row r="217" spans="1:20" x14ac:dyDescent="0.25">
      <c r="A217" t="s">
        <v>604</v>
      </c>
      <c r="B217" s="2">
        <v>1490</v>
      </c>
      <c r="C217" s="2">
        <v>1748</v>
      </c>
      <c r="D217" s="2">
        <v>2017</v>
      </c>
      <c r="E217" s="2">
        <v>2287</v>
      </c>
      <c r="F217" s="2">
        <v>1269</v>
      </c>
      <c r="G217" s="2">
        <v>1487</v>
      </c>
      <c r="H217" s="2">
        <v>1655</v>
      </c>
      <c r="I217" s="2">
        <v>1863</v>
      </c>
      <c r="J217" s="2">
        <v>2210</v>
      </c>
      <c r="K217" s="2">
        <v>2407</v>
      </c>
      <c r="L217" s="2">
        <v>2615</v>
      </c>
      <c r="M217" s="2">
        <v>2925</v>
      </c>
      <c r="N217" s="2">
        <v>3252</v>
      </c>
      <c r="O217" s="2">
        <v>3400.63</v>
      </c>
      <c r="P217" s="2">
        <v>3586.16</v>
      </c>
      <c r="Q217" s="2">
        <v>3745.18</v>
      </c>
      <c r="R217" s="2">
        <v>3915.72</v>
      </c>
      <c r="S217" s="2">
        <v>3876.38</v>
      </c>
      <c r="T217" s="2">
        <v>5202.45</v>
      </c>
    </row>
    <row r="218" spans="1:20" x14ac:dyDescent="0.25">
      <c r="A218" t="s">
        <v>3917</v>
      </c>
      <c r="B218">
        <v>239</v>
      </c>
      <c r="C218">
        <v>872</v>
      </c>
      <c r="D218">
        <v>591</v>
      </c>
      <c r="E218">
        <v>789</v>
      </c>
      <c r="F218">
        <v>766</v>
      </c>
      <c r="G218">
        <v>436</v>
      </c>
      <c r="H218">
        <v>674</v>
      </c>
      <c r="I218">
        <v>152</v>
      </c>
      <c r="J218">
        <v>142</v>
      </c>
      <c r="K218">
        <v>108</v>
      </c>
      <c r="L218">
        <v>106</v>
      </c>
      <c r="M218">
        <v>96</v>
      </c>
      <c r="N218">
        <v>95</v>
      </c>
      <c r="O218">
        <v>90.5</v>
      </c>
      <c r="P218">
        <v>75</v>
      </c>
      <c r="Q218">
        <v>65</v>
      </c>
      <c r="R218">
        <v>55</v>
      </c>
      <c r="S218">
        <v>45</v>
      </c>
    </row>
    <row r="219" spans="1:20" x14ac:dyDescent="0.25">
      <c r="A219" t="s">
        <v>315</v>
      </c>
      <c r="B219" s="2">
        <v>7101</v>
      </c>
      <c r="C219" s="2">
        <v>8016</v>
      </c>
      <c r="D219" s="2">
        <v>8400</v>
      </c>
      <c r="E219" s="2">
        <v>8640</v>
      </c>
      <c r="F219" s="2">
        <v>9123</v>
      </c>
      <c r="G219" s="2">
        <v>10615</v>
      </c>
      <c r="H219" s="2">
        <v>11951</v>
      </c>
      <c r="I219" s="2">
        <v>11744</v>
      </c>
      <c r="J219" s="2">
        <v>12046</v>
      </c>
      <c r="K219" s="2">
        <v>13122</v>
      </c>
      <c r="L219" s="2">
        <v>14508</v>
      </c>
      <c r="M219" s="2">
        <v>15194</v>
      </c>
      <c r="N219" s="2">
        <v>17807</v>
      </c>
      <c r="O219" s="2">
        <v>19186.080000000002</v>
      </c>
      <c r="P219" s="2">
        <v>21391.18</v>
      </c>
      <c r="Q219" s="2">
        <v>23786.32</v>
      </c>
      <c r="R219" s="2">
        <v>25484.880000000001</v>
      </c>
      <c r="S219" s="2">
        <v>25814.77</v>
      </c>
      <c r="T219" s="2">
        <v>24390.99</v>
      </c>
    </row>
    <row r="220" spans="1:20" x14ac:dyDescent="0.25">
      <c r="A220" t="s">
        <v>544</v>
      </c>
      <c r="B220">
        <v>138</v>
      </c>
      <c r="C220">
        <v>123</v>
      </c>
      <c r="D220">
        <v>118</v>
      </c>
      <c r="E220">
        <v>110</v>
      </c>
      <c r="F220">
        <v>91</v>
      </c>
      <c r="G220">
        <v>69</v>
      </c>
      <c r="H220">
        <v>76</v>
      </c>
      <c r="I220">
        <v>56</v>
      </c>
      <c r="J220">
        <v>46</v>
      </c>
      <c r="K220">
        <v>68</v>
      </c>
      <c r="L220">
        <v>62</v>
      </c>
      <c r="M220">
        <v>112</v>
      </c>
      <c r="N220">
        <v>135</v>
      </c>
      <c r="O220">
        <v>171.67</v>
      </c>
      <c r="P220">
        <v>167</v>
      </c>
      <c r="Q220">
        <v>162.33000000000001</v>
      </c>
      <c r="R220">
        <v>157.66999999999999</v>
      </c>
      <c r="S220">
        <v>197</v>
      </c>
    </row>
    <row r="221" spans="1:20" x14ac:dyDescent="0.25">
      <c r="A221" t="s">
        <v>3510</v>
      </c>
      <c r="B221" s="2">
        <v>2215</v>
      </c>
      <c r="C221" s="2">
        <v>2095</v>
      </c>
      <c r="D221" s="2">
        <v>2088</v>
      </c>
      <c r="E221" s="2">
        <v>2041</v>
      </c>
      <c r="F221" s="2">
        <v>3715</v>
      </c>
      <c r="G221" s="2">
        <v>3681</v>
      </c>
      <c r="H221" s="2">
        <v>3742</v>
      </c>
      <c r="I221" s="2">
        <v>3744</v>
      </c>
      <c r="J221" s="2">
        <v>3802</v>
      </c>
      <c r="K221" s="2">
        <v>3796</v>
      </c>
      <c r="L221" s="2">
        <v>3894</v>
      </c>
      <c r="M221" s="2">
        <v>4067</v>
      </c>
      <c r="N221" s="2">
        <v>4091</v>
      </c>
      <c r="O221" s="2">
        <v>4113.71</v>
      </c>
      <c r="P221" s="2">
        <v>4121.5</v>
      </c>
      <c r="Q221" s="2">
        <v>4121.5</v>
      </c>
      <c r="R221" s="2">
        <v>4121.5</v>
      </c>
      <c r="S221" s="2">
        <v>4121.5</v>
      </c>
      <c r="T221" s="2">
        <v>4152</v>
      </c>
    </row>
    <row r="222" spans="1:20" x14ac:dyDescent="0.25">
      <c r="A222" t="s">
        <v>166</v>
      </c>
      <c r="B222">
        <v>306</v>
      </c>
      <c r="C222">
        <v>299</v>
      </c>
      <c r="D222">
        <v>313</v>
      </c>
      <c r="E222">
        <v>290</v>
      </c>
      <c r="F222">
        <v>307</v>
      </c>
      <c r="G222">
        <v>294</v>
      </c>
      <c r="H222">
        <v>383</v>
      </c>
      <c r="I222">
        <v>394</v>
      </c>
      <c r="J222">
        <v>375</v>
      </c>
      <c r="K222">
        <v>397</v>
      </c>
      <c r="L222">
        <v>415</v>
      </c>
      <c r="M222">
        <v>407</v>
      </c>
      <c r="N222">
        <v>392</v>
      </c>
      <c r="O222">
        <v>664.39</v>
      </c>
      <c r="P222" s="2">
        <v>1267.29</v>
      </c>
      <c r="Q222" s="2">
        <v>1386.34</v>
      </c>
      <c r="R222" s="2">
        <v>1150.23</v>
      </c>
      <c r="S222">
        <v>772.05</v>
      </c>
    </row>
    <row r="223" spans="1:20" x14ac:dyDescent="0.25">
      <c r="A223" t="s">
        <v>167</v>
      </c>
      <c r="B223" s="2">
        <v>13925</v>
      </c>
      <c r="C223" s="2">
        <v>15478</v>
      </c>
      <c r="D223" s="2">
        <v>16324</v>
      </c>
      <c r="E223" s="2">
        <v>17332</v>
      </c>
      <c r="F223" s="2">
        <v>18572</v>
      </c>
      <c r="G223" s="2">
        <v>19737</v>
      </c>
      <c r="H223" s="2">
        <v>21782</v>
      </c>
      <c r="I223" s="2">
        <v>23589</v>
      </c>
      <c r="J223" s="2">
        <v>21565</v>
      </c>
      <c r="K223" s="2">
        <v>23758</v>
      </c>
      <c r="L223" s="2">
        <v>25392</v>
      </c>
      <c r="M223" s="2">
        <v>27172</v>
      </c>
      <c r="N223" s="2">
        <v>30230</v>
      </c>
      <c r="O223" s="2">
        <v>31762.79</v>
      </c>
      <c r="P223" s="2">
        <v>34641.4</v>
      </c>
      <c r="Q223" s="2">
        <v>37565.18</v>
      </c>
      <c r="R223" s="2">
        <v>39452.589999999997</v>
      </c>
      <c r="S223" s="2">
        <v>40114.74</v>
      </c>
      <c r="T223" s="2">
        <v>9008.8799999999992</v>
      </c>
    </row>
    <row r="224" spans="1:20" x14ac:dyDescent="0.25">
      <c r="A224" t="s">
        <v>170</v>
      </c>
      <c r="B224" s="2">
        <v>3491</v>
      </c>
      <c r="C224" s="2">
        <v>3707</v>
      </c>
      <c r="D224" s="2">
        <v>3975</v>
      </c>
      <c r="E224" s="2">
        <v>4290</v>
      </c>
      <c r="F224" s="2">
        <v>4478</v>
      </c>
      <c r="G224" s="2">
        <v>4792</v>
      </c>
      <c r="H224" s="2">
        <v>5055</v>
      </c>
      <c r="I224" s="2">
        <v>6077</v>
      </c>
      <c r="J224" s="2">
        <v>7188</v>
      </c>
      <c r="K224" s="2">
        <v>7595</v>
      </c>
      <c r="L224" s="2">
        <v>8125</v>
      </c>
      <c r="M224" s="2">
        <v>8748</v>
      </c>
      <c r="N224" s="2">
        <v>9711</v>
      </c>
      <c r="O224" s="2">
        <v>10891.7</v>
      </c>
      <c r="P224" s="2">
        <v>12155.11</v>
      </c>
      <c r="Q224" s="2">
        <v>13501.37</v>
      </c>
      <c r="R224" s="2">
        <v>14911.31</v>
      </c>
      <c r="S224" s="2">
        <v>16157.75</v>
      </c>
    </row>
    <row r="225" spans="1:20" x14ac:dyDescent="0.25">
      <c r="A225" t="s">
        <v>3918</v>
      </c>
      <c r="B225" s="2">
        <v>3454</v>
      </c>
      <c r="C225" s="2">
        <v>3670</v>
      </c>
      <c r="D225" s="2">
        <v>3938</v>
      </c>
      <c r="E225" s="2">
        <v>4253</v>
      </c>
      <c r="F225" s="2">
        <v>4441</v>
      </c>
      <c r="G225" s="2">
        <v>4755</v>
      </c>
      <c r="H225" s="2">
        <v>5018</v>
      </c>
      <c r="I225" s="2">
        <v>5496</v>
      </c>
      <c r="J225" s="2">
        <v>6407</v>
      </c>
      <c r="K225" s="2">
        <v>6791</v>
      </c>
      <c r="L225" s="2">
        <v>7320</v>
      </c>
      <c r="M225" s="2">
        <v>8006</v>
      </c>
      <c r="N225" s="2">
        <v>9144</v>
      </c>
      <c r="O225" s="2">
        <v>10220.57</v>
      </c>
      <c r="P225" s="2">
        <v>11344.43</v>
      </c>
      <c r="Q225" s="2">
        <v>12600.14</v>
      </c>
      <c r="R225" s="2">
        <v>14080.5</v>
      </c>
      <c r="S225" s="2">
        <v>15440</v>
      </c>
      <c r="T225" s="2">
        <v>16032</v>
      </c>
    </row>
    <row r="226" spans="1:20" x14ac:dyDescent="0.25">
      <c r="A226" t="s">
        <v>2121</v>
      </c>
      <c r="B226">
        <v>3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178</v>
      </c>
      <c r="P226">
        <v>428</v>
      </c>
      <c r="Q226">
        <v>619.66999999999996</v>
      </c>
      <c r="R226">
        <v>869.67</v>
      </c>
      <c r="S226">
        <v>3</v>
      </c>
    </row>
    <row r="227" spans="1:20" x14ac:dyDescent="0.25">
      <c r="A227" t="s">
        <v>3919</v>
      </c>
      <c r="B227" s="2">
        <v>3454</v>
      </c>
      <c r="C227" s="2">
        <v>3670</v>
      </c>
      <c r="D227" s="2">
        <v>3938</v>
      </c>
      <c r="E227" s="2">
        <v>4253</v>
      </c>
      <c r="F227" s="2">
        <v>4441</v>
      </c>
      <c r="G227" s="2">
        <v>4755</v>
      </c>
      <c r="H227" s="2">
        <v>5018</v>
      </c>
      <c r="I227" s="2">
        <v>5496</v>
      </c>
      <c r="J227" s="2">
        <v>6407</v>
      </c>
      <c r="K227" s="2">
        <v>6791</v>
      </c>
      <c r="L227" s="2">
        <v>7320</v>
      </c>
      <c r="M227" s="2">
        <v>8006</v>
      </c>
      <c r="N227" s="2">
        <v>8920</v>
      </c>
      <c r="O227" s="2">
        <v>10371.07</v>
      </c>
      <c r="P227" s="2">
        <v>11548.9</v>
      </c>
      <c r="Q227" s="2">
        <v>12904.93</v>
      </c>
      <c r="R227" s="2">
        <v>14319.75</v>
      </c>
      <c r="S227" s="2">
        <v>15496.7</v>
      </c>
    </row>
    <row r="228" spans="1:20" x14ac:dyDescent="0.25">
      <c r="A228" t="s">
        <v>2063</v>
      </c>
      <c r="B228" s="2">
        <v>4715</v>
      </c>
      <c r="C228" s="2">
        <v>4774</v>
      </c>
      <c r="D228" s="2">
        <v>4837</v>
      </c>
      <c r="E228" s="2">
        <v>4916</v>
      </c>
      <c r="F228" s="2">
        <v>5019</v>
      </c>
      <c r="G228" s="2">
        <v>5088</v>
      </c>
      <c r="H228" s="2">
        <v>5113</v>
      </c>
      <c r="I228" s="2">
        <v>5365</v>
      </c>
      <c r="J228" s="2">
        <v>5406</v>
      </c>
      <c r="K228" s="2">
        <v>5490</v>
      </c>
      <c r="L228" s="2">
        <v>5705</v>
      </c>
      <c r="M228" s="2">
        <v>6009</v>
      </c>
      <c r="N228" s="2">
        <v>6510</v>
      </c>
      <c r="O228" s="2">
        <v>7006.2</v>
      </c>
      <c r="P228" s="2">
        <v>7318</v>
      </c>
      <c r="Q228" s="2">
        <v>7655.5</v>
      </c>
      <c r="R228" s="2">
        <v>7968</v>
      </c>
      <c r="S228" s="2">
        <v>9730.5</v>
      </c>
      <c r="T228" s="2">
        <v>9601</v>
      </c>
    </row>
    <row r="229" spans="1:20" x14ac:dyDescent="0.25">
      <c r="A229" t="s">
        <v>2526</v>
      </c>
      <c r="B229">
        <v>-22</v>
      </c>
      <c r="C229">
        <v>-49</v>
      </c>
      <c r="D229">
        <v>-47</v>
      </c>
      <c r="E229">
        <v>-50</v>
      </c>
      <c r="F229">
        <v>-50</v>
      </c>
      <c r="G229">
        <v>-65</v>
      </c>
      <c r="H229">
        <v>-73</v>
      </c>
      <c r="I229">
        <v>-86</v>
      </c>
      <c r="J229">
        <v>-59</v>
      </c>
      <c r="K229">
        <v>-52</v>
      </c>
      <c r="L229">
        <v>-46</v>
      </c>
      <c r="M229">
        <v>-41</v>
      </c>
      <c r="N229">
        <v>-36</v>
      </c>
      <c r="O229">
        <v>-37.33</v>
      </c>
      <c r="P229">
        <v>-35.5</v>
      </c>
      <c r="Q229">
        <v>-35.5</v>
      </c>
      <c r="R229">
        <v>-35.5</v>
      </c>
      <c r="S229">
        <v>-35.5</v>
      </c>
      <c r="T229">
        <v>-35</v>
      </c>
    </row>
    <row r="230" spans="1:20" x14ac:dyDescent="0.25">
      <c r="A230" t="s">
        <v>2123</v>
      </c>
      <c r="B230" s="2">
        <v>-1242</v>
      </c>
      <c r="C230" s="2">
        <v>-1058</v>
      </c>
      <c r="D230">
        <v>-855</v>
      </c>
      <c r="E230">
        <v>-616</v>
      </c>
      <c r="F230">
        <v>-531</v>
      </c>
      <c r="G230">
        <v>-271</v>
      </c>
      <c r="H230">
        <v>-25</v>
      </c>
      <c r="I230">
        <v>214</v>
      </c>
      <c r="J230" s="2">
        <v>1057</v>
      </c>
      <c r="K230" s="2">
        <v>1350</v>
      </c>
      <c r="L230" s="2">
        <v>1658</v>
      </c>
      <c r="M230" s="2">
        <v>2035</v>
      </c>
      <c r="N230" s="2">
        <v>2443</v>
      </c>
      <c r="O230" s="2">
        <v>3055.58</v>
      </c>
      <c r="P230" s="2">
        <v>3802.52</v>
      </c>
      <c r="Q230" s="2">
        <v>4648.7700000000004</v>
      </c>
      <c r="R230" s="2">
        <v>5577.04</v>
      </c>
      <c r="S230" s="2">
        <v>5597.39</v>
      </c>
      <c r="T230" s="2">
        <v>6466.24</v>
      </c>
    </row>
    <row r="231" spans="1:20" x14ac:dyDescent="0.25">
      <c r="A231" t="s">
        <v>1235</v>
      </c>
      <c r="B231">
        <v>37</v>
      </c>
      <c r="C231">
        <v>37</v>
      </c>
      <c r="D231">
        <v>37</v>
      </c>
      <c r="E231">
        <v>37</v>
      </c>
      <c r="F231">
        <v>37</v>
      </c>
      <c r="G231">
        <v>37</v>
      </c>
      <c r="H231">
        <v>37</v>
      </c>
      <c r="I231">
        <v>581</v>
      </c>
      <c r="J231">
        <v>557</v>
      </c>
      <c r="K231">
        <v>580</v>
      </c>
      <c r="L231">
        <v>581</v>
      </c>
      <c r="M231">
        <v>518</v>
      </c>
      <c r="N231">
        <v>567</v>
      </c>
      <c r="O231">
        <v>581.75</v>
      </c>
      <c r="P231">
        <v>592.29</v>
      </c>
      <c r="Q231">
        <v>592.29</v>
      </c>
      <c r="R231">
        <v>594.83000000000004</v>
      </c>
      <c r="S231">
        <v>594.25</v>
      </c>
      <c r="T231">
        <v>625</v>
      </c>
    </row>
    <row r="232" spans="1:20" x14ac:dyDescent="0.25">
      <c r="A232" t="s">
        <v>3920</v>
      </c>
      <c r="B232" s="2">
        <v>17416</v>
      </c>
      <c r="C232" s="2">
        <v>19185</v>
      </c>
      <c r="D232" s="2">
        <v>20299</v>
      </c>
      <c r="E232" s="2">
        <v>21622</v>
      </c>
      <c r="F232" s="2">
        <v>23050</v>
      </c>
      <c r="G232" s="2">
        <v>24529</v>
      </c>
      <c r="H232" s="2">
        <v>26837</v>
      </c>
      <c r="I232" s="2">
        <v>29666</v>
      </c>
      <c r="J232" s="2">
        <v>28753</v>
      </c>
      <c r="K232" s="2">
        <v>31353</v>
      </c>
      <c r="L232" s="2">
        <v>33517</v>
      </c>
      <c r="M232" s="2">
        <v>35920</v>
      </c>
      <c r="N232" s="2">
        <v>39941</v>
      </c>
      <c r="O232" s="2">
        <v>42400.62</v>
      </c>
      <c r="P232" s="2">
        <v>46533.74</v>
      </c>
      <c r="Q232" s="2">
        <v>50766.65</v>
      </c>
      <c r="R232" s="2">
        <v>54093.91</v>
      </c>
      <c r="S232" s="2">
        <v>56209.68</v>
      </c>
      <c r="T232" s="2">
        <v>60872.56</v>
      </c>
    </row>
    <row r="233" spans="1:20" x14ac:dyDescent="0.25">
      <c r="A233" t="s">
        <v>17</v>
      </c>
    </row>
    <row r="234" spans="1:20" x14ac:dyDescent="0.25">
      <c r="A234" t="s">
        <v>176</v>
      </c>
    </row>
    <row r="235" spans="1:20" x14ac:dyDescent="0.25">
      <c r="A235" t="s">
        <v>3262</v>
      </c>
      <c r="B235" s="2">
        <v>5087</v>
      </c>
      <c r="C235" s="2">
        <v>5415</v>
      </c>
      <c r="D235" s="2">
        <v>5747</v>
      </c>
      <c r="E235" s="2">
        <v>6056</v>
      </c>
      <c r="F235" s="2">
        <v>6510</v>
      </c>
      <c r="G235" s="2">
        <v>7037</v>
      </c>
      <c r="H235" s="2">
        <v>7360</v>
      </c>
      <c r="I235" s="2">
        <v>7938</v>
      </c>
      <c r="J235" s="2">
        <v>8502</v>
      </c>
      <c r="K235" s="2">
        <v>8960</v>
      </c>
      <c r="L235" s="2">
        <v>9007</v>
      </c>
      <c r="M235" s="2">
        <v>9569</v>
      </c>
      <c r="N235" s="2">
        <v>10135</v>
      </c>
      <c r="O235" s="2">
        <v>11565.18</v>
      </c>
      <c r="P235" s="2">
        <v>12913.8</v>
      </c>
      <c r="Q235" s="2">
        <v>14566.16</v>
      </c>
      <c r="R235" s="2">
        <v>16331.78</v>
      </c>
      <c r="S235" s="2">
        <v>18424.87</v>
      </c>
    </row>
    <row r="236" spans="1:20" x14ac:dyDescent="0.25">
      <c r="A236" t="s">
        <v>177</v>
      </c>
      <c r="B236" s="2">
        <v>7767</v>
      </c>
      <c r="C236" s="2">
        <v>8495</v>
      </c>
      <c r="D236" s="2">
        <v>9188</v>
      </c>
      <c r="E236" s="2">
        <v>9780</v>
      </c>
      <c r="F236" s="2">
        <v>10288</v>
      </c>
      <c r="G236" s="2">
        <v>11603</v>
      </c>
      <c r="H236" s="2">
        <v>13090</v>
      </c>
      <c r="I236" s="2">
        <v>12342</v>
      </c>
      <c r="J236" s="2">
        <v>11998</v>
      </c>
      <c r="K236" s="2">
        <v>14127</v>
      </c>
      <c r="L236" s="2">
        <v>15395</v>
      </c>
      <c r="M236" s="2">
        <v>16388</v>
      </c>
      <c r="N236" s="2">
        <v>18283</v>
      </c>
      <c r="O236" s="2">
        <v>19794</v>
      </c>
      <c r="P236" s="2">
        <v>22436.14</v>
      </c>
      <c r="Q236" s="2">
        <v>25186</v>
      </c>
      <c r="R236" s="2">
        <v>27039.86</v>
      </c>
      <c r="S236" s="2">
        <v>28186.799999999999</v>
      </c>
      <c r="T236" s="2">
        <v>31207</v>
      </c>
    </row>
    <row r="237" spans="1:20" x14ac:dyDescent="0.25">
      <c r="A237" t="s">
        <v>3921</v>
      </c>
      <c r="B237" s="2">
        <v>7971</v>
      </c>
      <c r="C237" s="2">
        <v>8739</v>
      </c>
      <c r="D237" s="2">
        <v>9473</v>
      </c>
      <c r="E237" s="2">
        <v>10034</v>
      </c>
      <c r="F237" s="2">
        <v>10487</v>
      </c>
      <c r="G237" s="2">
        <v>11777</v>
      </c>
      <c r="H237" s="2">
        <v>13293</v>
      </c>
      <c r="I237" s="2">
        <v>12423</v>
      </c>
      <c r="J237" s="2">
        <v>12500</v>
      </c>
      <c r="K237" s="2">
        <v>14340</v>
      </c>
      <c r="L237" s="2">
        <v>15669</v>
      </c>
      <c r="M237" s="2">
        <v>16590</v>
      </c>
      <c r="N237" s="2">
        <v>18920</v>
      </c>
      <c r="O237" s="2">
        <v>20225.82</v>
      </c>
      <c r="P237" s="2">
        <v>22721.81</v>
      </c>
      <c r="Q237" s="2">
        <v>25400.16</v>
      </c>
      <c r="R237" s="2">
        <v>27109.599999999999</v>
      </c>
      <c r="S237" s="2">
        <v>28184.61</v>
      </c>
      <c r="T237" s="2">
        <v>31206.87</v>
      </c>
    </row>
    <row r="238" spans="1:20" x14ac:dyDescent="0.25">
      <c r="A238" t="s">
        <v>3922</v>
      </c>
      <c r="B238">
        <v>9</v>
      </c>
      <c r="C238">
        <v>11</v>
      </c>
      <c r="D238">
        <v>14</v>
      </c>
      <c r="E238">
        <v>17</v>
      </c>
      <c r="F238">
        <v>7</v>
      </c>
      <c r="G238">
        <v>9</v>
      </c>
      <c r="H238">
        <v>14</v>
      </c>
      <c r="I238">
        <v>8</v>
      </c>
      <c r="J238">
        <v>11</v>
      </c>
      <c r="K238">
        <v>2</v>
      </c>
      <c r="L238">
        <v>3</v>
      </c>
      <c r="M238">
        <v>18</v>
      </c>
      <c r="N238">
        <v>0</v>
      </c>
      <c r="O238">
        <v>10</v>
      </c>
      <c r="P238">
        <v>10</v>
      </c>
      <c r="Q238">
        <v>10</v>
      </c>
      <c r="R238">
        <v>10</v>
      </c>
      <c r="S238">
        <v>10</v>
      </c>
    </row>
    <row r="239" spans="1:20" x14ac:dyDescent="0.25">
      <c r="A239" t="s">
        <v>178</v>
      </c>
    </row>
    <row r="240" spans="1:20" x14ac:dyDescent="0.25">
      <c r="A240" t="s">
        <v>3923</v>
      </c>
      <c r="B240">
        <v>350</v>
      </c>
      <c r="C240">
        <v>350</v>
      </c>
      <c r="D240">
        <v>350</v>
      </c>
      <c r="E240">
        <v>350</v>
      </c>
      <c r="F240">
        <v>350</v>
      </c>
      <c r="G240">
        <v>350</v>
      </c>
      <c r="H240">
        <v>350</v>
      </c>
      <c r="I240">
        <v>350</v>
      </c>
      <c r="J240">
        <v>350</v>
      </c>
      <c r="K240">
        <v>350</v>
      </c>
      <c r="L240">
        <v>350</v>
      </c>
      <c r="M240">
        <v>350</v>
      </c>
      <c r="N240">
        <v>350</v>
      </c>
    </row>
    <row r="241" spans="1:20" x14ac:dyDescent="0.25">
      <c r="A241" t="s">
        <v>179</v>
      </c>
      <c r="B241">
        <v>2.62</v>
      </c>
      <c r="C241">
        <v>2.61</v>
      </c>
      <c r="D241">
        <v>2.65</v>
      </c>
      <c r="E241">
        <v>2.63</v>
      </c>
      <c r="F241">
        <v>2.06</v>
      </c>
      <c r="G241">
        <v>2.76</v>
      </c>
      <c r="H241">
        <v>2.65</v>
      </c>
      <c r="I241">
        <v>2.67</v>
      </c>
      <c r="J241">
        <v>4.63</v>
      </c>
      <c r="K241">
        <v>2.79</v>
      </c>
      <c r="L241">
        <v>2.73</v>
      </c>
      <c r="M241">
        <v>2.89</v>
      </c>
      <c r="N241">
        <v>2.82</v>
      </c>
      <c r="O241">
        <v>3.07</v>
      </c>
      <c r="P241">
        <v>3.05</v>
      </c>
      <c r="Q241">
        <v>3.17</v>
      </c>
      <c r="R241">
        <v>3.29</v>
      </c>
      <c r="S241">
        <v>3.6</v>
      </c>
    </row>
    <row r="242" spans="1:20" x14ac:dyDescent="0.25">
      <c r="A242" t="s">
        <v>3924</v>
      </c>
      <c r="B242">
        <v>13.58</v>
      </c>
      <c r="C242">
        <v>13.64</v>
      </c>
      <c r="D242">
        <v>13.75</v>
      </c>
      <c r="E242">
        <v>13.75</v>
      </c>
      <c r="F242">
        <v>14.03</v>
      </c>
      <c r="G242">
        <v>14.33</v>
      </c>
      <c r="H242">
        <v>13.49</v>
      </c>
      <c r="I242">
        <v>13.43</v>
      </c>
      <c r="J242">
        <v>12.89</v>
      </c>
      <c r="K242">
        <v>12.7</v>
      </c>
      <c r="L242">
        <v>12.86</v>
      </c>
      <c r="M242">
        <v>13.04</v>
      </c>
      <c r="N242">
        <v>12.84</v>
      </c>
      <c r="O242">
        <v>12.07</v>
      </c>
      <c r="P242">
        <v>11.9</v>
      </c>
      <c r="Q242">
        <v>11.86</v>
      </c>
      <c r="R242">
        <v>11.58</v>
      </c>
      <c r="S242">
        <v>11.57</v>
      </c>
      <c r="T242">
        <v>12.17</v>
      </c>
    </row>
    <row r="243" spans="1:20" x14ac:dyDescent="0.25">
      <c r="A243" t="s">
        <v>3516</v>
      </c>
      <c r="B243">
        <v>69.540000000000006</v>
      </c>
      <c r="C243">
        <v>70.22</v>
      </c>
      <c r="D243">
        <v>70.44</v>
      </c>
      <c r="E243">
        <v>70.05</v>
      </c>
      <c r="F243">
        <v>70.08</v>
      </c>
      <c r="G243">
        <v>71.08</v>
      </c>
      <c r="H243">
        <v>72.45</v>
      </c>
      <c r="I243">
        <v>67.150000000000006</v>
      </c>
      <c r="J243">
        <v>63.49</v>
      </c>
      <c r="K243">
        <v>65.37</v>
      </c>
      <c r="L243">
        <v>65.849999999999994</v>
      </c>
      <c r="M243">
        <v>65.47</v>
      </c>
      <c r="N243">
        <v>66.08</v>
      </c>
      <c r="O243">
        <v>65.44</v>
      </c>
      <c r="P243">
        <v>66</v>
      </c>
      <c r="Q243">
        <v>66.2</v>
      </c>
      <c r="R243">
        <v>65.430000000000007</v>
      </c>
      <c r="S243">
        <v>64.069999999999993</v>
      </c>
      <c r="T243">
        <v>66.06</v>
      </c>
    </row>
    <row r="244" spans="1:20" x14ac:dyDescent="0.25">
      <c r="A244" t="s">
        <v>182</v>
      </c>
      <c r="B244">
        <v>12.98</v>
      </c>
      <c r="C244">
        <v>13.33</v>
      </c>
      <c r="D244">
        <v>14.21</v>
      </c>
      <c r="E244">
        <v>15.23</v>
      </c>
      <c r="F244">
        <v>15.77</v>
      </c>
      <c r="G244">
        <v>16.78</v>
      </c>
      <c r="H244">
        <v>17.670000000000002</v>
      </c>
      <c r="I244">
        <v>19.02</v>
      </c>
      <c r="J244">
        <v>22.11</v>
      </c>
      <c r="K244">
        <v>23.31</v>
      </c>
      <c r="L244">
        <v>23.69</v>
      </c>
      <c r="M244">
        <v>26.79</v>
      </c>
      <c r="N244">
        <v>29.11</v>
      </c>
      <c r="O244">
        <v>32.979999999999997</v>
      </c>
      <c r="P244">
        <v>35.68</v>
      </c>
      <c r="Q244">
        <v>38.72</v>
      </c>
      <c r="R244">
        <v>42.23</v>
      </c>
      <c r="S244">
        <v>45.6</v>
      </c>
    </row>
    <row r="245" spans="1:20" x14ac:dyDescent="0.25">
      <c r="A245" t="s">
        <v>2284</v>
      </c>
      <c r="B245" s="2">
        <v>11462</v>
      </c>
      <c r="C245" s="2">
        <v>12446</v>
      </c>
      <c r="D245" s="2">
        <v>13448</v>
      </c>
      <c r="E245" s="2">
        <v>14324</v>
      </c>
      <c r="F245" s="2">
        <v>14965</v>
      </c>
      <c r="G245" s="2">
        <v>16569</v>
      </c>
      <c r="H245" s="2">
        <v>18348</v>
      </c>
      <c r="I245" s="2">
        <v>18500</v>
      </c>
      <c r="J245" s="2">
        <v>19688</v>
      </c>
      <c r="K245" s="2">
        <v>21935</v>
      </c>
      <c r="L245" s="2">
        <v>23794</v>
      </c>
      <c r="M245" s="2">
        <v>25338</v>
      </c>
      <c r="N245" s="2">
        <v>28631</v>
      </c>
      <c r="O245" s="2">
        <v>30524.01</v>
      </c>
      <c r="P245" s="2">
        <v>34242.67</v>
      </c>
      <c r="Q245" s="2">
        <v>38115.300000000003</v>
      </c>
      <c r="R245" s="2">
        <v>41307.32</v>
      </c>
      <c r="S245" s="2">
        <v>43911.43</v>
      </c>
      <c r="T245" s="2">
        <v>47239.11</v>
      </c>
    </row>
    <row r="246" spans="1:20" x14ac:dyDescent="0.25">
      <c r="A246" t="s">
        <v>17</v>
      </c>
    </row>
    <row r="247" spans="1:20" x14ac:dyDescent="0.25">
      <c r="A247" t="s">
        <v>188</v>
      </c>
    </row>
    <row r="248" spans="1:20" x14ac:dyDescent="0.25">
      <c r="A248" t="s">
        <v>189</v>
      </c>
    </row>
    <row r="249" spans="1:20" x14ac:dyDescent="0.25">
      <c r="A249" t="s">
        <v>121</v>
      </c>
      <c r="B249">
        <v>452</v>
      </c>
      <c r="C249">
        <v>477</v>
      </c>
      <c r="D249">
        <v>523</v>
      </c>
      <c r="E249">
        <v>551</v>
      </c>
      <c r="F249">
        <v>460</v>
      </c>
      <c r="G249">
        <v>657</v>
      </c>
      <c r="H249">
        <v>680</v>
      </c>
      <c r="I249">
        <v>755</v>
      </c>
      <c r="J249" s="2">
        <v>1348</v>
      </c>
      <c r="K249">
        <v>827</v>
      </c>
      <c r="L249">
        <v>877</v>
      </c>
      <c r="M249">
        <v>993</v>
      </c>
      <c r="N249" s="2">
        <v>1061</v>
      </c>
      <c r="O249" s="2">
        <v>1196.08</v>
      </c>
      <c r="P249" s="2">
        <v>1323.33</v>
      </c>
      <c r="Q249" s="2">
        <v>1468</v>
      </c>
      <c r="R249" s="2">
        <v>1620.56</v>
      </c>
      <c r="S249" s="2">
        <v>1773.86</v>
      </c>
      <c r="T249" s="2">
        <v>1898</v>
      </c>
    </row>
    <row r="250" spans="1:20" x14ac:dyDescent="0.25">
      <c r="A250" t="s">
        <v>190</v>
      </c>
      <c r="B250">
        <v>628</v>
      </c>
      <c r="C250">
        <v>685</v>
      </c>
      <c r="D250">
        <v>750</v>
      </c>
      <c r="E250">
        <v>811</v>
      </c>
      <c r="F250">
        <v>881</v>
      </c>
      <c r="G250">
        <v>933</v>
      </c>
      <c r="H250">
        <v>989</v>
      </c>
      <c r="I250" s="2">
        <v>1043</v>
      </c>
      <c r="J250" s="2">
        <v>1114</v>
      </c>
      <c r="K250" s="2">
        <v>1126</v>
      </c>
      <c r="L250" s="2">
        <v>1180</v>
      </c>
      <c r="M250" s="2">
        <v>1240</v>
      </c>
      <c r="N250" s="2">
        <v>1306</v>
      </c>
      <c r="O250" s="2">
        <v>1407.77</v>
      </c>
      <c r="P250" s="2">
        <v>1513.62</v>
      </c>
      <c r="Q250" s="2">
        <v>1634.19</v>
      </c>
      <c r="R250" s="2">
        <v>1747.49</v>
      </c>
      <c r="S250" s="2">
        <v>1901.28</v>
      </c>
      <c r="T250" s="2">
        <v>1986.64</v>
      </c>
    </row>
    <row r="251" spans="1:20" x14ac:dyDescent="0.25">
      <c r="A251" t="s">
        <v>546</v>
      </c>
      <c r="B251">
        <v>268</v>
      </c>
      <c r="C251">
        <v>227</v>
      </c>
      <c r="D251">
        <v>247</v>
      </c>
      <c r="E251">
        <v>264</v>
      </c>
      <c r="F251">
        <v>417</v>
      </c>
      <c r="G251">
        <v>182</v>
      </c>
      <c r="H251">
        <v>150</v>
      </c>
      <c r="I251">
        <v>170</v>
      </c>
      <c r="J251">
        <v>249</v>
      </c>
      <c r="K251">
        <v>89</v>
      </c>
      <c r="L251">
        <v>157</v>
      </c>
      <c r="M251">
        <v>142</v>
      </c>
      <c r="N251">
        <v>202</v>
      </c>
      <c r="O251">
        <v>188.99</v>
      </c>
      <c r="P251">
        <v>216.66</v>
      </c>
      <c r="Q251">
        <v>226.25</v>
      </c>
      <c r="R251">
        <v>238.05</v>
      </c>
      <c r="S251">
        <v>252.88</v>
      </c>
      <c r="T251">
        <v>382.92</v>
      </c>
    </row>
    <row r="252" spans="1:20" x14ac:dyDescent="0.25">
      <c r="A252" t="s">
        <v>338</v>
      </c>
      <c r="B252">
        <v>-2</v>
      </c>
      <c r="C252">
        <v>-17</v>
      </c>
      <c r="D252">
        <v>241</v>
      </c>
      <c r="E252">
        <v>7</v>
      </c>
      <c r="F252">
        <v>-174</v>
      </c>
      <c r="G252">
        <v>105</v>
      </c>
      <c r="H252">
        <v>-35</v>
      </c>
      <c r="I252">
        <v>-25</v>
      </c>
      <c r="J252">
        <v>-46</v>
      </c>
      <c r="K252" s="2">
        <v>-1113</v>
      </c>
      <c r="L252">
        <v>416</v>
      </c>
      <c r="M252">
        <v>262</v>
      </c>
      <c r="N252">
        <v>-61</v>
      </c>
      <c r="O252">
        <v>154</v>
      </c>
      <c r="P252">
        <v>-271.38</v>
      </c>
      <c r="Q252">
        <v>-286.38</v>
      </c>
      <c r="R252">
        <v>-251.38</v>
      </c>
      <c r="S252">
        <v>-252</v>
      </c>
      <c r="T252">
        <v>-252</v>
      </c>
    </row>
    <row r="253" spans="1:20" x14ac:dyDescent="0.25">
      <c r="A253" t="s">
        <v>141</v>
      </c>
      <c r="B253">
        <v>-120</v>
      </c>
      <c r="C253">
        <v>-31</v>
      </c>
      <c r="D253">
        <v>120</v>
      </c>
      <c r="E253">
        <v>-155</v>
      </c>
      <c r="F253">
        <v>-66</v>
      </c>
      <c r="G253">
        <v>15</v>
      </c>
      <c r="H253">
        <v>48</v>
      </c>
      <c r="I253">
        <v>-5</v>
      </c>
      <c r="J253">
        <v>-103</v>
      </c>
      <c r="K253">
        <v>-677</v>
      </c>
      <c r="L253">
        <v>241</v>
      </c>
      <c r="M253">
        <v>-155</v>
      </c>
      <c r="N253">
        <v>-251</v>
      </c>
    </row>
    <row r="254" spans="1:20" x14ac:dyDescent="0.25">
      <c r="A254" t="s">
        <v>204</v>
      </c>
      <c r="B254" s="2">
        <v>1421</v>
      </c>
      <c r="C254" s="2">
        <v>1481</v>
      </c>
      <c r="D254" s="2">
        <v>1640</v>
      </c>
      <c r="E254" s="2">
        <v>1629</v>
      </c>
      <c r="F254" s="2">
        <v>1705</v>
      </c>
      <c r="G254" s="2">
        <v>1703</v>
      </c>
      <c r="H254" s="2">
        <v>1790</v>
      </c>
      <c r="I254" s="2">
        <v>1276</v>
      </c>
      <c r="J254" s="2">
        <v>1819</v>
      </c>
      <c r="K254">
        <v>855</v>
      </c>
      <c r="L254" s="2">
        <v>2309</v>
      </c>
      <c r="M254" s="2">
        <v>2370</v>
      </c>
      <c r="N254" s="2">
        <v>2235</v>
      </c>
      <c r="O254" s="2">
        <v>2758</v>
      </c>
      <c r="P254" s="2">
        <v>2927.98</v>
      </c>
      <c r="Q254" s="2">
        <v>3200.13</v>
      </c>
      <c r="R254" s="2">
        <v>3457.48</v>
      </c>
      <c r="S254" s="2">
        <v>3756.6</v>
      </c>
      <c r="T254" s="2">
        <v>4015.59</v>
      </c>
    </row>
    <row r="255" spans="1:20" x14ac:dyDescent="0.25">
      <c r="A255" t="s">
        <v>17</v>
      </c>
    </row>
    <row r="256" spans="1:20" x14ac:dyDescent="0.25">
      <c r="A256" t="s">
        <v>205</v>
      </c>
    </row>
    <row r="257" spans="1:20" x14ac:dyDescent="0.25">
      <c r="A257" t="s">
        <v>206</v>
      </c>
      <c r="B257" s="2">
        <v>-1381</v>
      </c>
      <c r="C257" s="2">
        <v>-1643</v>
      </c>
      <c r="D257" s="2">
        <v>-1679</v>
      </c>
      <c r="E257" s="2">
        <v>-1672</v>
      </c>
      <c r="F257" s="2">
        <v>-1665</v>
      </c>
      <c r="G257" s="2">
        <v>-2074</v>
      </c>
      <c r="H257" s="2">
        <v>-2097</v>
      </c>
      <c r="I257" s="2">
        <v>-2311</v>
      </c>
      <c r="J257" s="2">
        <v>-2076</v>
      </c>
      <c r="K257" s="2">
        <v>-2374</v>
      </c>
      <c r="L257" s="2">
        <v>-2407</v>
      </c>
      <c r="M257" s="2">
        <v>-3018</v>
      </c>
      <c r="N257" s="2">
        <v>-3824</v>
      </c>
      <c r="O257" s="2">
        <v>-4259.4399999999996</v>
      </c>
      <c r="P257" s="2">
        <v>-5430.67</v>
      </c>
      <c r="Q257" s="2">
        <v>-5736.22</v>
      </c>
      <c r="R257" s="2">
        <v>-5166.38</v>
      </c>
      <c r="S257" s="2">
        <v>-4338</v>
      </c>
      <c r="T257" s="2">
        <v>-5040</v>
      </c>
    </row>
    <row r="258" spans="1:20" x14ac:dyDescent="0.25">
      <c r="A258" t="s">
        <v>213</v>
      </c>
      <c r="B258" s="2">
        <v>-1532</v>
      </c>
      <c r="C258" s="2">
        <v>-1898</v>
      </c>
      <c r="D258" s="2">
        <v>-2064</v>
      </c>
      <c r="E258" s="2">
        <v>-1915</v>
      </c>
      <c r="F258" s="2">
        <v>-1868</v>
      </c>
      <c r="G258" s="2">
        <v>-2606</v>
      </c>
      <c r="H258" s="2">
        <v>-2816</v>
      </c>
      <c r="I258" s="2">
        <v>-2867</v>
      </c>
      <c r="J258" s="2">
        <v>-1233</v>
      </c>
      <c r="K258" s="2">
        <v>-2476</v>
      </c>
      <c r="L258" s="2">
        <v>-3386</v>
      </c>
      <c r="M258" s="2">
        <v>-3054</v>
      </c>
      <c r="N258" s="2">
        <v>-4038</v>
      </c>
      <c r="O258" s="2">
        <v>-4224.68</v>
      </c>
      <c r="P258" s="2">
        <v>-5392.66</v>
      </c>
      <c r="Q258" s="2">
        <v>-5724.29</v>
      </c>
      <c r="R258" s="2">
        <v>-5020.3900000000003</v>
      </c>
      <c r="S258" s="2">
        <v>-4200.9399999999996</v>
      </c>
      <c r="T258" s="2">
        <v>-5040</v>
      </c>
    </row>
    <row r="259" spans="1:20" x14ac:dyDescent="0.25">
      <c r="A259" t="s">
        <v>17</v>
      </c>
    </row>
    <row r="260" spans="1:20" x14ac:dyDescent="0.25">
      <c r="A260" t="s">
        <v>214</v>
      </c>
    </row>
    <row r="261" spans="1:20" x14ac:dyDescent="0.25">
      <c r="A261" t="s">
        <v>347</v>
      </c>
      <c r="B261">
        <v>-273</v>
      </c>
      <c r="C261">
        <v>-295</v>
      </c>
      <c r="D261">
        <v>-322</v>
      </c>
      <c r="E261">
        <v>-347</v>
      </c>
      <c r="F261">
        <v>-377</v>
      </c>
      <c r="G261">
        <v>-407</v>
      </c>
      <c r="H261">
        <v>-436</v>
      </c>
      <c r="I261">
        <v>-467</v>
      </c>
      <c r="J261">
        <v>-509</v>
      </c>
      <c r="K261">
        <v>-546</v>
      </c>
      <c r="L261">
        <v>-579</v>
      </c>
      <c r="M261">
        <v>-626</v>
      </c>
      <c r="N261">
        <v>-663</v>
      </c>
      <c r="O261">
        <v>-713.98</v>
      </c>
      <c r="P261">
        <v>-769.92</v>
      </c>
      <c r="Q261">
        <v>-834.75</v>
      </c>
      <c r="R261">
        <v>-906.27</v>
      </c>
      <c r="S261">
        <v>-979.88</v>
      </c>
      <c r="T261" s="2">
        <v>-1032.5</v>
      </c>
    </row>
    <row r="262" spans="1:20" x14ac:dyDescent="0.25">
      <c r="A262" t="s">
        <v>3925</v>
      </c>
      <c r="B262" s="2">
        <v>1025</v>
      </c>
      <c r="C262" s="2">
        <v>1428</v>
      </c>
      <c r="D262">
        <v>599</v>
      </c>
      <c r="E262" s="2">
        <v>1049</v>
      </c>
      <c r="F262" s="2">
        <v>1633</v>
      </c>
      <c r="G262" s="2">
        <v>2767</v>
      </c>
      <c r="H262" s="2">
        <v>2151</v>
      </c>
      <c r="I262" s="2">
        <v>3179</v>
      </c>
      <c r="J262">
        <v>335</v>
      </c>
      <c r="K262" s="2">
        <v>1899</v>
      </c>
      <c r="L262" s="2">
        <v>3551</v>
      </c>
      <c r="M262" s="2">
        <v>1962</v>
      </c>
      <c r="N262" s="2">
        <v>3609</v>
      </c>
      <c r="O262" s="2">
        <v>1984</v>
      </c>
      <c r="P262" s="2">
        <v>2946.25</v>
      </c>
      <c r="Q262" s="2">
        <v>3130</v>
      </c>
      <c r="R262" s="2">
        <v>2255</v>
      </c>
      <c r="S262" s="2">
        <v>1020</v>
      </c>
      <c r="T262" s="2">
        <v>1200</v>
      </c>
    </row>
    <row r="263" spans="1:20" x14ac:dyDescent="0.25">
      <c r="A263" t="s">
        <v>3926</v>
      </c>
      <c r="B263">
        <v>36</v>
      </c>
      <c r="C263">
        <v>43</v>
      </c>
      <c r="D263">
        <v>43</v>
      </c>
      <c r="E263">
        <v>72</v>
      </c>
      <c r="F263">
        <v>83</v>
      </c>
      <c r="G263">
        <v>41</v>
      </c>
      <c r="H263">
        <v>12</v>
      </c>
      <c r="I263">
        <v>253</v>
      </c>
      <c r="J263">
        <v>26</v>
      </c>
      <c r="K263">
        <v>69</v>
      </c>
      <c r="L263">
        <v>192</v>
      </c>
      <c r="M263">
        <v>286</v>
      </c>
      <c r="N263">
        <v>525</v>
      </c>
      <c r="O263">
        <v>713.43</v>
      </c>
      <c r="P263">
        <v>595.14</v>
      </c>
      <c r="Q263">
        <v>595.14</v>
      </c>
      <c r="R263">
        <v>659.17</v>
      </c>
      <c r="S263">
        <v>512.5</v>
      </c>
    </row>
    <row r="264" spans="1:20" x14ac:dyDescent="0.25">
      <c r="A264" t="s">
        <v>3927</v>
      </c>
      <c r="B264">
        <v>434</v>
      </c>
      <c r="C264">
        <v>714</v>
      </c>
      <c r="D264">
        <v>742</v>
      </c>
      <c r="E264">
        <v>530</v>
      </c>
      <c r="F264">
        <v>404</v>
      </c>
      <c r="G264" s="2">
        <v>1240</v>
      </c>
      <c r="H264" s="2">
        <v>1432</v>
      </c>
      <c r="I264" s="2">
        <v>1436</v>
      </c>
      <c r="J264">
        <v>16</v>
      </c>
      <c r="K264" s="2">
        <v>1813</v>
      </c>
      <c r="L264" s="2">
        <v>1492</v>
      </c>
      <c r="M264">
        <v>982</v>
      </c>
      <c r="N264" s="2">
        <v>2394</v>
      </c>
      <c r="O264">
        <v>755.56</v>
      </c>
      <c r="P264" s="2">
        <v>2638.47</v>
      </c>
      <c r="Q264" s="2">
        <v>2812.64</v>
      </c>
      <c r="R264" s="2">
        <v>1913.24</v>
      </c>
      <c r="S264">
        <v>571.04999999999995</v>
      </c>
    </row>
    <row r="265" spans="1:20" x14ac:dyDescent="0.25">
      <c r="A265" t="s">
        <v>713</v>
      </c>
      <c r="B265">
        <v>-776</v>
      </c>
      <c r="C265">
        <v>-801</v>
      </c>
      <c r="D265">
        <v>-260</v>
      </c>
      <c r="E265">
        <v>-750</v>
      </c>
      <c r="F265" s="2">
        <v>-1026</v>
      </c>
      <c r="G265" s="2">
        <v>-1931</v>
      </c>
      <c r="H265" s="2">
        <v>-1335</v>
      </c>
      <c r="I265" s="2">
        <v>-2010</v>
      </c>
      <c r="J265">
        <v>-235</v>
      </c>
      <c r="K265">
        <v>-106</v>
      </c>
      <c r="L265" s="2">
        <v>-2132</v>
      </c>
      <c r="M265">
        <v>-952</v>
      </c>
      <c r="N265" s="2">
        <v>-1150</v>
      </c>
      <c r="O265">
        <v>-766</v>
      </c>
      <c r="P265">
        <v>-748.33</v>
      </c>
      <c r="Q265" s="2">
        <v>-1041.67</v>
      </c>
      <c r="R265" s="2">
        <v>-1735</v>
      </c>
      <c r="S265">
        <v>-707.5</v>
      </c>
      <c r="T265">
        <v>-715</v>
      </c>
    </row>
    <row r="266" spans="1:20" x14ac:dyDescent="0.25">
      <c r="A266" t="s">
        <v>218</v>
      </c>
      <c r="B266">
        <v>190</v>
      </c>
      <c r="C266">
        <v>462</v>
      </c>
      <c r="D266">
        <v>463</v>
      </c>
      <c r="E266">
        <v>255</v>
      </c>
      <c r="F266">
        <v>110</v>
      </c>
      <c r="G266">
        <v>874</v>
      </c>
      <c r="H266" s="2">
        <v>1008</v>
      </c>
      <c r="I266" s="2">
        <v>1619</v>
      </c>
      <c r="J266">
        <v>-295</v>
      </c>
      <c r="K266" s="2">
        <v>1327</v>
      </c>
      <c r="L266" s="2">
        <v>1143</v>
      </c>
      <c r="M266">
        <v>614</v>
      </c>
      <c r="N266" s="2">
        <v>2240</v>
      </c>
      <c r="O266" s="2">
        <v>1411.86</v>
      </c>
      <c r="P266" s="2">
        <v>2160.62</v>
      </c>
      <c r="Q266" s="2">
        <v>2148.27</v>
      </c>
      <c r="R266" s="2">
        <v>1500.74</v>
      </c>
      <c r="S266">
        <v>320.02999999999997</v>
      </c>
      <c r="T266">
        <v>-547.5</v>
      </c>
    </row>
    <row r="267" spans="1:20" x14ac:dyDescent="0.25">
      <c r="A267" t="s">
        <v>17</v>
      </c>
    </row>
    <row r="268" spans="1:20" x14ac:dyDescent="0.25">
      <c r="A268" t="s">
        <v>176</v>
      </c>
    </row>
    <row r="269" spans="1:20" x14ac:dyDescent="0.25">
      <c r="A269" t="s">
        <v>220</v>
      </c>
      <c r="B269">
        <v>79</v>
      </c>
      <c r="C269">
        <v>45</v>
      </c>
      <c r="D269">
        <v>39</v>
      </c>
      <c r="E269">
        <v>-31</v>
      </c>
      <c r="F269">
        <v>-53</v>
      </c>
      <c r="G269">
        <v>-29</v>
      </c>
      <c r="H269">
        <v>-18</v>
      </c>
      <c r="I269">
        <v>28</v>
      </c>
      <c r="J269">
        <v>291</v>
      </c>
      <c r="K269">
        <v>-294</v>
      </c>
      <c r="L269">
        <v>66</v>
      </c>
      <c r="M269">
        <v>-70</v>
      </c>
      <c r="N269">
        <v>437</v>
      </c>
      <c r="O269">
        <v>-73.650000000000006</v>
      </c>
      <c r="P269">
        <v>-386.12</v>
      </c>
      <c r="Q269">
        <v>-319.61</v>
      </c>
      <c r="R269">
        <v>-19</v>
      </c>
      <c r="S269">
        <v>-334.81</v>
      </c>
      <c r="T269" s="2">
        <v>-1571.91</v>
      </c>
    </row>
    <row r="270" spans="1:20" x14ac:dyDescent="0.25">
      <c r="A270" t="s">
        <v>221</v>
      </c>
      <c r="B270">
        <v>93</v>
      </c>
      <c r="C270">
        <v>204</v>
      </c>
      <c r="D270">
        <v>249</v>
      </c>
      <c r="E270">
        <v>288</v>
      </c>
      <c r="F270">
        <v>257</v>
      </c>
      <c r="G270">
        <v>204</v>
      </c>
      <c r="H270">
        <v>175</v>
      </c>
      <c r="I270">
        <v>157</v>
      </c>
      <c r="J270">
        <v>185</v>
      </c>
      <c r="K270">
        <v>476</v>
      </c>
      <c r="L270">
        <v>182</v>
      </c>
      <c r="M270">
        <v>248</v>
      </c>
      <c r="N270">
        <v>178</v>
      </c>
      <c r="O270">
        <v>615</v>
      </c>
      <c r="P270">
        <v>594.58000000000004</v>
      </c>
      <c r="Q270">
        <v>404.42</v>
      </c>
      <c r="R270">
        <v>187.04</v>
      </c>
      <c r="S270">
        <v>5</v>
      </c>
    </row>
    <row r="271" spans="1:20" x14ac:dyDescent="0.25">
      <c r="A271" t="s">
        <v>222</v>
      </c>
      <c r="B271">
        <v>172</v>
      </c>
      <c r="C271">
        <v>249</v>
      </c>
      <c r="D271">
        <v>288</v>
      </c>
      <c r="E271">
        <v>257</v>
      </c>
      <c r="F271">
        <v>204</v>
      </c>
      <c r="G271">
        <v>175</v>
      </c>
      <c r="H271">
        <v>157</v>
      </c>
      <c r="I271">
        <v>185</v>
      </c>
      <c r="J271">
        <v>476</v>
      </c>
      <c r="K271">
        <v>182</v>
      </c>
      <c r="L271">
        <v>248</v>
      </c>
      <c r="M271">
        <v>178</v>
      </c>
      <c r="N271">
        <v>509</v>
      </c>
      <c r="O271">
        <v>483.56</v>
      </c>
      <c r="P271">
        <v>365.22</v>
      </c>
      <c r="Q271">
        <v>231.38</v>
      </c>
      <c r="R271">
        <v>49.67</v>
      </c>
      <c r="S271">
        <v>32.64</v>
      </c>
    </row>
    <row r="272" spans="1:20" x14ac:dyDescent="0.25">
      <c r="A272" t="s">
        <v>178</v>
      </c>
    </row>
    <row r="273" spans="1:19" x14ac:dyDescent="0.25">
      <c r="A273" t="s">
        <v>224</v>
      </c>
      <c r="B273">
        <v>5.37</v>
      </c>
      <c r="C273">
        <v>5.47</v>
      </c>
      <c r="D273">
        <v>5.95</v>
      </c>
      <c r="E273">
        <v>5.86</v>
      </c>
      <c r="F273">
        <v>6.09</v>
      </c>
      <c r="G273">
        <v>6.03</v>
      </c>
      <c r="H273">
        <v>6.33</v>
      </c>
      <c r="I273">
        <v>4.4800000000000004</v>
      </c>
      <c r="J273">
        <v>6.29</v>
      </c>
      <c r="K273">
        <v>2.95</v>
      </c>
      <c r="L273">
        <v>7.93</v>
      </c>
      <c r="M273">
        <v>7.95</v>
      </c>
      <c r="N273">
        <v>7.43</v>
      </c>
      <c r="O273">
        <v>8.6199999999999992</v>
      </c>
      <c r="P273">
        <v>9.01</v>
      </c>
      <c r="Q273">
        <v>9.42</v>
      </c>
      <c r="R273">
        <v>9.98</v>
      </c>
      <c r="S273">
        <v>10.61</v>
      </c>
    </row>
    <row r="274" spans="1:19" x14ac:dyDescent="0.25">
      <c r="A274" t="s">
        <v>225</v>
      </c>
      <c r="B274">
        <v>40</v>
      </c>
      <c r="C274">
        <v>-162</v>
      </c>
      <c r="D274">
        <v>-39</v>
      </c>
      <c r="E274">
        <v>-43</v>
      </c>
      <c r="F274">
        <v>40</v>
      </c>
      <c r="G274">
        <v>-371</v>
      </c>
      <c r="H274">
        <v>-307</v>
      </c>
      <c r="I274" s="2">
        <v>-1035</v>
      </c>
      <c r="J274">
        <v>-257</v>
      </c>
      <c r="K274" s="2">
        <v>-1519</v>
      </c>
      <c r="L274">
        <v>-98</v>
      </c>
      <c r="M274">
        <v>-648</v>
      </c>
      <c r="N274" s="2">
        <v>-1589</v>
      </c>
      <c r="O274" s="2">
        <v>-1106.02</v>
      </c>
      <c r="P274" s="2">
        <v>-2258.15</v>
      </c>
      <c r="Q274" s="2">
        <v>-2258.84</v>
      </c>
      <c r="R274" s="2">
        <v>-1592.89</v>
      </c>
      <c r="S274">
        <v>-272.07</v>
      </c>
    </row>
    <row r="275" spans="1:19" x14ac:dyDescent="0.25">
      <c r="A275" t="s">
        <v>3928</v>
      </c>
      <c r="B275">
        <v>-233</v>
      </c>
      <c r="C275">
        <v>-457</v>
      </c>
      <c r="D275">
        <v>-361</v>
      </c>
      <c r="E275">
        <v>-390</v>
      </c>
      <c r="F275">
        <v>-337</v>
      </c>
      <c r="G275">
        <v>-778</v>
      </c>
      <c r="H275">
        <v>-743</v>
      </c>
      <c r="I275" s="2">
        <v>-1502</v>
      </c>
      <c r="J275">
        <v>-766</v>
      </c>
      <c r="K275" s="2">
        <v>-2065</v>
      </c>
      <c r="L275">
        <v>-677</v>
      </c>
      <c r="M275" s="2">
        <v>-1274</v>
      </c>
      <c r="N275" s="2">
        <v>-2252</v>
      </c>
      <c r="O275" s="2">
        <v>-2020.56</v>
      </c>
      <c r="P275" s="2">
        <v>-3300.97</v>
      </c>
      <c r="Q275" s="2">
        <v>-3475.14</v>
      </c>
      <c r="R275" s="2">
        <v>-2575.7399999999998</v>
      </c>
      <c r="S275" s="2">
        <v>-1233.55</v>
      </c>
    </row>
    <row r="276" spans="1:19" x14ac:dyDescent="0.25">
      <c r="A276" t="s">
        <v>17</v>
      </c>
    </row>
    <row r="277" spans="1:19" x14ac:dyDescent="0.25">
      <c r="A277" t="s">
        <v>231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1F0A-99E7-4C68-B674-639658722E12}">
  <dimension ref="A1:U158"/>
  <sheetViews>
    <sheetView workbookViewId="0">
      <selection sqref="A1:U158"/>
    </sheetView>
  </sheetViews>
  <sheetFormatPr defaultRowHeight="15" x14ac:dyDescent="0.25"/>
  <sheetData>
    <row r="1" spans="1:21" x14ac:dyDescent="0.25">
      <c r="A1" t="s">
        <v>3929</v>
      </c>
    </row>
    <row r="2" spans="1:21" x14ac:dyDescent="0.25">
      <c r="A2" t="s">
        <v>3930</v>
      </c>
    </row>
    <row r="3" spans="1:21" x14ac:dyDescent="0.25">
      <c r="A3" t="s">
        <v>2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  <c r="J3" t="s">
        <v>372</v>
      </c>
      <c r="K3" t="s">
        <v>235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</row>
    <row r="4" spans="1:21" x14ac:dyDescent="0.25">
      <c r="A4" t="s">
        <v>13</v>
      </c>
      <c r="B4" s="1">
        <v>41790</v>
      </c>
      <c r="C4" s="1">
        <v>42155</v>
      </c>
      <c r="D4" s="1">
        <v>42521</v>
      </c>
      <c r="E4" s="1">
        <v>42886</v>
      </c>
      <c r="F4" s="1">
        <v>43251</v>
      </c>
      <c r="G4" s="1">
        <v>43616</v>
      </c>
      <c r="H4" s="1">
        <v>43982</v>
      </c>
      <c r="I4" s="1">
        <v>44347</v>
      </c>
      <c r="J4" s="1">
        <v>44712</v>
      </c>
      <c r="K4" s="1">
        <v>45077</v>
      </c>
      <c r="L4" s="1">
        <v>45443</v>
      </c>
      <c r="M4" s="1">
        <v>45808</v>
      </c>
      <c r="N4" s="1">
        <v>46173</v>
      </c>
      <c r="O4" s="1">
        <v>46538</v>
      </c>
      <c r="P4" s="1">
        <v>46904</v>
      </c>
      <c r="Q4" s="1">
        <v>47269</v>
      </c>
      <c r="R4" s="1">
        <v>47634</v>
      </c>
      <c r="S4" s="1">
        <v>47999</v>
      </c>
      <c r="T4" s="1">
        <v>48365</v>
      </c>
      <c r="U4" s="1">
        <v>48730</v>
      </c>
    </row>
    <row r="5" spans="1:21" x14ac:dyDescent="0.25">
      <c r="A5" t="s">
        <v>14</v>
      </c>
    </row>
    <row r="6" spans="1:21" x14ac:dyDescent="0.25">
      <c r="A6" t="s">
        <v>15</v>
      </c>
      <c r="J6">
        <v>-0.14000000000000001</v>
      </c>
      <c r="K6">
        <v>-0.49</v>
      </c>
      <c r="L6">
        <v>-0.68</v>
      </c>
      <c r="M6">
        <v>-0.06</v>
      </c>
      <c r="N6">
        <v>0.11</v>
      </c>
      <c r="O6">
        <v>-1.05</v>
      </c>
      <c r="P6">
        <v>-0.47</v>
      </c>
      <c r="Q6">
        <v>-0.84</v>
      </c>
      <c r="R6">
        <v>-0.56000000000000005</v>
      </c>
      <c r="S6">
        <v>-0.41</v>
      </c>
      <c r="T6">
        <v>-0.33</v>
      </c>
      <c r="U6">
        <v>-0.33</v>
      </c>
    </row>
    <row r="7" spans="1:21" x14ac:dyDescent="0.25">
      <c r="A7" t="s">
        <v>16</v>
      </c>
      <c r="J7">
        <v>8.5500000000000007</v>
      </c>
      <c r="K7">
        <v>55.39</v>
      </c>
      <c r="L7">
        <v>165.58</v>
      </c>
      <c r="M7">
        <v>144.19</v>
      </c>
      <c r="N7">
        <v>611.30999999999995</v>
      </c>
      <c r="O7">
        <v>901.94</v>
      </c>
      <c r="P7" s="2">
        <v>1978.56</v>
      </c>
      <c r="Q7" s="2">
        <v>3113.9</v>
      </c>
      <c r="R7" s="2">
        <v>4250.75</v>
      </c>
      <c r="S7" s="2">
        <v>5013.75</v>
      </c>
      <c r="T7" s="2">
        <v>5048</v>
      </c>
      <c r="U7" s="2">
        <v>5629</v>
      </c>
    </row>
    <row r="8" spans="1:21" x14ac:dyDescent="0.25">
      <c r="A8" t="s">
        <v>17</v>
      </c>
    </row>
    <row r="9" spans="1:21" x14ac:dyDescent="0.25">
      <c r="A9" t="s">
        <v>1072</v>
      </c>
      <c r="J9">
        <v>-11.19</v>
      </c>
      <c r="K9">
        <v>19.87</v>
      </c>
      <c r="L9">
        <v>10.41</v>
      </c>
      <c r="M9">
        <v>29.64</v>
      </c>
      <c r="N9">
        <v>25.79</v>
      </c>
      <c r="O9">
        <v>39.979999999999997</v>
      </c>
      <c r="P9">
        <v>45.37</v>
      </c>
      <c r="Q9">
        <v>50.01</v>
      </c>
      <c r="R9">
        <v>45.5</v>
      </c>
      <c r="S9">
        <v>45.5</v>
      </c>
      <c r="T9">
        <v>38</v>
      </c>
      <c r="U9">
        <v>38</v>
      </c>
    </row>
    <row r="10" spans="1:21" x14ac:dyDescent="0.25">
      <c r="A10" t="s">
        <v>109</v>
      </c>
      <c r="J10">
        <v>57.12</v>
      </c>
      <c r="K10">
        <v>93.98</v>
      </c>
      <c r="L10">
        <v>114.06</v>
      </c>
      <c r="M10">
        <v>201.19</v>
      </c>
      <c r="N10">
        <v>275.19</v>
      </c>
      <c r="O10">
        <v>309.7</v>
      </c>
      <c r="P10">
        <v>317.35000000000002</v>
      </c>
      <c r="Q10">
        <v>328.33</v>
      </c>
      <c r="R10">
        <v>347.46</v>
      </c>
      <c r="S10">
        <v>365.75</v>
      </c>
      <c r="T10">
        <v>352.72</v>
      </c>
      <c r="U10">
        <v>360.01</v>
      </c>
    </row>
    <row r="11" spans="1:21" x14ac:dyDescent="0.25">
      <c r="A11" t="s">
        <v>17</v>
      </c>
    </row>
    <row r="12" spans="1:21" x14ac:dyDescent="0.25">
      <c r="A12" t="s">
        <v>680</v>
      </c>
      <c r="J12">
        <v>-6.04</v>
      </c>
      <c r="K12">
        <v>-0.15</v>
      </c>
      <c r="L12">
        <v>24.46</v>
      </c>
      <c r="M12">
        <v>19.63</v>
      </c>
      <c r="N12">
        <v>107.23</v>
      </c>
      <c r="O12">
        <v>341.07</v>
      </c>
      <c r="P12" s="2">
        <v>1119.5999999999999</v>
      </c>
      <c r="Q12" s="2">
        <v>1926.1</v>
      </c>
      <c r="R12" s="2">
        <v>2550.75</v>
      </c>
      <c r="S12" s="2">
        <v>3009.25</v>
      </c>
      <c r="T12" s="2">
        <v>3067</v>
      </c>
      <c r="U12" s="2">
        <v>3429</v>
      </c>
    </row>
    <row r="13" spans="1:21" x14ac:dyDescent="0.25">
      <c r="A13" t="s">
        <v>528</v>
      </c>
      <c r="J13">
        <v>-7.81</v>
      </c>
      <c r="K13">
        <v>-45.61</v>
      </c>
      <c r="L13">
        <v>-77.52</v>
      </c>
      <c r="M13">
        <v>-12.46</v>
      </c>
      <c r="N13">
        <v>36.08</v>
      </c>
      <c r="O13">
        <v>-292.8</v>
      </c>
      <c r="P13">
        <v>-152.4</v>
      </c>
      <c r="Q13">
        <v>-112.77</v>
      </c>
      <c r="R13">
        <v>-41.45</v>
      </c>
      <c r="S13">
        <v>-877.45</v>
      </c>
      <c r="T13">
        <v>148.1</v>
      </c>
      <c r="U13">
        <v>202.6</v>
      </c>
    </row>
    <row r="14" spans="1:21" x14ac:dyDescent="0.25">
      <c r="A14" t="s">
        <v>17</v>
      </c>
    </row>
    <row r="15" spans="1:21" x14ac:dyDescent="0.25">
      <c r="A15" t="s">
        <v>242</v>
      </c>
      <c r="J15">
        <v>-54.97</v>
      </c>
      <c r="K15">
        <v>-128.72</v>
      </c>
      <c r="L15">
        <v>-141.81</v>
      </c>
      <c r="M15">
        <v>-681.6</v>
      </c>
      <c r="N15" s="2">
        <v>-2865.77</v>
      </c>
      <c r="O15" s="2">
        <v>-5851.36</v>
      </c>
      <c r="P15" s="2">
        <v>-5915.73</v>
      </c>
      <c r="Q15" s="2">
        <v>-5671.75</v>
      </c>
      <c r="R15" s="2">
        <v>-5789</v>
      </c>
      <c r="S15" s="2">
        <v>-5959.33</v>
      </c>
      <c r="T15" s="2">
        <v>-5055</v>
      </c>
      <c r="U15" s="2">
        <v>-3750</v>
      </c>
    </row>
    <row r="16" spans="1:21" x14ac:dyDescent="0.25">
      <c r="A16" t="s">
        <v>17</v>
      </c>
    </row>
    <row r="17" spans="1:19" x14ac:dyDescent="0.25">
      <c r="A17" t="s">
        <v>58</v>
      </c>
    </row>
    <row r="18" spans="1:19" x14ac:dyDescent="0.25">
      <c r="A18" t="s">
        <v>16</v>
      </c>
      <c r="J18">
        <v>8.5500000000000007</v>
      </c>
      <c r="K18">
        <v>55.39</v>
      </c>
      <c r="L18">
        <v>136.62</v>
      </c>
      <c r="M18">
        <v>144.19</v>
      </c>
      <c r="N18">
        <v>611.30999999999995</v>
      </c>
    </row>
    <row r="19" spans="1:19" x14ac:dyDescent="0.25">
      <c r="A19" t="s">
        <v>3931</v>
      </c>
      <c r="L19">
        <v>136.62</v>
      </c>
      <c r="M19">
        <v>144.19</v>
      </c>
      <c r="N19">
        <v>154.4</v>
      </c>
      <c r="O19">
        <v>144.49</v>
      </c>
      <c r="P19">
        <v>134.54</v>
      </c>
      <c r="Q19">
        <v>86.15</v>
      </c>
    </row>
    <row r="20" spans="1:19" x14ac:dyDescent="0.25">
      <c r="A20" t="s">
        <v>3932</v>
      </c>
      <c r="O20">
        <v>83.49</v>
      </c>
      <c r="P20">
        <v>50.74</v>
      </c>
    </row>
    <row r="21" spans="1:19" x14ac:dyDescent="0.25">
      <c r="A21" t="s">
        <v>3933</v>
      </c>
      <c r="L21">
        <v>0</v>
      </c>
      <c r="M21">
        <v>0</v>
      </c>
      <c r="N21">
        <v>385.3</v>
      </c>
      <c r="O21">
        <v>667.6</v>
      </c>
      <c r="P21" s="2">
        <v>1675.48</v>
      </c>
      <c r="Q21" s="2">
        <v>2778.03</v>
      </c>
      <c r="R21" s="2">
        <v>4372.3500000000004</v>
      </c>
      <c r="S21" s="2">
        <v>5355.21</v>
      </c>
    </row>
    <row r="22" spans="1:19" x14ac:dyDescent="0.25">
      <c r="A22" t="s">
        <v>17</v>
      </c>
    </row>
    <row r="23" spans="1:19" x14ac:dyDescent="0.25">
      <c r="A23" t="s">
        <v>3934</v>
      </c>
    </row>
    <row r="24" spans="1:19" x14ac:dyDescent="0.25">
      <c r="A24" t="s">
        <v>3931</v>
      </c>
      <c r="L24">
        <v>4.8099999999999996</v>
      </c>
      <c r="M24">
        <v>63.93</v>
      </c>
      <c r="N24">
        <v>48.34</v>
      </c>
    </row>
    <row r="25" spans="1:19" x14ac:dyDescent="0.25">
      <c r="A25" t="s">
        <v>3932</v>
      </c>
      <c r="O25">
        <v>-2.09</v>
      </c>
      <c r="P25">
        <v>5.07</v>
      </c>
    </row>
    <row r="26" spans="1:19" x14ac:dyDescent="0.25">
      <c r="A26" t="s">
        <v>3933</v>
      </c>
      <c r="L26">
        <v>-4.8099999999999996</v>
      </c>
      <c r="M26">
        <v>-12.09</v>
      </c>
      <c r="N26">
        <v>39.130000000000003</v>
      </c>
    </row>
    <row r="27" spans="1:19" x14ac:dyDescent="0.25">
      <c r="A27" t="s">
        <v>17</v>
      </c>
    </row>
    <row r="28" spans="1:19" x14ac:dyDescent="0.25">
      <c r="A28" t="s">
        <v>93</v>
      </c>
    </row>
    <row r="29" spans="1:19" x14ac:dyDescent="0.25">
      <c r="A29" t="s">
        <v>3931</v>
      </c>
      <c r="L29">
        <v>19.95</v>
      </c>
      <c r="M29">
        <v>13.31</v>
      </c>
      <c r="N29">
        <v>12.89</v>
      </c>
    </row>
    <row r="30" spans="1:19" x14ac:dyDescent="0.25">
      <c r="A30" t="s">
        <v>3932</v>
      </c>
    </row>
    <row r="31" spans="1:19" x14ac:dyDescent="0.25">
      <c r="A31" t="s">
        <v>3933</v>
      </c>
      <c r="L31">
        <v>1.23</v>
      </c>
      <c r="M31">
        <v>3.73</v>
      </c>
      <c r="N31">
        <v>34.409999999999997</v>
      </c>
    </row>
    <row r="32" spans="1:19" x14ac:dyDescent="0.25">
      <c r="A32" t="s">
        <v>17</v>
      </c>
    </row>
    <row r="33" spans="1:21" x14ac:dyDescent="0.25">
      <c r="A33" t="s">
        <v>3801</v>
      </c>
      <c r="J33">
        <v>119.98</v>
      </c>
      <c r="K33">
        <v>263.95999999999998</v>
      </c>
      <c r="L33">
        <v>762.87</v>
      </c>
      <c r="M33" s="2">
        <v>1870.09</v>
      </c>
      <c r="N33" s="2">
        <v>9929.31</v>
      </c>
      <c r="O33" s="2">
        <v>15449.14</v>
      </c>
      <c r="P33" s="2">
        <v>21766.76</v>
      </c>
      <c r="Q33" s="2">
        <v>27443.14</v>
      </c>
      <c r="R33" s="2">
        <v>38000.01</v>
      </c>
      <c r="S33" s="2">
        <v>42626.11</v>
      </c>
      <c r="T33" s="2">
        <v>53248.68</v>
      </c>
      <c r="U33" s="2">
        <v>59252.33</v>
      </c>
    </row>
    <row r="34" spans="1:21" x14ac:dyDescent="0.25">
      <c r="A34" t="s">
        <v>3931</v>
      </c>
      <c r="L34">
        <v>145.22</v>
      </c>
      <c r="M34">
        <v>141.76</v>
      </c>
      <c r="N34">
        <v>113.79</v>
      </c>
    </row>
    <row r="35" spans="1:21" x14ac:dyDescent="0.25">
      <c r="A35" t="s">
        <v>3932</v>
      </c>
      <c r="L35">
        <v>374.22</v>
      </c>
      <c r="M35">
        <v>304.47000000000003</v>
      </c>
    </row>
    <row r="36" spans="1:21" x14ac:dyDescent="0.25">
      <c r="A36" t="s">
        <v>3933</v>
      </c>
      <c r="L36">
        <v>220.65</v>
      </c>
      <c r="M36" s="2">
        <v>1363.34</v>
      </c>
      <c r="N36" s="2">
        <v>8999.08</v>
      </c>
    </row>
    <row r="37" spans="1:21" x14ac:dyDescent="0.25">
      <c r="A37" t="s">
        <v>17</v>
      </c>
    </row>
    <row r="38" spans="1:21" x14ac:dyDescent="0.25">
      <c r="A38" t="s">
        <v>79</v>
      </c>
    </row>
    <row r="39" spans="1:21" x14ac:dyDescent="0.25">
      <c r="A39" t="s">
        <v>80</v>
      </c>
      <c r="J39">
        <v>8.5500000000000007</v>
      </c>
      <c r="K39">
        <v>55.39</v>
      </c>
      <c r="L39">
        <v>165.58</v>
      </c>
      <c r="M39">
        <v>144.19</v>
      </c>
      <c r="N39">
        <v>611.30999999999995</v>
      </c>
      <c r="O39">
        <v>901.94</v>
      </c>
      <c r="P39" s="2">
        <v>1978.56</v>
      </c>
      <c r="Q39" s="2">
        <v>3113.9</v>
      </c>
      <c r="R39" s="2">
        <v>4250.75</v>
      </c>
      <c r="S39" s="2">
        <v>5013.75</v>
      </c>
      <c r="T39" s="2">
        <v>5048</v>
      </c>
      <c r="U39" s="2">
        <v>5629</v>
      </c>
    </row>
    <row r="40" spans="1:21" x14ac:dyDescent="0.25">
      <c r="A40" t="s">
        <v>881</v>
      </c>
      <c r="N40">
        <v>114.7</v>
      </c>
      <c r="O40">
        <v>437.4</v>
      </c>
      <c r="P40" s="2">
        <v>1292.56</v>
      </c>
      <c r="Q40" s="2">
        <v>2022.36</v>
      </c>
      <c r="R40" s="2">
        <v>2132.81</v>
      </c>
      <c r="S40" s="2">
        <v>2536.46</v>
      </c>
      <c r="T40">
        <v>675</v>
      </c>
      <c r="U40">
        <v>675</v>
      </c>
    </row>
    <row r="41" spans="1:21" x14ac:dyDescent="0.25">
      <c r="A41" t="s">
        <v>17</v>
      </c>
    </row>
    <row r="42" spans="1:21" x14ac:dyDescent="0.25">
      <c r="A42" t="s">
        <v>82</v>
      </c>
      <c r="J42">
        <v>9.51</v>
      </c>
      <c r="K42">
        <v>44.39</v>
      </c>
      <c r="L42">
        <v>106.65</v>
      </c>
      <c r="M42">
        <v>101.45</v>
      </c>
      <c r="N42">
        <v>396.86</v>
      </c>
      <c r="O42">
        <v>459.12</v>
      </c>
      <c r="P42">
        <v>965.45</v>
      </c>
      <c r="Q42" s="2">
        <v>1385.61</v>
      </c>
      <c r="R42" s="2">
        <v>1904.61</v>
      </c>
      <c r="S42" s="2">
        <v>2250.87</v>
      </c>
      <c r="T42" s="2">
        <v>1894.08</v>
      </c>
      <c r="U42" s="2">
        <v>2105.4</v>
      </c>
    </row>
    <row r="43" spans="1:21" x14ac:dyDescent="0.25">
      <c r="A43" t="s">
        <v>84</v>
      </c>
      <c r="J43">
        <v>-0.96</v>
      </c>
      <c r="K43">
        <v>11</v>
      </c>
      <c r="L43">
        <v>29.97</v>
      </c>
      <c r="M43">
        <v>42.74</v>
      </c>
      <c r="N43">
        <v>157.68</v>
      </c>
      <c r="O43">
        <v>341.8</v>
      </c>
      <c r="P43">
        <v>936.03</v>
      </c>
      <c r="Q43" s="2">
        <v>1650.57</v>
      </c>
      <c r="R43" s="2">
        <v>2448.08</v>
      </c>
      <c r="S43" s="2">
        <v>2850.34</v>
      </c>
      <c r="T43" s="2">
        <v>3153.83</v>
      </c>
      <c r="U43" s="2">
        <v>3523.71</v>
      </c>
    </row>
    <row r="44" spans="1:21" x14ac:dyDescent="0.25">
      <c r="A44" t="s">
        <v>85</v>
      </c>
      <c r="J44">
        <v>-11.19</v>
      </c>
      <c r="K44">
        <v>19.87</v>
      </c>
      <c r="L44">
        <v>10.41</v>
      </c>
      <c r="M44">
        <v>29.64</v>
      </c>
      <c r="N44">
        <v>25.79</v>
      </c>
      <c r="O44">
        <v>39.979999999999997</v>
      </c>
      <c r="P44">
        <v>45.37</v>
      </c>
      <c r="Q44">
        <v>50.01</v>
      </c>
      <c r="R44">
        <v>45.5</v>
      </c>
      <c r="S44">
        <v>45.5</v>
      </c>
      <c r="T44">
        <v>38</v>
      </c>
      <c r="U44">
        <v>38</v>
      </c>
    </row>
    <row r="45" spans="1:21" x14ac:dyDescent="0.25">
      <c r="A45" t="s">
        <v>17</v>
      </c>
    </row>
    <row r="46" spans="1:21" x14ac:dyDescent="0.25">
      <c r="A46" t="s">
        <v>275</v>
      </c>
      <c r="J46">
        <v>19.940000000000001</v>
      </c>
      <c r="K46">
        <v>55.06</v>
      </c>
      <c r="L46">
        <v>62.82</v>
      </c>
      <c r="M46">
        <v>84.2</v>
      </c>
      <c r="N46">
        <v>450.92</v>
      </c>
      <c r="O46">
        <v>266.75</v>
      </c>
      <c r="P46">
        <v>329.3</v>
      </c>
      <c r="Q46">
        <v>381.33</v>
      </c>
      <c r="R46">
        <v>450.84</v>
      </c>
      <c r="S46">
        <v>539.02</v>
      </c>
      <c r="T46">
        <v>173.25</v>
      </c>
      <c r="U46">
        <v>173.25</v>
      </c>
    </row>
    <row r="47" spans="1:21" x14ac:dyDescent="0.25">
      <c r="A47" t="s">
        <v>1119</v>
      </c>
      <c r="J47">
        <v>19.940000000000001</v>
      </c>
      <c r="K47">
        <v>55.06</v>
      </c>
      <c r="L47">
        <v>45.02</v>
      </c>
      <c r="M47">
        <v>83.07</v>
      </c>
      <c r="N47">
        <v>332.1</v>
      </c>
      <c r="O47">
        <v>271.77999999999997</v>
      </c>
      <c r="P47">
        <v>337.65</v>
      </c>
      <c r="Q47">
        <v>403.84</v>
      </c>
      <c r="R47">
        <v>446.58</v>
      </c>
      <c r="S47">
        <v>518.80999999999995</v>
      </c>
      <c r="T47">
        <v>375.49</v>
      </c>
      <c r="U47">
        <v>420.06</v>
      </c>
    </row>
    <row r="48" spans="1:21" x14ac:dyDescent="0.25">
      <c r="A48" t="s">
        <v>69</v>
      </c>
      <c r="J48">
        <v>233.26</v>
      </c>
      <c r="K48">
        <v>99.4</v>
      </c>
      <c r="L48">
        <v>32.950000000000003</v>
      </c>
      <c r="M48">
        <v>57.61</v>
      </c>
      <c r="N48">
        <v>54.33</v>
      </c>
      <c r="O48">
        <v>40.86</v>
      </c>
      <c r="P48">
        <v>21.79</v>
      </c>
      <c r="Q48">
        <v>14.86</v>
      </c>
      <c r="R48">
        <v>20</v>
      </c>
      <c r="S48">
        <v>20</v>
      </c>
      <c r="T48">
        <v>20</v>
      </c>
      <c r="U48">
        <v>20</v>
      </c>
    </row>
    <row r="49" spans="1:21" x14ac:dyDescent="0.25">
      <c r="A49" t="s">
        <v>3935</v>
      </c>
      <c r="L49">
        <v>15.42</v>
      </c>
      <c r="M49">
        <v>-24.62</v>
      </c>
      <c r="N49">
        <v>56.77</v>
      </c>
      <c r="O49">
        <v>0</v>
      </c>
      <c r="P49">
        <v>0</v>
      </c>
      <c r="Q49">
        <v>0</v>
      </c>
    </row>
    <row r="50" spans="1:21" x14ac:dyDescent="0.25">
      <c r="A50" t="s">
        <v>3936</v>
      </c>
      <c r="L50">
        <v>15.42</v>
      </c>
      <c r="M50">
        <v>-23.48</v>
      </c>
      <c r="N50">
        <v>2.4</v>
      </c>
      <c r="O50">
        <v>0</v>
      </c>
      <c r="P50">
        <v>0</v>
      </c>
      <c r="Q50">
        <v>0</v>
      </c>
    </row>
    <row r="51" spans="1:21" x14ac:dyDescent="0.25">
      <c r="A51" t="s">
        <v>17</v>
      </c>
    </row>
    <row r="52" spans="1:21" x14ac:dyDescent="0.25">
      <c r="A52" t="s">
        <v>91</v>
      </c>
      <c r="J52">
        <v>-6.22</v>
      </c>
      <c r="K52">
        <v>-44.06</v>
      </c>
      <c r="L52">
        <v>-99.02</v>
      </c>
      <c r="M52">
        <v>2.38</v>
      </c>
      <c r="N52">
        <v>57.8</v>
      </c>
      <c r="O52">
        <v>61.68</v>
      </c>
      <c r="P52">
        <v>557.41</v>
      </c>
      <c r="Q52" s="2">
        <v>1000.56</v>
      </c>
      <c r="R52" s="2">
        <v>1467.5</v>
      </c>
      <c r="S52" s="2">
        <v>1764.25</v>
      </c>
      <c r="T52" s="2">
        <v>1701.5</v>
      </c>
      <c r="U52" s="2">
        <v>1940.5</v>
      </c>
    </row>
    <row r="53" spans="1:21" x14ac:dyDescent="0.25">
      <c r="A53" t="s">
        <v>92</v>
      </c>
      <c r="J53">
        <v>-244.45</v>
      </c>
      <c r="K53">
        <v>-79.53</v>
      </c>
      <c r="L53">
        <v>-24.05</v>
      </c>
      <c r="M53">
        <v>-11.68</v>
      </c>
      <c r="N53">
        <v>-38.68</v>
      </c>
      <c r="O53">
        <v>2.83</v>
      </c>
      <c r="P53">
        <v>22.87</v>
      </c>
      <c r="Q53">
        <v>29.25</v>
      </c>
    </row>
    <row r="54" spans="1:21" x14ac:dyDescent="0.25">
      <c r="A54" t="s">
        <v>17</v>
      </c>
    </row>
    <row r="55" spans="1:21" x14ac:dyDescent="0.25">
      <c r="A55" t="s">
        <v>93</v>
      </c>
      <c r="J55">
        <v>1.1200000000000001</v>
      </c>
      <c r="K55">
        <v>7.27</v>
      </c>
      <c r="L55">
        <v>79.36</v>
      </c>
      <c r="M55">
        <v>97.95</v>
      </c>
      <c r="N55">
        <v>67.39</v>
      </c>
      <c r="O55">
        <v>265.77999999999997</v>
      </c>
      <c r="P55">
        <v>497.04</v>
      </c>
      <c r="Q55">
        <v>810.31</v>
      </c>
      <c r="R55" s="2">
        <v>1166.44</v>
      </c>
      <c r="S55" s="2">
        <v>1373.29</v>
      </c>
      <c r="T55" s="2">
        <v>2145.2399999999998</v>
      </c>
      <c r="U55" s="2">
        <v>2317.92</v>
      </c>
    </row>
    <row r="56" spans="1:21" x14ac:dyDescent="0.25">
      <c r="A56" t="s">
        <v>277</v>
      </c>
      <c r="J56">
        <v>-6.04</v>
      </c>
      <c r="K56">
        <v>-0.15</v>
      </c>
      <c r="L56">
        <v>24.46</v>
      </c>
      <c r="M56">
        <v>19.63</v>
      </c>
      <c r="N56">
        <v>107.23</v>
      </c>
      <c r="O56">
        <v>341.07</v>
      </c>
      <c r="P56" s="2">
        <v>1119.5999999999999</v>
      </c>
      <c r="Q56" s="2">
        <v>1926.1</v>
      </c>
      <c r="R56" s="2">
        <v>2550.75</v>
      </c>
      <c r="S56" s="2">
        <v>3009.25</v>
      </c>
      <c r="T56" s="2">
        <v>3067</v>
      </c>
      <c r="U56" s="2">
        <v>3429</v>
      </c>
    </row>
    <row r="57" spans="1:21" x14ac:dyDescent="0.25">
      <c r="A57" t="s">
        <v>17</v>
      </c>
    </row>
    <row r="58" spans="1:21" x14ac:dyDescent="0.25">
      <c r="A58" t="s">
        <v>3937</v>
      </c>
      <c r="J58">
        <v>1.05</v>
      </c>
      <c r="K58">
        <v>2.0699999999999998</v>
      </c>
      <c r="L58">
        <v>41.43</v>
      </c>
      <c r="M58">
        <v>141.38999999999999</v>
      </c>
      <c r="N58">
        <v>-54.93</v>
      </c>
      <c r="O58">
        <v>232.48</v>
      </c>
      <c r="P58">
        <v>499.02</v>
      </c>
      <c r="Q58">
        <v>656.01</v>
      </c>
      <c r="R58">
        <v>635.5</v>
      </c>
      <c r="S58">
        <v>764.25</v>
      </c>
      <c r="T58">
        <v>240</v>
      </c>
      <c r="U58">
        <v>240</v>
      </c>
    </row>
    <row r="59" spans="1:21" x14ac:dyDescent="0.25">
      <c r="A59" t="s">
        <v>484</v>
      </c>
      <c r="J59">
        <v>0.11</v>
      </c>
      <c r="K59">
        <v>1.98</v>
      </c>
      <c r="L59">
        <v>17.71</v>
      </c>
      <c r="M59">
        <v>14.74</v>
      </c>
      <c r="N59">
        <v>29.52</v>
      </c>
      <c r="O59">
        <v>261.47000000000003</v>
      </c>
      <c r="P59">
        <v>539.66</v>
      </c>
      <c r="Q59">
        <v>746</v>
      </c>
      <c r="R59" s="2">
        <v>1099.26</v>
      </c>
      <c r="S59" s="2">
        <v>1393.83</v>
      </c>
      <c r="T59" s="2">
        <v>1488.16</v>
      </c>
      <c r="U59" s="2">
        <v>1654.29</v>
      </c>
    </row>
    <row r="60" spans="1:21" x14ac:dyDescent="0.25">
      <c r="A60" t="s">
        <v>100</v>
      </c>
      <c r="J60">
        <v>-22.49</v>
      </c>
      <c r="K60">
        <v>-46.13</v>
      </c>
      <c r="L60">
        <v>-149.58000000000001</v>
      </c>
      <c r="M60">
        <v>-158.22999999999999</v>
      </c>
      <c r="N60">
        <v>-181.53</v>
      </c>
      <c r="O60">
        <v>-231.85</v>
      </c>
      <c r="P60">
        <v>1.26</v>
      </c>
      <c r="Q60">
        <v>338.2</v>
      </c>
      <c r="R60">
        <v>133.77000000000001</v>
      </c>
      <c r="S60">
        <v>227.77</v>
      </c>
      <c r="T60">
        <v>-99.7</v>
      </c>
      <c r="U60">
        <v>-99.7</v>
      </c>
    </row>
    <row r="61" spans="1:21" x14ac:dyDescent="0.25">
      <c r="A61" t="s">
        <v>17</v>
      </c>
    </row>
    <row r="62" spans="1:21" x14ac:dyDescent="0.25">
      <c r="A62" t="s">
        <v>101</v>
      </c>
      <c r="J62">
        <v>0.54</v>
      </c>
      <c r="K62">
        <v>-0.52</v>
      </c>
      <c r="L62">
        <v>0.1</v>
      </c>
      <c r="M62">
        <v>0.1</v>
      </c>
      <c r="N62">
        <v>1.79</v>
      </c>
      <c r="O62">
        <v>0.45</v>
      </c>
      <c r="P62">
        <v>0.38</v>
      </c>
      <c r="Q62">
        <v>214.06</v>
      </c>
      <c r="R62">
        <v>30.31</v>
      </c>
      <c r="S62">
        <v>104.07</v>
      </c>
    </row>
    <row r="63" spans="1:21" x14ac:dyDescent="0.25">
      <c r="A63" t="s">
        <v>17</v>
      </c>
    </row>
    <row r="64" spans="1:21" x14ac:dyDescent="0.25">
      <c r="A64" t="s">
        <v>3441</v>
      </c>
      <c r="J64">
        <v>-22.49</v>
      </c>
      <c r="K64">
        <v>-45.61</v>
      </c>
      <c r="L64">
        <v>-74.38</v>
      </c>
      <c r="M64">
        <v>-158.34</v>
      </c>
      <c r="N64">
        <v>-183.32</v>
      </c>
      <c r="O64">
        <v>-279.39</v>
      </c>
      <c r="P64">
        <v>-151.38999999999999</v>
      </c>
      <c r="Q64">
        <v>-32.659999999999997</v>
      </c>
      <c r="R64">
        <v>395.45</v>
      </c>
      <c r="S64" s="2">
        <v>-1112.9100000000001</v>
      </c>
      <c r="T64">
        <v>394.96</v>
      </c>
      <c r="U64">
        <v>504.22</v>
      </c>
    </row>
    <row r="65" spans="1:21" x14ac:dyDescent="0.25">
      <c r="A65" t="s">
        <v>3938</v>
      </c>
      <c r="J65">
        <v>1.04</v>
      </c>
      <c r="K65">
        <v>0</v>
      </c>
      <c r="L65">
        <v>75.3</v>
      </c>
      <c r="M65">
        <v>72.73</v>
      </c>
      <c r="N65">
        <v>1.02</v>
      </c>
      <c r="O65">
        <v>0</v>
      </c>
      <c r="P65">
        <v>0</v>
      </c>
      <c r="Q65">
        <v>0</v>
      </c>
    </row>
    <row r="66" spans="1:21" x14ac:dyDescent="0.25">
      <c r="A66" t="s">
        <v>105</v>
      </c>
      <c r="J66">
        <v>-0.01</v>
      </c>
      <c r="K66">
        <v>-0.96</v>
      </c>
      <c r="L66">
        <v>-0.4</v>
      </c>
      <c r="M66">
        <v>0</v>
      </c>
      <c r="N66">
        <v>59.67</v>
      </c>
      <c r="O66">
        <v>124.26</v>
      </c>
      <c r="P66">
        <v>180.67</v>
      </c>
      <c r="Q66">
        <v>328.36</v>
      </c>
      <c r="R66">
        <v>646.96</v>
      </c>
      <c r="S66">
        <v>733.47</v>
      </c>
    </row>
    <row r="67" spans="1:21" x14ac:dyDescent="0.25">
      <c r="A67" t="s">
        <v>2510</v>
      </c>
      <c r="J67">
        <v>0</v>
      </c>
      <c r="K67">
        <v>0</v>
      </c>
      <c r="L67">
        <v>0</v>
      </c>
      <c r="M67">
        <v>2.62</v>
      </c>
      <c r="N67">
        <v>6.26</v>
      </c>
      <c r="O67">
        <v>5.3</v>
      </c>
      <c r="P67">
        <v>5.44</v>
      </c>
      <c r="Q67">
        <v>5.1100000000000003</v>
      </c>
    </row>
    <row r="68" spans="1:21" x14ac:dyDescent="0.25">
      <c r="A68" t="s">
        <v>106</v>
      </c>
      <c r="J68">
        <v>-23.52</v>
      </c>
      <c r="K68">
        <v>-44.65</v>
      </c>
      <c r="L68">
        <v>-149.27000000000001</v>
      </c>
      <c r="M68">
        <v>-233.68</v>
      </c>
      <c r="N68">
        <v>-250.26</v>
      </c>
      <c r="O68">
        <v>-334.5</v>
      </c>
      <c r="P68">
        <v>-225.94</v>
      </c>
      <c r="Q68">
        <v>-239.51</v>
      </c>
      <c r="R68">
        <v>-270.95</v>
      </c>
      <c r="S68" s="2">
        <v>-1145.9000000000001</v>
      </c>
      <c r="T68">
        <v>148.1</v>
      </c>
      <c r="U68">
        <v>202.6</v>
      </c>
    </row>
    <row r="69" spans="1:21" x14ac:dyDescent="0.25">
      <c r="A69" t="s">
        <v>107</v>
      </c>
      <c r="J69">
        <v>-275.12</v>
      </c>
      <c r="K69">
        <v>-80.599999999999994</v>
      </c>
      <c r="L69">
        <v>-109.26</v>
      </c>
      <c r="M69">
        <v>-162.06</v>
      </c>
      <c r="N69">
        <v>-40.94</v>
      </c>
      <c r="O69">
        <v>-29.1</v>
      </c>
      <c r="P69">
        <v>-12.1</v>
      </c>
      <c r="Q69">
        <v>-13.6</v>
      </c>
    </row>
    <row r="70" spans="1:21" x14ac:dyDescent="0.25">
      <c r="A70" t="s">
        <v>17</v>
      </c>
    </row>
    <row r="71" spans="1:21" x14ac:dyDescent="0.25">
      <c r="A71" t="s">
        <v>108</v>
      </c>
      <c r="J71">
        <v>57.12</v>
      </c>
      <c r="K71">
        <v>93.98</v>
      </c>
      <c r="L71">
        <v>114.06</v>
      </c>
      <c r="M71">
        <v>201.19</v>
      </c>
      <c r="N71">
        <v>275.19</v>
      </c>
      <c r="O71">
        <v>290.43</v>
      </c>
      <c r="P71">
        <v>296.39</v>
      </c>
      <c r="Q71">
        <v>312.54000000000002</v>
      </c>
      <c r="R71">
        <v>339.82</v>
      </c>
      <c r="S71">
        <v>386.62</v>
      </c>
      <c r="T71">
        <v>390.97</v>
      </c>
      <c r="U71">
        <v>403.06</v>
      </c>
    </row>
    <row r="72" spans="1:21" x14ac:dyDescent="0.25">
      <c r="A72" t="s">
        <v>17</v>
      </c>
    </row>
    <row r="73" spans="1:21" x14ac:dyDescent="0.25">
      <c r="A73" t="s">
        <v>109</v>
      </c>
      <c r="J73">
        <v>57.12</v>
      </c>
      <c r="K73">
        <v>93.98</v>
      </c>
      <c r="L73">
        <v>114.06</v>
      </c>
      <c r="M73">
        <v>201.19</v>
      </c>
      <c r="N73">
        <v>275.19</v>
      </c>
      <c r="O73">
        <v>309.7</v>
      </c>
      <c r="P73">
        <v>317.35000000000002</v>
      </c>
      <c r="Q73">
        <v>328.33</v>
      </c>
      <c r="R73">
        <v>347.46</v>
      </c>
      <c r="S73">
        <v>365.75</v>
      </c>
      <c r="T73">
        <v>352.72</v>
      </c>
      <c r="U73">
        <v>360.01</v>
      </c>
    </row>
    <row r="74" spans="1:21" x14ac:dyDescent="0.25">
      <c r="A74" t="s">
        <v>110</v>
      </c>
      <c r="J74">
        <v>-0.39</v>
      </c>
      <c r="K74">
        <v>-0.49</v>
      </c>
      <c r="L74">
        <v>-1.31</v>
      </c>
      <c r="M74">
        <v>-1.1599999999999999</v>
      </c>
      <c r="N74">
        <v>-0.91</v>
      </c>
      <c r="O74">
        <v>-0.86</v>
      </c>
      <c r="P74">
        <v>-0.21</v>
      </c>
      <c r="Q74">
        <v>-0.7</v>
      </c>
      <c r="R74">
        <v>-0.09</v>
      </c>
      <c r="S74">
        <v>-0.08</v>
      </c>
      <c r="T74">
        <v>-0.33</v>
      </c>
      <c r="U74">
        <v>-0.33</v>
      </c>
    </row>
    <row r="75" spans="1:21" x14ac:dyDescent="0.25">
      <c r="A75" t="s">
        <v>17</v>
      </c>
    </row>
    <row r="76" spans="1:21" x14ac:dyDescent="0.25">
      <c r="A76" t="s">
        <v>111</v>
      </c>
    </row>
    <row r="77" spans="1:21" x14ac:dyDescent="0.25">
      <c r="A77" t="s">
        <v>116</v>
      </c>
      <c r="J77">
        <v>-6.22</v>
      </c>
      <c r="K77">
        <v>-7.32</v>
      </c>
      <c r="L77">
        <v>4.75</v>
      </c>
      <c r="M77">
        <v>2.38</v>
      </c>
      <c r="N77">
        <v>57.8</v>
      </c>
      <c r="O77">
        <v>124.99</v>
      </c>
      <c r="P77">
        <v>576.27</v>
      </c>
      <c r="Q77">
        <v>939.98</v>
      </c>
      <c r="R77" s="2">
        <v>1790.3</v>
      </c>
      <c r="S77" s="2">
        <v>2204.27</v>
      </c>
    </row>
    <row r="78" spans="1:21" x14ac:dyDescent="0.25">
      <c r="A78" t="s">
        <v>117</v>
      </c>
      <c r="J78">
        <v>-6.04</v>
      </c>
      <c r="K78">
        <v>-0.15</v>
      </c>
      <c r="L78">
        <v>22.32</v>
      </c>
      <c r="M78">
        <v>19.63</v>
      </c>
      <c r="N78">
        <v>107.23</v>
      </c>
      <c r="O78">
        <v>303.35000000000002</v>
      </c>
      <c r="P78" s="2">
        <v>1240.5</v>
      </c>
      <c r="Q78" s="2">
        <v>1963.33</v>
      </c>
      <c r="R78" s="2">
        <v>2945.64</v>
      </c>
      <c r="S78" s="2">
        <v>3540.21</v>
      </c>
    </row>
    <row r="79" spans="1:21" x14ac:dyDescent="0.25">
      <c r="A79" t="s">
        <v>121</v>
      </c>
      <c r="J79">
        <v>-7.81</v>
      </c>
      <c r="K79">
        <v>-45.61</v>
      </c>
      <c r="L79">
        <v>-77.52</v>
      </c>
      <c r="M79">
        <v>-12.46</v>
      </c>
      <c r="N79">
        <v>36.08</v>
      </c>
      <c r="O79">
        <v>-292.8</v>
      </c>
      <c r="P79">
        <v>-152.4</v>
      </c>
      <c r="Q79">
        <v>-112.77</v>
      </c>
      <c r="R79">
        <v>-41.45</v>
      </c>
      <c r="S79">
        <v>-877.45</v>
      </c>
      <c r="T79">
        <v>148.1</v>
      </c>
      <c r="U79">
        <v>202.6</v>
      </c>
    </row>
    <row r="80" spans="1:21" x14ac:dyDescent="0.25">
      <c r="A80" t="s">
        <v>124</v>
      </c>
      <c r="J80">
        <v>-0.14000000000000001</v>
      </c>
      <c r="K80">
        <v>-0.49</v>
      </c>
      <c r="L80">
        <v>-0.68</v>
      </c>
      <c r="M80">
        <v>-0.06</v>
      </c>
      <c r="N80">
        <v>0.11</v>
      </c>
      <c r="O80">
        <v>-1.05</v>
      </c>
      <c r="P80">
        <v>-0.47</v>
      </c>
      <c r="Q80">
        <v>-0.84</v>
      </c>
      <c r="R80">
        <v>-0.56000000000000005</v>
      </c>
      <c r="S80">
        <v>-0.41</v>
      </c>
      <c r="T80">
        <v>-0.33</v>
      </c>
      <c r="U80">
        <v>-0.33</v>
      </c>
    </row>
    <row r="81" spans="1:21" x14ac:dyDescent="0.25">
      <c r="A81" t="s">
        <v>17</v>
      </c>
    </row>
    <row r="82" spans="1:21" x14ac:dyDescent="0.25">
      <c r="A82" t="s">
        <v>125</v>
      </c>
    </row>
    <row r="83" spans="1:21" x14ac:dyDescent="0.25">
      <c r="A83" t="s">
        <v>67</v>
      </c>
      <c r="J83">
        <v>12.34</v>
      </c>
      <c r="K83">
        <v>32.07</v>
      </c>
      <c r="L83">
        <v>17.36</v>
      </c>
      <c r="M83">
        <v>22.7</v>
      </c>
      <c r="N83">
        <v>220.14</v>
      </c>
      <c r="O83">
        <v>94.26</v>
      </c>
      <c r="P83">
        <v>95.18</v>
      </c>
      <c r="Q83">
        <v>124.42</v>
      </c>
      <c r="R83">
        <v>188.33</v>
      </c>
      <c r="S83">
        <v>213.33</v>
      </c>
      <c r="T83">
        <v>238.13</v>
      </c>
      <c r="U83">
        <v>274.72000000000003</v>
      </c>
    </row>
    <row r="84" spans="1:21" x14ac:dyDescent="0.25">
      <c r="A84" t="s">
        <v>131</v>
      </c>
    </row>
    <row r="85" spans="1:21" x14ac:dyDescent="0.25">
      <c r="A85" t="s">
        <v>3939</v>
      </c>
      <c r="J85">
        <v>1.34</v>
      </c>
      <c r="K85">
        <v>0.09</v>
      </c>
      <c r="L85">
        <v>2.5099999999999998</v>
      </c>
      <c r="M85">
        <v>1.18</v>
      </c>
      <c r="N85">
        <v>0</v>
      </c>
    </row>
    <row r="86" spans="1:21" x14ac:dyDescent="0.25">
      <c r="A86" t="s">
        <v>17</v>
      </c>
    </row>
    <row r="87" spans="1:21" x14ac:dyDescent="0.25">
      <c r="A87" t="s">
        <v>134</v>
      </c>
    </row>
    <row r="88" spans="1:21" x14ac:dyDescent="0.25">
      <c r="A88" t="s">
        <v>135</v>
      </c>
    </row>
    <row r="89" spans="1:21" x14ac:dyDescent="0.25">
      <c r="A89" t="s">
        <v>136</v>
      </c>
      <c r="J89">
        <v>40.36</v>
      </c>
      <c r="K89">
        <v>45.76</v>
      </c>
      <c r="L89">
        <v>404.14</v>
      </c>
      <c r="M89">
        <v>430.59</v>
      </c>
      <c r="N89" s="2">
        <v>4662.8599999999997</v>
      </c>
      <c r="O89" s="2">
        <v>3713.41</v>
      </c>
      <c r="P89" s="2">
        <v>4151.05</v>
      </c>
      <c r="Q89" s="2">
        <v>4735.8</v>
      </c>
      <c r="R89" s="2">
        <v>7069.16</v>
      </c>
      <c r="S89" s="2">
        <v>6887.72</v>
      </c>
      <c r="T89" s="2">
        <v>14585.64</v>
      </c>
      <c r="U89" s="2">
        <v>19047.32</v>
      </c>
    </row>
    <row r="90" spans="1:21" x14ac:dyDescent="0.25">
      <c r="A90" t="s">
        <v>536</v>
      </c>
      <c r="J90">
        <v>38.799999999999997</v>
      </c>
      <c r="K90">
        <v>29</v>
      </c>
      <c r="L90">
        <v>3.34</v>
      </c>
      <c r="M90">
        <v>41.55</v>
      </c>
      <c r="N90" s="2">
        <v>1591.99</v>
      </c>
      <c r="O90" s="2">
        <v>1513.94</v>
      </c>
      <c r="P90" s="2">
        <v>1900.29</v>
      </c>
      <c r="Q90" s="2">
        <v>2411.3200000000002</v>
      </c>
      <c r="R90" s="2">
        <v>4167.2700000000004</v>
      </c>
      <c r="S90" s="2">
        <v>3676.87</v>
      </c>
      <c r="T90" s="2">
        <v>8271.98</v>
      </c>
      <c r="U90" s="2">
        <v>12095.78</v>
      </c>
    </row>
    <row r="91" spans="1:21" x14ac:dyDescent="0.25">
      <c r="A91" t="s">
        <v>408</v>
      </c>
      <c r="J91">
        <v>0</v>
      </c>
      <c r="K91">
        <v>14.58</v>
      </c>
      <c r="L91">
        <v>21.35</v>
      </c>
      <c r="M91">
        <v>72.37</v>
      </c>
      <c r="N91" s="2">
        <v>2381.0300000000002</v>
      </c>
      <c r="O91" s="2">
        <v>2202.4499999999998</v>
      </c>
      <c r="P91" s="2">
        <v>2160.7800000000002</v>
      </c>
      <c r="Q91" s="2">
        <v>2160.7800000000002</v>
      </c>
      <c r="R91" s="2">
        <v>1940.54</v>
      </c>
      <c r="S91" s="2">
        <v>1940.54</v>
      </c>
      <c r="T91" s="2">
        <v>2381.0300000000002</v>
      </c>
      <c r="U91" s="2">
        <v>2381.0300000000002</v>
      </c>
    </row>
    <row r="92" spans="1:21" x14ac:dyDescent="0.25">
      <c r="A92" t="s">
        <v>3940</v>
      </c>
      <c r="J92">
        <v>0.23</v>
      </c>
      <c r="K92">
        <v>0.08</v>
      </c>
      <c r="L92">
        <v>3.85</v>
      </c>
      <c r="M92">
        <v>3.04</v>
      </c>
      <c r="N92">
        <v>56.31</v>
      </c>
      <c r="O92">
        <v>106.12</v>
      </c>
      <c r="P92">
        <v>258.13</v>
      </c>
      <c r="Q92">
        <v>429.31</v>
      </c>
      <c r="R92">
        <v>974.67</v>
      </c>
      <c r="S92" s="2">
        <v>1283.6300000000001</v>
      </c>
      <c r="T92" s="2">
        <v>3299.1</v>
      </c>
      <c r="U92" s="2">
        <v>3936.97</v>
      </c>
    </row>
    <row r="93" spans="1:21" x14ac:dyDescent="0.25">
      <c r="A93" t="s">
        <v>428</v>
      </c>
      <c r="J93">
        <v>1.34</v>
      </c>
      <c r="K93">
        <v>16.68</v>
      </c>
      <c r="L93">
        <v>1.01</v>
      </c>
      <c r="M93">
        <v>9.43</v>
      </c>
      <c r="N93">
        <v>613.69000000000005</v>
      </c>
      <c r="O93">
        <v>613.69000000000005</v>
      </c>
      <c r="P93">
        <v>613.69000000000005</v>
      </c>
      <c r="Q93">
        <v>613.69000000000005</v>
      </c>
      <c r="R93">
        <v>613.69000000000005</v>
      </c>
      <c r="S93">
        <v>613.69000000000005</v>
      </c>
      <c r="T93">
        <v>613.69000000000005</v>
      </c>
      <c r="U93">
        <v>613.69000000000005</v>
      </c>
    </row>
    <row r="94" spans="1:21" x14ac:dyDescent="0.25">
      <c r="A94" t="s">
        <v>3941</v>
      </c>
      <c r="L94">
        <v>374.6</v>
      </c>
      <c r="M94">
        <v>304.2</v>
      </c>
      <c r="N94">
        <v>19.84</v>
      </c>
      <c r="O94">
        <v>19.84</v>
      </c>
      <c r="P94">
        <v>19.84</v>
      </c>
      <c r="Q94">
        <v>19.84</v>
      </c>
      <c r="R94">
        <v>19.84</v>
      </c>
      <c r="S94">
        <v>19.84</v>
      </c>
      <c r="T94">
        <v>19.84</v>
      </c>
      <c r="U94">
        <v>19.84</v>
      </c>
    </row>
    <row r="95" spans="1:21" x14ac:dyDescent="0.25">
      <c r="A95" t="s">
        <v>146</v>
      </c>
      <c r="J95">
        <v>79.62</v>
      </c>
      <c r="K95">
        <v>218.2</v>
      </c>
      <c r="L95">
        <v>358.72</v>
      </c>
      <c r="M95" s="2">
        <v>1439.5</v>
      </c>
      <c r="N95" s="2">
        <v>5266.46</v>
      </c>
      <c r="O95" s="2">
        <v>10870.92</v>
      </c>
      <c r="P95" s="2">
        <v>16451.52</v>
      </c>
      <c r="Q95" s="2">
        <v>21469.93</v>
      </c>
      <c r="R95" s="2">
        <v>30081.47</v>
      </c>
      <c r="S95" s="2">
        <v>34705.15</v>
      </c>
      <c r="T95" s="2">
        <v>38663.040000000001</v>
      </c>
      <c r="U95" s="2">
        <v>40205.01</v>
      </c>
    </row>
    <row r="96" spans="1:21" x14ac:dyDescent="0.25">
      <c r="A96" t="s">
        <v>3942</v>
      </c>
      <c r="J96">
        <v>64.260000000000005</v>
      </c>
      <c r="K96">
        <v>195.59</v>
      </c>
      <c r="L96">
        <v>329.1</v>
      </c>
      <c r="M96" s="2">
        <v>1275.8399999999999</v>
      </c>
      <c r="N96" s="2">
        <v>4236.3</v>
      </c>
      <c r="O96" s="2">
        <v>10294.51</v>
      </c>
      <c r="P96" s="2">
        <v>16168.08</v>
      </c>
      <c r="Q96" s="2">
        <v>21279.040000000001</v>
      </c>
      <c r="R96" s="2">
        <v>29494.49</v>
      </c>
      <c r="S96" s="2">
        <v>34134.25</v>
      </c>
      <c r="T96" s="2">
        <v>37331.46</v>
      </c>
      <c r="U96" s="2">
        <v>38763.54</v>
      </c>
    </row>
    <row r="97" spans="1:21" x14ac:dyDescent="0.25">
      <c r="A97" t="s">
        <v>3943</v>
      </c>
      <c r="J97">
        <v>1.1100000000000001</v>
      </c>
      <c r="K97">
        <v>1.29</v>
      </c>
      <c r="L97">
        <v>1.52</v>
      </c>
      <c r="M97">
        <v>0.96</v>
      </c>
      <c r="N97">
        <v>76.92</v>
      </c>
      <c r="O97">
        <v>76.87</v>
      </c>
      <c r="P97">
        <v>76.81</v>
      </c>
      <c r="Q97">
        <v>76.760000000000005</v>
      </c>
      <c r="R97">
        <v>76.92</v>
      </c>
      <c r="S97">
        <v>76.92</v>
      </c>
      <c r="T97">
        <v>76.92</v>
      </c>
      <c r="U97">
        <v>76.92</v>
      </c>
    </row>
    <row r="98" spans="1:21" x14ac:dyDescent="0.25">
      <c r="A98" t="s">
        <v>3944</v>
      </c>
      <c r="J98">
        <v>5.3</v>
      </c>
      <c r="K98">
        <v>14.3</v>
      </c>
      <c r="L98">
        <v>8.75</v>
      </c>
      <c r="M98">
        <v>17.82</v>
      </c>
      <c r="N98">
        <v>122.52</v>
      </c>
      <c r="O98">
        <v>130.93</v>
      </c>
      <c r="P98">
        <v>142.05000000000001</v>
      </c>
      <c r="Q98">
        <v>155.09</v>
      </c>
      <c r="R98">
        <v>244.94</v>
      </c>
      <c r="S98">
        <v>278.22000000000003</v>
      </c>
      <c r="T98">
        <v>781.89</v>
      </c>
      <c r="U98">
        <v>891.78</v>
      </c>
    </row>
    <row r="99" spans="1:21" x14ac:dyDescent="0.25">
      <c r="A99" t="s">
        <v>514</v>
      </c>
      <c r="J99">
        <v>8.9499999999999993</v>
      </c>
      <c r="K99">
        <v>7.01</v>
      </c>
      <c r="L99">
        <v>19.350000000000001</v>
      </c>
      <c r="M99">
        <v>144.88</v>
      </c>
      <c r="N99">
        <v>830.71</v>
      </c>
      <c r="O99">
        <v>806.06</v>
      </c>
      <c r="P99">
        <v>839.48</v>
      </c>
      <c r="Q99">
        <v>891.22</v>
      </c>
      <c r="R99" s="2">
        <v>1114.5</v>
      </c>
      <c r="S99" s="2">
        <v>1249</v>
      </c>
      <c r="T99">
        <v>472.77</v>
      </c>
      <c r="U99">
        <v>472.77</v>
      </c>
    </row>
    <row r="100" spans="1:21" x14ac:dyDescent="0.25">
      <c r="A100" t="s">
        <v>155</v>
      </c>
      <c r="J100">
        <v>119.98</v>
      </c>
      <c r="K100">
        <v>263.95999999999998</v>
      </c>
      <c r="L100">
        <v>762.87</v>
      </c>
      <c r="M100" s="2">
        <v>1870.09</v>
      </c>
      <c r="N100" s="2">
        <v>9929.31</v>
      </c>
      <c r="O100" s="2">
        <v>15449.14</v>
      </c>
      <c r="P100" s="2">
        <v>21766.76</v>
      </c>
      <c r="Q100" s="2">
        <v>27443.14</v>
      </c>
      <c r="R100" s="2">
        <v>38000.01</v>
      </c>
      <c r="S100" s="2">
        <v>42626.11</v>
      </c>
      <c r="T100" s="2">
        <v>53248.68</v>
      </c>
      <c r="U100" s="2">
        <v>59252.33</v>
      </c>
    </row>
    <row r="101" spans="1:21" x14ac:dyDescent="0.25">
      <c r="A101" t="s">
        <v>17</v>
      </c>
    </row>
    <row r="102" spans="1:21" x14ac:dyDescent="0.25">
      <c r="A102" t="s">
        <v>156</v>
      </c>
    </row>
    <row r="103" spans="1:21" x14ac:dyDescent="0.25">
      <c r="A103" t="s">
        <v>157</v>
      </c>
      <c r="J103">
        <v>29</v>
      </c>
      <c r="K103">
        <v>115.46</v>
      </c>
      <c r="L103">
        <v>554.11</v>
      </c>
      <c r="M103">
        <v>558.14</v>
      </c>
      <c r="N103" s="2">
        <v>1162.8599999999999</v>
      </c>
      <c r="O103" s="2">
        <v>1359.22</v>
      </c>
      <c r="P103" s="2">
        <v>1555.61</v>
      </c>
      <c r="Q103" s="2">
        <v>1585.94</v>
      </c>
      <c r="R103" s="2">
        <v>2954.4</v>
      </c>
      <c r="S103" s="2">
        <v>1665.84</v>
      </c>
      <c r="T103" s="2">
        <v>1162.8599999999999</v>
      </c>
      <c r="U103" s="2">
        <v>1162.8599999999999</v>
      </c>
    </row>
    <row r="104" spans="1:21" x14ac:dyDescent="0.25">
      <c r="A104" t="s">
        <v>3945</v>
      </c>
      <c r="J104">
        <v>13.26</v>
      </c>
      <c r="K104">
        <v>14.78</v>
      </c>
      <c r="L104">
        <v>104.53</v>
      </c>
      <c r="M104">
        <v>247.53</v>
      </c>
      <c r="N104">
        <v>395.47</v>
      </c>
      <c r="O104">
        <v>566.16999999999996</v>
      </c>
      <c r="P104">
        <v>694.82</v>
      </c>
      <c r="Q104">
        <v>793.33</v>
      </c>
      <c r="R104">
        <v>651.41999999999996</v>
      </c>
      <c r="S104">
        <v>717.25</v>
      </c>
      <c r="T104">
        <v>395.47</v>
      </c>
      <c r="U104">
        <v>395.47</v>
      </c>
    </row>
    <row r="105" spans="1:21" x14ac:dyDescent="0.25">
      <c r="A105" t="s">
        <v>414</v>
      </c>
      <c r="L105">
        <v>24.7</v>
      </c>
      <c r="M105">
        <v>29.55</v>
      </c>
      <c r="N105">
        <v>548.49</v>
      </c>
      <c r="O105">
        <v>602.94000000000005</v>
      </c>
      <c r="P105">
        <v>707.24</v>
      </c>
      <c r="Q105">
        <v>614.54999999999995</v>
      </c>
      <c r="R105">
        <v>688.04</v>
      </c>
      <c r="S105">
        <v>727.19</v>
      </c>
      <c r="T105">
        <v>548.49</v>
      </c>
      <c r="U105">
        <v>548.49</v>
      </c>
    </row>
    <row r="106" spans="1:21" x14ac:dyDescent="0.25">
      <c r="A106" t="s">
        <v>3065</v>
      </c>
      <c r="J106">
        <v>0.19</v>
      </c>
      <c r="K106">
        <v>0.32</v>
      </c>
      <c r="L106">
        <v>0.6</v>
      </c>
      <c r="M106">
        <v>0.69</v>
      </c>
      <c r="N106">
        <v>18.48</v>
      </c>
      <c r="O106">
        <v>18.43</v>
      </c>
      <c r="P106">
        <v>18.38</v>
      </c>
      <c r="Q106">
        <v>18.329999999999998</v>
      </c>
      <c r="R106">
        <v>18.48</v>
      </c>
      <c r="S106">
        <v>18.48</v>
      </c>
      <c r="T106">
        <v>18.48</v>
      </c>
      <c r="U106">
        <v>18.48</v>
      </c>
    </row>
    <row r="107" spans="1:21" x14ac:dyDescent="0.25">
      <c r="A107" t="s">
        <v>3946</v>
      </c>
      <c r="J107">
        <v>0.81</v>
      </c>
      <c r="K107">
        <v>5.72</v>
      </c>
      <c r="L107">
        <v>5.28</v>
      </c>
      <c r="M107">
        <v>13.63</v>
      </c>
      <c r="N107">
        <v>47.59</v>
      </c>
      <c r="O107">
        <v>40.81</v>
      </c>
      <c r="P107">
        <v>44.81</v>
      </c>
      <c r="Q107">
        <v>43.41</v>
      </c>
      <c r="R107">
        <v>47.59</v>
      </c>
      <c r="S107">
        <v>47.59</v>
      </c>
      <c r="T107">
        <v>47.59</v>
      </c>
      <c r="U107">
        <v>47.59</v>
      </c>
    </row>
    <row r="108" spans="1:21" x14ac:dyDescent="0.25">
      <c r="A108" t="s">
        <v>3947</v>
      </c>
      <c r="L108">
        <v>45.92</v>
      </c>
      <c r="M108">
        <v>10.33</v>
      </c>
      <c r="N108">
        <v>26.49</v>
      </c>
      <c r="O108">
        <v>61.48</v>
      </c>
      <c r="P108">
        <v>85.02</v>
      </c>
      <c r="Q108">
        <v>62.97</v>
      </c>
      <c r="R108" s="2">
        <v>1409.27</v>
      </c>
      <c r="S108">
        <v>16.420000000000002</v>
      </c>
      <c r="T108">
        <v>16.420000000000002</v>
      </c>
      <c r="U108">
        <v>16.420000000000002</v>
      </c>
    </row>
    <row r="109" spans="1:21" x14ac:dyDescent="0.25">
      <c r="A109" t="s">
        <v>161</v>
      </c>
      <c r="J109">
        <v>3.88</v>
      </c>
      <c r="K109">
        <v>48.69</v>
      </c>
      <c r="L109">
        <v>13</v>
      </c>
      <c r="M109">
        <v>4.8099999999999996</v>
      </c>
      <c r="N109">
        <v>4.67</v>
      </c>
      <c r="O109">
        <v>14.34</v>
      </c>
      <c r="P109">
        <v>21.38</v>
      </c>
      <c r="Q109">
        <v>29.03</v>
      </c>
      <c r="R109">
        <v>4.67</v>
      </c>
      <c r="S109">
        <v>4.67</v>
      </c>
      <c r="T109">
        <v>4.67</v>
      </c>
      <c r="U109">
        <v>4.67</v>
      </c>
    </row>
    <row r="110" spans="1:21" x14ac:dyDescent="0.25">
      <c r="A110" t="s">
        <v>3948</v>
      </c>
      <c r="M110">
        <v>216.05</v>
      </c>
      <c r="N110">
        <v>7.43</v>
      </c>
      <c r="O110">
        <v>7.43</v>
      </c>
      <c r="P110">
        <v>7.43</v>
      </c>
      <c r="Q110">
        <v>7.43</v>
      </c>
      <c r="R110">
        <v>7.43</v>
      </c>
      <c r="S110">
        <v>7.43</v>
      </c>
      <c r="T110">
        <v>7.43</v>
      </c>
      <c r="U110">
        <v>7.43</v>
      </c>
    </row>
    <row r="111" spans="1:21" x14ac:dyDescent="0.25">
      <c r="A111" t="s">
        <v>164</v>
      </c>
    </row>
    <row r="112" spans="1:21" x14ac:dyDescent="0.25">
      <c r="A112" t="s">
        <v>3949</v>
      </c>
      <c r="J112">
        <v>0.94</v>
      </c>
      <c r="K112">
        <v>1.01</v>
      </c>
      <c r="L112">
        <v>1.07</v>
      </c>
      <c r="M112">
        <v>0.38</v>
      </c>
      <c r="N112">
        <v>47.18</v>
      </c>
      <c r="O112">
        <v>47.18</v>
      </c>
      <c r="P112">
        <v>47.18</v>
      </c>
      <c r="Q112">
        <v>47.18</v>
      </c>
      <c r="R112">
        <v>47.18</v>
      </c>
      <c r="S112">
        <v>47.18</v>
      </c>
      <c r="T112">
        <v>47.18</v>
      </c>
      <c r="U112">
        <v>47.18</v>
      </c>
    </row>
    <row r="113" spans="1:21" x14ac:dyDescent="0.25">
      <c r="A113" t="s">
        <v>3950</v>
      </c>
      <c r="J113">
        <v>4.37</v>
      </c>
      <c r="K113">
        <v>8.33</v>
      </c>
      <c r="L113">
        <v>3.38</v>
      </c>
      <c r="M113">
        <v>0.02</v>
      </c>
      <c r="N113">
        <v>10.73</v>
      </c>
      <c r="O113">
        <v>8.6</v>
      </c>
      <c r="P113">
        <v>10.73</v>
      </c>
      <c r="Q113">
        <v>10.73</v>
      </c>
      <c r="R113">
        <v>10.73</v>
      </c>
      <c r="S113">
        <v>10.73</v>
      </c>
      <c r="T113">
        <v>10.73</v>
      </c>
      <c r="U113">
        <v>10.73</v>
      </c>
    </row>
    <row r="114" spans="1:21" x14ac:dyDescent="0.25">
      <c r="A114" t="s">
        <v>315</v>
      </c>
      <c r="L114">
        <v>79.47</v>
      </c>
      <c r="M114">
        <v>677.83</v>
      </c>
      <c r="N114" s="2">
        <v>4959.5200000000004</v>
      </c>
      <c r="O114" s="2">
        <v>7541.03</v>
      </c>
      <c r="P114" s="2">
        <v>12424.12</v>
      </c>
      <c r="Q114" s="2">
        <v>16446.060000000001</v>
      </c>
      <c r="R114" s="2">
        <v>24458.04</v>
      </c>
      <c r="S114" s="2">
        <v>32270.13</v>
      </c>
      <c r="T114" s="2">
        <v>52264.98</v>
      </c>
      <c r="U114" s="2">
        <v>57264.98</v>
      </c>
    </row>
    <row r="115" spans="1:21" x14ac:dyDescent="0.25">
      <c r="A115" t="s">
        <v>167</v>
      </c>
      <c r="J115">
        <v>40.75</v>
      </c>
      <c r="K115">
        <v>194.28</v>
      </c>
      <c r="L115">
        <v>638.04</v>
      </c>
      <c r="M115" s="2">
        <v>1236.3699999999999</v>
      </c>
      <c r="N115" s="2">
        <v>6185.74</v>
      </c>
      <c r="O115" s="2">
        <v>10462.1</v>
      </c>
      <c r="P115" s="2">
        <v>15967.64</v>
      </c>
      <c r="Q115" s="2">
        <v>20467.62</v>
      </c>
      <c r="R115" s="2">
        <v>27472.22</v>
      </c>
      <c r="S115" s="2">
        <v>33995.760000000002</v>
      </c>
      <c r="T115" s="2">
        <v>53491.19</v>
      </c>
      <c r="U115" s="2">
        <v>58491.19</v>
      </c>
    </row>
    <row r="116" spans="1:21" x14ac:dyDescent="0.25">
      <c r="A116" t="s">
        <v>170</v>
      </c>
      <c r="J116">
        <v>79.239999999999995</v>
      </c>
      <c r="K116">
        <v>69.680000000000007</v>
      </c>
      <c r="L116">
        <v>124.83</v>
      </c>
      <c r="M116">
        <v>497.69</v>
      </c>
      <c r="N116" s="2">
        <v>1724.51</v>
      </c>
      <c r="O116" s="2">
        <v>1423.38</v>
      </c>
      <c r="P116" s="2">
        <v>1170.6600000000001</v>
      </c>
      <c r="Q116" s="2">
        <v>1434.84</v>
      </c>
      <c r="R116" s="2">
        <v>2443.54</v>
      </c>
      <c r="S116" s="2">
        <v>2092.71</v>
      </c>
      <c r="T116" s="2">
        <v>-2939.99</v>
      </c>
      <c r="U116" s="2">
        <v>-1936.34</v>
      </c>
    </row>
    <row r="117" spans="1:21" x14ac:dyDescent="0.25">
      <c r="A117" t="s">
        <v>1235</v>
      </c>
      <c r="J117">
        <v>6.98</v>
      </c>
      <c r="K117">
        <v>10.16</v>
      </c>
      <c r="L117">
        <v>0</v>
      </c>
      <c r="M117">
        <v>0</v>
      </c>
      <c r="N117" s="2">
        <v>1963.34</v>
      </c>
      <c r="O117" s="2">
        <v>2390.16</v>
      </c>
      <c r="P117" s="2">
        <v>3189.35</v>
      </c>
      <c r="Q117" s="2">
        <v>3912.01</v>
      </c>
      <c r="R117" s="2">
        <v>4822.28</v>
      </c>
      <c r="S117" s="2">
        <v>5820.43</v>
      </c>
      <c r="T117">
        <v>678.41</v>
      </c>
      <c r="U117">
        <v>678.41</v>
      </c>
    </row>
    <row r="118" spans="1:21" x14ac:dyDescent="0.25">
      <c r="A118" t="s">
        <v>171</v>
      </c>
      <c r="J118">
        <v>0.1</v>
      </c>
      <c r="K118">
        <v>0.1</v>
      </c>
      <c r="L118">
        <v>0.14000000000000001</v>
      </c>
      <c r="M118">
        <v>0.23</v>
      </c>
      <c r="N118">
        <v>0.3</v>
      </c>
      <c r="O118">
        <v>0.3</v>
      </c>
      <c r="P118">
        <v>0.3</v>
      </c>
      <c r="Q118">
        <v>0.31</v>
      </c>
      <c r="R118">
        <v>0.34</v>
      </c>
      <c r="S118">
        <v>0.36</v>
      </c>
      <c r="T118">
        <v>0.3</v>
      </c>
      <c r="U118">
        <v>0.3</v>
      </c>
    </row>
    <row r="119" spans="1:21" x14ac:dyDescent="0.25">
      <c r="A119" t="s">
        <v>325</v>
      </c>
      <c r="J119">
        <v>0.06</v>
      </c>
      <c r="K119">
        <v>0.06</v>
      </c>
      <c r="L119">
        <v>0.06</v>
      </c>
      <c r="M119">
        <v>31.4</v>
      </c>
      <c r="N119">
        <v>52.74</v>
      </c>
      <c r="O119">
        <v>52.74</v>
      </c>
      <c r="P119">
        <v>52.74</v>
      </c>
      <c r="Q119">
        <v>52.74</v>
      </c>
      <c r="R119">
        <v>52.74</v>
      </c>
      <c r="S119">
        <v>52.74</v>
      </c>
      <c r="T119">
        <v>52.74</v>
      </c>
      <c r="U119">
        <v>52.74</v>
      </c>
    </row>
    <row r="120" spans="1:21" x14ac:dyDescent="0.25">
      <c r="A120" t="s">
        <v>172</v>
      </c>
      <c r="J120">
        <v>128.29</v>
      </c>
      <c r="K120">
        <v>160.19</v>
      </c>
      <c r="L120">
        <v>374.74</v>
      </c>
      <c r="M120" s="2">
        <v>1009.91</v>
      </c>
      <c r="N120" s="2">
        <v>2432.25</v>
      </c>
      <c r="O120" s="2">
        <v>2543.9299999999998</v>
      </c>
      <c r="P120" s="2">
        <v>2681.22</v>
      </c>
      <c r="Q120" s="2">
        <v>3250.1</v>
      </c>
      <c r="R120" s="2">
        <v>5048.7</v>
      </c>
      <c r="S120" s="2">
        <v>6192.5</v>
      </c>
      <c r="T120" s="2">
        <v>4217.08</v>
      </c>
      <c r="U120" s="2">
        <v>4716.51</v>
      </c>
    </row>
    <row r="121" spans="1:21" x14ac:dyDescent="0.25">
      <c r="A121" t="s">
        <v>1192</v>
      </c>
      <c r="J121">
        <v>-56.07</v>
      </c>
      <c r="K121">
        <v>-100.72</v>
      </c>
      <c r="L121">
        <v>-249.99</v>
      </c>
      <c r="M121">
        <v>-481.06</v>
      </c>
      <c r="N121">
        <v>-662.33</v>
      </c>
      <c r="O121" s="2">
        <v>-1083.6099999999999</v>
      </c>
      <c r="P121" s="2">
        <v>-1467.72</v>
      </c>
      <c r="Q121" s="2">
        <v>-1776.32</v>
      </c>
      <c r="R121" s="2">
        <v>-2555.11</v>
      </c>
      <c r="S121" s="2">
        <v>-4049.76</v>
      </c>
      <c r="T121" s="2">
        <v>-7104.63</v>
      </c>
      <c r="U121" s="2">
        <v>-6600.41</v>
      </c>
    </row>
    <row r="122" spans="1:21" x14ac:dyDescent="0.25">
      <c r="A122" t="s">
        <v>326</v>
      </c>
      <c r="J122">
        <v>119.98</v>
      </c>
      <c r="K122">
        <v>263.95999999999998</v>
      </c>
      <c r="L122">
        <v>762.87</v>
      </c>
      <c r="M122" s="2">
        <v>1870.09</v>
      </c>
      <c r="N122" s="2">
        <v>9929.31</v>
      </c>
      <c r="O122" s="2">
        <v>15449.14</v>
      </c>
      <c r="P122" s="2">
        <v>21766.76</v>
      </c>
      <c r="Q122" s="2">
        <v>27443.14</v>
      </c>
      <c r="R122" s="2">
        <v>38000.01</v>
      </c>
      <c r="S122" s="2">
        <v>42626.11</v>
      </c>
      <c r="T122" s="2">
        <v>53248.68</v>
      </c>
      <c r="U122" s="2">
        <v>59252.33</v>
      </c>
    </row>
    <row r="123" spans="1:21" x14ac:dyDescent="0.25">
      <c r="A123" t="s">
        <v>17</v>
      </c>
    </row>
    <row r="124" spans="1:21" x14ac:dyDescent="0.25">
      <c r="A124" t="s">
        <v>188</v>
      </c>
    </row>
    <row r="125" spans="1:21" x14ac:dyDescent="0.25">
      <c r="A125" t="s">
        <v>189</v>
      </c>
    </row>
    <row r="126" spans="1:21" x14ac:dyDescent="0.25">
      <c r="A126" t="s">
        <v>121</v>
      </c>
      <c r="J126">
        <v>-23.52</v>
      </c>
      <c r="K126">
        <v>-44.65</v>
      </c>
      <c r="L126">
        <v>-149.27000000000001</v>
      </c>
      <c r="M126">
        <v>-233.68</v>
      </c>
      <c r="N126">
        <v>-250.26</v>
      </c>
      <c r="O126">
        <v>-334.5</v>
      </c>
      <c r="P126">
        <v>-225.94</v>
      </c>
      <c r="Q126">
        <v>-239.51</v>
      </c>
      <c r="R126">
        <v>-270.95</v>
      </c>
      <c r="S126" s="2">
        <v>-1145.9000000000001</v>
      </c>
      <c r="T126">
        <v>148.1</v>
      </c>
      <c r="U126">
        <v>202.6</v>
      </c>
    </row>
    <row r="127" spans="1:21" x14ac:dyDescent="0.25">
      <c r="A127" t="s">
        <v>190</v>
      </c>
      <c r="J127">
        <v>1.1200000000000001</v>
      </c>
      <c r="K127">
        <v>7.27</v>
      </c>
      <c r="L127">
        <v>79.36</v>
      </c>
      <c r="M127">
        <v>97.95</v>
      </c>
      <c r="N127">
        <v>67.39</v>
      </c>
      <c r="O127">
        <v>265.77999999999997</v>
      </c>
      <c r="P127">
        <v>497.04</v>
      </c>
      <c r="Q127">
        <v>810.31</v>
      </c>
      <c r="R127" s="2">
        <v>1166.44</v>
      </c>
      <c r="S127" s="2">
        <v>1373.29</v>
      </c>
      <c r="T127" s="2">
        <v>2145.2399999999998</v>
      </c>
      <c r="U127" s="2">
        <v>2317.92</v>
      </c>
    </row>
    <row r="128" spans="1:21" x14ac:dyDescent="0.25">
      <c r="A128" t="s">
        <v>67</v>
      </c>
      <c r="J128">
        <v>12.34</v>
      </c>
      <c r="K128">
        <v>32.07</v>
      </c>
      <c r="L128">
        <v>17.36</v>
      </c>
      <c r="M128">
        <v>22.7</v>
      </c>
      <c r="N128">
        <v>220.14</v>
      </c>
      <c r="O128">
        <v>94.26</v>
      </c>
      <c r="P128">
        <v>95.18</v>
      </c>
      <c r="Q128">
        <v>124.42</v>
      </c>
      <c r="R128">
        <v>188.33</v>
      </c>
      <c r="S128">
        <v>213.33</v>
      </c>
      <c r="T128">
        <v>238.13</v>
      </c>
      <c r="U128">
        <v>274.72000000000003</v>
      </c>
    </row>
    <row r="129" spans="1:21" x14ac:dyDescent="0.25">
      <c r="A129" t="s">
        <v>1744</v>
      </c>
      <c r="L129">
        <v>5.21</v>
      </c>
      <c r="M129">
        <v>9.56</v>
      </c>
      <c r="N129">
        <v>6.32</v>
      </c>
      <c r="O129">
        <v>17.97</v>
      </c>
      <c r="P129">
        <v>19.68</v>
      </c>
      <c r="Q129">
        <v>22.62</v>
      </c>
      <c r="R129">
        <v>28.98</v>
      </c>
      <c r="S129">
        <v>32.020000000000003</v>
      </c>
    </row>
    <row r="130" spans="1:21" x14ac:dyDescent="0.25">
      <c r="A130" t="s">
        <v>2869</v>
      </c>
    </row>
    <row r="131" spans="1:21" x14ac:dyDescent="0.25">
      <c r="A131" t="s">
        <v>141</v>
      </c>
      <c r="J131">
        <v>-0.23</v>
      </c>
      <c r="K131">
        <v>0.15</v>
      </c>
      <c r="L131">
        <v>-3.77</v>
      </c>
      <c r="M131">
        <v>-2.93</v>
      </c>
      <c r="N131">
        <v>-49.27</v>
      </c>
      <c r="O131">
        <v>-54.71</v>
      </c>
      <c r="P131">
        <v>-150.77000000000001</v>
      </c>
      <c r="Q131">
        <v>-197.81</v>
      </c>
      <c r="R131">
        <v>-314.95</v>
      </c>
      <c r="S131">
        <v>-308.97000000000003</v>
      </c>
      <c r="T131">
        <v>-663.64</v>
      </c>
      <c r="U131">
        <v>-637.87</v>
      </c>
    </row>
    <row r="132" spans="1:21" x14ac:dyDescent="0.25">
      <c r="A132" t="s">
        <v>428</v>
      </c>
      <c r="J132">
        <v>-1.33</v>
      </c>
      <c r="K132">
        <v>-0.77</v>
      </c>
      <c r="L132">
        <v>0.9</v>
      </c>
      <c r="M132">
        <v>-8.31</v>
      </c>
      <c r="N132">
        <v>-36.159999999999997</v>
      </c>
    </row>
    <row r="133" spans="1:21" x14ac:dyDescent="0.25">
      <c r="A133" t="s">
        <v>3951</v>
      </c>
      <c r="J133">
        <v>0</v>
      </c>
      <c r="K133">
        <v>-0.12</v>
      </c>
      <c r="L133">
        <v>-47.48</v>
      </c>
      <c r="M133">
        <v>-7.52</v>
      </c>
      <c r="N133">
        <v>0</v>
      </c>
      <c r="O133">
        <v>0.78</v>
      </c>
      <c r="P133">
        <v>0.78</v>
      </c>
      <c r="Q133">
        <v>0.78</v>
      </c>
    </row>
    <row r="134" spans="1:21" x14ac:dyDescent="0.25">
      <c r="A134" t="s">
        <v>514</v>
      </c>
      <c r="J134">
        <v>-1.45</v>
      </c>
      <c r="K134">
        <v>0.36</v>
      </c>
      <c r="L134">
        <v>0.33</v>
      </c>
      <c r="M134">
        <v>2.98</v>
      </c>
      <c r="N134">
        <v>-51.48</v>
      </c>
      <c r="O134">
        <v>-78.8</v>
      </c>
      <c r="P134">
        <v>-216.9</v>
      </c>
      <c r="Q134">
        <v>-359.14</v>
      </c>
      <c r="R134">
        <v>-469.96</v>
      </c>
      <c r="S134">
        <v>-488</v>
      </c>
    </row>
    <row r="135" spans="1:21" x14ac:dyDescent="0.25">
      <c r="A135" t="s">
        <v>204</v>
      </c>
      <c r="J135">
        <v>-0.87</v>
      </c>
      <c r="K135">
        <v>58.74</v>
      </c>
      <c r="L135">
        <v>13.79</v>
      </c>
      <c r="M135">
        <v>-115.4</v>
      </c>
      <c r="N135">
        <v>89.69</v>
      </c>
      <c r="O135">
        <v>307.38</v>
      </c>
      <c r="P135">
        <v>673.27</v>
      </c>
      <c r="Q135">
        <v>859.57</v>
      </c>
      <c r="R135" s="2">
        <v>1516.81</v>
      </c>
      <c r="S135" s="2">
        <v>1675.31</v>
      </c>
      <c r="T135" s="2">
        <v>2312.9299999999998</v>
      </c>
      <c r="U135" s="2">
        <v>2693.8</v>
      </c>
    </row>
    <row r="136" spans="1:21" x14ac:dyDescent="0.25">
      <c r="A136" t="s">
        <v>17</v>
      </c>
    </row>
    <row r="137" spans="1:21" x14ac:dyDescent="0.25">
      <c r="A137" t="s">
        <v>205</v>
      </c>
    </row>
    <row r="138" spans="1:21" x14ac:dyDescent="0.25">
      <c r="A138" t="s">
        <v>206</v>
      </c>
      <c r="J138">
        <v>-54.97</v>
      </c>
      <c r="K138">
        <v>-128.72</v>
      </c>
      <c r="L138">
        <v>-141.81</v>
      </c>
      <c r="M138">
        <v>-681.6</v>
      </c>
      <c r="N138" s="2">
        <v>-2865.77</v>
      </c>
      <c r="O138" s="2">
        <v>-5851.36</v>
      </c>
      <c r="P138" s="2">
        <v>-5915.73</v>
      </c>
      <c r="Q138" s="2">
        <v>-5671.75</v>
      </c>
      <c r="R138" s="2">
        <v>-5789</v>
      </c>
      <c r="S138" s="2">
        <v>-5959.33</v>
      </c>
      <c r="T138" s="2">
        <v>-5055</v>
      </c>
      <c r="U138" s="2">
        <v>-3750</v>
      </c>
    </row>
    <row r="139" spans="1:21" x14ac:dyDescent="0.25">
      <c r="A139" t="s">
        <v>3952</v>
      </c>
      <c r="L139">
        <v>50.09</v>
      </c>
      <c r="M139">
        <v>6.18</v>
      </c>
      <c r="N139">
        <v>0</v>
      </c>
    </row>
    <row r="140" spans="1:21" x14ac:dyDescent="0.25">
      <c r="A140" t="s">
        <v>213</v>
      </c>
      <c r="J140">
        <v>-45.87</v>
      </c>
      <c r="K140">
        <v>-132.09</v>
      </c>
      <c r="L140">
        <v>-172.44</v>
      </c>
      <c r="M140">
        <v>-667.65</v>
      </c>
      <c r="N140" s="2">
        <v>-2936.4</v>
      </c>
      <c r="O140" s="2">
        <v>-5446.53</v>
      </c>
      <c r="P140" s="2">
        <v>-5773.97</v>
      </c>
      <c r="Q140" s="2">
        <v>-6022.88</v>
      </c>
      <c r="R140" s="2">
        <v>-5789.04</v>
      </c>
      <c r="S140" s="2">
        <v>-5959.56</v>
      </c>
      <c r="T140" s="2">
        <v>-5055</v>
      </c>
      <c r="U140" s="2">
        <v>-3750</v>
      </c>
    </row>
    <row r="141" spans="1:21" x14ac:dyDescent="0.25">
      <c r="A141" t="s">
        <v>17</v>
      </c>
    </row>
    <row r="142" spans="1:21" x14ac:dyDescent="0.25">
      <c r="A142" t="s">
        <v>214</v>
      </c>
    </row>
    <row r="143" spans="1:21" x14ac:dyDescent="0.25">
      <c r="A143" t="s">
        <v>3079</v>
      </c>
      <c r="J143">
        <v>0.22</v>
      </c>
      <c r="K143">
        <v>3.35</v>
      </c>
      <c r="L143">
        <v>59.97</v>
      </c>
      <c r="M143">
        <v>125.07</v>
      </c>
      <c r="N143">
        <v>99.46</v>
      </c>
      <c r="O143">
        <v>63.36</v>
      </c>
      <c r="P143">
        <v>49.62</v>
      </c>
      <c r="Q143">
        <v>67.489999999999995</v>
      </c>
      <c r="R143">
        <v>120</v>
      </c>
      <c r="S143">
        <v>120</v>
      </c>
      <c r="T143">
        <v>120</v>
      </c>
      <c r="U143">
        <v>120</v>
      </c>
    </row>
    <row r="144" spans="1:21" x14ac:dyDescent="0.25">
      <c r="A144" t="s">
        <v>3953</v>
      </c>
      <c r="J144">
        <v>7.32</v>
      </c>
      <c r="K144">
        <v>82.15</v>
      </c>
      <c r="L144">
        <v>116.55</v>
      </c>
      <c r="M144">
        <v>650.08000000000004</v>
      </c>
      <c r="N144" s="2">
        <v>4955.33</v>
      </c>
      <c r="O144" s="2">
        <v>3690.72</v>
      </c>
      <c r="P144" s="2">
        <v>5530.59</v>
      </c>
      <c r="Q144" s="2">
        <v>4897.29</v>
      </c>
      <c r="R144" s="2">
        <v>4219.9399999999996</v>
      </c>
      <c r="S144" s="2">
        <v>7829.33</v>
      </c>
      <c r="T144" s="2">
        <v>5000</v>
      </c>
      <c r="U144" s="2">
        <v>5000</v>
      </c>
    </row>
    <row r="145" spans="1:21" x14ac:dyDescent="0.25">
      <c r="A145" t="s">
        <v>3954</v>
      </c>
      <c r="J145">
        <v>0</v>
      </c>
      <c r="K145">
        <v>-7.06</v>
      </c>
      <c r="L145">
        <v>-21.71</v>
      </c>
      <c r="M145">
        <v>-293.05</v>
      </c>
      <c r="N145">
        <v>-521.51</v>
      </c>
      <c r="O145">
        <v>-163.52000000000001</v>
      </c>
      <c r="P145">
        <v>-103.55</v>
      </c>
      <c r="Q145">
        <v>-150.63</v>
      </c>
      <c r="R145">
        <v>-295.69</v>
      </c>
      <c r="S145" s="2">
        <v>-4194.95</v>
      </c>
    </row>
    <row r="146" spans="1:21" x14ac:dyDescent="0.25">
      <c r="A146" t="s">
        <v>3955</v>
      </c>
      <c r="J146">
        <v>40</v>
      </c>
      <c r="K146">
        <v>0</v>
      </c>
      <c r="L146">
        <v>130.85</v>
      </c>
      <c r="M146">
        <v>191.59</v>
      </c>
      <c r="N146">
        <v>196.37</v>
      </c>
      <c r="O146">
        <v>209.6</v>
      </c>
      <c r="P146">
        <v>240.92</v>
      </c>
      <c r="Q146" s="2">
        <v>1367</v>
      </c>
      <c r="R146" s="2">
        <v>1205.33</v>
      </c>
      <c r="S146" s="2">
        <v>1317.93</v>
      </c>
    </row>
    <row r="147" spans="1:21" x14ac:dyDescent="0.25">
      <c r="A147" t="s">
        <v>3956</v>
      </c>
      <c r="J147">
        <v>34.5</v>
      </c>
      <c r="K147">
        <v>0</v>
      </c>
      <c r="L147">
        <v>0</v>
      </c>
      <c r="M147">
        <v>184.39</v>
      </c>
      <c r="N147">
        <v>815</v>
      </c>
      <c r="O147" s="2">
        <v>1594.5</v>
      </c>
      <c r="P147" s="2">
        <v>1740.59</v>
      </c>
      <c r="Q147" s="2">
        <v>1503</v>
      </c>
      <c r="S147" s="2">
        <v>-12159.4</v>
      </c>
    </row>
    <row r="148" spans="1:21" x14ac:dyDescent="0.25">
      <c r="A148" t="s">
        <v>3957</v>
      </c>
      <c r="J148">
        <v>-0.09</v>
      </c>
      <c r="K148">
        <v>-2.12</v>
      </c>
      <c r="L148">
        <v>0</v>
      </c>
      <c r="M148">
        <v>0</v>
      </c>
      <c r="N148">
        <v>-11.9</v>
      </c>
    </row>
    <row r="149" spans="1:21" x14ac:dyDescent="0.25">
      <c r="A149" t="s">
        <v>218</v>
      </c>
      <c r="J149">
        <v>81.290000000000006</v>
      </c>
      <c r="K149">
        <v>70.63</v>
      </c>
      <c r="L149">
        <v>146.76</v>
      </c>
      <c r="M149">
        <v>874.69</v>
      </c>
      <c r="N149" s="2">
        <v>6876.83</v>
      </c>
      <c r="O149" s="2">
        <v>4676.0600000000004</v>
      </c>
      <c r="P149" s="2">
        <v>5307.36</v>
      </c>
      <c r="Q149" s="2">
        <v>5396.25</v>
      </c>
      <c r="R149" s="2">
        <v>5349.34</v>
      </c>
      <c r="S149" s="2">
        <v>3793.85</v>
      </c>
      <c r="T149" s="2">
        <v>4880</v>
      </c>
      <c r="U149" s="2">
        <v>4880</v>
      </c>
    </row>
    <row r="150" spans="1:21" x14ac:dyDescent="0.25">
      <c r="A150" t="s">
        <v>17</v>
      </c>
    </row>
    <row r="151" spans="1:21" x14ac:dyDescent="0.25">
      <c r="A151" t="s">
        <v>176</v>
      </c>
    </row>
    <row r="152" spans="1:21" x14ac:dyDescent="0.25">
      <c r="A152" t="s">
        <v>220</v>
      </c>
      <c r="J152">
        <v>34.549999999999997</v>
      </c>
      <c r="K152">
        <v>-2.73</v>
      </c>
      <c r="L152">
        <v>-11.89</v>
      </c>
      <c r="M152">
        <v>91.63</v>
      </c>
      <c r="N152" s="2">
        <v>4030.11</v>
      </c>
      <c r="O152" s="2">
        <v>-1066.76</v>
      </c>
      <c r="P152">
        <v>46.46</v>
      </c>
      <c r="Q152">
        <v>744.33</v>
      </c>
      <c r="R152" s="2">
        <v>1077.0999999999999</v>
      </c>
      <c r="S152">
        <v>-490.41</v>
      </c>
      <c r="T152" s="2">
        <v>2137.9299999999998</v>
      </c>
      <c r="U152" s="2">
        <v>3823.8</v>
      </c>
    </row>
    <row r="153" spans="1:21" x14ac:dyDescent="0.25">
      <c r="A153" t="s">
        <v>221</v>
      </c>
      <c r="J153">
        <v>11.75</v>
      </c>
      <c r="K153">
        <v>46.3</v>
      </c>
      <c r="L153">
        <v>43.57</v>
      </c>
      <c r="M153">
        <v>31.69</v>
      </c>
      <c r="N153">
        <v>123.32</v>
      </c>
      <c r="O153" s="2">
        <v>4063.22</v>
      </c>
      <c r="P153" s="2">
        <v>3003.77</v>
      </c>
      <c r="Q153" s="2">
        <v>3867</v>
      </c>
      <c r="R153" s="2">
        <v>4504.1400000000003</v>
      </c>
      <c r="S153" s="2">
        <v>5581.24</v>
      </c>
      <c r="T153" s="2">
        <v>8695.49</v>
      </c>
      <c r="U153" s="2">
        <v>10833.43</v>
      </c>
    </row>
    <row r="154" spans="1:21" x14ac:dyDescent="0.25">
      <c r="A154" t="s">
        <v>222</v>
      </c>
      <c r="J154">
        <v>46.3</v>
      </c>
      <c r="K154">
        <v>43.57</v>
      </c>
      <c r="L154">
        <v>31.69</v>
      </c>
      <c r="M154">
        <v>123.32</v>
      </c>
      <c r="N154" s="2">
        <v>4153.43</v>
      </c>
      <c r="O154" s="2">
        <v>3265.74</v>
      </c>
      <c r="P154" s="2">
        <v>3867</v>
      </c>
      <c r="Q154" s="2">
        <v>4611.32</v>
      </c>
      <c r="R154" s="2">
        <v>5581.24</v>
      </c>
      <c r="S154" s="2">
        <v>5090.83</v>
      </c>
      <c r="T154" s="2">
        <v>10833.43</v>
      </c>
      <c r="U154" s="2">
        <v>14657.23</v>
      </c>
    </row>
    <row r="155" spans="1:21" x14ac:dyDescent="0.25">
      <c r="A155" t="s">
        <v>178</v>
      </c>
    </row>
    <row r="156" spans="1:21" x14ac:dyDescent="0.25">
      <c r="A156" t="s">
        <v>225</v>
      </c>
      <c r="J156">
        <v>-55.85</v>
      </c>
      <c r="K156">
        <v>-69.989999999999995</v>
      </c>
      <c r="L156">
        <v>-178.1</v>
      </c>
      <c r="M156">
        <v>-803.18</v>
      </c>
      <c r="N156" s="2">
        <v>-2776.08</v>
      </c>
      <c r="O156" s="2">
        <v>-6268.34</v>
      </c>
      <c r="P156" s="2">
        <v>-5237.7299999999996</v>
      </c>
      <c r="Q156" s="2">
        <v>-4741.8</v>
      </c>
      <c r="R156" s="2">
        <v>-2342.4699999999998</v>
      </c>
      <c r="S156" s="2">
        <v>-1895</v>
      </c>
      <c r="T156" s="2">
        <v>-2742.07</v>
      </c>
      <c r="U156" s="2">
        <v>-1056.2</v>
      </c>
    </row>
    <row r="157" spans="1:21" x14ac:dyDescent="0.25">
      <c r="A157" t="s">
        <v>17</v>
      </c>
    </row>
    <row r="158" spans="1:21" x14ac:dyDescent="0.25">
      <c r="A158" t="s">
        <v>231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0636-46CA-437B-97AE-C922DBAF599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CRWD</vt:lpstr>
      <vt:lpstr>CRWD 2</vt:lpstr>
      <vt:lpstr>Sheet2</vt:lpstr>
      <vt:lpstr>MU</vt:lpstr>
      <vt:lpstr>S</vt:lpstr>
      <vt:lpstr>FTNT</vt:lpstr>
      <vt:lpstr>AAOI</vt:lpstr>
      <vt:lpstr>COHR</vt:lpstr>
      <vt:lpstr>LITE</vt:lpstr>
      <vt:lpstr>BE</vt:lpstr>
      <vt:lpstr>AMD</vt:lpstr>
      <vt:lpstr>NVDA</vt:lpstr>
      <vt:lpstr>META</vt:lpstr>
      <vt:lpstr>AMZN</vt:lpstr>
      <vt:lpstr>ASML</vt:lpstr>
      <vt:lpstr>CRWV</vt:lpstr>
      <vt:lpstr>NBIS</vt:lpstr>
      <vt:lpstr>FRVO</vt:lpstr>
      <vt:lpstr>LRCX</vt:lpstr>
      <vt:lpstr>AMAt</vt:lpstr>
      <vt:lpstr>KLAC</vt:lpstr>
      <vt:lpstr>Sheet22</vt:lpstr>
      <vt:lpstr>Sheet23</vt:lpstr>
      <vt:lpstr>DUOT</vt:lpstr>
      <vt:lpstr>MRVL</vt:lpstr>
      <vt:lpstr>DELL</vt:lpstr>
      <vt:lpstr>ARM</vt:lpstr>
      <vt:lpstr>NET</vt:lpstr>
      <vt:lpstr>ZS</vt:lpstr>
      <vt:lpstr>PLTR</vt:lpstr>
      <vt:lpstr>ANET</vt:lpstr>
      <vt:lpstr>SHOP</vt:lpstr>
      <vt:lpstr>TOST</vt:lpstr>
      <vt:lpstr>SFM</vt:lpstr>
      <vt:lpstr>ORCL</vt:lpstr>
      <vt:lpstr>SRAD</vt:lpstr>
      <vt:lpstr>TTD</vt:lpstr>
      <vt:lpstr>AVGO</vt:lpstr>
      <vt:lpstr>TSM</vt:lpstr>
      <vt:lpstr>APO</vt:lpstr>
      <vt:lpstr>KKR</vt:lpstr>
      <vt:lpstr>BX</vt:lpstr>
      <vt:lpstr>ARES</vt:lpstr>
      <vt:lpstr>Sheet44</vt:lpstr>
      <vt:lpstr>CRCL</vt:lpstr>
      <vt:lpstr>aXTI </vt:lpstr>
      <vt:lpstr>CEG</vt:lpstr>
      <vt:lpstr>OKLO</vt:lpstr>
      <vt:lpstr>XE</vt:lpstr>
      <vt:lpstr>CBRS</vt:lpstr>
      <vt:lpstr>IREN</vt:lpstr>
      <vt:lpstr>ENTG</vt:lpstr>
      <vt:lpstr>LIN</vt:lpstr>
      <vt:lpstr>Sheet54</vt:lpstr>
      <vt:lpstr>PURR</vt:lpstr>
      <vt:lpstr>SAIA</vt:lpstr>
      <vt:lpstr>STM</vt:lpstr>
      <vt:lpstr>SPCX</vt:lpstr>
      <vt:lpstr>ASTS</vt:lpstr>
      <vt:lpstr>RKLB</vt:lpstr>
      <vt:lpstr>NTRA</vt:lpstr>
      <vt:lpstr>DTE</vt:lpstr>
      <vt:lpstr>VIST</vt:lpstr>
      <vt:lpstr>VST</vt:lpstr>
      <vt:lpstr>AEP</vt:lpstr>
      <vt:lpstr>LLY</vt:lpstr>
      <vt:lpstr>FE</vt:lpstr>
      <vt:lpstr>CMS</vt:lpstr>
      <vt:lpstr>APLD</vt:lpstr>
      <vt:lpstr>Sheet70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Jennings</dc:creator>
  <cp:lastModifiedBy>Kyle Jennings</cp:lastModifiedBy>
  <dcterms:created xsi:type="dcterms:W3CDTF">2026-09-28T17:18:01Z</dcterms:created>
  <dcterms:modified xsi:type="dcterms:W3CDTF">2026-09-30T16:50:12Z</dcterms:modified>
</cp:coreProperties>
</file>